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7-18\Stats Release\2020 Revision\"/>
    </mc:Choice>
  </mc:AlternateContent>
  <xr:revisionPtr revIDLastSave="0" documentId="13_ncr:1_{1553CA18-BFEB-4EFD-989B-2E0272782A0E}" xr6:coauthVersionLast="45" xr6:coauthVersionMax="45" xr10:uidLastSave="{00000000-0000-0000-0000-000000000000}"/>
  <bookViews>
    <workbookView xWindow="-120" yWindow="-120" windowWidth="29040" windowHeight="1450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TierSplit" sheetId="27" state="hidden" r:id="rId9"/>
    <sheet name="Datasheet1" sheetId="64" r:id="rId10"/>
    <sheet name="Datasheet2" sheetId="65" r:id="rId11"/>
    <sheet name="DatasheetDA" sheetId="71" r:id="rId12"/>
    <sheet name="Datasheet3" sheetId="66" r:id="rId13"/>
    <sheet name="Datasheet4" sheetId="67" r:id="rId14"/>
    <sheet name="Datasheet5" sheetId="68" r:id="rId15"/>
  </sheets>
  <externalReferences>
    <externalReference r:id="rId16"/>
    <externalReference r:id="rId17"/>
    <externalReference r:id="rId18"/>
    <externalReference r:id="rId19"/>
    <externalReference r:id="rId20"/>
  </externalReferences>
  <definedNames>
    <definedName name="_xlnm._FilterDatabase" localSheetId="8" hidden="1">TierSplit!$E$5:$R$332</definedName>
    <definedName name="Adur">[1]DATA!#REF!</definedName>
    <definedName name="BRprint1">#REF!</definedName>
    <definedName name="BRprint2">#REF!</definedName>
    <definedName name="CERDATA">'[2]Section 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[3]Data!$B$12:$B$338</definedName>
    <definedName name="numberhered">#REF!</definedName>
    <definedName name="_xlnm.Print_Area" localSheetId="3">'DA Summary'!$A$1:$S$59</definedName>
    <definedName name="_xlnm.Print_Area" localSheetId="7">Data!$A$1:$C$334</definedName>
    <definedName name="_xlnm.Print_Area" localSheetId="1">'Part 1'!$A$1:$Y$54</definedName>
    <definedName name="_xlnm.Print_Area" localSheetId="2">'Part 2'!$A$1:$V$100</definedName>
    <definedName name="_xlnm.Print_Area" localSheetId="4">'Part 3'!$A$1:$U$218</definedName>
    <definedName name="_xlnm.Print_Area" localSheetId="5">'Part 4'!$A$1:$V$130</definedName>
    <definedName name="_xlnm.Print_Area" localSheetId="6">'Part 5'!$A$1:$AD$91</definedName>
    <definedName name="_xlnm.Print_Area">'[2]Section 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[3]Data!$A$12:$C$338</definedName>
    <definedName name="table1">#REF!</definedName>
    <definedName name="tiersplit" localSheetId="8">TierSplit!$A$6:$T$331</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5" l="1"/>
  <c r="D36" i="25"/>
  <c r="S144" i="24"/>
  <c r="O144" i="24"/>
  <c r="K144" i="24"/>
  <c r="AB8" i="1" l="1"/>
  <c r="E3" i="70" s="1"/>
  <c r="B35" i="70" s="1"/>
  <c r="AC8" i="1"/>
  <c r="L15" i="1"/>
  <c r="C10" i="6" s="1"/>
  <c r="L16" i="1"/>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F1" i="25"/>
  <c r="G1" i="24"/>
  <c r="N88" i="6" l="1"/>
  <c r="J111" i="6"/>
  <c r="R60" i="6"/>
  <c r="N140" i="6"/>
  <c r="R113" i="6"/>
  <c r="R40" i="6"/>
  <c r="AA38" i="25"/>
  <c r="S36" i="25"/>
  <c r="S170" i="24"/>
  <c r="O168" i="24"/>
  <c r="K166" i="24"/>
  <c r="S161" i="24"/>
  <c r="O159" i="24"/>
  <c r="K156" i="24"/>
  <c r="S152" i="24"/>
  <c r="O149" i="24"/>
  <c r="K147" i="24"/>
  <c r="S142" i="24"/>
  <c r="O140" i="24"/>
  <c r="K138" i="24"/>
  <c r="S133" i="24"/>
  <c r="O131" i="24"/>
  <c r="K128" i="24"/>
  <c r="S124" i="24"/>
  <c r="G74" i="24"/>
  <c r="G69" i="24"/>
  <c r="G66" i="24"/>
  <c r="G64" i="24"/>
  <c r="G62" i="24"/>
  <c r="R214" i="6"/>
  <c r="N212" i="6"/>
  <c r="J210" i="6"/>
  <c r="R206" i="6"/>
  <c r="N204" i="6"/>
  <c r="J202" i="6"/>
  <c r="R198" i="6"/>
  <c r="N191" i="6"/>
  <c r="J187" i="6"/>
  <c r="R181" i="6"/>
  <c r="N181" i="6"/>
  <c r="J175" i="6"/>
  <c r="N166" i="6"/>
  <c r="J162" i="6"/>
  <c r="R156" i="6"/>
  <c r="N152" i="6"/>
  <c r="S90" i="5"/>
  <c r="K86" i="5"/>
  <c r="K80" i="5"/>
  <c r="O38" i="25"/>
  <c r="O36" i="25"/>
  <c r="K177" i="24"/>
  <c r="O170" i="24"/>
  <c r="K168" i="24"/>
  <c r="S163" i="24"/>
  <c r="O161" i="24"/>
  <c r="K159" i="24"/>
  <c r="S154" i="24"/>
  <c r="O152" i="24"/>
  <c r="K149" i="24"/>
  <c r="S145" i="24"/>
  <c r="O142" i="24"/>
  <c r="K140" i="24"/>
  <c r="S135" i="24"/>
  <c r="O133" i="24"/>
  <c r="K131" i="24"/>
  <c r="S126" i="24"/>
  <c r="O124" i="24"/>
  <c r="K72" i="24"/>
  <c r="S66" i="24"/>
  <c r="S64" i="24"/>
  <c r="S62" i="24"/>
  <c r="S59" i="24"/>
  <c r="N214" i="6"/>
  <c r="J212" i="6"/>
  <c r="R208" i="6"/>
  <c r="N206" i="6"/>
  <c r="J204" i="6"/>
  <c r="R200" i="6"/>
  <c r="N198" i="6"/>
  <c r="J191" i="6"/>
  <c r="R185" i="6"/>
  <c r="J181" i="6"/>
  <c r="R172" i="6"/>
  <c r="J166" i="6"/>
  <c r="R158" i="6"/>
  <c r="AA36" i="25"/>
  <c r="K175" i="24"/>
  <c r="K170" i="24"/>
  <c r="S166" i="24"/>
  <c r="O163" i="24"/>
  <c r="K161" i="24"/>
  <c r="S156" i="24"/>
  <c r="O154" i="24"/>
  <c r="K152" i="24"/>
  <c r="S147" i="24"/>
  <c r="O145" i="24"/>
  <c r="K142" i="24"/>
  <c r="S138" i="24"/>
  <c r="O135" i="24"/>
  <c r="K133" i="24"/>
  <c r="S128" i="24"/>
  <c r="O126" i="24"/>
  <c r="K124" i="24"/>
  <c r="G72" i="24"/>
  <c r="O66" i="24"/>
  <c r="O64" i="24"/>
  <c r="O62" i="24"/>
  <c r="O59" i="24"/>
  <c r="J214" i="6"/>
  <c r="R210" i="6"/>
  <c r="N208" i="6"/>
  <c r="J206" i="6"/>
  <c r="R202" i="6"/>
  <c r="N200" i="6"/>
  <c r="J198" i="6"/>
  <c r="R187" i="6"/>
  <c r="N185" i="6"/>
  <c r="N178" i="6"/>
  <c r="R169" i="6"/>
  <c r="R162" i="6"/>
  <c r="N158" i="6"/>
  <c r="J156" i="6"/>
  <c r="S98" i="5"/>
  <c r="K90" i="5"/>
  <c r="K82" i="5"/>
  <c r="K77" i="5"/>
  <c r="W36" i="25"/>
  <c r="K173" i="24"/>
  <c r="S168" i="24"/>
  <c r="O166" i="24"/>
  <c r="K163" i="24"/>
  <c r="S159" i="24"/>
  <c r="O156" i="24"/>
  <c r="K154" i="24"/>
  <c r="S149" i="24"/>
  <c r="O147" i="24"/>
  <c r="K145" i="24"/>
  <c r="S140" i="24"/>
  <c r="O138" i="24"/>
  <c r="K135" i="24"/>
  <c r="S131" i="24"/>
  <c r="O128" i="24"/>
  <c r="K126" i="24"/>
  <c r="K74" i="24"/>
  <c r="K69" i="24"/>
  <c r="K66" i="24"/>
  <c r="K64" i="24"/>
  <c r="K62" i="24"/>
  <c r="K59" i="24"/>
  <c r="R212" i="6"/>
  <c r="N210" i="6"/>
  <c r="J208" i="6"/>
  <c r="R204" i="6"/>
  <c r="N202" i="6"/>
  <c r="J200" i="6"/>
  <c r="R191" i="6"/>
  <c r="N187" i="6"/>
  <c r="J185" i="6"/>
  <c r="J178" i="6"/>
  <c r="N169" i="6"/>
  <c r="J158" i="6"/>
  <c r="S96" i="5"/>
  <c r="S80" i="5"/>
  <c r="N156" i="6"/>
  <c r="O90" i="5"/>
  <c r="S77" i="5"/>
  <c r="R152" i="6"/>
  <c r="S73" i="5"/>
  <c r="N162" i="6"/>
  <c r="J152" i="6"/>
  <c r="S86" i="5"/>
  <c r="S82" i="5"/>
  <c r="R178" i="6"/>
  <c r="R175" i="6"/>
  <c r="K73" i="5"/>
  <c r="N175" i="6"/>
  <c r="N172" i="6"/>
  <c r="S69" i="5"/>
  <c r="J172" i="6"/>
  <c r="J169" i="6"/>
  <c r="O69" i="5"/>
  <c r="O73" i="5"/>
  <c r="K69" i="5"/>
  <c r="R166" i="6"/>
  <c r="R133" i="6"/>
  <c r="N107" i="6"/>
  <c r="N82" i="6"/>
  <c r="J58" i="6"/>
  <c r="J125" i="6"/>
  <c r="R101" i="6"/>
  <c r="N76" i="6"/>
  <c r="J52" i="6"/>
  <c r="J146" i="6"/>
  <c r="N119" i="6"/>
  <c r="J99" i="6"/>
  <c r="N66" i="6"/>
  <c r="N45" i="6"/>
  <c r="R35" i="70"/>
  <c r="J35" i="70"/>
  <c r="P35" i="70"/>
  <c r="H35" i="70"/>
  <c r="E35" i="70"/>
  <c r="N35" i="70"/>
  <c r="L35" i="70"/>
  <c r="C35" i="70"/>
  <c r="S13" i="25"/>
  <c r="N24" i="24" s="1"/>
  <c r="W72" i="25"/>
  <c r="S14" i="24"/>
  <c r="K19" i="24"/>
  <c r="K35" i="24"/>
  <c r="K44" i="24"/>
  <c r="O49" i="24"/>
  <c r="K54" i="24"/>
  <c r="K57" i="24"/>
  <c r="S94" i="24"/>
  <c r="R84" i="6"/>
  <c r="R19" i="6"/>
  <c r="J23" i="6"/>
  <c r="N27" i="6"/>
  <c r="R32" i="6"/>
  <c r="J37" i="6"/>
  <c r="N40" i="6"/>
  <c r="R42" i="6"/>
  <c r="J48" i="6"/>
  <c r="N52" i="6"/>
  <c r="R54" i="6"/>
  <c r="J60" i="6"/>
  <c r="N64" i="6"/>
  <c r="R66" i="6"/>
  <c r="J76" i="6"/>
  <c r="R78" i="6"/>
  <c r="J84" i="6"/>
  <c r="R88" i="6"/>
  <c r="N95" i="6"/>
  <c r="J101" i="6"/>
  <c r="N105" i="6"/>
  <c r="R107" i="6"/>
  <c r="N113" i="6"/>
  <c r="R117" i="6"/>
  <c r="J123" i="6"/>
  <c r="N125" i="6"/>
  <c r="N133" i="6"/>
  <c r="R138" i="6"/>
  <c r="J144" i="6"/>
  <c r="N146" i="6"/>
  <c r="R150" i="6"/>
  <c r="R17" i="6"/>
  <c r="K45" i="25"/>
  <c r="S72" i="25"/>
  <c r="O21" i="25"/>
  <c r="W34" i="25"/>
  <c r="K16" i="24"/>
  <c r="O19" i="24"/>
  <c r="K37" i="24"/>
  <c r="K47" i="24"/>
  <c r="K51" i="24"/>
  <c r="O54" i="24"/>
  <c r="O57" i="24"/>
  <c r="S101" i="24"/>
  <c r="B52" i="70"/>
  <c r="K48" i="1"/>
  <c r="K36" i="1"/>
  <c r="J130" i="6"/>
  <c r="K42" i="1"/>
  <c r="N150" i="6"/>
  <c r="R144" i="6"/>
  <c r="J140" i="6"/>
  <c r="J133" i="6"/>
  <c r="R123" i="6"/>
  <c r="J119" i="6"/>
  <c r="J113" i="6"/>
  <c r="J107" i="6"/>
  <c r="N101" i="6"/>
  <c r="J95" i="6"/>
  <c r="J88" i="6"/>
  <c r="J82" i="6"/>
  <c r="R70" i="6"/>
  <c r="J66" i="6"/>
  <c r="N60" i="6"/>
  <c r="N54" i="6"/>
  <c r="R48" i="6"/>
  <c r="J45" i="6"/>
  <c r="J40" i="6"/>
  <c r="N34" i="6"/>
  <c r="R27" i="6"/>
  <c r="R21" i="6"/>
  <c r="J19" i="6"/>
  <c r="G59" i="24"/>
  <c r="G54" i="24"/>
  <c r="K42" i="24"/>
  <c r="S16" i="24"/>
  <c r="C10" i="5"/>
  <c r="C7" i="25" s="1"/>
  <c r="C8" i="24"/>
  <c r="B19" i="70"/>
  <c r="K53" i="1"/>
  <c r="K50" i="1"/>
  <c r="K39" i="1"/>
  <c r="K34" i="1"/>
  <c r="AA34" i="1" s="1"/>
  <c r="S85" i="24"/>
  <c r="J150" i="6"/>
  <c r="N144" i="6"/>
  <c r="N138" i="6"/>
  <c r="N128" i="6"/>
  <c r="N123" i="6"/>
  <c r="N117" i="6"/>
  <c r="R111" i="6"/>
  <c r="R105" i="6"/>
  <c r="R99" i="6"/>
  <c r="N93" i="6"/>
  <c r="N84" i="6"/>
  <c r="N78" i="6"/>
  <c r="N70" i="6"/>
  <c r="R64" i="6"/>
  <c r="R58" i="6"/>
  <c r="J54" i="6"/>
  <c r="N48" i="6"/>
  <c r="N42" i="6"/>
  <c r="R37" i="6"/>
  <c r="J34" i="6"/>
  <c r="J27" i="6"/>
  <c r="N21" i="6"/>
  <c r="S57" i="24"/>
  <c r="O51" i="24"/>
  <c r="K40" i="24"/>
  <c r="O16" i="24"/>
  <c r="K14" i="25"/>
  <c r="B51" i="70"/>
  <c r="C3" i="70"/>
  <c r="K32" i="1"/>
  <c r="R93" i="6"/>
  <c r="K44" i="1"/>
  <c r="R146" i="6"/>
  <c r="R140" i="6"/>
  <c r="J138" i="6"/>
  <c r="R125" i="6"/>
  <c r="R119" i="6"/>
  <c r="J117" i="6"/>
  <c r="N111" i="6"/>
  <c r="J105" i="6"/>
  <c r="N99" i="6"/>
  <c r="J93" i="6"/>
  <c r="R82" i="6"/>
  <c r="J78" i="6"/>
  <c r="J70" i="6"/>
  <c r="J64" i="6"/>
  <c r="N58" i="6"/>
  <c r="R52" i="6"/>
  <c r="R45" i="6"/>
  <c r="J42" i="6"/>
  <c r="N37" i="6"/>
  <c r="N32" i="6"/>
  <c r="R23" i="6"/>
  <c r="J21" i="6"/>
  <c r="R95" i="6"/>
  <c r="G57" i="24"/>
  <c r="K49" i="24"/>
  <c r="K33" i="24"/>
  <c r="O14" i="24"/>
  <c r="W13" i="25"/>
  <c r="R24" i="24" s="1"/>
  <c r="R34" i="6"/>
  <c r="J32" i="6"/>
  <c r="N23" i="6"/>
  <c r="N19" i="6"/>
  <c r="R76" i="6"/>
  <c r="S54" i="24"/>
  <c r="O47" i="24"/>
  <c r="S19" i="24"/>
  <c r="B41" i="70"/>
  <c r="B26" i="70"/>
  <c r="B28" i="70"/>
  <c r="B27" i="70"/>
  <c r="B42" i="70"/>
  <c r="B44" i="70"/>
  <c r="K27" i="1"/>
  <c r="K29" i="1"/>
  <c r="K22" i="1"/>
  <c r="K84" i="25"/>
  <c r="AA75" i="25"/>
  <c r="K47" i="25"/>
  <c r="AA17" i="25"/>
  <c r="K17" i="25"/>
  <c r="AA64" i="25"/>
  <c r="O86" i="25"/>
  <c r="K25" i="25"/>
  <c r="W66" i="25"/>
  <c r="AA82" i="25"/>
  <c r="S62" i="25"/>
  <c r="O47" i="25"/>
  <c r="AA28" i="25"/>
  <c r="S79" i="25"/>
  <c r="O66" i="25"/>
  <c r="K60" i="25"/>
  <c r="AA50" i="25"/>
  <c r="W62" i="25"/>
  <c r="S54" i="25"/>
  <c r="K88" i="25"/>
  <c r="W86" i="25"/>
  <c r="S50" i="25"/>
  <c r="AA56" i="25"/>
  <c r="S34" i="25"/>
  <c r="O79" i="25"/>
  <c r="AA45" i="25"/>
  <c r="W82" i="25"/>
  <c r="O62" i="25"/>
  <c r="AA54" i="25"/>
  <c r="O34" i="25"/>
  <c r="O77" i="25"/>
  <c r="O52" i="25"/>
  <c r="W17" i="25"/>
  <c r="O54" i="25"/>
  <c r="O28" i="25"/>
  <c r="W75" i="25"/>
  <c r="K66" i="25"/>
  <c r="W50" i="25"/>
  <c r="S86" i="25"/>
  <c r="S84" i="25"/>
  <c r="K79" i="25"/>
  <c r="K64" i="25"/>
  <c r="W56" i="25"/>
  <c r="W47" i="25"/>
  <c r="AA30" i="25"/>
  <c r="W21" i="25"/>
  <c r="AA88" i="25"/>
  <c r="AA79" i="25"/>
  <c r="S75" i="25"/>
  <c r="S60" i="25"/>
  <c r="K54" i="25"/>
  <c r="K21" i="25"/>
  <c r="AA62" i="25"/>
  <c r="W54" i="25"/>
  <c r="S47" i="25"/>
  <c r="O30" i="25"/>
  <c r="S21" i="25"/>
  <c r="AA86" i="25"/>
  <c r="K77" i="25"/>
  <c r="O75" i="25"/>
  <c r="W64" i="25"/>
  <c r="K62" i="25"/>
  <c r="S56" i="25"/>
  <c r="AA52" i="25"/>
  <c r="O50" i="25"/>
  <c r="W45" i="25"/>
  <c r="AA32" i="25"/>
  <c r="AA23" i="25"/>
  <c r="W88" i="25"/>
  <c r="K86" i="25"/>
  <c r="S82" i="25"/>
  <c r="AA77" i="25"/>
  <c r="S66" i="25"/>
  <c r="O60" i="25"/>
  <c r="K52" i="25"/>
  <c r="AA34" i="25"/>
  <c r="O84" i="25"/>
  <c r="W79" i="25"/>
  <c r="S17" i="25"/>
  <c r="K23" i="25"/>
  <c r="AA84" i="25"/>
  <c r="O82" i="25"/>
  <c r="W77" i="25"/>
  <c r="K75" i="25"/>
  <c r="S64" i="25"/>
  <c r="AA60" i="25"/>
  <c r="O56" i="25"/>
  <c r="W52" i="25"/>
  <c r="K50" i="25"/>
  <c r="S45" i="25"/>
  <c r="S32" i="25"/>
  <c r="S88" i="25"/>
  <c r="O17" i="25"/>
  <c r="AA47" i="25"/>
  <c r="O45" i="25"/>
  <c r="O32" i="25"/>
  <c r="AA21" i="25"/>
  <c r="O88" i="25"/>
  <c r="W84" i="25"/>
  <c r="K82" i="25"/>
  <c r="S77" i="25"/>
  <c r="AA66" i="25"/>
  <c r="O64" i="25"/>
  <c r="W60" i="25"/>
  <c r="K56" i="25"/>
  <c r="S52" i="25"/>
  <c r="O116" i="24"/>
  <c r="K99" i="24"/>
  <c r="S118" i="24"/>
  <c r="K101" i="24"/>
  <c r="O111" i="24"/>
  <c r="K108" i="24"/>
  <c r="K90" i="24"/>
  <c r="K121" i="24"/>
  <c r="K29" i="24"/>
  <c r="K114" i="24"/>
  <c r="S104" i="24"/>
  <c r="O101" i="24"/>
  <c r="O92" i="24"/>
  <c r="O114" i="24"/>
  <c r="S111" i="24"/>
  <c r="O99" i="24"/>
  <c r="K97" i="24"/>
  <c r="O108" i="24"/>
  <c r="S92" i="24"/>
  <c r="O29" i="24"/>
  <c r="S116" i="24"/>
  <c r="S106" i="24"/>
  <c r="K106" i="24"/>
  <c r="O90" i="24"/>
  <c r="O106" i="24"/>
  <c r="O118" i="24"/>
  <c r="O94" i="24"/>
  <c r="S99" i="24"/>
  <c r="K94" i="24"/>
  <c r="S29" i="24"/>
  <c r="O121" i="24"/>
  <c r="S114" i="24"/>
  <c r="S108" i="24"/>
  <c r="K104" i="24"/>
  <c r="O97" i="24"/>
  <c r="S90" i="24"/>
  <c r="K85" i="24"/>
  <c r="K118" i="24"/>
  <c r="K14" i="24"/>
  <c r="G29" i="24"/>
  <c r="S121" i="24"/>
  <c r="K116" i="24"/>
  <c r="K111" i="24"/>
  <c r="O104" i="24"/>
  <c r="S97" i="24"/>
  <c r="K92" i="24"/>
  <c r="O85" i="24"/>
  <c r="J17" i="6"/>
  <c r="N17" i="6"/>
  <c r="O55" i="5"/>
  <c r="O35" i="5"/>
  <c r="K32" i="5"/>
  <c r="S23" i="5"/>
  <c r="S59" i="5"/>
  <c r="S55" i="5"/>
  <c r="K27" i="5"/>
  <c r="O41" i="5"/>
  <c r="K55" i="5"/>
  <c r="O50" i="5"/>
  <c r="S37" i="5"/>
  <c r="O23" i="5"/>
  <c r="O18" i="5"/>
  <c r="S27" i="5"/>
  <c r="U27" i="5" s="1"/>
  <c r="S57" i="5"/>
  <c r="K35" i="5"/>
  <c r="K41" i="5"/>
  <c r="K29" i="5"/>
  <c r="S64" i="5"/>
  <c r="S35" i="5"/>
  <c r="S32" i="5"/>
  <c r="O59" i="5"/>
  <c r="K37" i="5"/>
  <c r="K18" i="5"/>
  <c r="O29" i="5"/>
  <c r="S41" i="5"/>
  <c r="O27" i="5"/>
  <c r="O57" i="5"/>
  <c r="S50" i="5"/>
  <c r="O32" i="5"/>
  <c r="O37" i="5"/>
  <c r="S29" i="5"/>
  <c r="K23" i="5"/>
  <c r="S18" i="5"/>
  <c r="O13" i="25"/>
  <c r="J24" i="24" s="1"/>
  <c r="O72" i="25"/>
  <c r="B53" i="70"/>
  <c r="B37" i="70"/>
  <c r="B25" i="70"/>
  <c r="B17" i="70"/>
  <c r="B14" i="70"/>
  <c r="B30" i="70"/>
  <c r="B46" i="70"/>
  <c r="B39" i="70"/>
  <c r="B16" i="70"/>
  <c r="B32" i="70"/>
  <c r="B48" i="70"/>
  <c r="B49" i="70"/>
  <c r="B33" i="70"/>
  <c r="B23" i="70"/>
  <c r="B15" i="70"/>
  <c r="B18" i="70"/>
  <c r="B34" i="70"/>
  <c r="B50" i="70"/>
  <c r="B43" i="70"/>
  <c r="B20" i="70"/>
  <c r="B36" i="70"/>
  <c r="B45" i="70"/>
  <c r="B29" i="70"/>
  <c r="B21" i="70"/>
  <c r="B13" i="70"/>
  <c r="B22" i="70"/>
  <c r="B38" i="70"/>
  <c r="B31" i="70"/>
  <c r="B47" i="70"/>
  <c r="B24" i="70"/>
  <c r="B40" i="70"/>
  <c r="K51" i="1" l="1"/>
  <c r="AA48" i="1"/>
  <c r="N174" i="6"/>
  <c r="J174" i="6"/>
  <c r="AC48" i="1"/>
  <c r="R31" i="70"/>
  <c r="J31" i="70"/>
  <c r="P31" i="70"/>
  <c r="H31" i="70"/>
  <c r="E31" i="70"/>
  <c r="C31" i="70"/>
  <c r="N31" i="70"/>
  <c r="L31" i="70"/>
  <c r="R21" i="70"/>
  <c r="J21" i="70"/>
  <c r="P21" i="70"/>
  <c r="H21" i="70"/>
  <c r="E21" i="70"/>
  <c r="L21" i="70"/>
  <c r="C21" i="70"/>
  <c r="N21" i="70"/>
  <c r="R20" i="70"/>
  <c r="J20" i="70"/>
  <c r="P20" i="70"/>
  <c r="H20" i="70"/>
  <c r="E20" i="70"/>
  <c r="N20" i="70"/>
  <c r="C20" i="70"/>
  <c r="L20" i="70"/>
  <c r="R18" i="70"/>
  <c r="J18" i="70"/>
  <c r="P18" i="70"/>
  <c r="H18" i="70"/>
  <c r="E18" i="70"/>
  <c r="N18" i="70"/>
  <c r="L18" i="70"/>
  <c r="C18" i="70"/>
  <c r="R49" i="70"/>
  <c r="J49" i="70"/>
  <c r="P49" i="70"/>
  <c r="H49" i="70"/>
  <c r="E49" i="70"/>
  <c r="N49" i="70"/>
  <c r="L49" i="70"/>
  <c r="C49" i="70"/>
  <c r="R39" i="70"/>
  <c r="J39" i="70"/>
  <c r="P39" i="70"/>
  <c r="H39" i="70"/>
  <c r="E39" i="70"/>
  <c r="N39" i="70"/>
  <c r="L39" i="70"/>
  <c r="C39" i="70"/>
  <c r="R17" i="70"/>
  <c r="J17" i="70"/>
  <c r="P17" i="70"/>
  <c r="H17" i="70"/>
  <c r="E17" i="70"/>
  <c r="C17" i="70"/>
  <c r="N17" i="70"/>
  <c r="L17" i="70"/>
  <c r="R44" i="70"/>
  <c r="J44" i="70"/>
  <c r="P44" i="70"/>
  <c r="H44" i="70"/>
  <c r="E44" i="70"/>
  <c r="C44" i="70"/>
  <c r="N44" i="70"/>
  <c r="L44" i="70"/>
  <c r="R26" i="70"/>
  <c r="J26" i="70"/>
  <c r="P26" i="70"/>
  <c r="H26" i="70"/>
  <c r="E26" i="70"/>
  <c r="N26" i="70"/>
  <c r="L26" i="70"/>
  <c r="C26" i="70"/>
  <c r="R52" i="70"/>
  <c r="J52" i="70"/>
  <c r="P52" i="70"/>
  <c r="H52" i="70"/>
  <c r="E52" i="70"/>
  <c r="C52" i="70"/>
  <c r="N52" i="70"/>
  <c r="L52" i="70"/>
  <c r="R40" i="70"/>
  <c r="J40" i="70"/>
  <c r="P40" i="70"/>
  <c r="H40" i="70"/>
  <c r="E40" i="70"/>
  <c r="C40" i="70"/>
  <c r="N40" i="70"/>
  <c r="L40" i="70"/>
  <c r="R38" i="70"/>
  <c r="J38" i="70"/>
  <c r="P38" i="70"/>
  <c r="H38" i="70"/>
  <c r="E38" i="70"/>
  <c r="C38" i="70"/>
  <c r="N38" i="70"/>
  <c r="L38" i="70"/>
  <c r="R29" i="70"/>
  <c r="J29" i="70"/>
  <c r="P29" i="70"/>
  <c r="H29" i="70"/>
  <c r="E29" i="70"/>
  <c r="C29" i="70"/>
  <c r="N29" i="70"/>
  <c r="L29" i="70"/>
  <c r="R43" i="70"/>
  <c r="J43" i="70"/>
  <c r="P43" i="70"/>
  <c r="H43" i="70"/>
  <c r="E43" i="70"/>
  <c r="N43" i="70"/>
  <c r="L43" i="70"/>
  <c r="C43" i="70"/>
  <c r="R15" i="70"/>
  <c r="J15" i="70"/>
  <c r="P15" i="70"/>
  <c r="H15" i="70"/>
  <c r="E15" i="70"/>
  <c r="C15" i="70"/>
  <c r="N15" i="70"/>
  <c r="L15" i="70"/>
  <c r="R48" i="70"/>
  <c r="J48" i="70"/>
  <c r="P48" i="70"/>
  <c r="H48" i="70"/>
  <c r="E48" i="70"/>
  <c r="C48" i="70"/>
  <c r="N48" i="70"/>
  <c r="L48" i="70"/>
  <c r="R46" i="70"/>
  <c r="J46" i="70"/>
  <c r="P46" i="70"/>
  <c r="H46" i="70"/>
  <c r="E46" i="70"/>
  <c r="C46" i="70"/>
  <c r="N46" i="70"/>
  <c r="L46" i="70"/>
  <c r="R25" i="70"/>
  <c r="J25" i="70"/>
  <c r="P25" i="70"/>
  <c r="H25" i="70"/>
  <c r="E25" i="70"/>
  <c r="L25" i="70"/>
  <c r="C25" i="70"/>
  <c r="N25" i="70"/>
  <c r="R19" i="70"/>
  <c r="J19" i="70"/>
  <c r="P19" i="70"/>
  <c r="H19" i="70"/>
  <c r="E19" i="70"/>
  <c r="L19" i="70"/>
  <c r="C19" i="70"/>
  <c r="N19" i="70"/>
  <c r="AC34" i="1"/>
  <c r="AE34" i="1" s="1"/>
  <c r="AG34" i="1" s="1"/>
  <c r="R24" i="70"/>
  <c r="J24" i="70"/>
  <c r="P24" i="70"/>
  <c r="H24" i="70"/>
  <c r="E24" i="70"/>
  <c r="N24" i="70"/>
  <c r="C24" i="70"/>
  <c r="L24" i="70"/>
  <c r="R22" i="70"/>
  <c r="J22" i="70"/>
  <c r="P22" i="70"/>
  <c r="H22" i="70"/>
  <c r="E22" i="70"/>
  <c r="N22" i="70"/>
  <c r="C22" i="70"/>
  <c r="L22" i="70"/>
  <c r="R45" i="70"/>
  <c r="J45" i="70"/>
  <c r="P45" i="70"/>
  <c r="H45" i="70"/>
  <c r="E45" i="70"/>
  <c r="N45" i="70"/>
  <c r="L45" i="70"/>
  <c r="C45" i="70"/>
  <c r="R50" i="70"/>
  <c r="J50" i="70"/>
  <c r="P50" i="70"/>
  <c r="H50" i="70"/>
  <c r="E50" i="70"/>
  <c r="N50" i="70"/>
  <c r="C50" i="70"/>
  <c r="L50" i="70"/>
  <c r="R23" i="70"/>
  <c r="J23" i="70"/>
  <c r="P23" i="70"/>
  <c r="H23" i="70"/>
  <c r="E23" i="70"/>
  <c r="L23" i="70"/>
  <c r="C23" i="70"/>
  <c r="N23" i="70"/>
  <c r="R32" i="70"/>
  <c r="J32" i="70"/>
  <c r="P32" i="70"/>
  <c r="H32" i="70"/>
  <c r="E32" i="70"/>
  <c r="N32" i="70"/>
  <c r="L32" i="70"/>
  <c r="C32" i="70"/>
  <c r="R30" i="70"/>
  <c r="J30" i="70"/>
  <c r="P30" i="70"/>
  <c r="H30" i="70"/>
  <c r="E30" i="70"/>
  <c r="N30" i="70"/>
  <c r="L30" i="70"/>
  <c r="C30" i="70"/>
  <c r="R37" i="70"/>
  <c r="J37" i="70"/>
  <c r="P37" i="70"/>
  <c r="H37" i="70"/>
  <c r="E37" i="70"/>
  <c r="N37" i="70"/>
  <c r="L37" i="70"/>
  <c r="C37" i="70"/>
  <c r="R27" i="70"/>
  <c r="J27" i="70"/>
  <c r="P27" i="70"/>
  <c r="H27" i="70"/>
  <c r="E27" i="70"/>
  <c r="C27" i="70"/>
  <c r="N27" i="70"/>
  <c r="L27" i="70"/>
  <c r="R42" i="70"/>
  <c r="J42" i="70"/>
  <c r="P42" i="70"/>
  <c r="H42" i="70"/>
  <c r="E42" i="70"/>
  <c r="C42" i="70"/>
  <c r="N42" i="70"/>
  <c r="L42" i="70"/>
  <c r="R41" i="70"/>
  <c r="J41" i="70"/>
  <c r="P41" i="70"/>
  <c r="H41" i="70"/>
  <c r="E41" i="70"/>
  <c r="N41" i="70"/>
  <c r="L41" i="70"/>
  <c r="C41" i="70"/>
  <c r="R47" i="70"/>
  <c r="J47" i="70"/>
  <c r="P47" i="70"/>
  <c r="H47" i="70"/>
  <c r="E47" i="70"/>
  <c r="N47" i="70"/>
  <c r="L47" i="70"/>
  <c r="C47" i="70"/>
  <c r="R13" i="70"/>
  <c r="L13" i="70"/>
  <c r="J13" i="70"/>
  <c r="P13" i="70"/>
  <c r="E13" i="70"/>
  <c r="H13" i="70"/>
  <c r="C13" i="70"/>
  <c r="N13" i="70"/>
  <c r="R36" i="70"/>
  <c r="J36" i="70"/>
  <c r="P36" i="70"/>
  <c r="H36" i="70"/>
  <c r="E36" i="70"/>
  <c r="C36" i="70"/>
  <c r="N36" i="70"/>
  <c r="L36" i="70"/>
  <c r="R34" i="70"/>
  <c r="J34" i="70"/>
  <c r="P34" i="70"/>
  <c r="H34" i="70"/>
  <c r="E34" i="70"/>
  <c r="C34" i="70"/>
  <c r="N34" i="70"/>
  <c r="L34" i="70"/>
  <c r="R33" i="70"/>
  <c r="J33" i="70"/>
  <c r="P33" i="70"/>
  <c r="H33" i="70"/>
  <c r="E33" i="70"/>
  <c r="N33" i="70"/>
  <c r="L33" i="70"/>
  <c r="C33" i="70"/>
  <c r="R16" i="70"/>
  <c r="J16" i="70"/>
  <c r="P16" i="70"/>
  <c r="H16" i="70"/>
  <c r="E16" i="70"/>
  <c r="N16" i="70"/>
  <c r="L16" i="70"/>
  <c r="C16" i="70"/>
  <c r="R14" i="70"/>
  <c r="J14" i="70"/>
  <c r="P14" i="70"/>
  <c r="H14" i="70"/>
  <c r="E14" i="70"/>
  <c r="N14" i="70"/>
  <c r="L14" i="70"/>
  <c r="C14" i="70"/>
  <c r="R53" i="70"/>
  <c r="J53" i="70"/>
  <c r="E53" i="70"/>
  <c r="P53" i="70"/>
  <c r="H53" i="70"/>
  <c r="N53" i="70"/>
  <c r="L53" i="70"/>
  <c r="C53" i="70"/>
  <c r="R28" i="70"/>
  <c r="J28" i="70"/>
  <c r="P28" i="70"/>
  <c r="H28" i="70"/>
  <c r="E28" i="70"/>
  <c r="N28" i="70"/>
  <c r="L28" i="70"/>
  <c r="C28" i="70"/>
  <c r="R51" i="70"/>
  <c r="J51" i="70"/>
  <c r="P51" i="70"/>
  <c r="H51" i="70"/>
  <c r="E51" i="70"/>
  <c r="N51" i="70"/>
  <c r="L51" i="70"/>
  <c r="C51" i="70"/>
  <c r="AE48" i="1" l="1"/>
  <c r="AG48" i="1" s="1"/>
  <c r="N6" i="70"/>
  <c r="P6" i="70"/>
  <c r="R6" i="70"/>
  <c r="L6" i="70"/>
  <c r="H6" i="70"/>
  <c r="E6" i="70"/>
  <c r="J6" i="70"/>
  <c r="O81" i="24" l="1"/>
  <c r="K81" i="24" l="1"/>
  <c r="S81" i="24"/>
  <c r="K83" i="24" l="1"/>
  <c r="O83" i="24" l="1"/>
  <c r="S83" i="24"/>
  <c r="K87" i="24" l="1"/>
  <c r="O87" i="24" l="1"/>
  <c r="O40" i="25"/>
  <c r="K181" i="24"/>
  <c r="S87" i="24"/>
  <c r="S40" i="25"/>
  <c r="O181" i="24"/>
  <c r="W40" i="25"/>
  <c r="S181" i="24"/>
  <c r="AA40" i="25" l="1"/>
</calcChain>
</file>

<file path=xl/sharedStrings.xml><?xml version="1.0" encoding="utf-8"?>
<sst xmlns="http://schemas.openxmlformats.org/spreadsheetml/2006/main" count="13723" uniqueCount="1846">
  <si>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</si>
  <si>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</si>
  <si>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</si>
  <si>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</si>
  <si>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</si>
  <si>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</si>
  <si>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</si>
  <si>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</si>
  <si>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</si>
  <si>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</si>
  <si>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</si>
  <si>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</si>
  <si>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</si>
  <si>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</si>
  <si>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</si>
  <si>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</si>
  <si>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</si>
  <si>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</si>
  <si>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</si>
  <si>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</si>
  <si>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</si>
  <si>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</si>
  <si>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</si>
  <si>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</si>
  <si>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</si>
  <si>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</si>
  <si>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</si>
  <si>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</si>
  <si>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</si>
  <si>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</si>
  <si>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</si>
  <si>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</si>
  <si>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</si>
  <si>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</si>
  <si>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</si>
  <si>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</si>
  <si>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</si>
  <si>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</si>
  <si>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</si>
  <si>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</si>
  <si>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</si>
  <si>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</si>
  <si>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</si>
  <si>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</si>
  <si>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</si>
  <si>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</si>
  <si>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</si>
  <si>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</si>
  <si>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</si>
  <si>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</si>
  <si>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</si>
  <si>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</si>
  <si>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</si>
  <si>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</si>
  <si>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</si>
  <si>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</si>
  <si>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</si>
  <si>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</si>
  <si>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</si>
  <si>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</si>
  <si>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</si>
  <si>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</si>
  <si>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</si>
  <si>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</si>
  <si>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</si>
  <si>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</si>
  <si>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Losses on Appeal</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</si>
  <si>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</si>
  <si>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</si>
  <si>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</si>
  <si>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</si>
  <si>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</si>
  <si>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</si>
  <si>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</si>
  <si>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</si>
  <si>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</si>
  <si>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</si>
  <si>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</si>
  <si>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</si>
  <si>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</si>
  <si>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</si>
  <si>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</si>
  <si>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</si>
  <si>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</si>
  <si>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</si>
  <si>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</si>
  <si>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</si>
  <si>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</si>
  <si>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</si>
  <si>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</si>
  <si>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</si>
  <si>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</si>
  <si>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</si>
  <si>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</si>
  <si>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</si>
  <si>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</si>
  <si>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</si>
  <si>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</si>
  <si>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</si>
  <si>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</si>
  <si>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</si>
  <si>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</si>
  <si>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</si>
  <si>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</si>
  <si>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</si>
  <si>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</si>
  <si>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</si>
  <si>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</si>
  <si>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</si>
  <si>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</si>
  <si>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</si>
  <si>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</si>
  <si>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</si>
  <si>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</si>
  <si>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</si>
  <si>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</si>
  <si>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</si>
  <si>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</si>
  <si>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</si>
  <si>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</si>
  <si>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</si>
  <si>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</si>
  <si>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</si>
  <si>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</si>
  <si>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</si>
  <si>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</si>
  <si>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</si>
  <si>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</si>
  <si>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</si>
  <si>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</si>
  <si>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</si>
  <si>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</si>
  <si>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</si>
  <si>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</si>
  <si>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</si>
  <si>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</si>
  <si>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</si>
  <si>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</si>
  <si>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</si>
  <si>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</si>
  <si>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</si>
  <si>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</si>
  <si>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</si>
  <si>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</si>
  <si>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</si>
  <si>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</si>
  <si>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</si>
  <si>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</si>
  <si>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</si>
  <si>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</si>
  <si>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</si>
  <si>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</si>
  <si>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</si>
  <si>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</si>
  <si>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</si>
  <si>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</si>
  <si>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</si>
  <si>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</si>
  <si>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</si>
  <si>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</si>
  <si>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</si>
  <si>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</si>
  <si>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</si>
  <si>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</si>
  <si>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</si>
  <si>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</si>
  <si>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</si>
  <si>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</si>
  <si>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</si>
  <si>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</si>
  <si>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</si>
  <si>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</si>
  <si>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</si>
  <si>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</si>
  <si>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</si>
  <si>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</si>
  <si>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</si>
  <si>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</si>
  <si>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</si>
  <si>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</si>
  <si>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</si>
  <si>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</si>
  <si>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</si>
  <si>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</si>
  <si>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</si>
  <si>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</si>
  <si>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</si>
  <si>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</si>
  <si>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</si>
  <si>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</si>
  <si>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</si>
  <si>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</si>
  <si>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</si>
  <si>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</si>
  <si>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</si>
  <si>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</si>
  <si>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</si>
  <si>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</si>
  <si>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</si>
  <si>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</si>
  <si>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</si>
  <si>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</si>
  <si>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</si>
  <si>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</si>
  <si>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</si>
  <si>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</si>
  <si>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</si>
  <si>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</si>
  <si>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</si>
  <si>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</si>
  <si>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</si>
  <si>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</si>
  <si>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</si>
  <si>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</si>
  <si>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</si>
  <si>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</si>
  <si>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</si>
  <si>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</si>
  <si>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</si>
  <si>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</si>
  <si>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</si>
  <si>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</si>
  <si>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</si>
  <si>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</si>
  <si>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</si>
  <si>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</si>
  <si>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</si>
  <si>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</si>
  <si>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</si>
  <si>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</si>
  <si>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</si>
  <si>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</si>
  <si>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</si>
  <si>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</si>
  <si>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</si>
  <si>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</si>
  <si>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</si>
  <si>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</si>
  <si>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</si>
  <si>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</si>
  <si>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</si>
  <si>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</si>
  <si>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</si>
  <si>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</si>
  <si>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</si>
  <si>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</si>
  <si>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</si>
  <si>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</si>
  <si>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</si>
  <si>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</si>
  <si>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</si>
  <si>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</si>
  <si>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</si>
  <si>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</si>
  <si>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</si>
  <si>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</si>
  <si>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</si>
  <si>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</si>
  <si>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</si>
  <si>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</si>
  <si>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</si>
  <si>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</si>
  <si>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</si>
  <si>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</si>
  <si>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</si>
  <si>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</si>
  <si>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</si>
  <si>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</si>
  <si>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</si>
  <si>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</si>
  <si>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</si>
  <si>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</si>
  <si>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</si>
  <si>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</si>
  <si>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</si>
  <si>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</si>
  <si>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</si>
  <si>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</si>
  <si>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</si>
  <si>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</si>
  <si>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</si>
  <si>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</si>
  <si>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</si>
  <si>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</si>
  <si>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</si>
  <si>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</si>
  <si>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</si>
  <si>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</si>
  <si>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</si>
  <si>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</si>
  <si>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</si>
  <si>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</si>
  <si>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</si>
  <si>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</si>
  <si>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</si>
  <si>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</si>
  <si>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</si>
  <si>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</si>
  <si>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</si>
  <si>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</si>
  <si>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</si>
  <si>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</si>
  <si>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</si>
  <si>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</si>
  <si>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</si>
  <si>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</si>
  <si>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</si>
  <si>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</si>
  <si>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</si>
  <si>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</si>
  <si>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</si>
  <si>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</si>
  <si>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</si>
  <si>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</si>
  <si>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</si>
  <si>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</si>
  <si>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</si>
  <si>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</si>
  <si>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</si>
  <si>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</si>
  <si>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</si>
  <si>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</si>
  <si>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</si>
  <si>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</si>
  <si>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</si>
  <si>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</si>
  <si>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</si>
  <si>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</si>
  <si>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</si>
  <si>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</si>
  <si>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</si>
  <si>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</si>
  <si>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</si>
  <si>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</si>
  <si>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</si>
  <si>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</si>
  <si>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</si>
  <si>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</si>
  <si>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</si>
  <si>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</si>
  <si>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</si>
  <si>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</si>
  <si>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</si>
  <si>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</si>
  <si>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</si>
  <si>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</si>
  <si>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</si>
  <si>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</si>
  <si>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</si>
  <si>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</si>
  <si>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</si>
  <si>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</si>
  <si>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</si>
  <si>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</si>
  <si>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</si>
  <si>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</si>
  <si>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</si>
  <si>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</si>
  <si>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</si>
  <si>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</si>
  <si>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</si>
  <si>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</si>
  <si>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</si>
  <si>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</si>
  <si>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</si>
  <si>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</si>
  <si>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</si>
  <si>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</si>
  <si>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</si>
  <si>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</si>
  <si>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</si>
  <si>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</si>
  <si>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</si>
  <si>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</si>
  <si>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</si>
  <si>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</si>
  <si>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</si>
  <si>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</si>
  <si>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</si>
  <si>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</si>
  <si>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</si>
  <si>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</si>
  <si>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</si>
  <si>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</si>
  <si>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</si>
  <si>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</si>
  <si>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</si>
  <si>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</si>
  <si>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</si>
  <si>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</si>
  <si>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</si>
  <si>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</si>
  <si>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</si>
  <si>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</si>
  <si>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</si>
  <si>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</si>
  <si>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</si>
  <si>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</si>
  <si>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</si>
  <si>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</si>
  <si>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</si>
  <si>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</si>
  <si>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</si>
  <si>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</si>
  <si>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</si>
  <si>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</si>
  <si>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</si>
  <si>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</si>
  <si>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</si>
  <si>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</si>
  <si>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</si>
  <si>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</si>
  <si>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</si>
  <si>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</si>
  <si>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</si>
  <si>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</si>
  <si>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</si>
  <si>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</si>
  <si>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</si>
  <si>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</si>
  <si>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</si>
  <si>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</si>
  <si>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</si>
  <si>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</si>
  <si>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</si>
  <si>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</si>
  <si>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</si>
  <si>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</si>
  <si>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</si>
  <si>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</si>
  <si>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</si>
  <si>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</si>
  <si>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</si>
  <si>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</si>
  <si>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</si>
  <si>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</si>
  <si>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</si>
  <si>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</si>
  <si>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</si>
  <si>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</si>
  <si>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</si>
  <si>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</si>
  <si>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</si>
  <si>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</si>
  <si>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</si>
  <si>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</si>
  <si>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</si>
  <si>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</si>
  <si>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</si>
  <si>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</si>
  <si>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</si>
  <si>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</si>
  <si>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</si>
  <si>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</si>
  <si>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</si>
  <si>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</si>
  <si>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</si>
  <si>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</si>
  <si>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</si>
  <si>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</si>
  <si>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</si>
  <si>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</si>
  <si>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</si>
  <si>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</si>
  <si>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</si>
  <si>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</si>
  <si>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</si>
  <si>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</si>
  <si>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</si>
  <si>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</si>
  <si>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</si>
  <si>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</si>
  <si>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</si>
  <si>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</si>
  <si>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</si>
  <si>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</si>
  <si>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</si>
  <si>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</si>
  <si>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</si>
  <si>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</si>
  <si>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</si>
  <si>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</si>
  <si>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</si>
  <si>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</si>
  <si>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</si>
  <si>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</si>
  <si>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</si>
  <si>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</si>
  <si>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</si>
  <si>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</si>
  <si>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</si>
  <si>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</si>
  <si>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</si>
  <si>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</si>
  <si>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</si>
  <si>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</si>
  <si>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</si>
  <si>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</si>
  <si>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</si>
  <si>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</si>
  <si>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</si>
  <si>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</si>
  <si>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</si>
  <si>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</si>
  <si>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</si>
  <si>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</si>
  <si>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</si>
  <si>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</si>
  <si>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</si>
  <si>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</si>
  <si>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</si>
  <si>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</si>
  <si>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</si>
  <si>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</si>
  <si>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</si>
  <si>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</si>
  <si>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</si>
  <si>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</si>
  <si>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</si>
  <si>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</si>
  <si>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</si>
  <si>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</si>
  <si>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</si>
  <si>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</si>
  <si>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</si>
  <si>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</si>
  <si>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</si>
  <si>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</si>
  <si>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</si>
  <si>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</si>
  <si>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</si>
  <si>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</si>
  <si>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</si>
  <si>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</si>
  <si>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</si>
  <si>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</si>
  <si>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</si>
  <si>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</si>
  <si>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</si>
  <si>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</si>
  <si>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</si>
  <si>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</si>
  <si>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</si>
  <si>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</si>
  <si>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</si>
  <si>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</si>
  <si>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</si>
  <si>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</si>
  <si>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</si>
  <si>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</si>
  <si>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</si>
  <si>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</si>
  <si>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</si>
  <si>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</si>
  <si>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</si>
  <si>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</si>
  <si>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</si>
  <si>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</si>
  <si>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</si>
  <si>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</si>
  <si>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</si>
  <si>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</si>
  <si>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</si>
  <si>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</si>
  <si>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</si>
  <si>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</si>
  <si>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</si>
  <si>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</si>
  <si>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</si>
  <si>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</si>
  <si>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</si>
  <si>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</si>
  <si>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</si>
  <si>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</si>
  <si>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</si>
  <si>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</si>
  <si>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</si>
  <si>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</si>
  <si>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</si>
  <si>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</si>
  <si>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</si>
  <si>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</si>
  <si>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</si>
  <si>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</si>
  <si>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</si>
  <si>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</si>
  <si>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</si>
  <si>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</si>
  <si>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</si>
  <si>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</si>
  <si>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</si>
  <si>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</si>
  <si>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</si>
  <si>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</si>
  <si>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</si>
  <si>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</si>
  <si>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</si>
  <si>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</si>
  <si>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</si>
  <si>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</si>
  <si>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</si>
  <si>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</si>
  <si>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</si>
  <si>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</si>
  <si>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</si>
  <si>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</si>
  <si>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</si>
  <si>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</si>
  <si>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</si>
  <si>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</si>
  <si>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</si>
  <si>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</si>
  <si>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</si>
  <si>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</si>
  <si>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</si>
  <si>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</si>
  <si>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</si>
  <si>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</si>
  <si>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</si>
  <si>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</si>
  <si>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</si>
  <si>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</si>
  <si>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</si>
  <si>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</si>
  <si>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</si>
  <si>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</si>
  <si>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</si>
  <si>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</si>
  <si>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</si>
  <si>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</si>
  <si>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</si>
  <si>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</si>
  <si>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</si>
  <si>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</si>
  <si>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</si>
  <si>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</si>
  <si>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</si>
  <si>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</si>
  <si>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</si>
  <si>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</si>
  <si>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</si>
  <si>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</si>
  <si>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</si>
  <si>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</si>
  <si>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</si>
  <si>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</si>
  <si>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</si>
  <si>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</si>
  <si>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</si>
  <si>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</si>
  <si>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</si>
  <si>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</si>
  <si>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</si>
  <si>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</si>
  <si>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</si>
  <si>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</si>
  <si>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</si>
  <si>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</si>
  <si>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</si>
  <si>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</si>
  <si>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</si>
  <si>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</si>
  <si>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</si>
  <si>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</si>
  <si>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</si>
  <si>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</si>
  <si>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</si>
  <si>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</si>
  <si>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</si>
  <si>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</si>
  <si>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</si>
  <si>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</si>
  <si>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</si>
  <si>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</si>
  <si>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</si>
  <si>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</si>
  <si>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</si>
  <si>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</si>
  <si>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</si>
  <si>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</si>
  <si>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</si>
  <si>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</si>
  <si>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</si>
  <si>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</si>
  <si>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</si>
  <si>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</si>
  <si>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</si>
  <si>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</si>
  <si>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</si>
  <si>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</si>
  <si>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</si>
  <si>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</si>
  <si>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</si>
  <si>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</si>
  <si>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</si>
  <si>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</si>
  <si>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</si>
  <si>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</si>
  <si>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</si>
  <si>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</si>
  <si>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</si>
  <si>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</si>
  <si>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</si>
  <si>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</si>
  <si>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</si>
  <si>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</si>
  <si>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</si>
  <si>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</si>
  <si>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</si>
  <si>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</si>
  <si>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</si>
  <si>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</si>
  <si>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</si>
  <si>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</si>
  <si>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</si>
  <si>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</si>
  <si>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</si>
  <si>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</si>
  <si>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</si>
  <si>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</si>
  <si>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</si>
  <si>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</si>
  <si>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</si>
  <si>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</si>
  <si>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</si>
  <si>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</si>
  <si>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</si>
  <si>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</si>
  <si>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</si>
  <si>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</si>
  <si>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</si>
  <si>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</si>
  <si>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</si>
  <si>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</si>
  <si>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</si>
  <si>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</si>
  <si>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</si>
  <si>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</si>
  <si>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</si>
  <si>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</si>
  <si>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</si>
  <si>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</si>
  <si>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</si>
  <si>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</si>
  <si>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</si>
  <si>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E6127</t>
  </si>
  <si>
    <t>UA</t>
  </si>
  <si>
    <t>NA</t>
  </si>
  <si>
    <t>York UA</t>
  </si>
  <si>
    <t>Hereford and Worcester Fire Authority</t>
  </si>
  <si>
    <t>E6118</t>
  </si>
  <si>
    <t>Worcestershire</t>
  </si>
  <si>
    <t>E1821</t>
  </si>
  <si>
    <t>Lancashire Fire Authority</t>
  </si>
  <si>
    <t>E6123</t>
  </si>
  <si>
    <t>Lancashire</t>
  </si>
  <si>
    <t>E2321</t>
  </si>
  <si>
    <t>Buckinghamshire Fire Authority</t>
  </si>
  <si>
    <t>E6104</t>
  </si>
  <si>
    <t>Buckinghamshire</t>
  </si>
  <si>
    <t>E0421</t>
  </si>
  <si>
    <t>County</t>
  </si>
  <si>
    <t>West Sussex</t>
  </si>
  <si>
    <t>E3820</t>
  </si>
  <si>
    <t>West Midlands Fire</t>
  </si>
  <si>
    <t>E6146</t>
  </si>
  <si>
    <t>MD</t>
  </si>
  <si>
    <t>Berkshire Fire Authority</t>
  </si>
  <si>
    <t>E6103</t>
  </si>
  <si>
    <t>Wokingham UA</t>
  </si>
  <si>
    <t>Surrey</t>
  </si>
  <si>
    <t>E3620</t>
  </si>
  <si>
    <t>Merseyside Fire</t>
  </si>
  <si>
    <t>E6143</t>
  </si>
  <si>
    <t>Windsor &amp; Maidenhead UA</t>
  </si>
  <si>
    <t>Hampshire Fire Authority</t>
  </si>
  <si>
    <t>E6117</t>
  </si>
  <si>
    <t>Hampshire</t>
  </si>
  <si>
    <t>E1721</t>
  </si>
  <si>
    <t>Wiltshire Fire Authority</t>
  </si>
  <si>
    <t>E6139</t>
  </si>
  <si>
    <t>Greater Manchester Fire</t>
  </si>
  <si>
    <t>E6142</t>
  </si>
  <si>
    <t>Dorset Fire Authority</t>
  </si>
  <si>
    <t>E6112</t>
  </si>
  <si>
    <t>Dorset</t>
  </si>
  <si>
    <t>E1221</t>
  </si>
  <si>
    <t>Weymouth &amp; Portland</t>
  </si>
  <si>
    <t>Greater London Authority</t>
  </si>
  <si>
    <t>E5100</t>
  </si>
  <si>
    <t>Devon and Somerset Fire Authority</t>
  </si>
  <si>
    <t>E6161</t>
  </si>
  <si>
    <t>Somerset</t>
  </si>
  <si>
    <t>E3320</t>
  </si>
  <si>
    <t>Oxfordshire</t>
  </si>
  <si>
    <t>E3120</t>
  </si>
  <si>
    <t>Lincolnshire</t>
  </si>
  <si>
    <t>E2520</t>
  </si>
  <si>
    <t>Devon</t>
  </si>
  <si>
    <t>E1121</t>
  </si>
  <si>
    <t>West Berkshire UA</t>
  </si>
  <si>
    <t>Hertfordshire</t>
  </si>
  <si>
    <t>E1920</t>
  </si>
  <si>
    <t>Northamptonshire</t>
  </si>
  <si>
    <t>E2820</t>
  </si>
  <si>
    <t>East Sussex Fire Authority</t>
  </si>
  <si>
    <t>E6114</t>
  </si>
  <si>
    <t>East Sussex</t>
  </si>
  <si>
    <t>E1421</t>
  </si>
  <si>
    <t>Suffolk</t>
  </si>
  <si>
    <t>E3520</t>
  </si>
  <si>
    <t>Warwickshire</t>
  </si>
  <si>
    <t>E3720</t>
  </si>
  <si>
    <t>Cheshire Fire Authority</t>
  </si>
  <si>
    <t>E6106</t>
  </si>
  <si>
    <t>Warrington UA</t>
  </si>
  <si>
    <t>West Yorkshire Fire</t>
  </si>
  <si>
    <t>E6147</t>
  </si>
  <si>
    <t>Essex Fire Authority</t>
  </si>
  <si>
    <t>E6115</t>
  </si>
  <si>
    <t>Essex</t>
  </si>
  <si>
    <t>E1521</t>
  </si>
  <si>
    <t>Kent Fire Authority</t>
  </si>
  <si>
    <t>E6122</t>
  </si>
  <si>
    <t>Kent</t>
  </si>
  <si>
    <t>E2221</t>
  </si>
  <si>
    <t>Torbay UA</t>
  </si>
  <si>
    <t>Tonbridge &amp; Malling</t>
  </si>
  <si>
    <t>Thurrock UA</t>
  </si>
  <si>
    <t>Gloucestershire</t>
  </si>
  <si>
    <t>E1620</t>
  </si>
  <si>
    <t>Shropshire Fire Authority</t>
  </si>
  <si>
    <t>E6132</t>
  </si>
  <si>
    <t>Telford &amp; Wrekin UA</t>
  </si>
  <si>
    <t>Staffordshire Fire Authority</t>
  </si>
  <si>
    <t>E6134</t>
  </si>
  <si>
    <t>Staffordshire</t>
  </si>
  <si>
    <t>E3421</t>
  </si>
  <si>
    <t>Swindon UA</t>
  </si>
  <si>
    <t>Tyne and Wear Fire</t>
  </si>
  <si>
    <t>E6145</t>
  </si>
  <si>
    <t>Stoke-on-Trent UA</t>
  </si>
  <si>
    <t>Cleveland Fire Authority</t>
  </si>
  <si>
    <t>E6107</t>
  </si>
  <si>
    <t>Stockton-on-Tees UA</t>
  </si>
  <si>
    <t>Southend-on-Sea UA</t>
  </si>
  <si>
    <t>Southampton UA</t>
  </si>
  <si>
    <t>Norfolk</t>
  </si>
  <si>
    <t>E2620</t>
  </si>
  <si>
    <t>Cumbria</t>
  </si>
  <si>
    <t>E0920</t>
  </si>
  <si>
    <t>Avon Fire Authority</t>
  </si>
  <si>
    <t>E6101</t>
  </si>
  <si>
    <t>South Gloucestershire UA</t>
  </si>
  <si>
    <t>Derbyshire Fire Authority</t>
  </si>
  <si>
    <t>E6110</t>
  </si>
  <si>
    <t>Derbyshire</t>
  </si>
  <si>
    <t>E1021</t>
  </si>
  <si>
    <t>Cambridgeshire Fire Authority</t>
  </si>
  <si>
    <t>E6105</t>
  </si>
  <si>
    <t>Cambridgeshire</t>
  </si>
  <si>
    <t>E0521</t>
  </si>
  <si>
    <t>Slough UA</t>
  </si>
  <si>
    <t>South Yorkshire Fire</t>
  </si>
  <si>
    <t>E6144</t>
  </si>
  <si>
    <t>North Yorkshire</t>
  </si>
  <si>
    <t>E2721</t>
  </si>
  <si>
    <t>Leicestershire Fire Authority</t>
  </si>
  <si>
    <t>E6124</t>
  </si>
  <si>
    <t>Rutland UA</t>
  </si>
  <si>
    <t>Nottinghamshire Fire Authority</t>
  </si>
  <si>
    <t>E6130</t>
  </si>
  <si>
    <t>Nottinghamshire</t>
  </si>
  <si>
    <t>E3021</t>
  </si>
  <si>
    <t>Richmond-upon-Thames</t>
  </si>
  <si>
    <t>Reigate &amp; Banstead</t>
  </si>
  <si>
    <t>Redcar &amp; Cleveland UA</t>
  </si>
  <si>
    <t>Reading UA</t>
  </si>
  <si>
    <t>Portsmouth UA</t>
  </si>
  <si>
    <t>Poole UA</t>
  </si>
  <si>
    <t>Plymouth UA</t>
  </si>
  <si>
    <t>Peterborough UA</t>
  </si>
  <si>
    <t>Leicestershire</t>
  </si>
  <si>
    <t>E2421</t>
  </si>
  <si>
    <t>Oadby &amp; Wigston</t>
  </si>
  <si>
    <t>Nuneaton &amp; Bedworth</t>
  </si>
  <si>
    <t>Nottingham UA</t>
  </si>
  <si>
    <t>North Somerset UA</t>
  </si>
  <si>
    <t>Humberside Fire Authority</t>
  </si>
  <si>
    <t>E6120</t>
  </si>
  <si>
    <t>North Lincolnshire UA</t>
  </si>
  <si>
    <t>North East Lincolnshire UA</t>
  </si>
  <si>
    <t>Newark &amp; Sherwood</t>
  </si>
  <si>
    <t>Milton Keynes UA</t>
  </si>
  <si>
    <t>Middlesbrough UA</t>
  </si>
  <si>
    <t>Medway UA</t>
  </si>
  <si>
    <t>Bedfordshire Fire Authority</t>
  </si>
  <si>
    <t>E6102</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</si>
  <si>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</si>
  <si>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</si>
  <si>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</si>
  <si>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</si>
  <si>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</si>
  <si>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</si>
  <si>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</si>
  <si>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</si>
  <si>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</si>
  <si>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</si>
  <si>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</si>
  <si>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</si>
  <si>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</si>
  <si>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</si>
  <si>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E6113</t>
  </si>
  <si>
    <t>Derby UA</t>
  </si>
  <si>
    <t>Darlington UA</t>
  </si>
  <si>
    <t>GLA - functions exc police</t>
  </si>
  <si>
    <t>E51np</t>
  </si>
  <si>
    <t>Cheshire West and Chester UA</t>
  </si>
  <si>
    <t>Bristol UA</t>
  </si>
  <si>
    <t>Brighton &amp; Hove UA</t>
  </si>
  <si>
    <t>Bracknell Forest UA</t>
  </si>
  <si>
    <t>Bournemouth UA</t>
  </si>
  <si>
    <t>Blackpool UA</t>
  </si>
  <si>
    <t>Blackburn with Darwen UA</t>
  </si>
  <si>
    <t>Bath &amp; North East Somerset UA</t>
  </si>
  <si>
    <t>Barking &amp; Dagenham</t>
  </si>
  <si>
    <t>Upper tier = UA, MD or GLA</t>
  </si>
  <si>
    <t>Baseline figures for Designated Areas</t>
  </si>
  <si>
    <t>Energy (Pt 1)</t>
  </si>
  <si>
    <t>5 year spread
value (£)</t>
  </si>
  <si>
    <t>5 year spread</t>
  </si>
  <si>
    <t>Names of Designated Areas</t>
  </si>
  <si>
    <t>Designated Area</t>
  </si>
  <si>
    <t>Sum</t>
  </si>
  <si>
    <t>Final fire proportion</t>
  </si>
  <si>
    <t>Fire</t>
  </si>
  <si>
    <t>Final upper tier</t>
  </si>
  <si>
    <t>Upper tier</t>
  </si>
  <si>
    <t xml:space="preserve"> Billing proportion</t>
  </si>
  <si>
    <t>Billing authority</t>
  </si>
  <si>
    <t>Linking billing authorities with their precepting authorities</t>
  </si>
  <si>
    <t>% of non-domestic rating income to be allocated to each authority</t>
  </si>
  <si>
    <t>15. Sum due to (+) / from (-) authority (line 13 minus line 14)</t>
  </si>
  <si>
    <t>Total
(All BA Area)</t>
  </si>
  <si>
    <t>Total Cost of Reliefs</t>
  </si>
  <si>
    <t>13. Amount deducted from central share and retained by authorities</t>
  </si>
  <si>
    <t>14. Amount deducted/retained (based on NNDR1)</t>
  </si>
  <si>
    <t>PART 4A: TRANSITIONAL PROTECTION PAYMENTS</t>
  </si>
  <si>
    <t xml:space="preserve">6. add: amounts retained in respect of renewable energy schemes </t>
  </si>
  <si>
    <t>7. add: qualifying relief in Enterprise Zones</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</si>
  <si>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</si>
  <si>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</si>
  <si>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</si>
  <si>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</si>
  <si>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</si>
  <si>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</si>
  <si>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</si>
  <si>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</si>
  <si>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</si>
  <si>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</si>
  <si>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</si>
  <si>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</si>
  <si>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</si>
  <si>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</si>
  <si>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12. Line 1 plus line 2, minus lines 3 and 6 - 9</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</si>
  <si>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</si>
  <si>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</si>
  <si>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</si>
  <si>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</si>
  <si>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</si>
  <si>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 xml:space="preserve">Used in </t>
  </si>
  <si>
    <t>In lieu of Transitional Relief</t>
  </si>
  <si>
    <t>33. Sum due to (+) / from (-) authority (line 31 minus line 32)</t>
  </si>
  <si>
    <t>NNDR1 15-16</t>
  </si>
  <si>
    <t>COLLECTION FUND STATEMENT</t>
  </si>
  <si>
    <t>Collection Fund Balance</t>
  </si>
  <si>
    <t xml:space="preserve"> </t>
  </si>
  <si>
    <t>10. adjustments to relief on existing properties where a second property is occupied</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</si>
  <si>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</si>
  <si>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</si>
  <si>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</si>
  <si>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</si>
  <si>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</si>
  <si>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</si>
  <si>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</si>
  <si>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</si>
  <si>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</si>
  <si>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</si>
  <si>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</si>
  <si>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</si>
  <si>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</si>
  <si>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</si>
  <si>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</si>
  <si>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</si>
  <si>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</si>
  <si>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</si>
  <si>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43. Adjustments to amount of relief provided in</t>
  </si>
  <si>
    <t>44. Amount of relief provided in 2015-16</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</si>
  <si>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</si>
  <si>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</si>
  <si>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</si>
  <si>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</si>
  <si>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6. Add: RV list amendments charged against the provision for appeals</t>
  </si>
  <si>
    <t>7. Add/(Less): changes in provision for appeals</t>
  </si>
  <si>
    <t>8. Net Rates payable less accounting adjustments</t>
  </si>
  <si>
    <t>9. Net Rates Payable less accounting adjustments</t>
  </si>
  <si>
    <t>10. Renewable Energy</t>
  </si>
  <si>
    <t xml:space="preserve">11. Transitional Protection Payment </t>
  </si>
  <si>
    <t xml:space="preserve">12. Baseline </t>
  </si>
  <si>
    <t>13. Total Disregarded Amounts</t>
  </si>
  <si>
    <t/>
  </si>
  <si>
    <t>Yes</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</si>
  <si>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</si>
  <si>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</si>
  <si>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</si>
  <si>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</si>
  <si>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</si>
  <si>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</si>
  <si>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</si>
  <si>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</si>
  <si>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</si>
  <si>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</si>
  <si>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</si>
  <si>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</si>
  <si>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</si>
  <si>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</si>
  <si>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</si>
  <si>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</si>
  <si>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</si>
  <si>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</si>
  <si>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</si>
  <si>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</si>
  <si>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</si>
  <si>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</si>
  <si>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</si>
  <si>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</si>
  <si>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</si>
  <si>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</si>
  <si>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</si>
  <si>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</si>
  <si>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</si>
  <si>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</si>
  <si>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</si>
  <si>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</si>
  <si>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</si>
  <si>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</si>
  <si>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</si>
  <si>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</si>
  <si>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</si>
  <si>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</si>
  <si>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</si>
  <si>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</si>
  <si>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</si>
  <si>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</si>
  <si>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</si>
  <si>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</si>
  <si>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</si>
  <si>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</si>
  <si>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</si>
  <si>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</si>
  <si>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</si>
  <si>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</si>
  <si>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</si>
  <si>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</si>
  <si>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</si>
  <si>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</si>
  <si>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</si>
  <si>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</si>
  <si>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</si>
  <si>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</si>
  <si>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</si>
  <si>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provision for appeals</t>
  </si>
  <si>
    <t>Changes in provision for appeals</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</si>
  <si>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</si>
  <si>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</si>
  <si>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</si>
  <si>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</si>
  <si>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</si>
  <si>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</si>
  <si>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</si>
  <si>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</si>
  <si>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</si>
  <si>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</si>
  <si>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</si>
  <si>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</si>
  <si>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on existing properties where a 2nd property is occupied</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</si>
  <si>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</si>
  <si>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</si>
  <si>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</si>
  <si>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</si>
  <si>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</si>
  <si>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</si>
  <si>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</si>
  <si>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</si>
  <si>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</si>
  <si>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</si>
  <si>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</si>
  <si>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</si>
  <si>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</si>
  <si>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</si>
  <si>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</si>
  <si>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</si>
  <si>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</si>
  <si>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</si>
  <si>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</si>
  <si>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</si>
  <si>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</si>
  <si>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</si>
  <si>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</si>
  <si>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</si>
  <si>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</si>
  <si>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</si>
  <si>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</si>
  <si>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</si>
  <si>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</si>
  <si>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</si>
  <si>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</si>
  <si>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</si>
  <si>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</si>
  <si>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</si>
  <si>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</si>
  <si>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</si>
  <si>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</si>
  <si>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</si>
  <si>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</si>
  <si>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 xml:space="preserve">"New Empty" properties -  Sum due to (+) - from (-) authority </t>
  </si>
  <si>
    <t xml:space="preserve">"Long term empty" properties -  Sum due to (+) - from (-) authority </t>
  </si>
  <si>
    <t>Flooding Relief -  Amount provisionally paid (based on grant determination)</t>
  </si>
  <si>
    <t xml:space="preserve">Flooding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</si>
  <si>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</si>
  <si>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</si>
  <si>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</si>
  <si>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</si>
  <si>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</si>
  <si>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</si>
  <si>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</si>
  <si>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</si>
  <si>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</si>
  <si>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Provision for appeals -  Amounts charged to provision</t>
  </si>
  <si>
    <t>Provision for appeals -  Change in provision (charged to Collection Fund)</t>
  </si>
  <si>
    <t>Collection Fund Balance -  Prior-year surplus-deficit included in closing balance</t>
  </si>
  <si>
    <t>Collection Fund Balance -  In-year surplus-deficit</t>
  </si>
  <si>
    <t>England</t>
  </si>
  <si>
    <t>7. City of London offset</t>
  </si>
  <si>
    <t>County (if applicable)</t>
  </si>
  <si>
    <t>Fire Authority</t>
  </si>
  <si>
    <t>Designated Area 1 (if applicable)</t>
  </si>
  <si>
    <t>Designated Area 2 (if applicable)</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</si>
  <si>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</si>
  <si>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</si>
  <si>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</si>
  <si>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</si>
  <si>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</si>
  <si>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</si>
  <si>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</si>
  <si>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</si>
  <si>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</si>
  <si>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</si>
  <si>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</si>
  <si>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</si>
  <si>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</si>
  <si>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</si>
  <si>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</si>
  <si>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</si>
  <si>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</si>
  <si>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</si>
  <si>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</si>
  <si>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</si>
  <si>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</si>
  <si>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</si>
  <si>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</si>
  <si>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</si>
  <si>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Authorities complete data cells for the amount of relief they have awarded, including amounts of small business rate relief, “new empty” and “long-term empty” property relief, retail relief and flooding relief which will be used to calculate the section 31 payments due to/from the authority. It also allows authorities to reconcile figures for “gross rates payable” and “reliefs” to the net rates payable figure in Part 2.</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</si>
  <si>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</si>
  <si>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</si>
  <si>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</si>
  <si>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</si>
  <si>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</si>
  <si>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</si>
  <si>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In lieu of Transitional Relief -  Adjustments to amount of relief provided in espect of previous years</t>
  </si>
  <si>
    <t>Hardshop Relief -  Amount of relief provided in 2016-17</t>
  </si>
  <si>
    <t>44. Adjustments to amount of relief provided in</t>
  </si>
  <si>
    <t>46. Adjustments to amount of relief provided in</t>
  </si>
  <si>
    <t xml:space="preserve"> Multiplier Cap -  Amount provisionally paid</t>
  </si>
  <si>
    <t xml:space="preserve">Multiplier Cap -  Sum due to (+) - from (-) billing authority </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</si>
  <si>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</si>
  <si>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</si>
  <si>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</si>
  <si>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</si>
  <si>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</si>
  <si>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</si>
  <si>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</si>
  <si>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</si>
  <si>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</si>
  <si>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</si>
  <si>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</si>
  <si>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</si>
  <si>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</si>
  <si>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</si>
  <si>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</si>
  <si>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</si>
  <si>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</si>
  <si>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</si>
  <si>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</si>
  <si>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</si>
  <si>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</si>
  <si>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</si>
  <si>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</si>
  <si>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</si>
  <si>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</si>
  <si>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</si>
  <si>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</si>
  <si>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</si>
  <si>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</si>
  <si>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</si>
  <si>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</si>
  <si>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</si>
  <si>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</si>
  <si>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</si>
  <si>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</si>
  <si>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</si>
  <si>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</si>
  <si>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</si>
  <si>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</si>
  <si>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</si>
  <si>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</si>
  <si>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</si>
  <si>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</si>
  <si>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</si>
  <si>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</si>
  <si>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</si>
  <si>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</si>
  <si>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</si>
  <si>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</si>
  <si>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</si>
  <si>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</si>
  <si>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</si>
  <si>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</si>
  <si>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</si>
  <si>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</si>
  <si>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</si>
  <si>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</si>
  <si>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</si>
  <si>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</si>
  <si>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</si>
  <si>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</si>
  <si>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</si>
  <si>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</si>
  <si>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</si>
  <si>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</si>
  <si>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</si>
  <si>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</si>
  <si>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</si>
  <si>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</si>
  <si>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</si>
  <si>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</si>
  <si>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</si>
  <si>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</si>
  <si>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</si>
  <si>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</si>
  <si>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</si>
  <si>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</si>
  <si>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</si>
  <si>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</si>
  <si>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</si>
  <si>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</si>
  <si>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</si>
  <si>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</si>
  <si>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</si>
  <si>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</si>
  <si>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</si>
  <si>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</si>
  <si>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</si>
  <si>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</si>
  <si>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</si>
  <si>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</si>
  <si>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</si>
  <si>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</si>
  <si>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</si>
  <si>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</si>
  <si>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</si>
  <si>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</si>
  <si>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E3534EZ2</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</si>
  <si>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</si>
  <si>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</si>
  <si>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</si>
  <si>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</si>
  <si>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</si>
  <si>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</si>
  <si>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</si>
  <si>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</si>
  <si>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</si>
  <si>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</si>
  <si>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</si>
  <si>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</si>
  <si>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</si>
  <si>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</si>
  <si>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</si>
  <si>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</si>
  <si>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</si>
  <si>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</si>
  <si>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</si>
  <si>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</si>
  <si>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</si>
  <si>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</si>
  <si>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</si>
  <si>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</si>
  <si>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</si>
  <si>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</si>
  <si>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</si>
  <si>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</si>
  <si>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</si>
  <si>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</si>
  <si>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</si>
  <si>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</si>
  <si>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</si>
  <si>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</si>
  <si>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</si>
  <si>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</si>
  <si>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</si>
  <si>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</si>
  <si>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</si>
  <si>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</si>
  <si>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</si>
  <si>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</si>
  <si>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</si>
  <si>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</si>
  <si>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</si>
  <si>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</si>
  <si>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</si>
  <si>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</si>
  <si>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</si>
  <si>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</si>
  <si>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</si>
  <si>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</si>
  <si>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</si>
  <si>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</si>
  <si>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</si>
  <si>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</si>
  <si>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</si>
  <si>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</si>
  <si>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</si>
  <si>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</si>
  <si>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</si>
  <si>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</si>
  <si>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</si>
  <si>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</si>
  <si>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</si>
  <si>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</si>
  <si>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</si>
  <si>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</si>
  <si>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</si>
  <si>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</si>
  <si>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</si>
  <si>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</si>
  <si>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Part 2 Individual Designated Area data for each local authority</t>
  </si>
  <si>
    <t>ENTERPRISE ZONES IN 100% PILOT AREAS</t>
  </si>
  <si>
    <t>14. Enterprise Zone Qualifying Relief (S31 grants in 100% pilot areas)</t>
  </si>
  <si>
    <t>DEDUCTIONS FROM CENTRAL SHARE</t>
  </si>
  <si>
    <t>15. Enterprise Zone Qualifying Relief (Deduction from Central Share)</t>
  </si>
  <si>
    <t>GROWTH PILOT AREAS</t>
  </si>
  <si>
    <t>PORT OF BRISTOL</t>
  </si>
  <si>
    <t>20. Total Deductions</t>
  </si>
  <si>
    <t>21. Sums outstanding from ratepayers (debtors)</t>
  </si>
  <si>
    <t>22. Sums owed to ratepayers</t>
  </si>
  <si>
    <t xml:space="preserve"> 2017-18</t>
  </si>
  <si>
    <t>47. Adjustments to amount of relief provided in</t>
  </si>
  <si>
    <t>48. Amount of relief provided in 2017-18</t>
  </si>
  <si>
    <t>Local Newspaper Temporary Relief</t>
  </si>
  <si>
    <t>49. Amount of relief provided in 2017-18</t>
  </si>
  <si>
    <t>Supporting Small Business Relief</t>
  </si>
  <si>
    <t>50. Amount of relief provided in 2017-18</t>
  </si>
  <si>
    <t>Discretionary Scheme Relief</t>
  </si>
  <si>
    <t>51. Amount of relief provided in 2017-18</t>
  </si>
  <si>
    <t>= threshold value</t>
  </si>
  <si>
    <t>Pub Relief (where RV is less than £100,000)</t>
  </si>
  <si>
    <t>52. Amount of relief provided in 2017-18</t>
  </si>
  <si>
    <t>53. TOTAL DISCRETIONARY RELIEF (FUNDED S.31)</t>
  </si>
  <si>
    <t>54. Amount of relief provided in 2017-18</t>
  </si>
  <si>
    <t>55. Adjustments to amount of relief provided in respect of previous years</t>
  </si>
  <si>
    <t>56. TOTAL HARDSHIP RELIEF</t>
  </si>
  <si>
    <t>Qualifying relief in Enterprise Zones in non 100% Pilot areas</t>
  </si>
  <si>
    <r>
      <t xml:space="preserve">Retained Growth in Additional Growth Pilot Areas </t>
    </r>
    <r>
      <rPr>
        <b/>
        <i/>
        <sz val="12"/>
        <rFont val="Arial"/>
        <family val="2"/>
      </rPr>
      <t>(for Cambridgeshire authorities &amp; Cheshire East)</t>
    </r>
  </si>
  <si>
    <t>16. Additional Growth to be retained by authorities</t>
  </si>
  <si>
    <t>17.Amount deducted/retained (based on NNDR1)</t>
  </si>
  <si>
    <t>Port of Bristol</t>
  </si>
  <si>
    <t>19. Amount deducted from central share and retained by North Somerset</t>
  </si>
  <si>
    <t>20. Amount deducted/retained (based on NNDR1)</t>
  </si>
  <si>
    <t xml:space="preserve">35. Amount due to authority in 2017-18 </t>
  </si>
  <si>
    <t xml:space="preserve">31. Amount due to authority in 2017-18 </t>
  </si>
  <si>
    <t>28. Amount due to authority in 2017-18</t>
  </si>
  <si>
    <t>25. Amount due to authority in 2017-18</t>
  </si>
  <si>
    <t>36. Amount provisionally paid (based on grant determination)</t>
  </si>
  <si>
    <t>37. Sum due to (+) / from (-) authority (line 31 minus line 32)</t>
  </si>
  <si>
    <t>34. Amount due to authority in 2017-18 in respect of previous years</t>
  </si>
  <si>
    <t>38. Amount due to authority in 2017-18 in respect of previous years</t>
  </si>
  <si>
    <t xml:space="preserve">39. Amount due to authority in 2017-18 </t>
  </si>
  <si>
    <t>40. Amount provisionally paid (based on NNDR1 2017-18 [Part 1C])</t>
  </si>
  <si>
    <t>41. Sum due to (+) / from (-) authority (line 39 minus line 40)</t>
  </si>
  <si>
    <t>Local newspaper temporary relief</t>
  </si>
  <si>
    <t xml:space="preserve">42. Amount due to authority in 2017-18 </t>
  </si>
  <si>
    <t>43. Amount provisionally paid (based on NNDR1 2017-18 [Part 1C])</t>
  </si>
  <si>
    <t>44. Sum due to (+) / from (-) authority (line 42 minus line 43)</t>
  </si>
  <si>
    <t>Supporting small businesses relief</t>
  </si>
  <si>
    <t xml:space="preserve">45. Amount due to authority in 2017-18 </t>
  </si>
  <si>
    <t>46. Amount provisionally paid in respect of 2017-18 (based on grant determination)</t>
  </si>
  <si>
    <t>47. Sum due to (+) / from (-) authority (line 45 minus line 46)</t>
  </si>
  <si>
    <t>Discretionary scheme relief</t>
  </si>
  <si>
    <r>
      <t>48. Amount due</t>
    </r>
    <r>
      <rPr>
        <b/>
        <sz val="12"/>
        <rFont val="Arial"/>
        <family val="2"/>
      </rPr>
      <t xml:space="preserve"> </t>
    </r>
    <r>
      <rPr>
        <sz val="12"/>
        <rFont val="Arial"/>
        <family val="2"/>
      </rPr>
      <t xml:space="preserve">to authority in 2017-18 </t>
    </r>
  </si>
  <si>
    <t>49. Amount provisionally paid in respect of 2017-18 (based on grant determination)</t>
  </si>
  <si>
    <t>50. Sum due to (+) / from (-) authority (line 48 minus line 49)</t>
  </si>
  <si>
    <t xml:space="preserve">51. Amount due to authority in 2017-18 </t>
  </si>
  <si>
    <t>52. Amount provisionally paid in respect of 2017-18 (based on grant determination)</t>
  </si>
  <si>
    <t>53. Sum due to (+) / from (-) authority (line 51 minus line 52)</t>
  </si>
  <si>
    <t>2017-18 Multiplier Cap</t>
  </si>
  <si>
    <t xml:space="preserve">54. Amount due to authority in 2017-18 </t>
  </si>
  <si>
    <t>55. Amount provisionally paid (based on NNDR1 2017-18 [Part 1C])</t>
  </si>
  <si>
    <t>56. Sum due to (+) / from (-) billing authority (line 54 minus line 55)</t>
  </si>
  <si>
    <t>Enterprise zones relief granted in 100% Pilot areas</t>
  </si>
  <si>
    <t xml:space="preserve">57. Amount due to authority in 2017-18 </t>
  </si>
  <si>
    <t>58. Amount provisionally paid (based on NNDR1 2017-18 [Part 1C])</t>
  </si>
  <si>
    <t>59. Sum due to (+) / from (-) billing authority (line 57 minus line 58)</t>
  </si>
  <si>
    <r>
      <t xml:space="preserve">Additional Growth Pilot Areas </t>
    </r>
    <r>
      <rPr>
        <b/>
        <i/>
        <sz val="12"/>
        <rFont val="Arial"/>
        <family val="2"/>
      </rPr>
      <t>(S31 payment for Tees Valley authorities)</t>
    </r>
  </si>
  <si>
    <t>60. Non Domestic Rating Income</t>
  </si>
  <si>
    <t>61.Growth Baseline</t>
  </si>
  <si>
    <t>62. Additional Growth in Growth Pilot Area</t>
  </si>
  <si>
    <t>SECTION 31 GRANTS TOTAL</t>
  </si>
  <si>
    <t>63. Total Amount due to authority</t>
  </si>
  <si>
    <t>27. Sum due to (+) / from (-) authority (line 25 minus line 26)</t>
  </si>
  <si>
    <t>30. Sum due to (+) / from (-) authority (line 28 minus line 29)</t>
  </si>
  <si>
    <t>32. Amount provisionally paid (based on NNDR1 2017-18 [Part 1C])</t>
  </si>
  <si>
    <t>29. Amount provisionally paid (based on NNDR1 2017-18 [Part 1C])</t>
  </si>
  <si>
    <t>26. Amount provisionally paid (based on NNDR1 2017-18 [Part 1C])</t>
  </si>
  <si>
    <t>10. Amount to be retained by authority in 2017-18</t>
  </si>
  <si>
    <t>7. Amount to be retained by billing authority in 2017-18</t>
  </si>
  <si>
    <t>4. Amount to be retained by billing authority in 2017-18</t>
  </si>
  <si>
    <t>1. Transitional protection payment due to (+) / from (-) the authority for 2017-18</t>
  </si>
  <si>
    <t>2. Payment on account received by authority (+), or paid by the authority (-) (based on NNDR1 2017-18)</t>
  </si>
  <si>
    <t>1. Revenue foregone in respect of 2017-18 liability</t>
  </si>
  <si>
    <t>3. Additional income received in respect of 2017-18 liability</t>
  </si>
  <si>
    <t>6. Amount of relief provided in 2017-18</t>
  </si>
  <si>
    <t>9. adjustments in respect of 2013-14 to 2016-17</t>
  </si>
  <si>
    <t>11. Additional yield from the small business supplement in 2017-18</t>
  </si>
  <si>
    <t>13. Amount of relief provided in 2017-18</t>
  </si>
  <si>
    <t>15. Amount of relief provided in 2017-18</t>
  </si>
  <si>
    <t>17. Amount of relief provided in 2017-18</t>
  </si>
  <si>
    <t>20. Amount of relief provided in 2017-18</t>
  </si>
  <si>
    <t>22. Amount of relief provided in 2017-18</t>
  </si>
  <si>
    <t>25. Amount of relief provided in 2017-18</t>
  </si>
  <si>
    <t>27. Amount of relief provided in 2017-18</t>
  </si>
  <si>
    <t>29. Amount of relief provided in 2017-18</t>
  </si>
  <si>
    <t>31. Amount of relief provided in 2017-18</t>
  </si>
  <si>
    <t>33. Amount of relief provided in 2017-18</t>
  </si>
  <si>
    <t>35. Amount of relief provided in 2017-18</t>
  </si>
  <si>
    <t>40. Amount of relief provided in 2017-18</t>
  </si>
  <si>
    <t>42. Amount of relief provided in 2017-18</t>
  </si>
  <si>
    <t>45. Amount of "Flooding relief" provided in 2017-18</t>
  </si>
  <si>
    <t>Non-Domestic Rating Income for 2017-18</t>
  </si>
  <si>
    <t>Other Income for 2017-18</t>
  </si>
  <si>
    <t>10. add: Section 31 grants</t>
  </si>
  <si>
    <t>11. Sums outstanding from ratepayers</t>
  </si>
  <si>
    <t>12. Sums outstanding owed to ratepayers</t>
  </si>
  <si>
    <t>13. Opening balance as at 1 April 2017</t>
  </si>
  <si>
    <t>14. Amounts charged to allowances</t>
  </si>
  <si>
    <t>15. Change in allowance (charged to Collection Fund)</t>
  </si>
  <si>
    <t>16. Closing balance on 31 March 2018</t>
  </si>
  <si>
    <t>17. Opening balance as at 1 April 2017</t>
  </si>
  <si>
    <t>18. Amounts charged to provision</t>
  </si>
  <si>
    <t>19. Change in provision (charged to Collection Fund)</t>
  </si>
  <si>
    <t>20. Closing balance on 31 March 2018</t>
  </si>
  <si>
    <t>21. Opening balance on 1 April 2017 (surplus(+)/deficit(-))</t>
  </si>
  <si>
    <t>22.  Estimated Surplus(+)/Deficit(-) Payable in 2017-18</t>
  </si>
  <si>
    <t>23.  Prior-year surplus(+)/deficit(-) included in closing balance (line 18 minus line 19)</t>
  </si>
  <si>
    <t>24. Estimated non-domestic income 2017-18</t>
  </si>
  <si>
    <t>25. Actual non-domestic rating income 2017-18</t>
  </si>
  <si>
    <t>26. In-year surplus(+)/deficit(-) (line 22 minus line 21)</t>
  </si>
  <si>
    <t>27. Closing balance at 31 March 2018 (surplus(+)/deficit(-))</t>
  </si>
  <si>
    <t>16. Non domestic rating income (for the purpose of additional growth calculations</t>
  </si>
  <si>
    <t>17. Growth baseline</t>
  </si>
  <si>
    <t>19. In respect of Port of Bristol</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</si>
  <si>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</si>
  <si>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</si>
  <si>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</si>
  <si>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</si>
  <si>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</si>
  <si>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</si>
  <si>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</si>
  <si>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Transitional Arrangements -  Revenue foregone in respect of 2017-18 liability</t>
  </si>
  <si>
    <t>Transitional Arrangements -  Additional income received in respect of 2017-18 liability</t>
  </si>
  <si>
    <t>Small Business Rate Relief -  Amount of relief provided in 2017-18</t>
  </si>
  <si>
    <t>Small Business Rate Relief -  Amount of which -  adjustments in respect of 2013-14 to 2016-17</t>
  </si>
  <si>
    <t>Small Business Rate Relief -  Additional yield from the small business supplement in 2017-18</t>
  </si>
  <si>
    <t>Charitable occupation -  Amount of relief provided in 2017-18</t>
  </si>
  <si>
    <t>Community Amateur Sports Clubs (CASCs) -  Amount of relief provided in 2017-18</t>
  </si>
  <si>
    <t>Rural rate relief -  Amount of relief provided in 2017-18</t>
  </si>
  <si>
    <t>Partially occupied hereditaments -  Amount of relief provided in 2017-18</t>
  </si>
  <si>
    <t>Empty premises -  Amount of relief provided in 2017-18</t>
  </si>
  <si>
    <t>Charitable occupation; Amount of relief provided in 2017-18</t>
  </si>
  <si>
    <t>Non-profit making bodies -  Amount of relief provided in 2017-18</t>
  </si>
  <si>
    <t>Rural shops etc -  Amount of relief provided in 2017-18</t>
  </si>
  <si>
    <t>Small rural businesses -  Amount of relief provided in 2017-18</t>
  </si>
  <si>
    <t>Other ratepayers -  Amount of relief provided in 2017-18</t>
  </si>
  <si>
    <t>Retail Relief -  Adjustments to relief provided in respect of previous years</t>
  </si>
  <si>
    <t>"New Empty" properties -  Amount of relief provided in 2017-18</t>
  </si>
  <si>
    <t>"Long-term empty" properties -  Amount of relief provided in 2017-18</t>
  </si>
  <si>
    <t>Flooding relief -  Amount of relief provided in 2017-18</t>
  </si>
  <si>
    <t>Rural Rate relief -  Amount of relief provided in 2017-18</t>
  </si>
  <si>
    <t>Local Newspaper Temporary Relief - Amount of relief provided in 2017-18</t>
  </si>
  <si>
    <t>Supporting Small Business Relief - Amount of relief in 2017-18</t>
  </si>
  <si>
    <t>Discretionary Scheme Relief - Amount of relief provided in 2017-18</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</si>
  <si>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</si>
  <si>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</si>
  <si>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</si>
  <si>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</si>
  <si>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</si>
  <si>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</si>
  <si>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</si>
  <si>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</si>
  <si>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</si>
  <si>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</si>
  <si>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</si>
  <si>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</si>
  <si>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</si>
  <si>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</si>
  <si>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</si>
  <si>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</si>
  <si>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</si>
  <si>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</si>
  <si>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</si>
  <si>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</si>
  <si>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</si>
  <si>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</si>
  <si>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</si>
  <si>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</si>
  <si>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</si>
  <si>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</si>
  <si>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</si>
  <si>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</si>
  <si>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</si>
  <si>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</si>
  <si>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</si>
  <si>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</si>
  <si>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</si>
  <si>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</si>
  <si>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</si>
  <si>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</si>
  <si>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</si>
  <si>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</si>
  <si>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</si>
  <si>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</si>
  <si>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</si>
  <si>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</si>
  <si>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</si>
  <si>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</si>
  <si>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</si>
  <si>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</si>
  <si>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</si>
  <si>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</si>
  <si>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</si>
  <si>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</si>
  <si>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</si>
  <si>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</si>
  <si>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</si>
  <si>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</si>
  <si>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</si>
  <si>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</si>
  <si>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</si>
  <si>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</si>
  <si>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</si>
  <si>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</si>
  <si>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</si>
  <si>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</si>
  <si>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E1236EZ1</t>
  </si>
  <si>
    <t>E3636EZ1</t>
  </si>
  <si>
    <t>E3332EZ1</t>
  </si>
  <si>
    <t>E4504EZ1</t>
  </si>
  <si>
    <t>E4504EZ2</t>
  </si>
  <si>
    <t>E1936EZ1</t>
  </si>
  <si>
    <t>E1936EZ2</t>
  </si>
  <si>
    <t>E1936EZ3</t>
  </si>
  <si>
    <t>E4207EZ1</t>
  </si>
  <si>
    <t>E4505EZ2</t>
  </si>
  <si>
    <t>E4505EZ3</t>
  </si>
  <si>
    <t>E2243EZ1</t>
  </si>
  <si>
    <t>E4705EZ1</t>
  </si>
  <si>
    <t>E4705EZ2</t>
  </si>
  <si>
    <t>E3537EZ2</t>
  </si>
  <si>
    <t>E3537EZ3</t>
  </si>
  <si>
    <t>E2701EZ1</t>
  </si>
  <si>
    <t>Qualifying relief in Enterprise Zones in non 100% Pilot Areas-  Amount deducted from central share and retained by authorities</t>
  </si>
  <si>
    <t xml:space="preserve">Qualifying relief in Enterprise Zones in non 100% Pilot Areas -  Amount deducted-retained </t>
  </si>
  <si>
    <t>Qualifying relief in Enterprise Zones in non 100% Pilot Areas -  Sum due to (+) - from (-) authority</t>
  </si>
  <si>
    <t>Transitional protection payments due to (+) - from (-) the authority for 2017-18</t>
  </si>
  <si>
    <t>Transitional protection payments -  Payment on account received by authority (+), or paid by the authority (-) (based on NNDR1 2017-18)</t>
  </si>
  <si>
    <t>Cost of collection -  Amount to be retained by billing authority in 2017-18</t>
  </si>
  <si>
    <t>Designated Areas -  Amount to be retained by billing authority in 2017-18</t>
  </si>
  <si>
    <t>Renewable Energy Schemes -  Amount to be retained by authority in 2017-18</t>
  </si>
  <si>
    <t>Retail Relief -  Amount due to authority in 2017-18 in respect of adjustment to previous years</t>
  </si>
  <si>
    <t>Retained Growth in Additional Growth Pilot Areas (for Cambridgeshire authorities &amp; Cheshire East) - Additional growth retained</t>
  </si>
  <si>
    <t>Retained Growth in Additional Growth Pilot Areas (for Cambridgeshire authorities &amp; Cheshire East) based on NNDR1</t>
  </si>
  <si>
    <t>Retained Growth in Additional Growth Pilot Areas (for Cambridgeshire authorities &amp; Cheshire East) Sum due to (+) - from (-) authority</t>
  </si>
  <si>
    <t>Port of Bristol - Amount deducted/reatined by North Somerset</t>
  </si>
  <si>
    <t>Port of Bristol - Amount deducted/retained based on NNDR1</t>
  </si>
  <si>
    <t>Port of Bristol - Sum due to (+) / from (-) authority</t>
  </si>
  <si>
    <t>In lieu of Transitional Relief -  Amount due to billing authority in 2017-18 in respect of previous years</t>
  </si>
  <si>
    <t>Flooding Relief -  Amount due to authority in 2017-18</t>
  </si>
  <si>
    <t>"Long term empty" properties -  Amount due to authority in 2017-18</t>
  </si>
  <si>
    <t xml:space="preserve">"New Empty" properties -  Amount due to authority in 2017-18 </t>
  </si>
  <si>
    <t>Small Business Rates Relief on existing property where 2nd property is occupied -  Amount due to authority in 2017-18</t>
  </si>
  <si>
    <t>Rural rate relief - Amount due to authority in 2017-18</t>
  </si>
  <si>
    <t>Small Business Rates Relief scheme -  Amount provisionally paid (based on NNDR1)</t>
  </si>
  <si>
    <t>"New Empty" properties -  Amount provisionally paid (based on NNDR1)</t>
  </si>
  <si>
    <t xml:space="preserve">"Long term empty" properties -  Amount provisionally paid (based on NNDR1) </t>
  </si>
  <si>
    <t>Rural rate relief - Amount provisional paid (based on NNDR1)</t>
  </si>
  <si>
    <t xml:space="preserve">Rural rate relief - Sum due to (+) - from (-) authority </t>
  </si>
  <si>
    <t>Local Newspaper temporary relief - Amount due to authority in 2017-18</t>
  </si>
  <si>
    <t>Supporting Small Businesses relief - Amount due to authority in 2017-18</t>
  </si>
  <si>
    <t>Local Newspaper temporary relief - Amount provisional paid (based on NNDR1)</t>
  </si>
  <si>
    <t xml:space="preserve">Local Newspaper temporary relief - Sum due to (+) - from (-) authority </t>
  </si>
  <si>
    <t xml:space="preserve">Supporting Small Businesses relief - Sum due to (+) - from (-) authority </t>
  </si>
  <si>
    <t>Discretionary Scheme relief - Amount due to authority in 2017-18</t>
  </si>
  <si>
    <t xml:space="preserve">Discretionary Scheme relief - Sum due to (+) - from (-) authority </t>
  </si>
  <si>
    <t>Discretionary Scheme relief - Amount provisional paid (based on Grant Determination)</t>
  </si>
  <si>
    <t>Supporting Small Businesses relief - Amount provisional paid (based on Grant Determination)</t>
  </si>
  <si>
    <t>Pub (&lt;100k RV) relief - Amount provisional paid (based on Grant Determination)</t>
  </si>
  <si>
    <t xml:space="preserve">Pub (&lt;100k RV) relief - Sum due to (+) - from (-) authority </t>
  </si>
  <si>
    <t>Pub (&lt;100k RV)  relief - Amount due to authority in 2017-18</t>
  </si>
  <si>
    <t>Multiplier Cap -  Amount due to authority in 2017-18</t>
  </si>
  <si>
    <t>Enterprise zones relief granted in 100% Pilot areas - Amount due to authority in 2017-18</t>
  </si>
  <si>
    <t>Enterprise zones relief granted in 100% Pilot areas - Amount provisionally paid (based on NNDR1)</t>
  </si>
  <si>
    <t xml:space="preserve">Enterprise zones relief granted in 100% Pilot areas - Sum due to (+) - from (-) billing authority </t>
  </si>
  <si>
    <t>Section 31 Grants Total - Amount due to authority in 2017-18</t>
  </si>
  <si>
    <t>Additional Growth Pilot Areas (Tees Valley) - NNDR Income</t>
  </si>
  <si>
    <t>Additional Growth Pilot Areas (Tees Valley) - Growth baseline</t>
  </si>
  <si>
    <t>Additional Growth Pilot Areas (Tees Valley) - Additional Growth</t>
  </si>
  <si>
    <t>additional growth pilot areas</t>
  </si>
  <si>
    <t>port of bristol</t>
  </si>
  <si>
    <t>Section 31 Grant Total</t>
  </si>
  <si>
    <t>Allowance for non-collection -  Opening balance as at 1 April 2017</t>
  </si>
  <si>
    <t>Allowance for non-collection -  Closing balance on 31 March 2018</t>
  </si>
  <si>
    <t>Provision for appeals -  Closing balance on 31 March 2018</t>
  </si>
  <si>
    <t>Provision for appeals -  Opening balance as at 1 April 2017</t>
  </si>
  <si>
    <t>Collection Fund Balance -  Closing balance at 31 March 2018</t>
  </si>
  <si>
    <t>Collection Fund Balance -  Estimated non-domestic income 2017-18</t>
  </si>
  <si>
    <t>Collection Fund Balance -  Actual non-domestic rating income 2017-18</t>
  </si>
  <si>
    <t>Collection Fund Balance -  Estimated Surplus-Deficit Payable in 2017-18</t>
  </si>
  <si>
    <t>Collection Fund Balance -  Opening balance on 1 April 2017</t>
  </si>
  <si>
    <t>Total Non-Domestic Rating Income for 2017-18</t>
  </si>
  <si>
    <t>Additional Growth in 'Growth Pilot' Area</t>
  </si>
  <si>
    <t>22a. Amount due to authority in 2017-18 due to the changes in SBRR thresholds</t>
  </si>
  <si>
    <t>22b. Amount due to authority in 2017-18 due to the changes in SB multiplier thresholds</t>
  </si>
  <si>
    <t>22. Amount due to authority in 2017-18 on NNDR3</t>
  </si>
  <si>
    <t>Small Business Rates Relief scheme -  Amount due to authority in 2017-18 due to changes in thresholds</t>
  </si>
  <si>
    <t>22a</t>
  </si>
  <si>
    <t>Small Business Rates Relief scheme -  Amount due to authority in 2017-18 due to chanes in multiplier thresholds</t>
  </si>
  <si>
    <t>22b</t>
  </si>
  <si>
    <t>Small Business Rates Relief scheme -  Amount due to authority in 2017-18 as a result of doubling SBRR on NNDR3</t>
  </si>
  <si>
    <t>24. Sum due to (+) / from (-) authority (line 22a plus line 22b minus line 23)</t>
  </si>
  <si>
    <t xml:space="preserve">Definitions and uses of the data are described in the 2017-18 NNDR3 Statistical Release  on the Department’s website </t>
  </si>
  <si>
    <t>Additional SBRR data collection exercise for Section 31 Grant calculations</t>
  </si>
  <si>
    <t>23. Amount provisionally paid (based on NNDR1 2017-18 [Part 1C] &amp; in-year provision)</t>
  </si>
  <si>
    <t>…</t>
  </si>
  <si>
    <t xml:space="preserve">All 326 billing authorities in England completed the NNDR3 form to show their outturn figures for national non-domestic rates that they collected in 2017-18. Figures are subjected to rigorous pre-defined validation tests both within the form itself, while the form is being completed by the authority and also by MHCLG as the data are received and stored.  </t>
  </si>
  <si>
    <t>For enquiries about these data please contact: nndr.statistics@communities.gov.uk</t>
  </si>
  <si>
    <r>
      <rPr>
        <b/>
        <sz val="10"/>
        <rFont val="Arial"/>
        <family val="2"/>
      </rPr>
      <t>Next update</t>
    </r>
    <r>
      <rPr>
        <sz val="10"/>
        <rFont val="Arial"/>
        <family val="2"/>
      </rPr>
      <t>:  2018-19 NNDR3 data November 2019</t>
    </r>
  </si>
  <si>
    <t>Authorities complete data cells for the net rates payable by ratepayers in 2017-18 after taking account of any reliefs awarded and accounting adjustments for bad debts and appeal provisions. It leads to figures for collectible rates and disregarded amounts for the year.</t>
  </si>
  <si>
    <t>Data from this workbook have been used to compile a revised version Statistics Release "National non-domestic rates collected by local authorities in England 2017-18". This was initially published on 21 November 2018 and the revised version published on 22 January 2019. This is available on the Department’s website at</t>
  </si>
  <si>
    <t>(R)</t>
  </si>
  <si>
    <t>(P)</t>
  </si>
  <si>
    <r>
      <t xml:space="preserve">Published: </t>
    </r>
    <r>
      <rPr>
        <sz val="10"/>
        <rFont val="Arial"/>
        <family val="2"/>
      </rPr>
      <t>21 November 2018 updated 14 December 2018, 22 January 2019</t>
    </r>
    <r>
      <rPr>
        <b/>
        <sz val="10"/>
        <rFont val="Arial"/>
        <family val="2"/>
      </rPr>
      <t>,</t>
    </r>
    <r>
      <rPr>
        <b/>
        <sz val="10"/>
        <color rgb="FFFF0000"/>
        <rFont val="Arial"/>
        <family val="2"/>
      </rPr>
      <t xml:space="preserve"> </t>
    </r>
    <r>
      <rPr>
        <sz val="10"/>
        <rFont val="Arial"/>
        <family val="2"/>
      </rPr>
      <t>26 October 2020</t>
    </r>
  </si>
  <si>
    <t>This workbook provides the detailed information on the Business Rates Income for 2017-18 that local authorities have reported through the NNDR3 form to the Minsitry of Housing, Communities and Local Government. Local authorities use this information in order to complete their draft accounts that are then subject to local audit. For most authorities the information in this workbook has been received after the audit has been completed. There are 3 authorities where the audit has not been finalised. For those provisional unaudited data has been used although in most cases no change is expected. SBRR S31 data has been collected through a separate form issued to LAs on 31 October. This exercise was completed early this year - this element was initially revised on 14 December 2018 prior to the issue of the 2019-20 NNDR1 form and again on 22 January 2019.</t>
  </si>
  <si>
    <t>DA Name</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</si>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</sst>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93"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sz val="11"/>
      <color rgb="FFFF0000"/>
      <name val="Calibri"/>
      <family val="2"/>
    </font>
    <font>
      <b/>
      <sz val="12"/>
      <color indexed="19"/>
      <name val="Calibri"/>
      <family val="2"/>
    </font>
    <font>
      <sz val="11"/>
      <color theme="1"/>
      <name val="Calibri"/>
      <family val="2"/>
    </font>
    <font>
      <b/>
      <sz val="11"/>
      <color indexed="17"/>
      <name val="Calibri"/>
      <family val="2"/>
    </font>
    <font>
      <b/>
      <sz val="12"/>
      <name val="Calibri"/>
      <family val="2"/>
    </font>
    <font>
      <b/>
      <sz val="11"/>
      <color theme="1"/>
      <name val="Calibri"/>
      <family val="2"/>
    </font>
    <font>
      <b/>
      <sz val="11"/>
      <name val="Arial"/>
      <family val="2"/>
    </font>
    <font>
      <b/>
      <sz val="11"/>
      <color indexed="17"/>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i/>
      <sz val="12"/>
      <name val="Arial"/>
      <family val="2"/>
    </font>
    <font>
      <b/>
      <sz val="12"/>
      <color rgb="FF0070C0"/>
      <name val="Arial"/>
      <family val="2"/>
    </font>
    <font>
      <b/>
      <sz val="12"/>
      <color rgb="FFFFFFCC"/>
      <name val="Arial"/>
      <family val="2"/>
    </font>
    <font>
      <b/>
      <sz val="10"/>
      <color rgb="FFFF0000"/>
      <name val="Arial"/>
      <family val="2"/>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8">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8" fillId="18" borderId="4" applyNumberFormat="0" applyAlignment="0" applyProtection="0"/>
    <xf numFmtId="164" fontId="4"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2" fillId="4" borderId="9" applyNumberFormat="0" applyFont="0" applyAlignment="0" applyProtection="0"/>
    <xf numFmtId="0" fontId="27" fillId="16" borderId="10" applyNumberFormat="0" applyAlignment="0" applyProtection="0"/>
    <xf numFmtId="9" fontId="2"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2" fillId="17" borderId="2">
      <alignment horizontal="right"/>
    </xf>
    <xf numFmtId="3" fontId="2" fillId="17" borderId="3">
      <alignment horizontal="right"/>
    </xf>
    <xf numFmtId="0" fontId="2" fillId="0" borderId="0"/>
    <xf numFmtId="164" fontId="2" fillId="0" borderId="0" applyFont="0" applyFill="0" applyBorder="0" applyAlignment="0" applyProtection="0"/>
    <xf numFmtId="0" fontId="58" fillId="0" borderId="0" applyNumberFormat="0" applyFill="0" applyBorder="0" applyAlignment="0" applyProtection="0"/>
    <xf numFmtId="0" fontId="61" fillId="0" borderId="0"/>
    <xf numFmtId="0" fontId="2" fillId="0" borderId="0"/>
    <xf numFmtId="0" fontId="58" fillId="0" borderId="0" applyNumberFormat="0" applyFill="0" applyBorder="0" applyAlignment="0" applyProtection="0"/>
    <xf numFmtId="0" fontId="2" fillId="0" borderId="0"/>
    <xf numFmtId="0" fontId="6" fillId="0" borderId="0"/>
    <xf numFmtId="0" fontId="2" fillId="0" borderId="0"/>
  </cellStyleXfs>
  <cellXfs count="1061">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6" fillId="17" borderId="0" xfId="0" applyFont="1" applyFill="1" applyBorder="1"/>
    <xf numFmtId="0" fontId="6" fillId="0" borderId="0" xfId="0" applyFont="1"/>
    <xf numFmtId="0" fontId="6" fillId="19" borderId="0" xfId="0" applyFont="1" applyFill="1" applyBorder="1"/>
    <xf numFmtId="0" fontId="6" fillId="19" borderId="12" xfId="0" applyFont="1" applyFill="1" applyBorder="1"/>
    <xf numFmtId="0" fontId="6" fillId="19" borderId="13"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1" fillId="19" borderId="0" xfId="0" applyFont="1" applyFill="1" applyBorder="1"/>
    <xf numFmtId="0" fontId="12" fillId="19" borderId="0" xfId="0" applyFont="1" applyFill="1" applyBorder="1"/>
    <xf numFmtId="0" fontId="12" fillId="19" borderId="13" xfId="0" applyFont="1" applyFill="1" applyBorder="1"/>
    <xf numFmtId="0" fontId="12" fillId="17" borderId="19" xfId="0" applyFont="1" applyFill="1" applyBorder="1"/>
    <xf numFmtId="0" fontId="12" fillId="17" borderId="0" xfId="0" applyFont="1" applyFill="1" applyBorder="1"/>
    <xf numFmtId="0" fontId="12" fillId="17" borderId="22" xfId="0" applyFont="1" applyFill="1" applyBorder="1"/>
    <xf numFmtId="0" fontId="12" fillId="17" borderId="23" xfId="0" applyFont="1" applyFill="1" applyBorder="1"/>
    <xf numFmtId="0" fontId="12" fillId="0" borderId="0" xfId="0" applyFont="1"/>
    <xf numFmtId="0" fontId="12" fillId="17" borderId="24" xfId="0" applyFont="1" applyFill="1" applyBorder="1"/>
    <xf numFmtId="0" fontId="12" fillId="17" borderId="25" xfId="0" applyFont="1" applyFill="1" applyBorder="1"/>
    <xf numFmtId="0" fontId="12" fillId="17" borderId="26" xfId="0" applyFont="1" applyFill="1" applyBorder="1"/>
    <xf numFmtId="0" fontId="11" fillId="19" borderId="12" xfId="0" applyFont="1" applyFill="1" applyBorder="1" applyAlignment="1">
      <alignment horizontal="left"/>
    </xf>
    <xf numFmtId="0" fontId="12" fillId="19" borderId="0" xfId="0" applyFont="1" applyFill="1" applyBorder="1" applyAlignment="1"/>
    <xf numFmtId="0" fontId="12" fillId="19" borderId="12" xfId="0" applyFont="1" applyFill="1" applyBorder="1" applyAlignment="1"/>
    <xf numFmtId="0" fontId="11" fillId="19" borderId="0" xfId="0" applyFont="1" applyFill="1" applyBorder="1" applyAlignment="1"/>
    <xf numFmtId="0" fontId="12" fillId="19" borderId="12"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6" fillId="20" borderId="0" xfId="0" applyFont="1" applyFill="1" applyBorder="1"/>
    <xf numFmtId="0" fontId="6" fillId="20" borderId="13" xfId="0" applyFont="1" applyFill="1" applyBorder="1"/>
    <xf numFmtId="0" fontId="6" fillId="20" borderId="17" xfId="0" applyFont="1" applyFill="1" applyBorder="1"/>
    <xf numFmtId="0" fontId="6" fillId="20" borderId="18" xfId="0" applyFont="1" applyFill="1" applyBorder="1"/>
    <xf numFmtId="0" fontId="6" fillId="20" borderId="27" xfId="0" applyFont="1" applyFill="1" applyBorder="1"/>
    <xf numFmtId="0" fontId="12" fillId="20" borderId="12" xfId="0" applyFont="1" applyFill="1" applyBorder="1" applyAlignment="1">
      <alignment horizontal="center"/>
    </xf>
    <xf numFmtId="0" fontId="0" fillId="0" borderId="0" xfId="0" applyBorder="1"/>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2" fillId="19" borderId="0" xfId="0" applyFont="1" applyFill="1" applyBorder="1" applyAlignment="1">
      <alignment vertical="top"/>
    </xf>
    <xf numFmtId="0" fontId="11" fillId="19" borderId="0" xfId="0" applyFont="1" applyFill="1" applyBorder="1" applyAlignment="1">
      <alignment horizontal="center"/>
    </xf>
    <xf numFmtId="0" fontId="6" fillId="20" borderId="18" xfId="0" applyFont="1" applyFill="1" applyBorder="1" applyAlignment="1">
      <alignment horizontal="center"/>
    </xf>
    <xf numFmtId="0" fontId="6" fillId="20" borderId="15" xfId="0" applyFont="1" applyFill="1" applyBorder="1" applyAlignment="1">
      <alignment horizontal="center"/>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0" fontId="6" fillId="20" borderId="14" xfId="0" applyFont="1" applyFill="1" applyBorder="1" applyAlignment="1"/>
    <xf numFmtId="0" fontId="6" fillId="20" borderId="15"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18" xfId="0" applyFont="1" applyFill="1" applyBorder="1" applyAlignment="1"/>
    <xf numFmtId="0" fontId="6" fillId="20" borderId="27" xfId="0" applyFont="1" applyFill="1" applyBorder="1" applyAlignment="1"/>
    <xf numFmtId="0" fontId="31" fillId="19" borderId="0" xfId="0" applyFont="1" applyFill="1" applyBorder="1" applyAlignment="1">
      <alignment horizontal="left"/>
    </xf>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0" fontId="3" fillId="20" borderId="18" xfId="0" applyFont="1" applyFill="1" applyBorder="1"/>
    <xf numFmtId="0" fontId="12" fillId="19" borderId="18" xfId="0" applyFont="1" applyFill="1" applyBorder="1"/>
    <xf numFmtId="0" fontId="6" fillId="0" borderId="0" xfId="0" applyFont="1" applyBorder="1"/>
    <xf numFmtId="0" fontId="36" fillId="20" borderId="15" xfId="0" applyFont="1" applyFill="1" applyBorder="1"/>
    <xf numFmtId="3" fontId="12" fillId="19" borderId="0" xfId="0" applyNumberFormat="1" applyFont="1" applyFill="1" applyBorder="1" applyAlignment="1" applyProtection="1">
      <alignment horizontal="right" vertical="center" indent="1"/>
      <protection locked="0"/>
    </xf>
    <xf numFmtId="0" fontId="6" fillId="19" borderId="0" xfId="0" applyFont="1" applyFill="1" applyBorder="1" applyAlignment="1">
      <alignment vertical="top"/>
    </xf>
    <xf numFmtId="3" fontId="37"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9" fontId="34" fillId="17" borderId="0" xfId="43" applyFont="1" applyFill="1" applyBorder="1" applyAlignment="1">
      <alignment vertical="center"/>
    </xf>
    <xf numFmtId="0" fontId="35" fillId="17" borderId="0" xfId="0" applyFont="1" applyFill="1" applyBorder="1" applyAlignment="1">
      <alignment vertical="center"/>
    </xf>
    <xf numFmtId="0" fontId="34" fillId="17" borderId="0" xfId="0" applyFont="1" applyFill="1" applyBorder="1" applyAlignment="1">
      <alignment vertical="center"/>
    </xf>
    <xf numFmtId="0" fontId="6" fillId="0" borderId="0" xfId="0" applyFont="1" applyFill="1" applyBorder="1"/>
    <xf numFmtId="0" fontId="7" fillId="20" borderId="12" xfId="0" applyFont="1" applyFill="1" applyBorder="1" applyAlignment="1">
      <alignment horizontal="center"/>
    </xf>
    <xf numFmtId="0" fontId="2" fillId="20" borderId="18" xfId="0" applyFont="1" applyFill="1" applyBorder="1" applyAlignment="1">
      <alignment horizontal="right"/>
    </xf>
    <xf numFmtId="0" fontId="4" fillId="20" borderId="18" xfId="0" applyFont="1" applyFill="1" applyBorder="1" applyAlignment="1">
      <alignment horizontal="right"/>
    </xf>
    <xf numFmtId="0" fontId="12" fillId="19" borderId="24" xfId="0" applyFont="1" applyFill="1" applyBorder="1" applyAlignment="1"/>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3" fontId="12" fillId="19" borderId="19" xfId="0" applyNumberFormat="1" applyFont="1" applyFill="1" applyBorder="1" applyAlignment="1">
      <alignment horizontal="right" vertical="center" indent="1"/>
    </xf>
    <xf numFmtId="0" fontId="12" fillId="19" borderId="25" xfId="0" applyFont="1" applyFill="1" applyBorder="1" applyAlignment="1"/>
    <xf numFmtId="0" fontId="11" fillId="19" borderId="25" xfId="0" applyFont="1" applyFill="1" applyBorder="1" applyAlignment="1"/>
    <xf numFmtId="0" fontId="12" fillId="19" borderId="26"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9" fontId="32" fillId="17" borderId="0" xfId="43" applyFont="1" applyFill="1" applyBorder="1" applyAlignment="1">
      <alignment vertical="center"/>
    </xf>
    <xf numFmtId="0" fontId="32" fillId="0" borderId="0" xfId="0" applyFont="1" applyBorder="1" applyAlignment="1">
      <alignment vertical="center"/>
    </xf>
    <xf numFmtId="0" fontId="12" fillId="0" borderId="0" xfId="0" applyFont="1" applyBorder="1"/>
    <xf numFmtId="0" fontId="37" fillId="0" borderId="0" xfId="0" applyFont="1" applyBorder="1"/>
    <xf numFmtId="0" fontId="32" fillId="0" borderId="0" xfId="0" applyFont="1" applyBorder="1"/>
    <xf numFmtId="0" fontId="8" fillId="19" borderId="0" xfId="0" applyFont="1" applyFill="1" applyBorder="1" applyAlignment="1">
      <alignment horizontal="left"/>
    </xf>
    <xf numFmtId="3" fontId="12" fillId="19" borderId="30"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0" fontId="0" fillId="19" borderId="0" xfId="0" applyFill="1" applyBorder="1" applyAlignment="1"/>
    <xf numFmtId="0" fontId="36" fillId="20" borderId="15" xfId="0" applyFont="1" applyFill="1" applyBorder="1" applyAlignment="1"/>
    <xf numFmtId="3" fontId="35" fillId="17" borderId="0" xfId="0" applyNumberFormat="1" applyFont="1" applyFill="1" applyBorder="1" applyAlignment="1">
      <alignment vertical="center"/>
    </xf>
    <xf numFmtId="3" fontId="6" fillId="19"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0" fontId="8" fillId="19" borderId="0" xfId="0" applyFont="1" applyFill="1" applyBorder="1"/>
    <xf numFmtId="0" fontId="0" fillId="19" borderId="18" xfId="0" applyFill="1" applyBorder="1" applyAlignment="1"/>
    <xf numFmtId="0" fontId="12" fillId="19" borderId="18" xfId="0" applyFont="1" applyFill="1" applyBorder="1" applyAlignment="1"/>
    <xf numFmtId="0" fontId="12" fillId="17" borderId="22" xfId="0" applyFont="1" applyFill="1" applyBorder="1" applyAlignment="1">
      <alignment horizontal="right" vertical="center" indent="1"/>
    </xf>
    <xf numFmtId="0" fontId="12" fillId="19" borderId="0" xfId="0" applyFont="1" applyFill="1" applyBorder="1" applyAlignment="1">
      <alignment horizontal="right" vertical="center" indent="1"/>
    </xf>
    <xf numFmtId="0" fontId="6" fillId="21" borderId="0" xfId="0" applyFont="1" applyFill="1" applyBorder="1"/>
    <xf numFmtId="0" fontId="8" fillId="19" borderId="0" xfId="0" applyFont="1" applyFill="1" applyBorder="1" applyAlignment="1">
      <alignment vertical="top"/>
    </xf>
    <xf numFmtId="0" fontId="6" fillId="22" borderId="18" xfId="0" applyFont="1" applyFill="1" applyBorder="1"/>
    <xf numFmtId="0" fontId="38" fillId="22" borderId="17" xfId="0" applyFont="1" applyFill="1" applyBorder="1"/>
    <xf numFmtId="0" fontId="6" fillId="22" borderId="27" xfId="0" applyFont="1" applyFill="1" applyBorder="1"/>
    <xf numFmtId="0" fontId="12" fillId="22" borderId="18" xfId="0" applyFont="1" applyFill="1" applyBorder="1"/>
    <xf numFmtId="3" fontId="11" fillId="22" borderId="18" xfId="0" applyNumberFormat="1" applyFont="1" applyFill="1" applyBorder="1" applyAlignment="1">
      <alignment horizontal="right" vertical="center" indent="1"/>
    </xf>
    <xf numFmtId="3" fontId="12" fillId="22" borderId="18" xfId="0" applyNumberFormat="1" applyFont="1" applyFill="1" applyBorder="1" applyAlignment="1">
      <alignment horizontal="right" vertical="center" indent="1"/>
    </xf>
    <xf numFmtId="0" fontId="0" fillId="22" borderId="27" xfId="0" applyFill="1" applyBorder="1"/>
    <xf numFmtId="0" fontId="12" fillId="22" borderId="0" xfId="0" applyFont="1" applyFill="1" applyBorder="1"/>
    <xf numFmtId="3" fontId="12" fillId="22" borderId="0" xfId="0" applyNumberFormat="1" applyFont="1" applyFill="1" applyBorder="1" applyAlignment="1">
      <alignment horizontal="right" vertical="center" indent="1"/>
    </xf>
    <xf numFmtId="0" fontId="6" fillId="19" borderId="0" xfId="0" applyFont="1" applyFill="1" applyBorder="1" applyAlignment="1">
      <alignment horizontal="left" vertical="top"/>
    </xf>
    <xf numFmtId="0" fontId="11" fillId="19" borderId="0" xfId="0" applyFont="1" applyFill="1" applyBorder="1" applyAlignment="1">
      <alignment vertical="top"/>
    </xf>
    <xf numFmtId="0" fontId="0" fillId="19" borderId="0" xfId="0" applyFill="1" applyBorder="1" applyAlignment="1">
      <alignment vertical="top"/>
    </xf>
    <xf numFmtId="0" fontId="12" fillId="19" borderId="18" xfId="0" applyFont="1" applyFill="1" applyBorder="1" applyAlignment="1">
      <alignment vertical="top"/>
    </xf>
    <xf numFmtId="0" fontId="0" fillId="19" borderId="12" xfId="0" applyFill="1" applyBorder="1" applyAlignment="1">
      <alignment vertical="top"/>
    </xf>
    <xf numFmtId="3" fontId="12" fillId="19" borderId="12" xfId="0" applyNumberFormat="1" applyFont="1" applyFill="1" applyBorder="1" applyAlignment="1">
      <alignment horizontal="right" vertical="top"/>
    </xf>
    <xf numFmtId="3" fontId="12" fillId="19" borderId="0" xfId="0" applyNumberFormat="1" applyFont="1" applyFill="1" applyBorder="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Border="1" applyAlignment="1">
      <alignment vertical="top" wrapText="1"/>
    </xf>
    <xf numFmtId="0" fontId="12" fillId="22" borderId="0" xfId="0" applyFont="1" applyFill="1" applyBorder="1" applyAlignment="1">
      <alignment vertical="top"/>
    </xf>
    <xf numFmtId="0" fontId="11" fillId="19" borderId="0" xfId="0" applyFont="1" applyFill="1" applyBorder="1" applyAlignment="1">
      <alignment horizontal="left" vertical="top"/>
    </xf>
    <xf numFmtId="0" fontId="12" fillId="19" borderId="19" xfId="0" applyFont="1" applyFill="1" applyBorder="1" applyAlignment="1">
      <alignment vertical="top" wrapText="1"/>
    </xf>
    <xf numFmtId="0" fontId="12" fillId="19" borderId="22" xfId="0" applyFont="1" applyFill="1" applyBorder="1" applyAlignment="1">
      <alignment vertical="top"/>
    </xf>
    <xf numFmtId="0" fontId="12" fillId="17" borderId="19" xfId="0" applyFont="1" applyFill="1" applyBorder="1" applyAlignment="1">
      <alignment vertical="top"/>
    </xf>
    <xf numFmtId="0" fontId="11" fillId="17" borderId="0" xfId="0" applyFont="1" applyFill="1" applyBorder="1" applyAlignment="1">
      <alignment vertical="top"/>
    </xf>
    <xf numFmtId="0" fontId="12" fillId="17" borderId="0" xfId="0" applyFont="1" applyFill="1" applyBorder="1" applyAlignment="1">
      <alignment vertical="top"/>
    </xf>
    <xf numFmtId="0" fontId="12" fillId="17" borderId="22" xfId="0" applyFont="1" applyFill="1" applyBorder="1" applyAlignment="1">
      <alignment vertical="top"/>
    </xf>
    <xf numFmtId="0" fontId="8" fillId="19" borderId="0" xfId="0" applyFont="1" applyFill="1" applyBorder="1" applyAlignment="1">
      <alignment horizontal="left" vertical="top"/>
    </xf>
    <xf numFmtId="0" fontId="6" fillId="17" borderId="0" xfId="0" applyFont="1" applyFill="1" applyBorder="1" applyAlignment="1">
      <alignment vertical="top"/>
    </xf>
    <xf numFmtId="0" fontId="0" fillId="22" borderId="0" xfId="0" applyFill="1" applyAlignment="1">
      <alignment vertical="top" wrapText="1"/>
    </xf>
    <xf numFmtId="0" fontId="6" fillId="19" borderId="0" xfId="0" applyFont="1" applyFill="1" applyBorder="1" applyAlignment="1">
      <alignment vertical="top" wrapText="1"/>
    </xf>
    <xf numFmtId="0" fontId="12" fillId="22" borderId="0" xfId="0" applyFont="1" applyFill="1"/>
    <xf numFmtId="0" fontId="12" fillId="22" borderId="0" xfId="0" applyFont="1" applyFill="1" applyBorder="1" applyAlignment="1"/>
    <xf numFmtId="0" fontId="0" fillId="19" borderId="37" xfId="0" applyFill="1" applyBorder="1" applyAlignment="1">
      <alignment vertical="top"/>
    </xf>
    <xf numFmtId="0" fontId="12" fillId="19" borderId="38" xfId="0" applyFont="1" applyFill="1" applyBorder="1" applyAlignment="1">
      <alignment vertical="top" wrapText="1"/>
    </xf>
    <xf numFmtId="0" fontId="12" fillId="19" borderId="38" xfId="0" applyFont="1" applyFill="1" applyBorder="1"/>
    <xf numFmtId="3" fontId="6" fillId="19" borderId="38" xfId="0" applyNumberFormat="1" applyFont="1" applyFill="1" applyBorder="1" applyAlignment="1">
      <alignment horizontal="right" vertical="center" indent="1"/>
    </xf>
    <xf numFmtId="3" fontId="12"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6" fillId="19" borderId="43" xfId="0" applyFont="1" applyFill="1" applyBorder="1" applyAlignment="1">
      <alignment horizontal="left" vertical="top" wrapText="1"/>
    </xf>
    <xf numFmtId="0" fontId="12" fillId="19" borderId="43" xfId="0" applyFont="1" applyFill="1" applyBorder="1"/>
    <xf numFmtId="3" fontId="12" fillId="19" borderId="43" xfId="0" applyNumberFormat="1" applyFont="1" applyFill="1" applyBorder="1" applyAlignment="1">
      <alignment horizontal="right" vertical="center" indent="1"/>
    </xf>
    <xf numFmtId="0" fontId="0" fillId="19" borderId="43" xfId="0" applyFill="1" applyBorder="1"/>
    <xf numFmtId="3" fontId="8" fillId="19" borderId="38" xfId="0" applyNumberFormat="1" applyFont="1" applyFill="1" applyBorder="1" applyAlignment="1">
      <alignment horizontal="right" vertical="center" indent="1"/>
    </xf>
    <xf numFmtId="3" fontId="8"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0" fontId="0" fillId="22" borderId="0" xfId="0" applyFill="1" applyBorder="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2"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2" fillId="22" borderId="43" xfId="0" applyFont="1" applyFill="1" applyBorder="1"/>
    <xf numFmtId="0" fontId="12" fillId="19" borderId="38" xfId="0" applyFont="1" applyFill="1" applyBorder="1" applyAlignment="1">
      <alignment vertical="top"/>
    </xf>
    <xf numFmtId="0" fontId="12" fillId="19" borderId="43" xfId="0" applyFont="1" applyFill="1" applyBorder="1" applyAlignment="1">
      <alignment vertical="top"/>
    </xf>
    <xf numFmtId="0" fontId="6" fillId="19" borderId="38" xfId="0" applyFont="1" applyFill="1" applyBorder="1" applyAlignment="1">
      <alignment vertical="top"/>
    </xf>
    <xf numFmtId="0" fontId="6" fillId="19" borderId="43" xfId="0" applyFont="1" applyFill="1" applyBorder="1" applyAlignment="1">
      <alignment vertical="top"/>
    </xf>
    <xf numFmtId="0" fontId="0" fillId="19" borderId="42" xfId="0" applyFill="1" applyBorder="1"/>
    <xf numFmtId="0" fontId="6" fillId="19" borderId="18" xfId="0" applyFont="1" applyFill="1" applyBorder="1" applyAlignment="1">
      <alignment vertical="top"/>
    </xf>
    <xf numFmtId="0" fontId="8" fillId="19" borderId="0" xfId="0" applyFont="1" applyFill="1" applyBorder="1" applyAlignment="1"/>
    <xf numFmtId="0" fontId="12" fillId="23" borderId="0" xfId="0" applyFont="1" applyFill="1" applyBorder="1" applyAlignment="1">
      <alignment vertical="top"/>
    </xf>
    <xf numFmtId="0" fontId="0" fillId="23" borderId="0" xfId="0" applyFill="1" applyBorder="1" applyAlignment="1">
      <alignment vertical="top"/>
    </xf>
    <xf numFmtId="0" fontId="6" fillId="23" borderId="0" xfId="0" applyFont="1" applyFill="1" applyBorder="1" applyAlignment="1">
      <alignment vertical="top"/>
    </xf>
    <xf numFmtId="0" fontId="12" fillId="23" borderId="0" xfId="0" applyFont="1" applyFill="1" applyBorder="1"/>
    <xf numFmtId="3" fontId="12" fillId="23" borderId="0" xfId="0" applyNumberFormat="1" applyFont="1" applyFill="1" applyBorder="1" applyAlignment="1">
      <alignment horizontal="right" vertical="center" indent="1"/>
    </xf>
    <xf numFmtId="0" fontId="33" fillId="23" borderId="0" xfId="0" applyFont="1" applyFill="1" applyBorder="1" applyAlignment="1">
      <alignment vertical="top"/>
    </xf>
    <xf numFmtId="0" fontId="40" fillId="24" borderId="0" xfId="0" applyFont="1" applyFill="1" applyBorder="1"/>
    <xf numFmtId="0" fontId="41" fillId="24" borderId="0" xfId="0" applyFont="1" applyFill="1" applyBorder="1"/>
    <xf numFmtId="0" fontId="42" fillId="24" borderId="0" xfId="0" applyFont="1" applyFill="1" applyBorder="1"/>
    <xf numFmtId="0" fontId="43" fillId="24" borderId="0" xfId="0" applyFont="1" applyFill="1" applyBorder="1"/>
    <xf numFmtId="0" fontId="12" fillId="23" borderId="0" xfId="0" applyFont="1" applyFill="1" applyBorder="1" applyAlignment="1"/>
    <xf numFmtId="0" fontId="12" fillId="23" borderId="45" xfId="0" applyFont="1" applyFill="1" applyBorder="1"/>
    <xf numFmtId="0" fontId="12" fillId="23" borderId="46" xfId="0" applyFont="1" applyFill="1" applyBorder="1" applyAlignment="1">
      <alignment vertical="top"/>
    </xf>
    <xf numFmtId="0" fontId="12" fillId="23" borderId="46" xfId="0" applyFont="1" applyFill="1" applyBorder="1"/>
    <xf numFmtId="0" fontId="12" fillId="23" borderId="46" xfId="0" applyFont="1" applyFill="1" applyBorder="1" applyAlignment="1">
      <alignment horizontal="right" vertical="center" indent="1"/>
    </xf>
    <xf numFmtId="0" fontId="12" fillId="23" borderId="47" xfId="0" applyFont="1" applyFill="1" applyBorder="1"/>
    <xf numFmtId="0" fontId="12" fillId="23" borderId="48" xfId="0" applyFont="1" applyFill="1" applyBorder="1"/>
    <xf numFmtId="0" fontId="11" fillId="23" borderId="0" xfId="0" applyFont="1" applyFill="1" applyBorder="1" applyAlignment="1">
      <alignment vertical="top"/>
    </xf>
    <xf numFmtId="0" fontId="12" fillId="23" borderId="0" xfId="0" applyFont="1" applyFill="1" applyBorder="1" applyAlignment="1">
      <alignment horizontal="right" vertical="center" indent="1"/>
    </xf>
    <xf numFmtId="0" fontId="12" fillId="23" borderId="49" xfId="0" applyFont="1" applyFill="1" applyBorder="1"/>
    <xf numFmtId="0" fontId="12" fillId="23" borderId="49" xfId="0" applyFont="1" applyFill="1" applyBorder="1" applyAlignment="1">
      <alignment horizontal="center"/>
    </xf>
    <xf numFmtId="0" fontId="12" fillId="23" borderId="50" xfId="0" applyFont="1" applyFill="1" applyBorder="1"/>
    <xf numFmtId="0" fontId="12" fillId="23" borderId="51" xfId="0" applyFont="1" applyFill="1" applyBorder="1"/>
    <xf numFmtId="0" fontId="12" fillId="23" borderId="52" xfId="0" applyFont="1" applyFill="1" applyBorder="1"/>
    <xf numFmtId="3" fontId="11" fillId="17" borderId="0" xfId="0" applyNumberFormat="1" applyFont="1" applyFill="1" applyBorder="1" applyAlignment="1">
      <alignment horizontal="center" vertical="center"/>
    </xf>
    <xf numFmtId="0" fontId="35" fillId="0" borderId="0" xfId="0" applyFont="1" applyBorder="1" applyAlignment="1">
      <alignment vertical="center"/>
    </xf>
    <xf numFmtId="3" fontId="11" fillId="22" borderId="19" xfId="0" applyNumberFormat="1" applyFont="1" applyFill="1" applyBorder="1" applyAlignment="1">
      <alignment horizontal="right" vertical="center" indent="1"/>
    </xf>
    <xf numFmtId="3" fontId="12" fillId="22" borderId="22" xfId="0" applyNumberFormat="1" applyFont="1" applyFill="1" applyBorder="1" applyAlignment="1">
      <alignment horizontal="right" vertical="center" indent="1"/>
    </xf>
    <xf numFmtId="0" fontId="12" fillId="19" borderId="14" xfId="0" applyFont="1" applyFill="1" applyBorder="1" applyAlignment="1"/>
    <xf numFmtId="0" fontId="12" fillId="19" borderId="15" xfId="0" applyFont="1" applyFill="1" applyBorder="1" applyAlignment="1"/>
    <xf numFmtId="0" fontId="12" fillId="19" borderId="15" xfId="0" applyFont="1" applyFill="1" applyBorder="1" applyAlignment="1">
      <alignment vertical="top"/>
    </xf>
    <xf numFmtId="0" fontId="12" fillId="19" borderId="15" xfId="0" applyFont="1" applyFill="1" applyBorder="1"/>
    <xf numFmtId="0" fontId="12" fillId="19" borderId="16" xfId="0" applyFont="1" applyFill="1" applyBorder="1"/>
    <xf numFmtId="0" fontId="2" fillId="0" borderId="0" xfId="0" applyFont="1"/>
    <xf numFmtId="0" fontId="45" fillId="0" borderId="0" xfId="0" applyFont="1"/>
    <xf numFmtId="0" fontId="0" fillId="21" borderId="0" xfId="0" applyFill="1"/>
    <xf numFmtId="0" fontId="2" fillId="21" borderId="0" xfId="0" applyFont="1" applyFill="1"/>
    <xf numFmtId="3" fontId="11" fillId="17"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3" fontId="8" fillId="19" borderId="0" xfId="0" applyNumberFormat="1" applyFont="1" applyFill="1" applyBorder="1" applyAlignment="1">
      <alignment horizontal="center" vertical="center"/>
    </xf>
    <xf numFmtId="1" fontId="2" fillId="20" borderId="14" xfId="0" applyNumberFormat="1" applyFont="1" applyFill="1" applyBorder="1"/>
    <xf numFmtId="0" fontId="2" fillId="20" borderId="15" xfId="0" applyFont="1" applyFill="1" applyBorder="1"/>
    <xf numFmtId="0" fontId="2" fillId="20" borderId="16" xfId="0" applyFont="1" applyFill="1" applyBorder="1" applyAlignment="1">
      <alignment horizontal="center"/>
    </xf>
    <xf numFmtId="1" fontId="2" fillId="20" borderId="12" xfId="0" applyNumberFormat="1" applyFont="1" applyFill="1" applyBorder="1" applyAlignment="1"/>
    <xf numFmtId="0" fontId="2" fillId="20" borderId="0" xfId="0" applyFont="1" applyFill="1" applyBorder="1" applyAlignment="1"/>
    <xf numFmtId="0" fontId="2" fillId="20" borderId="13" xfId="0" applyFont="1" applyFill="1" applyBorder="1" applyAlignment="1">
      <alignment horizontal="center"/>
    </xf>
    <xf numFmtId="1" fontId="2" fillId="20" borderId="12"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3" xfId="0" applyNumberFormat="1" applyFont="1" applyFill="1" applyBorder="1" applyAlignment="1">
      <alignment horizontal="center"/>
    </xf>
    <xf numFmtId="1" fontId="2" fillId="20" borderId="12" xfId="0" applyNumberFormat="1" applyFont="1" applyFill="1" applyBorder="1"/>
    <xf numFmtId="0" fontId="2" fillId="20" borderId="0" xfId="0" applyFont="1" applyFill="1" applyBorder="1"/>
    <xf numFmtId="1" fontId="47" fillId="20" borderId="12" xfId="0" applyNumberFormat="1" applyFont="1" applyFill="1" applyBorder="1" applyAlignment="1">
      <alignment horizontal="center" vertical="top"/>
    </xf>
    <xf numFmtId="0" fontId="47" fillId="20" borderId="0" xfId="0" applyFont="1" applyFill="1" applyBorder="1" applyAlignment="1">
      <alignment vertical="top"/>
    </xf>
    <xf numFmtId="0" fontId="47" fillId="20" borderId="13" xfId="0" applyFont="1" applyFill="1" applyBorder="1" applyAlignment="1">
      <alignment horizontal="center" vertical="top"/>
    </xf>
    <xf numFmtId="1" fontId="2" fillId="20" borderId="17" xfId="0" applyNumberFormat="1" applyFont="1" applyFill="1" applyBorder="1"/>
    <xf numFmtId="0" fontId="2" fillId="20" borderId="18" xfId="0" applyFont="1" applyFill="1" applyBorder="1"/>
    <xf numFmtId="0" fontId="2" fillId="20" borderId="27" xfId="0" applyFont="1" applyFill="1" applyBorder="1" applyAlignment="1">
      <alignment horizontal="center"/>
    </xf>
    <xf numFmtId="1" fontId="2" fillId="25" borderId="12" xfId="0" applyNumberFormat="1" applyFont="1" applyFill="1" applyBorder="1" applyAlignment="1">
      <alignment horizontal="center"/>
    </xf>
    <xf numFmtId="4" fontId="2" fillId="25" borderId="55" xfId="0" applyNumberFormat="1" applyFont="1" applyFill="1" applyBorder="1"/>
    <xf numFmtId="4" fontId="2" fillId="25" borderId="14" xfId="0" applyNumberFormat="1" applyFont="1" applyFill="1" applyBorder="1" applyAlignment="1">
      <alignment horizontal="center"/>
    </xf>
    <xf numFmtId="3" fontId="0" fillId="21" borderId="0" xfId="0" applyNumberFormat="1" applyFill="1"/>
    <xf numFmtId="4" fontId="2" fillId="25" borderId="56" xfId="0" applyNumberFormat="1" applyFont="1" applyFill="1" applyBorder="1"/>
    <xf numFmtId="4" fontId="2" fillId="25" borderId="12" xfId="0" applyNumberFormat="1" applyFont="1" applyFill="1" applyBorder="1" applyAlignment="1">
      <alignment horizontal="center"/>
    </xf>
    <xf numFmtId="0" fontId="2" fillId="25" borderId="56" xfId="0" applyFont="1" applyFill="1" applyBorder="1"/>
    <xf numFmtId="0" fontId="2" fillId="25" borderId="12" xfId="0" applyFont="1" applyFill="1" applyBorder="1" applyAlignment="1">
      <alignment horizontal="center"/>
    </xf>
    <xf numFmtId="1" fontId="2" fillId="25" borderId="59" xfId="0" applyNumberFormat="1" applyFont="1" applyFill="1" applyBorder="1" applyAlignment="1">
      <alignment horizontal="center"/>
    </xf>
    <xf numFmtId="4" fontId="2" fillId="25" borderId="57" xfId="0" applyNumberFormat="1" applyFont="1" applyFill="1" applyBorder="1"/>
    <xf numFmtId="4" fontId="2" fillId="25" borderId="17" xfId="0" applyNumberFormat="1" applyFont="1" applyFill="1" applyBorder="1" applyAlignment="1">
      <alignment horizontal="center"/>
    </xf>
    <xf numFmtId="1" fontId="3" fillId="25" borderId="14" xfId="0" applyNumberFormat="1" applyFont="1" applyFill="1" applyBorder="1" applyAlignment="1">
      <alignment horizontal="center"/>
    </xf>
    <xf numFmtId="0" fontId="3" fillId="25" borderId="55" xfId="0" applyFont="1" applyFill="1" applyBorder="1"/>
    <xf numFmtId="0" fontId="3" fillId="25" borderId="55" xfId="0" applyFont="1" applyFill="1" applyBorder="1" applyAlignment="1">
      <alignment horizontal="center"/>
    </xf>
    <xf numFmtId="0" fontId="2" fillId="21" borderId="0" xfId="0" applyFont="1" applyFill="1" applyBorder="1"/>
    <xf numFmtId="0" fontId="0" fillId="21" borderId="0" xfId="0" applyFill="1" applyBorder="1"/>
    <xf numFmtId="0" fontId="32" fillId="17" borderId="0" xfId="0" applyFont="1" applyFill="1" applyBorder="1"/>
    <xf numFmtId="0" fontId="32" fillId="17" borderId="0" xfId="0" applyFont="1" applyFill="1" applyBorder="1" applyAlignment="1">
      <alignment vertical="center"/>
    </xf>
    <xf numFmtId="0" fontId="2" fillId="17" borderId="0" xfId="0" applyFont="1" applyFill="1"/>
    <xf numFmtId="3" fontId="2" fillId="17" borderId="0" xfId="0" applyNumberFormat="1" applyFont="1" applyFill="1" applyAlignment="1">
      <alignment horizontal="right" indent="1"/>
    </xf>
    <xf numFmtId="0" fontId="2" fillId="17" borderId="0" xfId="0" applyFont="1" applyFill="1" applyAlignment="1">
      <alignment horizontal="center"/>
    </xf>
    <xf numFmtId="3" fontId="8" fillId="21" borderId="0" xfId="0" applyNumberFormat="1" applyFont="1" applyFill="1" applyAlignment="1">
      <alignment horizontal="center"/>
    </xf>
    <xf numFmtId="0" fontId="8" fillId="21" borderId="0" xfId="0" applyFont="1" applyFill="1" applyAlignment="1">
      <alignment horizontal="center"/>
    </xf>
    <xf numFmtId="0" fontId="40" fillId="17" borderId="0" xfId="0" applyFont="1" applyFill="1" applyAlignment="1">
      <alignment horizontal="left" vertical="center"/>
    </xf>
    <xf numFmtId="0" fontId="40" fillId="17" borderId="0" xfId="0" applyFont="1" applyFill="1" applyAlignment="1">
      <alignment horizontal="center"/>
    </xf>
    <xf numFmtId="0" fontId="40" fillId="17" borderId="0" xfId="0" applyFont="1" applyFill="1" applyAlignment="1">
      <alignment horizontal="center" vertical="center"/>
    </xf>
    <xf numFmtId="4" fontId="2" fillId="17" borderId="0" xfId="0" applyNumberFormat="1" applyFont="1" applyFill="1"/>
    <xf numFmtId="3" fontId="0" fillId="0" borderId="0" xfId="0" applyNumberFormat="1"/>
    <xf numFmtId="0" fontId="2" fillId="17" borderId="18" xfId="0" applyFont="1" applyFill="1" applyBorder="1"/>
    <xf numFmtId="4" fontId="2" fillId="17" borderId="0" xfId="0" applyNumberFormat="1" applyFont="1" applyFill="1" applyBorder="1" applyAlignment="1">
      <alignment horizontal="center"/>
    </xf>
    <xf numFmtId="0" fontId="2" fillId="17" borderId="18" xfId="0" applyFont="1" applyFill="1" applyBorder="1" applyAlignment="1">
      <alignment horizontal="center"/>
    </xf>
    <xf numFmtId="0" fontId="48" fillId="6" borderId="0" xfId="33" applyFont="1" applyBorder="1" applyAlignment="1">
      <alignment horizontal="center" wrapText="1"/>
    </xf>
    <xf numFmtId="3" fontId="49" fillId="28" borderId="0" xfId="40" applyNumberFormat="1" applyFont="1" applyFill="1" applyAlignment="1">
      <alignment horizontal="right"/>
    </xf>
    <xf numFmtId="0" fontId="49" fillId="28" borderId="0" xfId="40" applyFont="1" applyFill="1" applyAlignment="1">
      <alignment horizontal="center"/>
    </xf>
    <xf numFmtId="0" fontId="26" fillId="21" borderId="0" xfId="40" applyFill="1"/>
    <xf numFmtId="4" fontId="2" fillId="17" borderId="0" xfId="0" applyNumberFormat="1" applyFont="1" applyFill="1" applyBorder="1"/>
    <xf numFmtId="0" fontId="2" fillId="17" borderId="0" xfId="0" applyFont="1" applyFill="1" applyBorder="1" applyAlignment="1">
      <alignment horizontal="left"/>
    </xf>
    <xf numFmtId="0" fontId="2" fillId="17" borderId="0" xfId="0" applyFont="1" applyFill="1" applyBorder="1" applyAlignment="1">
      <alignment horizontal="center"/>
    </xf>
    <xf numFmtId="0" fontId="2" fillId="17" borderId="0" xfId="0" applyFont="1" applyFill="1" applyBorder="1"/>
    <xf numFmtId="0" fontId="2" fillId="17" borderId="0" xfId="0" applyFont="1" applyFill="1" applyBorder="1" applyAlignment="1" applyProtection="1">
      <alignment horizontal="left"/>
    </xf>
    <xf numFmtId="3" fontId="0" fillId="26" borderId="0" xfId="0" applyNumberFormat="1" applyFill="1"/>
    <xf numFmtId="0" fontId="2" fillId="27" borderId="0" xfId="0" applyFont="1" applyFill="1"/>
    <xf numFmtId="0" fontId="50" fillId="29" borderId="0" xfId="40" applyFont="1" applyFill="1" applyAlignment="1">
      <alignment horizontal="center" vertical="center"/>
    </xf>
    <xf numFmtId="0" fontId="50" fillId="29" borderId="0" xfId="40" applyFont="1" applyFill="1" applyAlignment="1">
      <alignment horizontal="center"/>
    </xf>
    <xf numFmtId="0" fontId="20" fillId="6" borderId="0" xfId="33" applyBorder="1" applyAlignment="1">
      <alignment horizontal="center" wrapText="1"/>
    </xf>
    <xf numFmtId="0" fontId="2" fillId="17" borderId="0" xfId="0" quotePrefix="1" applyFont="1" applyFill="1" applyBorder="1" applyAlignment="1" applyProtection="1">
      <alignment horizontal="left"/>
    </xf>
    <xf numFmtId="0" fontId="2" fillId="17" borderId="0" xfId="0" quotePrefix="1" applyFont="1" applyFill="1" applyBorder="1" applyAlignment="1">
      <alignment horizontal="left"/>
    </xf>
    <xf numFmtId="0" fontId="3" fillId="17" borderId="0" xfId="0" applyFont="1" applyFill="1" applyAlignment="1">
      <alignment horizontal="right" vertical="top" wrapText="1"/>
    </xf>
    <xf numFmtId="0" fontId="3" fillId="26" borderId="0" xfId="0" applyFont="1" applyFill="1" applyAlignment="1">
      <alignment horizontal="right" vertical="top" wrapText="1"/>
    </xf>
    <xf numFmtId="3" fontId="20" fillId="6" borderId="0" xfId="33" applyNumberFormat="1" applyBorder="1" applyAlignment="1">
      <alignment horizontal="center" wrapText="1"/>
    </xf>
    <xf numFmtId="0" fontId="6" fillId="27" borderId="0" xfId="0" applyFont="1" applyFill="1" applyAlignment="1">
      <alignment horizontal="center" vertical="center"/>
    </xf>
    <xf numFmtId="3" fontId="49" fillId="28" borderId="0" xfId="40" applyNumberFormat="1" applyFont="1" applyFill="1" applyAlignment="1">
      <alignment horizontal="center"/>
    </xf>
    <xf numFmtId="0" fontId="50" fillId="29" borderId="0" xfId="40" applyFont="1" applyFill="1" applyAlignment="1">
      <alignment horizontal="center" vertical="top" wrapText="1"/>
    </xf>
    <xf numFmtId="0" fontId="3" fillId="21" borderId="0" xfId="0" applyFont="1" applyFill="1" applyAlignment="1">
      <alignment horizontal="right" vertical="top" wrapText="1"/>
    </xf>
    <xf numFmtId="0" fontId="3" fillId="17" borderId="0" xfId="0" applyFont="1" applyFill="1" applyBorder="1" applyAlignment="1">
      <alignment horizontal="right" wrapText="1"/>
    </xf>
    <xf numFmtId="0" fontId="3" fillId="17" borderId="0" xfId="0" applyFont="1" applyFill="1" applyBorder="1" applyAlignment="1">
      <alignment horizontal="center" wrapText="1"/>
    </xf>
    <xf numFmtId="0" fontId="3" fillId="17" borderId="0" xfId="0" applyFont="1" applyFill="1" applyBorder="1" applyAlignment="1">
      <alignment horizontal="left" wrapText="1"/>
    </xf>
    <xf numFmtId="0" fontId="2" fillId="26" borderId="60" xfId="0" applyFont="1" applyFill="1" applyBorder="1" applyAlignment="1">
      <alignment horizontal="center" vertical="top" wrapText="1"/>
    </xf>
    <xf numFmtId="0" fontId="3" fillId="27" borderId="60" xfId="0" applyFont="1" applyFill="1" applyBorder="1" applyAlignment="1">
      <alignment horizontal="center" wrapText="1"/>
    </xf>
    <xf numFmtId="3" fontId="52" fillId="28" borderId="60" xfId="40" applyNumberFormat="1" applyFont="1" applyFill="1" applyBorder="1" applyAlignment="1">
      <alignment horizontal="center" wrapText="1"/>
    </xf>
    <xf numFmtId="0" fontId="52" fillId="28" borderId="60" xfId="40" applyFont="1" applyFill="1" applyBorder="1" applyAlignment="1">
      <alignment horizontal="center" wrapText="1"/>
    </xf>
    <xf numFmtId="0" fontId="53" fillId="29" borderId="60" xfId="40" applyFont="1" applyFill="1" applyBorder="1" applyAlignment="1">
      <alignment horizontal="center" wrapText="1"/>
    </xf>
    <xf numFmtId="0" fontId="2" fillId="20" borderId="60" xfId="0" applyFont="1" applyFill="1" applyBorder="1" applyAlignment="1">
      <alignment horizontal="right" wrapText="1"/>
    </xf>
    <xf numFmtId="0" fontId="2" fillId="20" borderId="60" xfId="0" applyFont="1" applyFill="1" applyBorder="1" applyAlignment="1">
      <alignment horizontal="center" wrapText="1"/>
    </xf>
    <xf numFmtId="0" fontId="2" fillId="20" borderId="60" xfId="0" applyFont="1" applyFill="1" applyBorder="1" applyAlignment="1">
      <alignment horizontal="left" wrapText="1"/>
    </xf>
    <xf numFmtId="0" fontId="54" fillId="17" borderId="0" xfId="0" applyFont="1" applyFill="1" applyAlignment="1">
      <alignment horizontal="left" vertical="center"/>
    </xf>
    <xf numFmtId="0" fontId="54" fillId="26" borderId="0" xfId="0" applyFont="1" applyFill="1" applyAlignment="1">
      <alignment horizontal="center" vertical="center"/>
    </xf>
    <xf numFmtId="3" fontId="55" fillId="6" borderId="0" xfId="33" applyNumberFormat="1" applyFont="1" applyBorder="1" applyAlignment="1">
      <alignment horizontal="right" wrapText="1" indent="1"/>
    </xf>
    <xf numFmtId="0" fontId="54" fillId="27" borderId="0" xfId="0" applyFont="1" applyFill="1" applyAlignment="1">
      <alignment horizontal="center" vertical="center"/>
    </xf>
    <xf numFmtId="0" fontId="54" fillId="28" borderId="60" xfId="40" applyFont="1" applyFill="1" applyBorder="1" applyAlignment="1">
      <alignment horizontal="center" vertical="center"/>
    </xf>
    <xf numFmtId="0" fontId="56" fillId="29" borderId="60" xfId="40" applyFont="1" applyFill="1" applyBorder="1" applyAlignment="1">
      <alignment horizontal="center" vertical="center"/>
    </xf>
    <xf numFmtId="0" fontId="54" fillId="21" borderId="0" xfId="0" applyFont="1" applyFill="1" applyAlignment="1">
      <alignment horizontal="center" vertical="center"/>
    </xf>
    <xf numFmtId="0" fontId="54" fillId="20" borderId="18" xfId="0" applyFont="1" applyFill="1" applyBorder="1" applyAlignment="1">
      <alignment horizontal="center" vertical="center"/>
    </xf>
    <xf numFmtId="0" fontId="2" fillId="26" borderId="0" xfId="0" applyFont="1" applyFill="1"/>
    <xf numFmtId="0" fontId="2" fillId="27" borderId="0" xfId="0" applyFont="1" applyFill="1" applyAlignment="1">
      <alignment horizontal="center"/>
    </xf>
    <xf numFmtId="0" fontId="2" fillId="20" borderId="0" xfId="0" applyFont="1" applyFill="1"/>
    <xf numFmtId="0" fontId="2" fillId="20" borderId="0" xfId="0" applyFont="1" applyFill="1" applyAlignment="1">
      <alignment horizontal="center"/>
    </xf>
    <xf numFmtId="3" fontId="20" fillId="6" borderId="0" xfId="33" applyNumberFormat="1" applyBorder="1" applyAlignment="1">
      <alignment horizontal="right" wrapText="1" indent="1"/>
    </xf>
    <xf numFmtId="9" fontId="6" fillId="19" borderId="0" xfId="43" applyFont="1" applyFill="1" applyBorder="1" applyAlignment="1">
      <alignment horizontal="right" vertical="center" indent="1"/>
    </xf>
    <xf numFmtId="0" fontId="45" fillId="21" borderId="0" xfId="0" applyFont="1" applyFill="1" applyBorder="1"/>
    <xf numFmtId="0" fontId="6" fillId="21" borderId="0" xfId="0" applyFont="1" applyFill="1" applyBorder="1" applyAlignment="1">
      <alignment horizontal="center"/>
    </xf>
    <xf numFmtId="0" fontId="45" fillId="21" borderId="0" xfId="0" applyFont="1" applyFill="1" applyBorder="1" applyAlignment="1">
      <alignment horizontal="center"/>
    </xf>
    <xf numFmtId="3" fontId="6" fillId="21" borderId="0" xfId="0" applyNumberFormat="1" applyFont="1" applyFill="1" applyBorder="1" applyAlignment="1">
      <alignment horizontal="center" vertical="center"/>
    </xf>
    <xf numFmtId="0" fontId="0" fillId="21" borderId="0" xfId="0" applyFill="1" applyBorder="1" applyAlignment="1">
      <alignment horizontal="center"/>
    </xf>
    <xf numFmtId="0" fontId="44" fillId="21" borderId="0" xfId="0" applyFont="1" applyFill="1" applyBorder="1"/>
    <xf numFmtId="0" fontId="44" fillId="21" borderId="0" xfId="0" applyFont="1" applyFill="1" applyBorder="1" applyAlignment="1">
      <alignment horizontal="center"/>
    </xf>
    <xf numFmtId="3" fontId="12" fillId="30" borderId="0" xfId="0" applyNumberFormat="1" applyFont="1" applyFill="1" applyBorder="1" applyAlignment="1">
      <alignment horizontal="right" vertical="center" indent="1"/>
    </xf>
    <xf numFmtId="0" fontId="0" fillId="30" borderId="0" xfId="0" applyFill="1" applyBorder="1"/>
    <xf numFmtId="0" fontId="12" fillId="30" borderId="0" xfId="0" applyFont="1" applyFill="1" applyBorder="1"/>
    <xf numFmtId="3" fontId="11" fillId="30" borderId="0" xfId="0" applyNumberFormat="1" applyFont="1" applyFill="1" applyBorder="1" applyAlignment="1">
      <alignment horizontal="right" vertical="center" indent="1"/>
    </xf>
    <xf numFmtId="3" fontId="12" fillId="30" borderId="38" xfId="0" applyNumberFormat="1" applyFont="1" applyFill="1" applyBorder="1" applyAlignment="1">
      <alignment horizontal="right" vertical="center" indent="1"/>
    </xf>
    <xf numFmtId="0" fontId="0" fillId="30" borderId="39" xfId="0" applyFill="1" applyBorder="1"/>
    <xf numFmtId="0" fontId="0" fillId="30" borderId="41" xfId="0" applyFill="1" applyBorder="1"/>
    <xf numFmtId="0" fontId="12" fillId="30" borderId="43" xfId="0" applyFont="1" applyFill="1" applyBorder="1"/>
    <xf numFmtId="0" fontId="0" fillId="30" borderId="44" xfId="0" applyFill="1" applyBorder="1"/>
    <xf numFmtId="3" fontId="11" fillId="30" borderId="38" xfId="0" applyNumberFormat="1" applyFont="1" applyFill="1" applyBorder="1" applyAlignment="1">
      <alignment horizontal="right" vertical="center" indent="1"/>
    </xf>
    <xf numFmtId="3" fontId="12" fillId="30" borderId="43" xfId="0" applyNumberFormat="1" applyFont="1" applyFill="1" applyBorder="1" applyAlignment="1">
      <alignment horizontal="right" vertical="center" indent="1"/>
    </xf>
    <xf numFmtId="3" fontId="11" fillId="30" borderId="43" xfId="0" applyNumberFormat="1" applyFont="1" applyFill="1" applyBorder="1" applyAlignment="1">
      <alignment horizontal="right" vertical="center" indent="1"/>
    </xf>
    <xf numFmtId="3" fontId="12" fillId="30" borderId="18" xfId="0" applyNumberFormat="1" applyFont="1" applyFill="1" applyBorder="1" applyAlignment="1">
      <alignment horizontal="right" vertical="center" indent="1"/>
    </xf>
    <xf numFmtId="3" fontId="11" fillId="30" borderId="18" xfId="0" applyNumberFormat="1" applyFont="1" applyFill="1" applyBorder="1" applyAlignment="1">
      <alignment horizontal="right" vertical="center" indent="1"/>
    </xf>
    <xf numFmtId="0" fontId="0" fillId="30" borderId="18" xfId="0" applyFill="1" applyBorder="1"/>
    <xf numFmtId="3" fontId="12" fillId="30" borderId="0" xfId="0" applyNumberFormat="1" applyFont="1" applyFill="1" applyBorder="1" applyAlignment="1">
      <alignment horizontal="center"/>
    </xf>
    <xf numFmtId="0" fontId="12" fillId="30" borderId="0" xfId="0" applyFont="1" applyFill="1" applyBorder="1" applyAlignment="1">
      <alignment horizontal="center"/>
    </xf>
    <xf numFmtId="0" fontId="12" fillId="30" borderId="20" xfId="0" applyFont="1" applyFill="1" applyBorder="1" applyAlignment="1">
      <alignment horizontal="center"/>
    </xf>
    <xf numFmtId="0" fontId="12" fillId="30" borderId="21" xfId="0" applyFont="1" applyFill="1" applyBorder="1"/>
    <xf numFmtId="0" fontId="12" fillId="30" borderId="21" xfId="0" applyFont="1" applyFill="1" applyBorder="1" applyAlignment="1">
      <alignment horizontal="center"/>
    </xf>
    <xf numFmtId="0" fontId="12" fillId="30" borderId="23" xfId="0" applyFont="1" applyFill="1" applyBorder="1"/>
    <xf numFmtId="3" fontId="12" fillId="30" borderId="31" xfId="0" applyNumberFormat="1" applyFont="1" applyFill="1" applyBorder="1" applyAlignment="1">
      <alignment horizontal="right" vertical="center" indent="1"/>
    </xf>
    <xf numFmtId="0" fontId="57" fillId="30" borderId="0" xfId="0" applyFont="1" applyFill="1" applyBorder="1" applyAlignment="1">
      <alignment vertical="center" wrapText="1"/>
    </xf>
    <xf numFmtId="0" fontId="44" fillId="19" borderId="0" xfId="0" applyFont="1" applyFill="1" applyBorder="1" applyAlignment="1">
      <alignment vertical="top"/>
    </xf>
    <xf numFmtId="0" fontId="6" fillId="20" borderId="12" xfId="0" applyFont="1" applyFill="1" applyBorder="1"/>
    <xf numFmtId="3" fontId="12" fillId="0" borderId="0" xfId="0" applyNumberFormat="1" applyFont="1"/>
    <xf numFmtId="0" fontId="6" fillId="20" borderId="0" xfId="0" applyFont="1" applyFill="1" applyBorder="1" applyAlignment="1">
      <alignment horizontal="center"/>
    </xf>
    <xf numFmtId="0" fontId="8" fillId="19" borderId="0" xfId="0" applyFont="1" applyFill="1" applyBorder="1" applyAlignment="1">
      <alignment vertical="top"/>
    </xf>
    <xf numFmtId="3" fontId="6" fillId="19" borderId="0" xfId="0" applyNumberFormat="1" applyFont="1" applyFill="1" applyBorder="1" applyAlignment="1">
      <alignment horizontal="center" vertical="center"/>
    </xf>
    <xf numFmtId="0" fontId="11" fillId="19" borderId="0" xfId="0" applyFont="1" applyFill="1" applyBorder="1" applyAlignment="1">
      <alignment horizontal="center"/>
    </xf>
    <xf numFmtId="0" fontId="12" fillId="19" borderId="0" xfId="0" applyFont="1" applyFill="1" applyBorder="1" applyAlignment="1">
      <alignment horizontal="center"/>
    </xf>
    <xf numFmtId="0" fontId="8" fillId="19" borderId="0" xfId="0" applyFont="1" applyFill="1" applyBorder="1" applyAlignment="1">
      <alignment horizontal="center" wrapText="1"/>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41" fillId="24" borderId="0" xfId="0" applyNumberFormat="1" applyFont="1" applyFill="1" applyBorder="1" applyAlignment="1">
      <alignment horizontal="right" vertical="center" indent="1"/>
    </xf>
    <xf numFmtId="3" fontId="42" fillId="24" borderId="0" xfId="0" applyNumberFormat="1" applyFont="1" applyFill="1" applyBorder="1" applyAlignment="1">
      <alignment horizontal="right" vertical="center" indent="1"/>
    </xf>
    <xf numFmtId="0" fontId="1" fillId="24" borderId="0" xfId="0" applyFont="1" applyFill="1" applyBorder="1"/>
    <xf numFmtId="4" fontId="0" fillId="0" borderId="0" xfId="0" applyNumberFormat="1"/>
    <xf numFmtId="0" fontId="46" fillId="0" borderId="0" xfId="0" applyFont="1"/>
    <xf numFmtId="4" fontId="46" fillId="0" borderId="0" xfId="0" applyNumberFormat="1" applyFont="1"/>
    <xf numFmtId="0" fontId="56" fillId="24" borderId="0" xfId="0" applyFont="1" applyFill="1" applyBorder="1"/>
    <xf numFmtId="0" fontId="6" fillId="19" borderId="12" xfId="0" applyFont="1" applyFill="1" applyBorder="1" applyAlignment="1">
      <alignment vertical="center"/>
    </xf>
    <xf numFmtId="0" fontId="6" fillId="19" borderId="0" xfId="0" applyFont="1" applyFill="1" applyBorder="1" applyAlignment="1">
      <alignment vertical="center"/>
    </xf>
    <xf numFmtId="0" fontId="6" fillId="19" borderId="13" xfId="0" applyFont="1" applyFill="1" applyBorder="1" applyAlignment="1">
      <alignment vertical="center"/>
    </xf>
    <xf numFmtId="0" fontId="6" fillId="0" borderId="0" xfId="0" applyFont="1" applyAlignment="1">
      <alignment vertical="center"/>
    </xf>
    <xf numFmtId="0" fontId="0" fillId="19" borderId="0" xfId="0" applyFill="1" applyBorder="1" applyAlignment="1">
      <alignment vertical="center"/>
    </xf>
    <xf numFmtId="0" fontId="6" fillId="19" borderId="0" xfId="0" applyFont="1" applyFill="1" applyBorder="1" applyAlignment="1">
      <alignment horizontal="left" vertical="center"/>
    </xf>
    <xf numFmtId="0" fontId="8" fillId="19" borderId="0" xfId="0" applyFont="1" applyFill="1" applyBorder="1" applyAlignment="1">
      <alignment horizontal="right" vertical="center"/>
    </xf>
    <xf numFmtId="0" fontId="8" fillId="19" borderId="0" xfId="0" applyFont="1" applyFill="1" applyBorder="1" applyAlignment="1">
      <alignment vertical="center"/>
    </xf>
    <xf numFmtId="0" fontId="0" fillId="19" borderId="12" xfId="0" applyFill="1" applyBorder="1" applyAlignment="1">
      <alignment vertical="center"/>
    </xf>
    <xf numFmtId="0" fontId="12" fillId="19" borderId="0" xfId="0" applyFont="1" applyFill="1" applyBorder="1" applyAlignment="1">
      <alignment vertical="center"/>
    </xf>
    <xf numFmtId="0" fontId="0" fillId="22" borderId="0" xfId="0" applyFill="1" applyBorder="1" applyAlignment="1">
      <alignment vertical="center"/>
    </xf>
    <xf numFmtId="0" fontId="6" fillId="22" borderId="13" xfId="0" applyFont="1" applyFill="1" applyBorder="1" applyAlignment="1">
      <alignment vertical="center"/>
    </xf>
    <xf numFmtId="0" fontId="11" fillId="19" borderId="0" xfId="0" applyFont="1" applyFill="1" applyBorder="1" applyAlignment="1">
      <alignment vertical="center"/>
    </xf>
    <xf numFmtId="0" fontId="6" fillId="21" borderId="0" xfId="0" applyFont="1" applyFill="1" applyBorder="1" applyAlignment="1"/>
    <xf numFmtId="0" fontId="12" fillId="21" borderId="0" xfId="0" applyFont="1" applyFill="1" applyBorder="1"/>
    <xf numFmtId="0" fontId="44" fillId="21" borderId="0" xfId="0" applyFont="1" applyFill="1" applyAlignment="1">
      <alignment vertical="center"/>
    </xf>
    <xf numFmtId="0" fontId="0" fillId="30" borderId="13" xfId="0" applyFill="1" applyBorder="1"/>
    <xf numFmtId="0" fontId="40" fillId="24" borderId="18" xfId="0" applyFont="1" applyFill="1" applyBorder="1"/>
    <xf numFmtId="0" fontId="0" fillId="30" borderId="27" xfId="0" applyFill="1" applyBorder="1"/>
    <xf numFmtId="0" fontId="40"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6" fillId="19" borderId="15" xfId="0" applyFont="1" applyFill="1" applyBorder="1" applyAlignment="1">
      <alignment vertical="top"/>
    </xf>
    <xf numFmtId="3" fontId="11" fillId="22" borderId="15" xfId="0" applyNumberFormat="1" applyFont="1" applyFill="1" applyBorder="1" applyAlignment="1">
      <alignment horizontal="right" vertical="center" indent="1"/>
    </xf>
    <xf numFmtId="3" fontId="12" fillId="22" borderId="15" xfId="0" applyNumberFormat="1" applyFont="1" applyFill="1" applyBorder="1" applyAlignment="1">
      <alignment horizontal="right" vertical="center" indent="1"/>
    </xf>
    <xf numFmtId="0" fontId="6" fillId="19" borderId="18" xfId="0" applyFont="1" applyFill="1" applyBorder="1" applyAlignment="1"/>
    <xf numFmtId="3" fontId="12"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2" fillId="22" borderId="18" xfId="0" applyFont="1" applyFill="1" applyBorder="1" applyAlignment="1">
      <alignment vertical="top"/>
    </xf>
    <xf numFmtId="3" fontId="8" fillId="19" borderId="18" xfId="0" applyNumberFormat="1" applyFont="1" applyFill="1" applyBorder="1" applyAlignment="1">
      <alignment horizontal="right" vertical="center" indent="1"/>
    </xf>
    <xf numFmtId="3" fontId="6" fillId="19" borderId="18" xfId="0" applyNumberFormat="1" applyFont="1" applyFill="1" applyBorder="1" applyAlignment="1">
      <alignment horizontal="right" vertical="center" indent="1"/>
    </xf>
    <xf numFmtId="3" fontId="11" fillId="22" borderId="0" xfId="0" applyNumberFormat="1" applyFont="1" applyFill="1" applyBorder="1" applyAlignment="1">
      <alignment vertical="center"/>
    </xf>
    <xf numFmtId="0" fontId="8" fillId="19" borderId="12" xfId="0" applyFont="1" applyFill="1" applyBorder="1" applyAlignment="1"/>
    <xf numFmtId="0" fontId="8" fillId="19" borderId="0" xfId="0" applyFont="1" applyFill="1" applyBorder="1" applyAlignment="1">
      <alignment horizontal="left"/>
    </xf>
    <xf numFmtId="0" fontId="3"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9" fillId="20" borderId="15" xfId="0" applyFont="1" applyFill="1" applyBorder="1" applyProtection="1">
      <protection locked="0"/>
    </xf>
    <xf numFmtId="0" fontId="12" fillId="19" borderId="0" xfId="0" applyFont="1" applyFill="1" applyBorder="1" applyAlignment="1">
      <alignment horizontal="right" indent="1"/>
    </xf>
    <xf numFmtId="0" fontId="0" fillId="19" borderId="0" xfId="0" applyFill="1" applyBorder="1" applyAlignment="1">
      <alignment horizontal="right" indent="1"/>
    </xf>
    <xf numFmtId="0" fontId="12" fillId="19" borderId="0" xfId="0" applyFont="1" applyFill="1" applyBorder="1" applyAlignment="1">
      <alignment horizontal="right" vertical="top" indent="1"/>
    </xf>
    <xf numFmtId="0" fontId="12" fillId="19" borderId="18" xfId="0" applyFont="1" applyFill="1" applyBorder="1" applyAlignment="1">
      <alignment horizontal="right" indent="1"/>
    </xf>
    <xf numFmtId="3" fontId="40" fillId="24" borderId="0" xfId="0" applyNumberFormat="1" applyFont="1" applyFill="1" applyBorder="1" applyAlignment="1">
      <alignment horizontal="right" indent="1"/>
    </xf>
    <xf numFmtId="0" fontId="6" fillId="20" borderId="67" xfId="0" applyFont="1" applyFill="1" applyBorder="1" applyAlignment="1"/>
    <xf numFmtId="0" fontId="6" fillId="20" borderId="66" xfId="0" applyFont="1" applyFill="1" applyBorder="1" applyAlignment="1"/>
    <xf numFmtId="0" fontId="6" fillId="20" borderId="68" xfId="0" applyFont="1" applyFill="1" applyBorder="1" applyAlignment="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2" fillId="19" borderId="72" xfId="0" applyFont="1" applyFill="1" applyBorder="1" applyAlignment="1">
      <alignment vertical="top"/>
    </xf>
    <xf numFmtId="0" fontId="12" fillId="19" borderId="72" xfId="0" applyFont="1" applyFill="1" applyBorder="1"/>
    <xf numFmtId="3" fontId="6" fillId="19" borderId="72" xfId="0" applyNumberFormat="1" applyFont="1" applyFill="1" applyBorder="1" applyAlignment="1">
      <alignment horizontal="right" vertical="center" indent="1"/>
    </xf>
    <xf numFmtId="3" fontId="12" fillId="30" borderId="72" xfId="0" applyNumberFormat="1" applyFont="1" applyFill="1" applyBorder="1" applyAlignment="1">
      <alignment horizontal="right" vertical="center" indent="1"/>
    </xf>
    <xf numFmtId="0" fontId="0" fillId="30" borderId="72" xfId="0" applyFill="1" applyBorder="1"/>
    <xf numFmtId="0" fontId="0" fillId="19" borderId="73" xfId="0" applyFill="1" applyBorder="1"/>
    <xf numFmtId="0" fontId="0" fillId="30" borderId="68" xfId="0" applyFill="1" applyBorder="1"/>
    <xf numFmtId="3" fontId="8" fillId="19" borderId="0" xfId="0" applyNumberFormat="1" applyFont="1" applyFill="1" applyBorder="1" applyAlignment="1">
      <alignment horizontal="center" wrapText="1"/>
    </xf>
    <xf numFmtId="0" fontId="12" fillId="19" borderId="0" xfId="0" applyFont="1" applyFill="1" applyBorder="1" applyAlignment="1" applyProtection="1">
      <alignment vertical="top"/>
      <protection locked="0"/>
    </xf>
    <xf numFmtId="0" fontId="40" fillId="24" borderId="66" xfId="0" applyFont="1" applyFill="1" applyBorder="1" applyProtection="1">
      <protection locked="0"/>
    </xf>
    <xf numFmtId="0" fontId="40" fillId="24" borderId="0" xfId="0" applyFont="1" applyFill="1" applyBorder="1" applyProtection="1">
      <protection locked="0"/>
    </xf>
    <xf numFmtId="3" fontId="2" fillId="17" borderId="0" xfId="0" applyNumberFormat="1" applyFont="1" applyFill="1"/>
    <xf numFmtId="3" fontId="6" fillId="19" borderId="0" xfId="0" applyNumberFormat="1" applyFont="1" applyFill="1" applyBorder="1" applyAlignment="1">
      <alignment horizontal="center"/>
    </xf>
    <xf numFmtId="3" fontId="6" fillId="19" borderId="0" xfId="0" applyNumberFormat="1" applyFont="1" applyFill="1" applyBorder="1" applyAlignment="1">
      <alignment horizontal="right"/>
    </xf>
    <xf numFmtId="0" fontId="8" fillId="19" borderId="0" xfId="0" applyFont="1" applyFill="1" applyBorder="1" applyAlignment="1">
      <alignment vertical="top"/>
    </xf>
    <xf numFmtId="3" fontId="11" fillId="22" borderId="0" xfId="0" applyNumberFormat="1" applyFont="1" applyFill="1" applyBorder="1" applyAlignment="1">
      <alignment horizontal="right" vertical="center" indent="1"/>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0" fontId="8" fillId="19" borderId="0" xfId="0" applyFont="1" applyFill="1" applyBorder="1" applyAlignment="1">
      <alignment horizontal="center" vertical="center"/>
    </xf>
    <xf numFmtId="3" fontId="12" fillId="17" borderId="0" xfId="0" applyNumberFormat="1" applyFont="1" applyFill="1" applyBorder="1" applyAlignment="1" applyProtection="1">
      <alignment horizontal="right" vertical="center" indent="1"/>
      <protection locked="0"/>
    </xf>
    <xf numFmtId="3" fontId="12" fillId="19" borderId="0" xfId="0" applyNumberFormat="1" applyFont="1" applyFill="1" applyBorder="1" applyAlignment="1" applyProtection="1">
      <alignment horizontal="right" vertical="center" indent="1"/>
    </xf>
    <xf numFmtId="3" fontId="12" fillId="30" borderId="0" xfId="0" applyNumberFormat="1" applyFont="1" applyFill="1" applyBorder="1" applyAlignment="1" applyProtection="1">
      <alignment horizontal="right" vertical="center" indent="1"/>
    </xf>
    <xf numFmtId="0" fontId="12" fillId="30" borderId="0" xfId="0" applyFont="1" applyFill="1" applyBorder="1" applyProtection="1"/>
    <xf numFmtId="0" fontId="13" fillId="30" borderId="0" xfId="0" applyFont="1" applyFill="1" applyBorder="1" applyAlignment="1" applyProtection="1">
      <alignment horizontal="center"/>
    </xf>
    <xf numFmtId="0" fontId="12" fillId="30" borderId="0" xfId="0" applyFont="1" applyFill="1" applyBorder="1" applyAlignment="1" applyProtection="1">
      <alignment horizontal="center"/>
    </xf>
    <xf numFmtId="3" fontId="12" fillId="17" borderId="19" xfId="0" applyNumberFormat="1" applyFont="1" applyFill="1" applyBorder="1" applyAlignment="1" applyProtection="1">
      <alignment horizontal="right" vertical="center" indent="1"/>
    </xf>
    <xf numFmtId="0" fontId="12" fillId="17" borderId="20" xfId="0" applyFont="1" applyFill="1" applyBorder="1" applyProtection="1"/>
    <xf numFmtId="3" fontId="12" fillId="17" borderId="0" xfId="0" applyNumberFormat="1" applyFont="1" applyFill="1" applyBorder="1" applyAlignment="1" applyProtection="1">
      <alignment horizontal="center" vertical="center"/>
    </xf>
    <xf numFmtId="0" fontId="12" fillId="17" borderId="21" xfId="0" applyFont="1" applyFill="1" applyBorder="1" applyProtection="1"/>
    <xf numFmtId="3" fontId="6" fillId="19" borderId="0" xfId="0" applyNumberFormat="1" applyFont="1" applyFill="1" applyBorder="1" applyAlignment="1">
      <alignment horizontal="center" vertical="center"/>
    </xf>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8" fillId="19" borderId="0" xfId="0" applyNumberFormat="1" applyFont="1" applyFill="1" applyBorder="1" applyAlignment="1">
      <alignment horizontal="right" vertical="center" wrapText="1" indent="1"/>
    </xf>
    <xf numFmtId="3" fontId="0" fillId="19" borderId="0" xfId="0" applyNumberFormat="1" applyFill="1" applyBorder="1" applyAlignment="1">
      <alignment horizontal="right" vertical="center" indent="1"/>
    </xf>
    <xf numFmtId="3" fontId="0" fillId="19" borderId="0" xfId="0" applyNumberFormat="1" applyFill="1" applyBorder="1"/>
    <xf numFmtId="3" fontId="12" fillId="19" borderId="0" xfId="0" applyNumberFormat="1" applyFont="1" applyFill="1" applyBorder="1"/>
    <xf numFmtId="3" fontId="12" fillId="19" borderId="0" xfId="0" applyNumberFormat="1" applyFont="1" applyFill="1" applyBorder="1" applyAlignment="1">
      <alignment horizontal="right" indent="1"/>
    </xf>
    <xf numFmtId="3" fontId="11" fillId="22" borderId="75" xfId="0" applyNumberFormat="1" applyFont="1" applyFill="1" applyBorder="1" applyAlignment="1">
      <alignment horizontal="right" vertical="center" indent="1"/>
    </xf>
    <xf numFmtId="3" fontId="12" fillId="22" borderId="75" xfId="0" applyNumberFormat="1" applyFont="1" applyFill="1" applyBorder="1" applyAlignment="1">
      <alignment horizontal="right" vertical="center" indent="1"/>
    </xf>
    <xf numFmtId="0" fontId="6" fillId="19" borderId="0" xfId="0" applyFont="1" applyFill="1" applyBorder="1" applyAlignment="1"/>
    <xf numFmtId="0" fontId="0" fillId="19" borderId="71" xfId="0" applyFill="1" applyBorder="1"/>
    <xf numFmtId="0" fontId="0" fillId="19" borderId="72" xfId="0" applyFill="1" applyBorder="1"/>
    <xf numFmtId="3" fontId="6" fillId="19" borderId="72" xfId="0" applyNumberFormat="1" applyFont="1" applyFill="1" applyBorder="1" applyAlignment="1">
      <alignment horizontal="center" vertical="center"/>
    </xf>
    <xf numFmtId="0" fontId="6" fillId="19" borderId="73" xfId="0" applyFont="1" applyFill="1" applyBorder="1"/>
    <xf numFmtId="0" fontId="12" fillId="28" borderId="78" xfId="0" applyFont="1" applyFill="1" applyBorder="1"/>
    <xf numFmtId="0" fontId="12" fillId="28" borderId="76" xfId="0" applyFont="1" applyFill="1" applyBorder="1"/>
    <xf numFmtId="0" fontId="0" fillId="28" borderId="76" xfId="0" applyFill="1" applyBorder="1"/>
    <xf numFmtId="3" fontId="6" fillId="28" borderId="76" xfId="0" applyNumberFormat="1" applyFont="1" applyFill="1" applyBorder="1" applyAlignment="1">
      <alignment horizontal="center" vertical="center"/>
    </xf>
    <xf numFmtId="0" fontId="0" fillId="28" borderId="77" xfId="0" applyFill="1" applyBorder="1"/>
    <xf numFmtId="0" fontId="8" fillId="28" borderId="12" xfId="0" applyFont="1" applyFill="1" applyBorder="1"/>
    <xf numFmtId="0" fontId="12" fillId="28" borderId="0" xfId="0" applyFont="1" applyFill="1" applyBorder="1"/>
    <xf numFmtId="0" fontId="0" fillId="28" borderId="0" xfId="0" applyFill="1" applyBorder="1"/>
    <xf numFmtId="3" fontId="6" fillId="28" borderId="0" xfId="0" applyNumberFormat="1" applyFont="1" applyFill="1" applyBorder="1" applyAlignment="1">
      <alignment horizontal="center" vertical="center"/>
    </xf>
    <xf numFmtId="0" fontId="0" fillId="28" borderId="13" xfId="0" applyFill="1" applyBorder="1"/>
    <xf numFmtId="0" fontId="12" fillId="28" borderId="12" xfId="0" applyFont="1" applyFill="1" applyBorder="1"/>
    <xf numFmtId="0" fontId="8" fillId="28" borderId="0" xfId="0" applyFont="1" applyFill="1" applyBorder="1"/>
    <xf numFmtId="0" fontId="6" fillId="28" borderId="0" xfId="0" applyFont="1" applyFill="1" applyBorder="1" applyAlignment="1">
      <alignment vertical="center"/>
    </xf>
    <xf numFmtId="0" fontId="0" fillId="28" borderId="0" xfId="0" applyFill="1" applyBorder="1" applyAlignment="1">
      <alignment vertical="center"/>
    </xf>
    <xf numFmtId="0" fontId="6" fillId="28" borderId="0" xfId="53" applyFont="1" applyFill="1" applyBorder="1" applyAlignment="1">
      <alignment vertical="center"/>
    </xf>
    <xf numFmtId="0" fontId="12" fillId="28" borderId="17" xfId="0" applyFont="1" applyFill="1" applyBorder="1"/>
    <xf numFmtId="0" fontId="12" fillId="28" borderId="18" xfId="0" applyFont="1" applyFill="1" applyBorder="1"/>
    <xf numFmtId="0" fontId="0" fillId="28" borderId="18" xfId="0" applyFill="1" applyBorder="1"/>
    <xf numFmtId="3" fontId="6" fillId="28" borderId="18" xfId="0" applyNumberFormat="1" applyFont="1" applyFill="1" applyBorder="1" applyAlignment="1">
      <alignment horizontal="center" vertical="center"/>
    </xf>
    <xf numFmtId="0" fontId="0" fillId="28" borderId="27" xfId="0" applyFill="1" applyBorder="1"/>
    <xf numFmtId="0" fontId="3" fillId="20" borderId="0" xfId="0" applyFont="1" applyFill="1" applyBorder="1" applyAlignment="1">
      <alignment horizontal="center" vertical="top" wrapText="1"/>
    </xf>
    <xf numFmtId="0" fontId="0" fillId="28" borderId="0" xfId="0" applyFill="1" applyAlignment="1"/>
    <xf numFmtId="0" fontId="6" fillId="28" borderId="0" xfId="0" applyFont="1" applyFill="1" applyBorder="1"/>
    <xf numFmtId="0" fontId="16" fillId="21" borderId="0" xfId="25" applyFill="1"/>
    <xf numFmtId="0" fontId="16" fillId="21" borderId="0" xfId="25" applyFill="1" applyBorder="1"/>
    <xf numFmtId="0" fontId="62" fillId="21" borderId="0" xfId="25" applyFont="1" applyFill="1" applyBorder="1"/>
    <xf numFmtId="4" fontId="16" fillId="21" borderId="0" xfId="25" applyNumberFormat="1" applyFill="1"/>
    <xf numFmtId="0" fontId="63" fillId="0" borderId="0" xfId="0" applyFont="1"/>
    <xf numFmtId="0" fontId="64" fillId="21" borderId="0" xfId="25" applyFont="1" applyFill="1"/>
    <xf numFmtId="0" fontId="64" fillId="21" borderId="0" xfId="25" applyFont="1" applyFill="1" applyBorder="1"/>
    <xf numFmtId="0" fontId="64" fillId="21" borderId="0" xfId="25" applyFont="1" applyFill="1" applyBorder="1" applyAlignment="1">
      <alignment horizontal="right"/>
    </xf>
    <xf numFmtId="4" fontId="64" fillId="21" borderId="0" xfId="25" applyNumberFormat="1" applyFont="1" applyFill="1" applyBorder="1"/>
    <xf numFmtId="0" fontId="8" fillId="19" borderId="0" xfId="0" applyFont="1" applyFill="1" applyBorder="1" applyAlignment="1">
      <alignment vertical="top"/>
    </xf>
    <xf numFmtId="0" fontId="8" fillId="19" borderId="0" xfId="0" applyFont="1" applyFill="1" applyBorder="1" applyAlignment="1">
      <alignment horizontal="left" vertical="top"/>
    </xf>
    <xf numFmtId="0" fontId="11" fillId="19" borderId="0" xfId="0" applyFont="1" applyFill="1" applyBorder="1" applyAlignment="1">
      <alignment horizontal="center"/>
    </xf>
    <xf numFmtId="3" fontId="11" fillId="22" borderId="0" xfId="0" applyNumberFormat="1" applyFont="1" applyFill="1" applyBorder="1" applyAlignment="1">
      <alignment horizontal="right" vertical="center" indent="1"/>
    </xf>
    <xf numFmtId="0" fontId="12" fillId="19" borderId="0" xfId="0" applyFont="1" applyFill="1" applyBorder="1" applyAlignment="1">
      <alignment horizontal="center"/>
    </xf>
    <xf numFmtId="3" fontId="8" fillId="19" borderId="0" xfId="0" applyNumberFormat="1" applyFont="1" applyFill="1" applyBorder="1" applyAlignment="1">
      <alignment horizontal="center" vertical="center" wrapText="1"/>
    </xf>
    <xf numFmtId="0" fontId="11" fillId="19" borderId="0" xfId="0" applyFont="1" applyFill="1" applyBorder="1" applyAlignment="1">
      <alignment horizontal="center" wrapText="1"/>
    </xf>
    <xf numFmtId="0" fontId="8" fillId="19" borderId="0" xfId="0" applyFont="1" applyFill="1" applyBorder="1" applyAlignment="1">
      <alignment horizontal="left"/>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8" fillId="19" borderId="0" xfId="0" applyNumberFormat="1" applyFont="1" applyFill="1" applyBorder="1" applyAlignment="1">
      <alignment horizontal="center" vertical="center"/>
    </xf>
    <xf numFmtId="3" fontId="8" fillId="19" borderId="0" xfId="0" applyNumberFormat="1" applyFont="1" applyFill="1" applyBorder="1" applyAlignment="1">
      <alignment horizontal="right" vertical="center" indent="1"/>
    </xf>
    <xf numFmtId="0" fontId="6" fillId="19" borderId="0" xfId="0" applyFont="1" applyFill="1" applyBorder="1" applyProtection="1"/>
    <xf numFmtId="3" fontId="11" fillId="22" borderId="0" xfId="0" applyNumberFormat="1" applyFont="1" applyFill="1" applyBorder="1" applyAlignment="1" applyProtection="1">
      <alignment horizontal="right" vertical="center" indent="1"/>
    </xf>
    <xf numFmtId="3" fontId="12" fillId="22" borderId="0" xfId="0" applyNumberFormat="1" applyFont="1" applyFill="1" applyBorder="1" applyAlignment="1" applyProtection="1">
      <alignment horizontal="right" vertical="center" indent="1"/>
    </xf>
    <xf numFmtId="3" fontId="11" fillId="30" borderId="0" xfId="0" applyNumberFormat="1" applyFont="1" applyFill="1" applyBorder="1" applyAlignment="1" applyProtection="1">
      <alignment horizontal="right" vertical="center" indent="1"/>
    </xf>
    <xf numFmtId="0" fontId="12" fillId="19" borderId="0" xfId="0" applyFont="1" applyFill="1" applyBorder="1" applyProtection="1"/>
    <xf numFmtId="0" fontId="0" fillId="19" borderId="43" xfId="0" applyFill="1" applyBorder="1" applyProtection="1"/>
    <xf numFmtId="0" fontId="0" fillId="30" borderId="43" xfId="0" applyFill="1" applyBorder="1" applyProtection="1"/>
    <xf numFmtId="3" fontId="12" fillId="19" borderId="38" xfId="0" applyNumberFormat="1" applyFont="1" applyFill="1" applyBorder="1" applyAlignment="1" applyProtection="1">
      <alignment horizontal="right" vertical="center" indent="1"/>
    </xf>
    <xf numFmtId="3" fontId="12" fillId="30" borderId="38" xfId="0" applyNumberFormat="1" applyFont="1" applyFill="1" applyBorder="1" applyAlignment="1" applyProtection="1">
      <alignment horizontal="right" vertical="center" indent="1"/>
    </xf>
    <xf numFmtId="0" fontId="0" fillId="19" borderId="66" xfId="0" applyFill="1" applyBorder="1" applyProtection="1"/>
    <xf numFmtId="0" fontId="12" fillId="19" borderId="0" xfId="0" applyFont="1" applyFill="1" applyBorder="1" applyAlignment="1" applyProtection="1">
      <alignment horizontal="center"/>
    </xf>
    <xf numFmtId="0" fontId="11" fillId="19" borderId="0" xfId="0" applyFont="1" applyFill="1" applyBorder="1" applyAlignment="1" applyProtection="1">
      <alignment horizontal="center"/>
    </xf>
    <xf numFmtId="0" fontId="12" fillId="19" borderId="0" xfId="0" applyFont="1" applyFill="1" applyBorder="1" applyAlignment="1" applyProtection="1"/>
    <xf numFmtId="0" fontId="12" fillId="19" borderId="43" xfId="0" applyFont="1" applyFill="1" applyBorder="1" applyProtection="1"/>
    <xf numFmtId="3" fontId="12" fillId="23" borderId="0" xfId="0" applyNumberFormat="1" applyFont="1" applyFill="1" applyBorder="1" applyAlignment="1" applyProtection="1">
      <alignment horizontal="right" vertical="center" indent="1"/>
    </xf>
    <xf numFmtId="3" fontId="12" fillId="19" borderId="43" xfId="0" applyNumberFormat="1" applyFont="1" applyFill="1" applyBorder="1" applyAlignment="1" applyProtection="1">
      <alignment horizontal="right" vertical="center" indent="1"/>
    </xf>
    <xf numFmtId="3" fontId="12" fillId="19" borderId="18" xfId="0" applyNumberFormat="1" applyFont="1" applyFill="1" applyBorder="1" applyAlignment="1" applyProtection="1">
      <alignment horizontal="right" vertical="center" indent="1"/>
    </xf>
    <xf numFmtId="3" fontId="12" fillId="19" borderId="72" xfId="0" applyNumberFormat="1" applyFont="1" applyFill="1" applyBorder="1" applyAlignment="1" applyProtection="1">
      <alignment horizontal="right" vertical="center" indent="1"/>
    </xf>
    <xf numFmtId="3" fontId="12" fillId="22" borderId="18" xfId="0" applyNumberFormat="1" applyFont="1" applyFill="1" applyBorder="1" applyAlignment="1" applyProtection="1">
      <alignment horizontal="right" vertical="center" indent="1"/>
    </xf>
    <xf numFmtId="0" fontId="0" fillId="19" borderId="0" xfId="0" applyFill="1" applyBorder="1" applyProtection="1"/>
    <xf numFmtId="0" fontId="40" fillId="24" borderId="66" xfId="0" applyFont="1" applyFill="1" applyBorder="1" applyProtection="1"/>
    <xf numFmtId="0" fontId="40" fillId="24" borderId="0" xfId="0" applyFont="1" applyFill="1" applyBorder="1" applyProtection="1"/>
    <xf numFmtId="3" fontId="40" fillId="24" borderId="0" xfId="0" applyNumberFormat="1" applyFont="1" applyFill="1" applyBorder="1" applyProtection="1"/>
    <xf numFmtId="3" fontId="40" fillId="24" borderId="0" xfId="0" applyNumberFormat="1" applyFont="1" applyFill="1" applyBorder="1" applyAlignment="1" applyProtection="1">
      <alignment horizontal="right" indent="1"/>
    </xf>
    <xf numFmtId="0" fontId="12" fillId="30" borderId="43" xfId="0" applyFont="1" applyFill="1" applyBorder="1" applyProtection="1"/>
    <xf numFmtId="3" fontId="12" fillId="30" borderId="43" xfId="0" applyNumberFormat="1" applyFont="1" applyFill="1" applyBorder="1" applyAlignment="1" applyProtection="1">
      <alignment horizontal="right" vertical="center" indent="1"/>
    </xf>
    <xf numFmtId="3" fontId="12" fillId="30" borderId="18" xfId="0" applyNumberFormat="1" applyFont="1" applyFill="1" applyBorder="1" applyAlignment="1" applyProtection="1">
      <alignment horizontal="right" vertical="center" indent="1"/>
    </xf>
    <xf numFmtId="3" fontId="12" fillId="30" borderId="72" xfId="0" applyNumberFormat="1" applyFont="1" applyFill="1" applyBorder="1" applyAlignment="1" applyProtection="1">
      <alignment horizontal="right" vertical="center" indent="1"/>
    </xf>
    <xf numFmtId="0" fontId="12" fillId="19" borderId="0" xfId="0" applyFont="1" applyFill="1" applyBorder="1" applyAlignment="1" applyProtection="1">
      <alignment vertical="top"/>
    </xf>
    <xf numFmtId="3" fontId="6" fillId="19" borderId="0" xfId="0" applyNumberFormat="1" applyFont="1" applyFill="1" applyBorder="1" applyAlignment="1" applyProtection="1">
      <alignment horizontal="right" vertical="center" indent="1"/>
    </xf>
    <xf numFmtId="3" fontId="8" fillId="23" borderId="0" xfId="0" applyNumberFormat="1" applyFont="1" applyFill="1" applyBorder="1" applyAlignment="1" applyProtection="1">
      <alignment horizontal="right" vertical="center" indent="1"/>
    </xf>
    <xf numFmtId="0" fontId="44" fillId="19" borderId="0" xfId="0" applyFont="1" applyFill="1" applyBorder="1" applyAlignment="1" applyProtection="1">
      <alignment vertical="top"/>
    </xf>
    <xf numFmtId="3" fontId="8" fillId="22" borderId="0" xfId="0" applyNumberFormat="1" applyFont="1" applyFill="1" applyBorder="1" applyAlignment="1" applyProtection="1">
      <alignment horizontal="right" vertical="center" indent="1"/>
    </xf>
    <xf numFmtId="3" fontId="8" fillId="19" borderId="0" xfId="0" applyNumberFormat="1" applyFont="1" applyFill="1" applyBorder="1" applyAlignment="1" applyProtection="1">
      <alignment horizontal="right" vertical="center" indent="1"/>
    </xf>
    <xf numFmtId="3" fontId="11" fillId="19" borderId="0" xfId="0" applyNumberFormat="1" applyFont="1" applyFill="1" applyBorder="1" applyAlignment="1" applyProtection="1">
      <alignment horizontal="right" vertical="center" indent="1"/>
    </xf>
    <xf numFmtId="3" fontId="11" fillId="22" borderId="18" xfId="0" applyNumberFormat="1" applyFont="1" applyFill="1" applyBorder="1" applyAlignment="1" applyProtection="1">
      <alignment horizontal="right" vertical="center" indent="1"/>
    </xf>
    <xf numFmtId="3" fontId="11" fillId="30" borderId="18" xfId="0" applyNumberFormat="1" applyFont="1" applyFill="1" applyBorder="1" applyAlignment="1" applyProtection="1">
      <alignment horizontal="right" vertical="center" indent="1"/>
    </xf>
    <xf numFmtId="3" fontId="12" fillId="19" borderId="19" xfId="0" applyNumberFormat="1" applyFont="1" applyFill="1" applyBorder="1" applyAlignment="1" applyProtection="1">
      <alignment horizontal="right" vertical="center" indent="1"/>
    </xf>
    <xf numFmtId="3" fontId="11" fillId="19" borderId="19" xfId="0" applyNumberFormat="1" applyFont="1" applyFill="1" applyBorder="1" applyAlignment="1" applyProtection="1">
      <alignment horizontal="right" vertical="center" indent="1"/>
    </xf>
    <xf numFmtId="3" fontId="12" fillId="30" borderId="19" xfId="0" applyNumberFormat="1" applyFont="1" applyFill="1" applyBorder="1" applyAlignment="1" applyProtection="1">
      <alignment horizontal="right" vertical="center" indent="1"/>
    </xf>
    <xf numFmtId="3" fontId="11" fillId="30" borderId="19" xfId="0" applyNumberFormat="1" applyFont="1" applyFill="1" applyBorder="1" applyAlignment="1" applyProtection="1">
      <alignment horizontal="right" vertical="center" indent="1"/>
    </xf>
    <xf numFmtId="3" fontId="12" fillId="19" borderId="15" xfId="0" applyNumberFormat="1" applyFont="1" applyFill="1" applyBorder="1" applyAlignment="1" applyProtection="1">
      <alignment horizontal="right" vertical="center" indent="1"/>
    </xf>
    <xf numFmtId="3" fontId="12" fillId="19" borderId="22" xfId="0" applyNumberFormat="1" applyFont="1" applyFill="1" applyBorder="1" applyAlignment="1" applyProtection="1">
      <alignment horizontal="right" vertical="center" indent="1"/>
    </xf>
    <xf numFmtId="3" fontId="12" fillId="30" borderId="22" xfId="0" applyNumberFormat="1" applyFont="1" applyFill="1" applyBorder="1" applyAlignment="1" applyProtection="1">
      <alignment horizontal="right" vertical="center" indent="1"/>
    </xf>
    <xf numFmtId="49" fontId="44" fillId="19" borderId="0" xfId="0" applyNumberFormat="1" applyFont="1" applyFill="1" applyBorder="1" applyAlignment="1" applyProtection="1">
      <alignment vertical="center"/>
    </xf>
    <xf numFmtId="0" fontId="6" fillId="19" borderId="12" xfId="0" applyFont="1" applyFill="1" applyBorder="1" applyProtection="1"/>
    <xf numFmtId="0" fontId="6" fillId="19" borderId="0" xfId="0" applyFont="1" applyFill="1" applyBorder="1" applyAlignment="1" applyProtection="1">
      <alignment vertical="top"/>
    </xf>
    <xf numFmtId="0" fontId="11" fillId="19" borderId="0" xfId="0" applyFont="1" applyFill="1" applyBorder="1" applyAlignment="1">
      <alignment horizontal="center"/>
    </xf>
    <xf numFmtId="0" fontId="65" fillId="21" borderId="0" xfId="0" applyFont="1" applyFill="1" applyBorder="1" applyAlignment="1">
      <alignment horizontal="center"/>
    </xf>
    <xf numFmtId="0" fontId="65" fillId="21" borderId="0" xfId="0" applyFont="1" applyFill="1" applyBorder="1"/>
    <xf numFmtId="0" fontId="65" fillId="0" borderId="0" xfId="0" applyFont="1"/>
    <xf numFmtId="0" fontId="66" fillId="31" borderId="0" xfId="0" applyFont="1" applyFill="1" applyBorder="1" applyAlignment="1">
      <alignment horizontal="center"/>
    </xf>
    <xf numFmtId="0" fontId="66" fillId="31" borderId="0" xfId="0" applyFont="1" applyFill="1" applyBorder="1"/>
    <xf numFmtId="0" fontId="66" fillId="31" borderId="0" xfId="0" applyFont="1" applyFill="1"/>
    <xf numFmtId="0" fontId="66" fillId="31" borderId="59" xfId="0" applyFont="1" applyFill="1" applyBorder="1"/>
    <xf numFmtId="0" fontId="67" fillId="31" borderId="0" xfId="0" applyFont="1" applyFill="1" applyBorder="1"/>
    <xf numFmtId="0" fontId="66" fillId="31" borderId="61" xfId="0" applyFont="1" applyFill="1" applyBorder="1"/>
    <xf numFmtId="0" fontId="66" fillId="31" borderId="62" xfId="0" applyFont="1" applyFill="1" applyBorder="1"/>
    <xf numFmtId="0" fontId="66" fillId="31" borderId="60" xfId="0" applyFont="1" applyFill="1" applyBorder="1"/>
    <xf numFmtId="0" fontId="66" fillId="31" borderId="63" xfId="0" applyFont="1" applyFill="1" applyBorder="1"/>
    <xf numFmtId="3" fontId="11" fillId="22" borderId="0" xfId="0" applyNumberFormat="1" applyFont="1" applyFill="1" applyBorder="1" applyAlignment="1">
      <alignment horizontal="right" vertical="center" indent="1"/>
    </xf>
    <xf numFmtId="0" fontId="6" fillId="19" borderId="27" xfId="0" applyFont="1" applyFill="1" applyBorder="1"/>
    <xf numFmtId="0" fontId="44" fillId="19" borderId="0" xfId="0" applyFont="1" applyFill="1" applyBorder="1"/>
    <xf numFmtId="3" fontId="45" fillId="21" borderId="0" xfId="0" applyNumberFormat="1" applyFont="1" applyFill="1"/>
    <xf numFmtId="0" fontId="45" fillId="21" borderId="0" xfId="0" applyFont="1" applyFill="1"/>
    <xf numFmtId="3" fontId="45" fillId="0" borderId="0" xfId="0" applyNumberFormat="1" applyFont="1"/>
    <xf numFmtId="0" fontId="63" fillId="21" borderId="0" xfId="0" applyFont="1" applyFill="1"/>
    <xf numFmtId="3" fontId="6" fillId="28" borderId="0" xfId="0" applyNumberFormat="1" applyFont="1" applyFill="1" applyBorder="1" applyAlignment="1">
      <alignment horizontal="center"/>
    </xf>
    <xf numFmtId="3" fontId="8" fillId="28" borderId="0" xfId="0" applyNumberFormat="1" applyFont="1" applyFill="1" applyBorder="1" applyAlignment="1">
      <alignment horizontal="center" wrapText="1"/>
    </xf>
    <xf numFmtId="3" fontId="6" fillId="28" borderId="0" xfId="0" applyNumberFormat="1" applyFont="1" applyFill="1" applyBorder="1" applyAlignment="1">
      <alignment horizontal="right"/>
    </xf>
    <xf numFmtId="0" fontId="6" fillId="32" borderId="0" xfId="0" applyFont="1" applyFill="1" applyBorder="1" applyAlignment="1">
      <alignment vertical="top"/>
    </xf>
    <xf numFmtId="0" fontId="6" fillId="32" borderId="0" xfId="0" applyFont="1" applyFill="1"/>
    <xf numFmtId="0" fontId="6" fillId="32" borderId="0" xfId="0" applyFont="1" applyFill="1" applyBorder="1" applyAlignment="1"/>
    <xf numFmtId="3" fontId="6" fillId="32" borderId="0" xfId="0" applyNumberFormat="1" applyFont="1" applyFill="1" applyBorder="1" applyAlignment="1">
      <alignment horizontal="right" vertical="center" indent="1"/>
    </xf>
    <xf numFmtId="3" fontId="12" fillId="32" borderId="0" xfId="0" applyNumberFormat="1" applyFont="1" applyFill="1" applyBorder="1" applyAlignment="1" applyProtection="1">
      <alignment horizontal="right" vertical="center" indent="1"/>
    </xf>
    <xf numFmtId="0" fontId="7" fillId="20" borderId="0" xfId="0" applyFont="1" applyFill="1" applyBorder="1" applyAlignment="1">
      <alignment horizontal="center"/>
    </xf>
    <xf numFmtId="0" fontId="6" fillId="20" borderId="0" xfId="0" applyFont="1" applyFill="1" applyBorder="1" applyAlignment="1">
      <alignment horizontal="center"/>
    </xf>
    <xf numFmtId="0" fontId="63" fillId="17" borderId="0" xfId="0" applyFont="1" applyFill="1"/>
    <xf numFmtId="0" fontId="3" fillId="20" borderId="18" xfId="0" applyFont="1" applyFill="1" applyBorder="1" applyAlignment="1">
      <alignment horizontal="right"/>
    </xf>
    <xf numFmtId="167" fontId="2" fillId="20" borderId="18" xfId="0" applyNumberFormat="1" applyFont="1" applyFill="1" applyBorder="1" applyAlignment="1">
      <alignment horizontal="left"/>
    </xf>
    <xf numFmtId="167" fontId="3" fillId="20" borderId="18" xfId="0" applyNumberFormat="1" applyFont="1" applyFill="1" applyBorder="1" applyAlignment="1">
      <alignment horizontal="left"/>
    </xf>
    <xf numFmtId="0" fontId="6" fillId="20" borderId="18" xfId="0" applyFont="1" applyFill="1" applyBorder="1" applyAlignment="1">
      <alignment horizontal="right"/>
    </xf>
    <xf numFmtId="0" fontId="6" fillId="22" borderId="0" xfId="0" applyFont="1" applyFill="1" applyBorder="1" applyAlignment="1">
      <alignment vertical="center"/>
    </xf>
    <xf numFmtId="0" fontId="8" fillId="19" borderId="0" xfId="0" applyFont="1" applyFill="1" applyBorder="1" applyAlignment="1">
      <alignment vertical="top"/>
    </xf>
    <xf numFmtId="1" fontId="66" fillId="0" borderId="0" xfId="0" applyNumberFormat="1" applyFont="1"/>
    <xf numFmtId="1" fontId="66" fillId="21" borderId="0" xfId="0" applyNumberFormat="1" applyFont="1" applyFill="1"/>
    <xf numFmtId="1" fontId="66" fillId="21" borderId="0" xfId="0" applyNumberFormat="1" applyFont="1" applyFill="1" applyAlignment="1">
      <alignment vertical="center"/>
    </xf>
    <xf numFmtId="1" fontId="66" fillId="0" borderId="0" xfId="0" applyNumberFormat="1" applyFont="1" applyAlignment="1">
      <alignment vertical="center"/>
    </xf>
    <xf numFmtId="0" fontId="8" fillId="19" borderId="0" xfId="0" applyFont="1" applyFill="1" applyBorder="1" applyAlignment="1">
      <alignment vertical="top"/>
    </xf>
    <xf numFmtId="0" fontId="3" fillId="20" borderId="77" xfId="0" applyFont="1" applyFill="1" applyBorder="1" applyAlignment="1">
      <alignment horizontal="center" vertical="top" wrapText="1"/>
    </xf>
    <xf numFmtId="0" fontId="3" fillId="20" borderId="76" xfId="0" applyFont="1" applyFill="1" applyBorder="1" applyAlignment="1">
      <alignment horizontal="center" vertical="top" wrapText="1"/>
    </xf>
    <xf numFmtId="0" fontId="12" fillId="19" borderId="17" xfId="0" applyFont="1" applyFill="1" applyBorder="1"/>
    <xf numFmtId="0" fontId="12" fillId="19" borderId="27" xfId="0" applyFont="1" applyFill="1" applyBorder="1"/>
    <xf numFmtId="0" fontId="2" fillId="19" borderId="16" xfId="0" applyFont="1" applyFill="1" applyBorder="1"/>
    <xf numFmtId="0" fontId="2" fillId="19" borderId="13" xfId="0" applyFont="1" applyFill="1" applyBorder="1"/>
    <xf numFmtId="0" fontId="2" fillId="19" borderId="27" xfId="0" applyFont="1" applyFill="1" applyBorder="1"/>
    <xf numFmtId="0" fontId="8" fillId="19" borderId="72" xfId="0" applyFont="1" applyFill="1" applyBorder="1" applyAlignment="1">
      <alignment vertical="top"/>
    </xf>
    <xf numFmtId="1" fontId="0" fillId="0" borderId="0" xfId="0" applyNumberFormat="1"/>
    <xf numFmtId="0" fontId="3" fillId="0" borderId="0" xfId="0" applyFont="1"/>
    <xf numFmtId="0" fontId="2" fillId="25" borderId="0" xfId="0" applyFont="1" applyFill="1" applyBorder="1"/>
    <xf numFmtId="0" fontId="3" fillId="33" borderId="81" xfId="0" applyFont="1" applyFill="1" applyBorder="1"/>
    <xf numFmtId="0" fontId="3" fillId="33" borderId="81" xfId="0" applyFont="1" applyFill="1" applyBorder="1" applyAlignment="1">
      <alignment horizontal="center" wrapText="1"/>
    </xf>
    <xf numFmtId="1" fontId="3" fillId="33" borderId="81" xfId="0" applyNumberFormat="1" applyFont="1" applyFill="1" applyBorder="1" applyAlignment="1">
      <alignment horizontal="center" wrapText="1"/>
    </xf>
    <xf numFmtId="0" fontId="3" fillId="20" borderId="81" xfId="0" applyFont="1" applyFill="1" applyBorder="1" applyAlignment="1">
      <alignment horizontal="center"/>
    </xf>
    <xf numFmtId="1" fontId="3" fillId="33" borderId="81" xfId="0" applyNumberFormat="1" applyFont="1" applyFill="1" applyBorder="1" applyAlignment="1">
      <alignment horizontal="center" vertical="center" wrapText="1"/>
    </xf>
    <xf numFmtId="0" fontId="0" fillId="0" borderId="0" xfId="0" applyBorder="1"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3" fillId="0" borderId="12" xfId="0" applyFont="1" applyBorder="1"/>
    <xf numFmtId="0" fontId="2" fillId="0" borderId="0" xfId="0" applyFont="1" applyBorder="1" applyAlignment="1">
      <alignment vertical="center" wrapText="1"/>
    </xf>
    <xf numFmtId="0" fontId="2" fillId="0" borderId="13" xfId="0" applyFont="1" applyBorder="1" applyAlignment="1">
      <alignment vertical="center" wrapText="1"/>
    </xf>
    <xf numFmtId="0" fontId="58" fillId="0" borderId="12" xfId="54" applyBorder="1" applyAlignment="1">
      <alignment vertical="center" wrapText="1"/>
    </xf>
    <xf numFmtId="0" fontId="2" fillId="0" borderId="12" xfId="0" applyFont="1" applyBorder="1" applyAlignment="1">
      <alignment vertical="center" wrapText="1"/>
    </xf>
    <xf numFmtId="0" fontId="69" fillId="0" borderId="12" xfId="0" applyFont="1" applyBorder="1" applyAlignment="1">
      <alignment horizontal="justify" vertical="center"/>
    </xf>
    <xf numFmtId="0" fontId="2"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0" fontId="3" fillId="21" borderId="0" xfId="0" applyFont="1" applyFill="1"/>
    <xf numFmtId="0" fontId="3" fillId="21" borderId="0" xfId="0" applyFont="1" applyFill="1" applyAlignment="1">
      <alignment wrapText="1"/>
    </xf>
    <xf numFmtId="0" fontId="3" fillId="21" borderId="0" xfId="0" applyFont="1" applyFill="1" applyBorder="1"/>
    <xf numFmtId="1" fontId="3" fillId="21" borderId="0" xfId="0" applyNumberFormat="1" applyFont="1" applyFill="1"/>
    <xf numFmtId="1" fontId="3" fillId="33" borderId="81" xfId="0" applyNumberFormat="1" applyFont="1" applyFill="1" applyBorder="1" applyAlignment="1">
      <alignment horizontal="center" wrapText="1"/>
    </xf>
    <xf numFmtId="0" fontId="70" fillId="23" borderId="0" xfId="0" applyFont="1" applyFill="1" applyBorder="1" applyAlignment="1">
      <alignment vertical="top"/>
    </xf>
    <xf numFmtId="0" fontId="35" fillId="21" borderId="0" xfId="55" applyFont="1" applyFill="1" applyBorder="1" applyProtection="1"/>
    <xf numFmtId="168" fontId="32" fillId="21" borderId="0" xfId="55" applyNumberFormat="1" applyFont="1" applyFill="1" applyBorder="1" applyProtection="1"/>
    <xf numFmtId="0" fontId="32" fillId="21" borderId="0" xfId="55" applyFont="1" applyFill="1" applyBorder="1" applyProtection="1"/>
    <xf numFmtId="0" fontId="6" fillId="21" borderId="0" xfId="55" applyFont="1" applyFill="1" applyBorder="1" applyProtection="1"/>
    <xf numFmtId="0" fontId="0" fillId="21" borderId="0" xfId="55" applyFont="1" applyFill="1" applyBorder="1" applyProtection="1"/>
    <xf numFmtId="0" fontId="0" fillId="0" borderId="0" xfId="55" applyFont="1" applyBorder="1" applyProtection="1"/>
    <xf numFmtId="0" fontId="0" fillId="19" borderId="12" xfId="55" applyFont="1" applyFill="1" applyBorder="1" applyProtection="1"/>
    <xf numFmtId="0" fontId="8" fillId="19" borderId="0" xfId="55" applyFont="1" applyFill="1" applyBorder="1" applyAlignment="1" applyProtection="1">
      <alignment horizontal="left" vertical="center"/>
    </xf>
    <xf numFmtId="0" fontId="3" fillId="19" borderId="0" xfId="55" applyFont="1" applyFill="1" applyBorder="1" applyAlignment="1" applyProtection="1">
      <alignment horizontal="left" vertical="center"/>
    </xf>
    <xf numFmtId="0" fontId="0" fillId="19" borderId="0" xfId="55" applyFont="1" applyFill="1" applyBorder="1" applyProtection="1"/>
    <xf numFmtId="3" fontId="71" fillId="19" borderId="0" xfId="55" applyNumberFormat="1" applyFont="1" applyFill="1" applyBorder="1" applyAlignment="1" applyProtection="1">
      <alignment horizontal="right" vertical="center"/>
    </xf>
    <xf numFmtId="0" fontId="72" fillId="19" borderId="0" xfId="55" applyFont="1" applyFill="1" applyBorder="1" applyAlignment="1" applyProtection="1">
      <alignment horizontal="right" vertical="center"/>
    </xf>
    <xf numFmtId="3" fontId="72" fillId="19" borderId="0" xfId="55" applyNumberFormat="1" applyFont="1" applyFill="1" applyBorder="1" applyAlignment="1" applyProtection="1">
      <alignment horizontal="right" vertical="center"/>
    </xf>
    <xf numFmtId="0" fontId="3" fillId="19" borderId="0" xfId="55" applyFont="1" applyFill="1" applyBorder="1" applyAlignment="1" applyProtection="1">
      <alignment horizontal="center"/>
    </xf>
    <xf numFmtId="0" fontId="0" fillId="19" borderId="0" xfId="55" applyFont="1" applyFill="1" applyBorder="1" applyAlignment="1" applyProtection="1">
      <alignment vertical="center"/>
    </xf>
    <xf numFmtId="0" fontId="0" fillId="19" borderId="13" xfId="55" applyFont="1" applyFill="1" applyBorder="1" applyProtection="1"/>
    <xf numFmtId="0" fontId="35" fillId="21" borderId="0" xfId="55" applyFont="1" applyFill="1" applyAlignment="1" applyProtection="1">
      <alignment vertical="center"/>
    </xf>
    <xf numFmtId="168" fontId="32" fillId="21" borderId="0" xfId="55" applyNumberFormat="1" applyFont="1" applyFill="1" applyProtection="1"/>
    <xf numFmtId="0" fontId="32" fillId="21" borderId="0" xfId="55" applyFont="1" applyFill="1" applyProtection="1"/>
    <xf numFmtId="0" fontId="6" fillId="21" borderId="0" xfId="55" applyFont="1" applyFill="1" applyProtection="1"/>
    <xf numFmtId="0" fontId="0" fillId="21" borderId="0" xfId="55" applyFont="1" applyFill="1" applyProtection="1"/>
    <xf numFmtId="0" fontId="0" fillId="0" borderId="0" xfId="55" applyFont="1" applyProtection="1"/>
    <xf numFmtId="0" fontId="31" fillId="19" borderId="0" xfId="55" applyFont="1" applyFill="1" applyBorder="1" applyAlignment="1" applyProtection="1">
      <alignment vertical="center"/>
    </xf>
    <xf numFmtId="0" fontId="73" fillId="21" borderId="0" xfId="0" applyFont="1" applyFill="1" applyProtection="1"/>
    <xf numFmtId="0" fontId="44" fillId="21" borderId="0" xfId="55" applyFont="1" applyFill="1" applyProtection="1"/>
    <xf numFmtId="0" fontId="74" fillId="19" borderId="0" xfId="55" applyFont="1" applyFill="1" applyBorder="1" applyAlignment="1" applyProtection="1">
      <alignment vertical="center"/>
    </xf>
    <xf numFmtId="0" fontId="44" fillId="21" borderId="0" xfId="0" applyFont="1" applyFill="1" applyProtection="1"/>
    <xf numFmtId="0" fontId="75" fillId="19" borderId="0" xfId="55" applyFont="1" applyFill="1" applyBorder="1" applyAlignment="1" applyProtection="1">
      <alignment horizontal="left" vertical="center"/>
    </xf>
    <xf numFmtId="0" fontId="76" fillId="19" borderId="0" xfId="55" applyFont="1" applyFill="1" applyBorder="1" applyAlignment="1" applyProtection="1">
      <alignment horizontal="left" vertical="top" wrapText="1"/>
    </xf>
    <xf numFmtId="0" fontId="76" fillId="19" borderId="58" xfId="55" applyFont="1" applyFill="1" applyBorder="1" applyAlignment="1" applyProtection="1">
      <alignment horizontal="left" vertical="top" wrapText="1"/>
    </xf>
    <xf numFmtId="0" fontId="0" fillId="19" borderId="0" xfId="55" applyFont="1" applyFill="1" applyBorder="1" applyAlignment="1" applyProtection="1">
      <alignment horizontal="left" vertical="center"/>
    </xf>
    <xf numFmtId="0" fontId="76" fillId="19" borderId="59" xfId="55" applyFont="1" applyFill="1" applyBorder="1" applyAlignment="1" applyProtection="1">
      <alignment horizontal="left" vertical="top" wrapText="1"/>
    </xf>
    <xf numFmtId="0" fontId="32" fillId="19" borderId="61" xfId="55" applyFont="1" applyFill="1" applyBorder="1" applyAlignment="1" applyProtection="1">
      <alignment vertical="center"/>
    </xf>
    <xf numFmtId="0" fontId="32" fillId="19" borderId="0" xfId="55" applyFont="1" applyFill="1" applyBorder="1" applyAlignment="1" applyProtection="1">
      <alignment vertical="center"/>
    </xf>
    <xf numFmtId="0" fontId="0" fillId="19" borderId="61" xfId="55" applyFont="1" applyFill="1" applyBorder="1" applyAlignment="1" applyProtection="1">
      <alignment horizontal="left" vertical="center"/>
    </xf>
    <xf numFmtId="0" fontId="2" fillId="19" borderId="12" xfId="55" applyFont="1" applyFill="1" applyBorder="1" applyProtection="1"/>
    <xf numFmtId="0" fontId="75" fillId="19" borderId="58" xfId="55" applyFont="1" applyFill="1" applyBorder="1" applyAlignment="1" applyProtection="1">
      <alignment horizontal="left" vertical="center"/>
    </xf>
    <xf numFmtId="0" fontId="2" fillId="19" borderId="0" xfId="55" applyFont="1" applyFill="1" applyBorder="1" applyProtection="1"/>
    <xf numFmtId="0" fontId="3" fillId="19" borderId="59" xfId="55" applyFont="1" applyFill="1" applyBorder="1" applyAlignment="1" applyProtection="1">
      <alignment horizontal="left" vertical="center"/>
    </xf>
    <xf numFmtId="0" fontId="3" fillId="19" borderId="0" xfId="55" quotePrefix="1" applyFont="1" applyFill="1" applyBorder="1" applyAlignment="1" applyProtection="1">
      <alignment horizontal="center"/>
    </xf>
    <xf numFmtId="0" fontId="3" fillId="19" borderId="61" xfId="55" quotePrefix="1" applyFont="1" applyFill="1" applyBorder="1" applyAlignment="1" applyProtection="1">
      <alignment horizontal="center"/>
    </xf>
    <xf numFmtId="0" fontId="35" fillId="19" borderId="0" xfId="55" applyFont="1" applyFill="1" applyBorder="1" applyAlignment="1" applyProtection="1">
      <alignment vertical="center"/>
    </xf>
    <xf numFmtId="0" fontId="3" fillId="19" borderId="59" xfId="55" quotePrefix="1" applyFont="1" applyFill="1" applyBorder="1" applyAlignment="1" applyProtection="1">
      <alignment horizontal="center"/>
    </xf>
    <xf numFmtId="0" fontId="2" fillId="19" borderId="13" xfId="55" applyFont="1" applyFill="1" applyBorder="1" applyProtection="1"/>
    <xf numFmtId="168" fontId="35" fillId="21" borderId="0" xfId="55" applyNumberFormat="1" applyFont="1" applyFill="1" applyProtection="1"/>
    <xf numFmtId="0" fontId="35" fillId="21" borderId="0" xfId="55" applyFont="1" applyFill="1" applyProtection="1"/>
    <xf numFmtId="0" fontId="2" fillId="21" borderId="0" xfId="55" applyFont="1" applyFill="1" applyProtection="1"/>
    <xf numFmtId="0" fontId="2" fillId="0" borderId="0" xfId="55" applyFont="1" applyProtection="1"/>
    <xf numFmtId="0" fontId="3" fillId="19" borderId="58" xfId="55" applyFont="1" applyFill="1" applyBorder="1" applyAlignment="1" applyProtection="1">
      <alignment horizontal="left" vertical="center"/>
    </xf>
    <xf numFmtId="0" fontId="8" fillId="19" borderId="58" xfId="55" applyFont="1" applyFill="1" applyBorder="1" applyAlignment="1" applyProtection="1">
      <alignment horizontal="center" vertical="center"/>
    </xf>
    <xf numFmtId="0" fontId="3" fillId="19" borderId="0" xfId="55" applyFont="1" applyFill="1" applyBorder="1" applyAlignment="1" applyProtection="1">
      <alignment horizontal="center" vertical="center"/>
    </xf>
    <xf numFmtId="0" fontId="77" fillId="19" borderId="0" xfId="55" quotePrefix="1" applyFont="1" applyFill="1" applyBorder="1" applyAlignment="1" applyProtection="1">
      <alignment horizontal="center" vertical="center"/>
    </xf>
    <xf numFmtId="0" fontId="8" fillId="19" borderId="61" xfId="55" quotePrefix="1" applyFont="1" applyFill="1" applyBorder="1" applyAlignment="1" applyProtection="1">
      <alignment horizontal="center" vertical="center" wrapText="1"/>
    </xf>
    <xf numFmtId="0" fontId="8" fillId="19" borderId="0" xfId="55" applyFont="1" applyFill="1" applyBorder="1" applyAlignment="1" applyProtection="1">
      <alignment horizontal="center" vertical="center"/>
    </xf>
    <xf numFmtId="0" fontId="8" fillId="19" borderId="0" xfId="55" quotePrefix="1" applyFont="1" applyFill="1" applyBorder="1" applyAlignment="1" applyProtection="1">
      <alignment horizontal="center" vertical="center"/>
    </xf>
    <xf numFmtId="0" fontId="8" fillId="19" borderId="59" xfId="55" applyFont="1" applyFill="1" applyBorder="1" applyAlignment="1" applyProtection="1">
      <alignment horizontal="center" vertical="center"/>
    </xf>
    <xf numFmtId="0" fontId="8" fillId="19" borderId="61" xfId="55" quotePrefix="1" applyFont="1" applyFill="1" applyBorder="1" applyAlignment="1" applyProtection="1">
      <alignment horizontal="center" vertical="center"/>
    </xf>
    <xf numFmtId="0" fontId="8" fillId="19" borderId="59" xfId="55" quotePrefix="1" applyFont="1" applyFill="1" applyBorder="1" applyAlignment="1" applyProtection="1">
      <alignment horizontal="center" vertical="center"/>
    </xf>
    <xf numFmtId="0" fontId="8" fillId="19" borderId="62" xfId="55" applyFont="1" applyFill="1" applyBorder="1" applyAlignment="1" applyProtection="1">
      <alignment horizontal="center" vertical="center" wrapText="1"/>
    </xf>
    <xf numFmtId="0" fontId="8" fillId="19" borderId="60" xfId="55" applyFont="1" applyFill="1" applyBorder="1" applyAlignment="1" applyProtection="1">
      <alignment horizontal="center" vertical="center" wrapText="1"/>
    </xf>
    <xf numFmtId="0" fontId="0" fillId="19" borderId="60" xfId="55" applyFont="1" applyFill="1" applyBorder="1" applyAlignment="1" applyProtection="1">
      <alignment horizontal="center" vertical="center"/>
    </xf>
    <xf numFmtId="0" fontId="8" fillId="19" borderId="63" xfId="55" applyFont="1" applyFill="1" applyBorder="1" applyAlignment="1" applyProtection="1">
      <alignment horizontal="center" vertical="center" wrapText="1"/>
    </xf>
    <xf numFmtId="0" fontId="8" fillId="19" borderId="62" xfId="55" applyFont="1" applyFill="1" applyBorder="1" applyAlignment="1" applyProtection="1">
      <alignment horizontal="left" vertical="center" wrapText="1"/>
    </xf>
    <xf numFmtId="0" fontId="3" fillId="19" borderId="60" xfId="55" applyFont="1" applyFill="1" applyBorder="1" applyAlignment="1" applyProtection="1">
      <alignment horizontal="left" vertical="center"/>
    </xf>
    <xf numFmtId="0" fontId="54" fillId="19" borderId="0" xfId="55" applyFont="1" applyFill="1" applyBorder="1" applyAlignment="1" applyProtection="1">
      <alignment horizontal="center" vertical="center" wrapText="1"/>
    </xf>
    <xf numFmtId="0" fontId="54" fillId="19" borderId="0" xfId="55" applyFont="1" applyFill="1" applyBorder="1" applyAlignment="1" applyProtection="1">
      <alignment horizontal="left" vertical="center"/>
    </xf>
    <xf numFmtId="0" fontId="70" fillId="19" borderId="0" xfId="55" applyFont="1" applyFill="1" applyBorder="1" applyProtection="1"/>
    <xf numFmtId="0" fontId="54" fillId="19" borderId="0" xfId="55" applyFont="1" applyFill="1" applyBorder="1" applyAlignment="1" applyProtection="1">
      <alignment horizontal="center" vertical="center"/>
    </xf>
    <xf numFmtId="0" fontId="54" fillId="19" borderId="0" xfId="55" applyFont="1" applyFill="1" applyBorder="1" applyAlignment="1" applyProtection="1">
      <alignment horizontal="center"/>
    </xf>
    <xf numFmtId="0" fontId="79" fillId="19" borderId="12" xfId="55" applyFont="1" applyFill="1" applyBorder="1" applyAlignment="1" applyProtection="1">
      <alignment vertical="center"/>
    </xf>
    <xf numFmtId="0" fontId="31" fillId="19" borderId="0" xfId="55" applyFont="1" applyFill="1" applyBorder="1" applyAlignment="1" applyProtection="1">
      <alignment horizontal="left" vertical="center"/>
    </xf>
    <xf numFmtId="0" fontId="31" fillId="19" borderId="13" xfId="55" applyFont="1" applyFill="1" applyBorder="1" applyAlignment="1" applyProtection="1">
      <alignment horizontal="left" vertical="center" wrapText="1"/>
    </xf>
    <xf numFmtId="0" fontId="80" fillId="21" borderId="0" xfId="55" applyFont="1" applyFill="1" applyBorder="1" applyAlignment="1" applyProtection="1">
      <alignment vertical="center"/>
    </xf>
    <xf numFmtId="168" fontId="80" fillId="21" borderId="0" xfId="56" applyNumberFormat="1" applyFont="1" applyFill="1" applyAlignment="1" applyProtection="1">
      <alignment horizontal="right" vertical="center"/>
    </xf>
    <xf numFmtId="43" fontId="80" fillId="21" borderId="0" xfId="55" applyNumberFormat="1" applyFont="1" applyFill="1" applyAlignment="1" applyProtection="1">
      <alignment vertical="center"/>
    </xf>
    <xf numFmtId="0" fontId="78" fillId="21" borderId="0" xfId="55" applyFont="1" applyFill="1" applyAlignment="1" applyProtection="1">
      <alignment vertical="center"/>
    </xf>
    <xf numFmtId="0" fontId="78" fillId="0" borderId="0" xfId="55" applyFont="1" applyAlignment="1" applyProtection="1">
      <alignment vertical="center"/>
    </xf>
    <xf numFmtId="0" fontId="80" fillId="21" borderId="0" xfId="55" applyFont="1" applyFill="1" applyAlignment="1" applyProtection="1">
      <alignment vertical="center"/>
    </xf>
    <xf numFmtId="0" fontId="75" fillId="19" borderId="17" xfId="55" applyFont="1" applyFill="1" applyBorder="1" applyAlignment="1" applyProtection="1">
      <alignment horizontal="left" vertical="center"/>
    </xf>
    <xf numFmtId="0" fontId="75" fillId="19" borderId="18" xfId="55" applyFont="1" applyFill="1" applyBorder="1" applyAlignment="1" applyProtection="1">
      <alignment horizontal="left" vertical="center"/>
    </xf>
    <xf numFmtId="0" fontId="31" fillId="19" borderId="27" xfId="55" applyFont="1" applyFill="1" applyBorder="1" applyAlignment="1" applyProtection="1">
      <alignment horizontal="left" vertical="center" wrapText="1"/>
    </xf>
    <xf numFmtId="0" fontId="31" fillId="19" borderId="0" xfId="55" applyFont="1" applyFill="1" applyBorder="1" applyAlignment="1" applyProtection="1">
      <alignment horizontal="left" vertical="center" wrapText="1"/>
    </xf>
    <xf numFmtId="0" fontId="81" fillId="17" borderId="0" xfId="55" applyFont="1" applyFill="1" applyBorder="1" applyProtection="1"/>
    <xf numFmtId="0" fontId="6" fillId="17" borderId="0" xfId="55" applyFont="1" applyFill="1" applyBorder="1" applyProtection="1"/>
    <xf numFmtId="4" fontId="2" fillId="17" borderId="0" xfId="57" applyNumberFormat="1" applyFill="1" applyBorder="1" applyAlignment="1" applyProtection="1">
      <alignment wrapText="1"/>
    </xf>
    <xf numFmtId="0" fontId="0" fillId="17" borderId="0" xfId="55" applyFont="1" applyFill="1" applyBorder="1" applyProtection="1"/>
    <xf numFmtId="0" fontId="3" fillId="19" borderId="0" xfId="55" applyFont="1" applyFill="1" applyBorder="1" applyAlignment="1" applyProtection="1">
      <alignment horizontal="center" vertical="center" wrapText="1"/>
    </xf>
    <xf numFmtId="0" fontId="8" fillId="19" borderId="63" xfId="55" applyFont="1" applyFill="1" applyBorder="1" applyAlignment="1" applyProtection="1">
      <alignment horizontal="left" vertical="center" wrapText="1"/>
    </xf>
    <xf numFmtId="0" fontId="54" fillId="19" borderId="89" xfId="55" applyFont="1" applyFill="1" applyBorder="1" applyAlignment="1" applyProtection="1">
      <alignment horizontal="center" vertical="center" wrapText="1"/>
    </xf>
    <xf numFmtId="3" fontId="54" fillId="17" borderId="90" xfId="55" applyNumberFormat="1" applyFont="1" applyFill="1" applyBorder="1" applyAlignment="1" applyProtection="1">
      <alignment horizontal="left" vertical="center" indent="1"/>
      <protection locked="0"/>
    </xf>
    <xf numFmtId="0" fontId="3" fillId="0" borderId="0" xfId="0" applyFont="1" applyAlignment="1">
      <alignment wrapText="1"/>
    </xf>
    <xf numFmtId="0" fontId="8" fillId="19" borderId="0" xfId="55" applyFont="1" applyFill="1" applyBorder="1" applyAlignment="1" applyProtection="1">
      <alignment horizontal="left" vertical="center" wrapText="1"/>
    </xf>
    <xf numFmtId="0" fontId="8" fillId="19" borderId="80" xfId="55" applyFont="1" applyFill="1" applyBorder="1" applyAlignment="1" applyProtection="1">
      <alignment horizontal="center" vertical="center"/>
    </xf>
    <xf numFmtId="3" fontId="8" fillId="17" borderId="85" xfId="55" applyNumberFormat="1" applyFont="1" applyFill="1" applyBorder="1" applyAlignment="1" applyProtection="1">
      <alignment horizontal="right" vertical="center" indent="1"/>
    </xf>
    <xf numFmtId="0" fontId="85" fillId="19" borderId="0" xfId="55" applyFont="1" applyFill="1" applyBorder="1" applyAlignment="1" applyProtection="1">
      <alignment horizontal="left" vertical="center"/>
    </xf>
    <xf numFmtId="0" fontId="6" fillId="19" borderId="0" xfId="55" applyFont="1" applyFill="1" applyBorder="1" applyAlignment="1" applyProtection="1">
      <alignment horizontal="right" vertical="center" indent="1"/>
    </xf>
    <xf numFmtId="3" fontId="8" fillId="17" borderId="86" xfId="55" applyNumberFormat="1" applyFont="1" applyFill="1" applyBorder="1" applyAlignment="1" applyProtection="1">
      <alignment horizontal="right" vertical="center" indent="1"/>
    </xf>
    <xf numFmtId="3" fontId="8" fillId="17" borderId="87" xfId="55" applyNumberFormat="1" applyFont="1" applyFill="1" applyBorder="1" applyAlignment="1" applyProtection="1">
      <alignment horizontal="right" vertical="center" indent="1"/>
    </xf>
    <xf numFmtId="0" fontId="8" fillId="19" borderId="0" xfId="55" applyFont="1" applyFill="1" applyBorder="1" applyAlignment="1" applyProtection="1">
      <alignment horizontal="right" vertical="center" indent="1"/>
    </xf>
    <xf numFmtId="3" fontId="8" fillId="17" borderId="88" xfId="55" applyNumberFormat="1" applyFont="1" applyFill="1" applyBorder="1" applyAlignment="1" applyProtection="1">
      <alignment horizontal="right" vertical="center" indent="1"/>
    </xf>
    <xf numFmtId="3" fontId="54" fillId="17" borderId="90" xfId="55" applyNumberFormat="1" applyFont="1" applyFill="1" applyBorder="1" applyAlignment="1" applyProtection="1">
      <alignment vertical="center"/>
      <protection locked="0"/>
    </xf>
    <xf numFmtId="3" fontId="82" fillId="19" borderId="0" xfId="55" applyNumberFormat="1" applyFont="1" applyFill="1" applyBorder="1" applyAlignment="1" applyProtection="1">
      <alignment horizontal="left" vertical="center"/>
    </xf>
    <xf numFmtId="3" fontId="70" fillId="19" borderId="0" xfId="55" applyNumberFormat="1" applyFont="1" applyFill="1" applyBorder="1" applyAlignment="1" applyProtection="1">
      <alignment horizontal="right" vertical="center" indent="1"/>
    </xf>
    <xf numFmtId="3" fontId="54" fillId="19" borderId="0" xfId="55" applyNumberFormat="1" applyFont="1" applyFill="1" applyBorder="1" applyAlignment="1" applyProtection="1">
      <alignment horizontal="right" vertical="center" indent="1"/>
    </xf>
    <xf numFmtId="0" fontId="2" fillId="0" borderId="0" xfId="0" applyFont="1" applyBorder="1" applyAlignment="1">
      <alignment horizontal="left" vertical="center" wrapText="1"/>
    </xf>
    <xf numFmtId="0" fontId="8" fillId="19" borderId="0" xfId="0" applyFont="1" applyFill="1" applyBorder="1" applyAlignment="1">
      <alignment vertical="top"/>
    </xf>
    <xf numFmtId="0" fontId="57" fillId="19" borderId="0" xfId="0" applyFont="1" applyFill="1" applyBorder="1" applyAlignment="1" applyProtection="1">
      <alignment horizontal="center" vertical="center" wrapText="1"/>
    </xf>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6" fillId="19" borderId="0" xfId="0" applyFont="1" applyFill="1" applyBorder="1" applyAlignment="1">
      <alignment horizontal="left" vertical="top" wrapText="1"/>
    </xf>
    <xf numFmtId="3" fontId="8" fillId="19" borderId="0" xfId="0" applyNumberFormat="1" applyFont="1" applyFill="1" applyBorder="1" applyAlignment="1">
      <alignment horizontal="right" vertical="center" indent="1"/>
    </xf>
    <xf numFmtId="0" fontId="8" fillId="19" borderId="0" xfId="0" applyFont="1" applyFill="1" applyBorder="1" applyAlignment="1">
      <alignment vertical="top"/>
    </xf>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6" fillId="19" borderId="0" xfId="0" applyFont="1" applyFill="1" applyBorder="1" applyAlignment="1">
      <alignment horizontal="left" vertical="top" wrapText="1"/>
    </xf>
    <xf numFmtId="3" fontId="6" fillId="19" borderId="0" xfId="0" applyNumberFormat="1" applyFont="1" applyFill="1" applyBorder="1" applyAlignment="1">
      <alignment horizontal="center" vertical="center"/>
    </xf>
    <xf numFmtId="3" fontId="8" fillId="19" borderId="0" xfId="0" applyNumberFormat="1" applyFont="1" applyFill="1" applyBorder="1" applyAlignment="1">
      <alignment horizontal="right" vertical="center" indent="1"/>
    </xf>
    <xf numFmtId="0" fontId="3" fillId="33" borderId="81" xfId="0" applyFont="1" applyFill="1" applyBorder="1" applyAlignment="1">
      <alignment horizontal="center" wrapText="1"/>
    </xf>
    <xf numFmtId="3" fontId="6" fillId="30" borderId="0" xfId="0" applyNumberFormat="1" applyFont="1" applyFill="1" applyBorder="1" applyAlignment="1" applyProtection="1">
      <alignment horizontal="right" vertical="center" indent="1"/>
    </xf>
    <xf numFmtId="3" fontId="8" fillId="30" borderId="0" xfId="0" applyNumberFormat="1" applyFont="1" applyFill="1" applyBorder="1" applyAlignment="1" applyProtection="1">
      <alignment horizontal="right" vertical="center" indent="1"/>
    </xf>
    <xf numFmtId="0" fontId="6" fillId="30" borderId="0" xfId="0" applyFont="1" applyFill="1" applyBorder="1" applyProtection="1"/>
    <xf numFmtId="0" fontId="6" fillId="21" borderId="95" xfId="0" applyFont="1" applyFill="1" applyBorder="1" applyAlignment="1">
      <alignment vertical="top"/>
    </xf>
    <xf numFmtId="0" fontId="6" fillId="21" borderId="96" xfId="0" applyFont="1" applyFill="1" applyBorder="1" applyAlignment="1">
      <alignment vertical="top"/>
    </xf>
    <xf numFmtId="3" fontId="6" fillId="21" borderId="96" xfId="0" applyNumberFormat="1" applyFont="1" applyFill="1" applyBorder="1" applyAlignment="1">
      <alignment horizontal="right" vertical="center" indent="1"/>
    </xf>
    <xf numFmtId="0" fontId="57" fillId="21" borderId="96" xfId="0" applyFont="1" applyFill="1" applyBorder="1" applyAlignment="1" applyProtection="1">
      <alignment horizontal="center" vertical="center" wrapText="1"/>
    </xf>
    <xf numFmtId="49" fontId="44" fillId="21" borderId="96" xfId="0" applyNumberFormat="1" applyFont="1" applyFill="1" applyBorder="1" applyAlignment="1" applyProtection="1">
      <alignment vertical="center"/>
    </xf>
    <xf numFmtId="3" fontId="6" fillId="21" borderId="96" xfId="0" applyNumberFormat="1" applyFont="1" applyFill="1" applyBorder="1" applyAlignment="1" applyProtection="1">
      <alignment horizontal="right" vertical="center" indent="1"/>
    </xf>
    <xf numFmtId="3" fontId="6" fillId="30" borderId="96" xfId="0" applyNumberFormat="1" applyFont="1" applyFill="1" applyBorder="1" applyAlignment="1" applyProtection="1">
      <alignment horizontal="right" vertical="center" indent="1"/>
    </xf>
    <xf numFmtId="3" fontId="8" fillId="30" borderId="96" xfId="0" applyNumberFormat="1" applyFont="1" applyFill="1" applyBorder="1" applyAlignment="1" applyProtection="1">
      <alignment horizontal="right" vertical="center" indent="1"/>
    </xf>
    <xf numFmtId="0" fontId="6" fillId="30" borderId="97" xfId="0" applyFont="1" applyFill="1" applyBorder="1" applyProtection="1"/>
    <xf numFmtId="0" fontId="8" fillId="21" borderId="98" xfId="0" applyFont="1" applyFill="1" applyBorder="1" applyAlignment="1">
      <alignment vertical="top"/>
    </xf>
    <xf numFmtId="0" fontId="6" fillId="21" borderId="0" xfId="0" applyFont="1" applyFill="1" applyBorder="1" applyAlignment="1">
      <alignment vertical="top"/>
    </xf>
    <xf numFmtId="3" fontId="6" fillId="21" borderId="0" xfId="0" applyNumberFormat="1" applyFont="1" applyFill="1" applyBorder="1" applyAlignment="1">
      <alignment horizontal="right" vertical="center" indent="1"/>
    </xf>
    <xf numFmtId="0" fontId="57" fillId="21" borderId="0" xfId="0" applyFont="1" applyFill="1" applyBorder="1" applyAlignment="1" applyProtection="1">
      <alignment horizontal="center" vertical="center" wrapText="1"/>
    </xf>
    <xf numFmtId="49" fontId="44" fillId="21" borderId="0" xfId="0" applyNumberFormat="1" applyFont="1" applyFill="1" applyBorder="1" applyAlignment="1" applyProtection="1">
      <alignment vertical="center"/>
    </xf>
    <xf numFmtId="3" fontId="6" fillId="21" borderId="0" xfId="0" applyNumberFormat="1" applyFont="1" applyFill="1" applyBorder="1" applyAlignment="1" applyProtection="1">
      <alignment horizontal="right" vertical="center" indent="1"/>
    </xf>
    <xf numFmtId="0" fontId="6" fillId="30" borderId="99" xfId="0" applyFont="1" applyFill="1" applyBorder="1" applyProtection="1"/>
    <xf numFmtId="0" fontId="6" fillId="21" borderId="98" xfId="0" applyFont="1" applyFill="1" applyBorder="1" applyAlignment="1">
      <alignment vertical="top"/>
    </xf>
    <xf numFmtId="3" fontId="6" fillId="30" borderId="99" xfId="0" applyNumberFormat="1" applyFont="1" applyFill="1" applyBorder="1" applyAlignment="1" applyProtection="1">
      <alignment horizontal="right" vertical="center" indent="1"/>
    </xf>
    <xf numFmtId="0" fontId="6" fillId="21" borderId="100" xfId="0" applyFont="1" applyFill="1" applyBorder="1" applyAlignment="1">
      <alignment vertical="top"/>
    </xf>
    <xf numFmtId="0" fontId="6" fillId="21" borderId="101" xfId="0" applyFont="1" applyFill="1" applyBorder="1" applyAlignment="1">
      <alignment vertical="top"/>
    </xf>
    <xf numFmtId="3" fontId="6" fillId="21" borderId="101" xfId="0" applyNumberFormat="1" applyFont="1" applyFill="1" applyBorder="1" applyAlignment="1">
      <alignment horizontal="right" vertical="center" indent="1"/>
    </xf>
    <xf numFmtId="0" fontId="57" fillId="21" borderId="101" xfId="0" applyFont="1" applyFill="1" applyBorder="1" applyAlignment="1" applyProtection="1">
      <alignment horizontal="center" vertical="center" wrapText="1"/>
    </xf>
    <xf numFmtId="49" fontId="44" fillId="21" borderId="101" xfId="0" applyNumberFormat="1" applyFont="1" applyFill="1" applyBorder="1" applyAlignment="1" applyProtection="1">
      <alignment vertical="center"/>
    </xf>
    <xf numFmtId="3" fontId="6" fillId="21" borderId="101" xfId="0" applyNumberFormat="1" applyFont="1" applyFill="1" applyBorder="1" applyAlignment="1" applyProtection="1">
      <alignment horizontal="right" vertical="center" indent="1"/>
    </xf>
    <xf numFmtId="3" fontId="6" fillId="30" borderId="101" xfId="0" applyNumberFormat="1" applyFont="1" applyFill="1" applyBorder="1" applyAlignment="1" applyProtection="1">
      <alignment horizontal="right" vertical="center" indent="1"/>
    </xf>
    <xf numFmtId="3" fontId="6" fillId="30" borderId="102" xfId="0" applyNumberFormat="1" applyFont="1" applyFill="1" applyBorder="1" applyAlignment="1" applyProtection="1">
      <alignment horizontal="right" vertical="center" indent="1"/>
    </xf>
    <xf numFmtId="0" fontId="6" fillId="19" borderId="0" xfId="0" applyFont="1" applyFill="1" applyBorder="1" applyAlignment="1">
      <alignment horizontal="right" vertical="center" indent="1"/>
    </xf>
    <xf numFmtId="0" fontId="6" fillId="21" borderId="0" xfId="0" applyFont="1" applyFill="1" applyAlignment="1">
      <alignment horizontal="center"/>
    </xf>
    <xf numFmtId="0" fontId="6" fillId="30" borderId="0" xfId="0" applyFont="1" applyFill="1" applyBorder="1"/>
    <xf numFmtId="3" fontId="8" fillId="30" borderId="0" xfId="0" applyNumberFormat="1" applyFont="1" applyFill="1" applyBorder="1" applyAlignment="1">
      <alignment horizontal="right" vertical="center" indent="1"/>
    </xf>
    <xf numFmtId="3" fontId="6" fillId="30" borderId="0" xfId="0" applyNumberFormat="1" applyFont="1" applyFill="1" applyBorder="1" applyAlignment="1">
      <alignment horizontal="right" vertical="center" indent="1"/>
    </xf>
    <xf numFmtId="0" fontId="86" fillId="21" borderId="59" xfId="0" quotePrefix="1" applyFont="1" applyFill="1" applyBorder="1" applyAlignment="1">
      <alignment horizontal="left" vertical="center"/>
    </xf>
    <xf numFmtId="3" fontId="44" fillId="30" borderId="0" xfId="0" applyNumberFormat="1" applyFont="1" applyFill="1" applyBorder="1" applyAlignment="1">
      <alignment horizontal="right"/>
    </xf>
    <xf numFmtId="3" fontId="6" fillId="30" borderId="0" xfId="0" applyNumberFormat="1" applyFont="1" applyFill="1" applyBorder="1" applyAlignment="1">
      <alignment horizontal="right" indent="1"/>
    </xf>
    <xf numFmtId="0" fontId="6" fillId="19" borderId="38" xfId="0" applyFont="1" applyFill="1" applyBorder="1"/>
    <xf numFmtId="0" fontId="6" fillId="19" borderId="38" xfId="0" applyFont="1" applyFill="1" applyBorder="1" applyProtection="1"/>
    <xf numFmtId="0" fontId="6" fillId="30" borderId="38" xfId="0" applyFont="1" applyFill="1" applyBorder="1" applyProtection="1"/>
    <xf numFmtId="0" fontId="6" fillId="30" borderId="38" xfId="0" applyFont="1" applyFill="1" applyBorder="1"/>
    <xf numFmtId="0" fontId="6" fillId="19" borderId="43" xfId="0" applyFont="1" applyFill="1" applyBorder="1"/>
    <xf numFmtId="0" fontId="6" fillId="19" borderId="43" xfId="0" applyFont="1" applyFill="1" applyBorder="1" applyProtection="1"/>
    <xf numFmtId="0" fontId="6" fillId="30" borderId="43" xfId="0" applyFont="1" applyFill="1" applyBorder="1" applyProtection="1"/>
    <xf numFmtId="0" fontId="6" fillId="30" borderId="43" xfId="0" applyFont="1" applyFill="1" applyBorder="1"/>
    <xf numFmtId="3" fontId="8" fillId="19" borderId="38" xfId="0" applyNumberFormat="1" applyFont="1" applyFill="1" applyBorder="1" applyAlignment="1" applyProtection="1">
      <alignment horizontal="right" vertical="center" indent="1"/>
    </xf>
    <xf numFmtId="3" fontId="6" fillId="19" borderId="38" xfId="0" applyNumberFormat="1" applyFont="1" applyFill="1" applyBorder="1" applyAlignment="1" applyProtection="1">
      <alignment horizontal="right" vertical="center" indent="1"/>
    </xf>
    <xf numFmtId="3" fontId="6" fillId="30" borderId="38" xfId="0" applyNumberFormat="1" applyFont="1" applyFill="1" applyBorder="1" applyAlignment="1" applyProtection="1">
      <alignment horizontal="right" vertical="center" indent="1"/>
    </xf>
    <xf numFmtId="3" fontId="8" fillId="30" borderId="38" xfId="0" applyNumberFormat="1" applyFont="1" applyFill="1" applyBorder="1" applyAlignment="1" applyProtection="1">
      <alignment horizontal="right" vertical="center" indent="1"/>
    </xf>
    <xf numFmtId="0" fontId="0" fillId="22" borderId="0" xfId="0" applyFill="1" applyBorder="1"/>
    <xf numFmtId="0" fontId="90" fillId="22" borderId="0" xfId="0" applyFont="1" applyFill="1" applyBorder="1" applyAlignment="1">
      <alignment vertical="top"/>
    </xf>
    <xf numFmtId="3" fontId="6" fillId="19" borderId="0" xfId="0" applyNumberFormat="1" applyFont="1" applyFill="1" applyBorder="1" applyAlignment="1">
      <alignment horizontal="center" vertical="center"/>
    </xf>
    <xf numFmtId="0" fontId="6" fillId="19" borderId="0" xfId="0" applyFont="1" applyFill="1" applyBorder="1" applyAlignment="1">
      <alignment horizontal="right" indent="1"/>
    </xf>
    <xf numFmtId="0" fontId="6" fillId="22" borderId="0" xfId="0" applyFont="1" applyFill="1" applyBorder="1" applyAlignment="1"/>
    <xf numFmtId="0" fontId="39" fillId="19" borderId="0" xfId="0" applyFont="1" applyFill="1" applyBorder="1" applyAlignment="1">
      <alignment horizontal="center"/>
    </xf>
    <xf numFmtId="0" fontId="6" fillId="19" borderId="0" xfId="0" applyFont="1" applyFill="1" applyBorder="1" applyAlignment="1">
      <alignment horizontal="right"/>
    </xf>
    <xf numFmtId="0" fontId="6" fillId="21" borderId="103" xfId="0" applyFont="1" applyFill="1" applyBorder="1" applyAlignment="1">
      <alignment vertical="top"/>
    </xf>
    <xf numFmtId="0" fontId="6" fillId="21" borderId="104" xfId="0" applyFont="1" applyFill="1" applyBorder="1" applyAlignment="1">
      <alignment vertical="top"/>
    </xf>
    <xf numFmtId="0" fontId="6" fillId="21" borderId="104" xfId="0" applyFont="1" applyFill="1" applyBorder="1" applyAlignment="1"/>
    <xf numFmtId="0" fontId="39" fillId="21" borderId="104" xfId="0" applyFont="1" applyFill="1" applyBorder="1" applyAlignment="1">
      <alignment horizontal="center"/>
    </xf>
    <xf numFmtId="0" fontId="6" fillId="21" borderId="104" xfId="0" applyFont="1" applyFill="1" applyBorder="1" applyAlignment="1">
      <alignment horizontal="right"/>
    </xf>
    <xf numFmtId="0" fontId="6" fillId="21" borderId="105" xfId="0" applyFont="1" applyFill="1" applyBorder="1" applyAlignment="1"/>
    <xf numFmtId="0" fontId="8" fillId="21" borderId="106" xfId="0" applyFont="1" applyFill="1" applyBorder="1" applyAlignment="1">
      <alignment vertical="top"/>
    </xf>
    <xf numFmtId="0" fontId="39" fillId="21" borderId="0" xfId="0" applyFont="1" applyFill="1" applyBorder="1" applyAlignment="1">
      <alignment horizontal="center"/>
    </xf>
    <xf numFmtId="0" fontId="6" fillId="21" borderId="0" xfId="0" applyFont="1" applyFill="1" applyBorder="1" applyAlignment="1">
      <alignment horizontal="right"/>
    </xf>
    <xf numFmtId="0" fontId="6" fillId="35" borderId="0" xfId="0" applyFont="1" applyFill="1" applyBorder="1" applyAlignment="1"/>
    <xf numFmtId="0" fontId="6" fillId="21" borderId="107" xfId="0" applyFont="1" applyFill="1" applyBorder="1" applyAlignment="1"/>
    <xf numFmtId="0" fontId="6" fillId="21" borderId="106" xfId="0" applyFont="1" applyFill="1" applyBorder="1" applyAlignment="1">
      <alignment vertical="top"/>
    </xf>
    <xf numFmtId="0" fontId="6" fillId="21" borderId="108" xfId="0" applyFont="1" applyFill="1" applyBorder="1" applyAlignment="1"/>
    <xf numFmtId="0" fontId="6" fillId="21" borderId="109" xfId="0" applyFont="1" applyFill="1" applyBorder="1" applyAlignment="1">
      <alignment vertical="top"/>
    </xf>
    <xf numFmtId="0" fontId="6" fillId="21" borderId="110" xfId="0" applyFont="1" applyFill="1" applyBorder="1" applyAlignment="1">
      <alignment vertical="top"/>
    </xf>
    <xf numFmtId="0" fontId="6" fillId="21" borderId="110" xfId="0" applyFont="1" applyFill="1" applyBorder="1" applyAlignment="1"/>
    <xf numFmtId="0" fontId="39" fillId="21" borderId="110" xfId="0" applyFont="1" applyFill="1" applyBorder="1" applyAlignment="1">
      <alignment horizontal="center"/>
    </xf>
    <xf numFmtId="0" fontId="6" fillId="21" borderId="110" xfId="0" applyFont="1" applyFill="1" applyBorder="1" applyAlignment="1">
      <alignment horizontal="right"/>
    </xf>
    <xf numFmtId="0" fontId="6" fillId="21" borderId="111" xfId="0" applyFont="1" applyFill="1" applyBorder="1" applyAlignment="1"/>
    <xf numFmtId="169" fontId="6" fillId="21" borderId="0" xfId="0" applyNumberFormat="1" applyFont="1" applyFill="1" applyAlignment="1">
      <alignment vertical="center"/>
    </xf>
    <xf numFmtId="169" fontId="6" fillId="0" borderId="0" xfId="0" applyNumberFormat="1" applyFont="1" applyAlignment="1">
      <alignment vertical="center"/>
    </xf>
    <xf numFmtId="3" fontId="6" fillId="19" borderId="0" xfId="0" applyNumberFormat="1" applyFont="1" applyFill="1" applyBorder="1" applyAlignment="1"/>
    <xf numFmtId="0" fontId="66" fillId="0" borderId="0" xfId="0" applyFont="1"/>
    <xf numFmtId="0" fontId="66" fillId="0" borderId="0" xfId="0" applyFont="1" applyAlignment="1">
      <alignment vertical="center"/>
    </xf>
    <xf numFmtId="0" fontId="66" fillId="21" borderId="0" xfId="0" applyFont="1" applyFill="1" applyBorder="1" applyAlignment="1">
      <alignment vertical="center"/>
    </xf>
    <xf numFmtId="169" fontId="66" fillId="21" borderId="0" xfId="0" applyNumberFormat="1" applyFont="1" applyFill="1" applyAlignment="1">
      <alignment vertical="center"/>
    </xf>
    <xf numFmtId="0" fontId="86" fillId="0" borderId="0" xfId="0" applyFont="1"/>
    <xf numFmtId="0" fontId="86" fillId="21" borderId="0" xfId="0" applyFont="1" applyFill="1"/>
    <xf numFmtId="9" fontId="0" fillId="21" borderId="0" xfId="43" applyFont="1" applyFill="1"/>
    <xf numFmtId="4" fontId="0" fillId="21" borderId="0" xfId="0" applyNumberFormat="1" applyFill="1"/>
    <xf numFmtId="0" fontId="2" fillId="0" borderId="12" xfId="0" applyFont="1" applyBorder="1" applyAlignment="1">
      <alignment wrapText="1"/>
    </xf>
    <xf numFmtId="0" fontId="0" fillId="0" borderId="0" xfId="0" applyBorder="1" applyAlignment="1">
      <alignment wrapText="1"/>
    </xf>
    <xf numFmtId="0" fontId="0" fillId="0" borderId="13" xfId="0" applyBorder="1" applyAlignment="1">
      <alignment wrapText="1"/>
    </xf>
    <xf numFmtId="0" fontId="0" fillId="0" borderId="12" xfId="0" applyBorder="1" applyAlignment="1">
      <alignment wrapText="1"/>
    </xf>
    <xf numFmtId="0" fontId="2" fillId="0" borderId="12" xfId="0" applyFont="1" applyBorder="1" applyAlignment="1">
      <alignment horizontal="left" wrapText="1"/>
    </xf>
    <xf numFmtId="0" fontId="2" fillId="0" borderId="0" xfId="0" applyFont="1" applyBorder="1" applyAlignment="1">
      <alignment horizontal="left" wrapText="1"/>
    </xf>
    <xf numFmtId="0" fontId="58" fillId="0" borderId="12" xfId="54" applyBorder="1" applyAlignment="1">
      <alignment horizontal="left" vertical="center" wrapText="1"/>
    </xf>
    <xf numFmtId="0" fontId="58" fillId="0" borderId="0" xfId="54" applyBorder="1" applyAlignment="1">
      <alignment horizontal="left" vertical="center" wrapText="1"/>
    </xf>
    <xf numFmtId="0" fontId="2" fillId="0" borderId="12"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Alignment="1">
      <alignment horizontal="left" vertical="center" wrapText="1"/>
    </xf>
    <xf numFmtId="3" fontId="8" fillId="17" borderId="33" xfId="0" applyNumberFormat="1" applyFont="1" applyFill="1" applyBorder="1" applyAlignment="1">
      <alignment horizontal="right" vertical="center" indent="1"/>
    </xf>
    <xf numFmtId="3" fontId="6" fillId="17" borderId="34" xfId="0" applyNumberFormat="1" applyFont="1" applyFill="1" applyBorder="1" applyAlignment="1">
      <alignment horizontal="right" vertical="center" indent="1"/>
    </xf>
    <xf numFmtId="166" fontId="9" fillId="19" borderId="0" xfId="0" applyNumberFormat="1" applyFont="1" applyFill="1" applyBorder="1" applyAlignment="1">
      <alignment horizontal="center" vertical="center"/>
    </xf>
    <xf numFmtId="3" fontId="39" fillId="19" borderId="0" xfId="0" applyNumberFormat="1" applyFont="1" applyFill="1" applyBorder="1" applyAlignment="1">
      <alignment horizontal="left" vertical="center"/>
    </xf>
    <xf numFmtId="0" fontId="39" fillId="0" borderId="0" xfId="0" applyFont="1" applyAlignment="1">
      <alignment horizontal="left" vertical="center"/>
    </xf>
    <xf numFmtId="3" fontId="9" fillId="19" borderId="0" xfId="0" applyNumberFormat="1" applyFont="1" applyFill="1" applyBorder="1" applyAlignment="1">
      <alignment horizontal="right" vertical="center"/>
    </xf>
    <xf numFmtId="165" fontId="37" fillId="19" borderId="0" xfId="0" applyNumberFormat="1" applyFont="1" applyFill="1" applyBorder="1" applyAlignment="1">
      <alignment horizontal="right" vertical="center"/>
    </xf>
    <xf numFmtId="0" fontId="6" fillId="19" borderId="0" xfId="0" applyFont="1" applyFill="1" applyBorder="1" applyAlignment="1">
      <alignment vertical="top" wrapText="1"/>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27" xfId="0" applyFont="1" applyFill="1" applyBorder="1" applyAlignment="1">
      <alignment horizontal="center"/>
    </xf>
    <xf numFmtId="0" fontId="6" fillId="20" borderId="0" xfId="0" applyFont="1" applyFill="1" applyBorder="1" applyAlignment="1" applyProtection="1">
      <alignment horizontal="center" vertical="top"/>
      <protection locked="0"/>
    </xf>
    <xf numFmtId="0" fontId="68" fillId="33" borderId="61" xfId="0" applyNumberFormat="1" applyFont="1" applyFill="1" applyBorder="1" applyAlignment="1" applyProtection="1">
      <alignment horizontal="left" vertical="top"/>
      <protection locked="0"/>
    </xf>
    <xf numFmtId="0" fontId="68" fillId="33" borderId="0" xfId="0" applyNumberFormat="1" applyFont="1" applyFill="1" applyBorder="1" applyAlignment="1" applyProtection="1">
      <alignment horizontal="left" vertical="top"/>
      <protection locked="0"/>
    </xf>
    <xf numFmtId="0" fontId="68" fillId="33" borderId="58" xfId="0" applyNumberFormat="1" applyFont="1" applyFill="1" applyBorder="1" applyAlignment="1" applyProtection="1">
      <alignment horizontal="left" vertical="top"/>
      <protection locked="0"/>
    </xf>
    <xf numFmtId="0" fontId="68" fillId="33" borderId="59" xfId="0" applyNumberFormat="1" applyFont="1" applyFill="1" applyBorder="1" applyAlignment="1" applyProtection="1">
      <alignment horizontal="left" vertical="top"/>
      <protection locked="0"/>
    </xf>
    <xf numFmtId="0" fontId="6" fillId="0" borderId="0" xfId="0" applyFont="1" applyAlignment="1">
      <alignment vertical="top" wrapText="1"/>
    </xf>
    <xf numFmtId="0" fontId="8" fillId="19" borderId="0" xfId="0" applyFont="1" applyFill="1" applyBorder="1" applyAlignment="1">
      <alignment vertical="top"/>
    </xf>
    <xf numFmtId="0" fontId="8" fillId="19" borderId="0" xfId="0" applyFont="1" applyFill="1" applyBorder="1" applyAlignment="1">
      <alignment horizontal="left" vertical="top"/>
    </xf>
    <xf numFmtId="0" fontId="8" fillId="19" borderId="0" xfId="0" applyFont="1" applyFill="1" applyBorder="1" applyAlignment="1">
      <alignment horizontal="center"/>
    </xf>
    <xf numFmtId="0" fontId="6" fillId="20" borderId="15"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Border="1" applyAlignment="1">
      <alignment horizontal="center"/>
    </xf>
    <xf numFmtId="0" fontId="7" fillId="20" borderId="13" xfId="0" applyFont="1" applyFill="1" applyBorder="1" applyAlignment="1">
      <alignment horizontal="center"/>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Border="1" applyAlignment="1">
      <alignment horizontal="center"/>
    </xf>
    <xf numFmtId="0" fontId="11" fillId="20" borderId="13" xfId="0" applyFont="1" applyFill="1" applyBorder="1" applyAlignment="1">
      <alignment horizontal="center"/>
    </xf>
    <xf numFmtId="3" fontId="8" fillId="17" borderId="69" xfId="0" applyNumberFormat="1" applyFont="1" applyFill="1" applyBorder="1" applyAlignment="1" applyProtection="1">
      <alignment horizontal="right" vertical="center" indent="1"/>
    </xf>
    <xf numFmtId="3" fontId="6" fillId="17" borderId="70" xfId="0" applyNumberFormat="1" applyFont="1" applyFill="1" applyBorder="1" applyAlignment="1" applyProtection="1">
      <alignment horizontal="right" vertical="center" indent="1"/>
    </xf>
    <xf numFmtId="3" fontId="8" fillId="30" borderId="69" xfId="0" applyNumberFormat="1" applyFont="1" applyFill="1" applyBorder="1" applyAlignment="1" applyProtection="1">
      <alignment horizontal="right" vertical="center" indent="1"/>
    </xf>
    <xf numFmtId="3" fontId="6" fillId="30" borderId="70" xfId="0" applyNumberFormat="1" applyFont="1" applyFill="1" applyBorder="1" applyAlignment="1" applyProtection="1">
      <alignment horizontal="right" vertical="center" indent="1"/>
    </xf>
    <xf numFmtId="3" fontId="8" fillId="21" borderId="93" xfId="0" applyNumberFormat="1" applyFont="1" applyFill="1" applyBorder="1" applyAlignment="1" applyProtection="1">
      <alignment horizontal="right" vertical="center" indent="1"/>
    </xf>
    <xf numFmtId="3" fontId="6" fillId="21" borderId="94" xfId="0" applyNumberFormat="1" applyFont="1" applyFill="1" applyBorder="1" applyAlignment="1" applyProtection="1">
      <alignment horizontal="right" vertical="center" indent="1"/>
    </xf>
    <xf numFmtId="3" fontId="8" fillId="21" borderId="91" xfId="0" applyNumberFormat="1" applyFont="1" applyFill="1" applyBorder="1" applyAlignment="1" applyProtection="1">
      <alignment horizontal="right" vertical="center" indent="1"/>
    </xf>
    <xf numFmtId="3" fontId="6" fillId="21" borderId="92" xfId="0" applyNumberFormat="1" applyFont="1" applyFill="1" applyBorder="1" applyAlignment="1" applyProtection="1">
      <alignment horizontal="right" vertical="center" indent="1"/>
    </xf>
    <xf numFmtId="3" fontId="8" fillId="30" borderId="91" xfId="0" applyNumberFormat="1" applyFont="1" applyFill="1" applyBorder="1" applyAlignment="1" applyProtection="1">
      <alignment horizontal="right" vertical="center" indent="1"/>
    </xf>
    <xf numFmtId="3" fontId="6" fillId="30" borderId="92" xfId="0" applyNumberFormat="1" applyFont="1" applyFill="1" applyBorder="1" applyAlignment="1" applyProtection="1">
      <alignment horizontal="right" vertical="center" indent="1"/>
    </xf>
    <xf numFmtId="0" fontId="6" fillId="19" borderId="0" xfId="0" applyFont="1" applyFill="1" applyBorder="1" applyAlignment="1">
      <alignment horizontal="left" vertical="top" wrapText="1"/>
    </xf>
    <xf numFmtId="3" fontId="8" fillId="17" borderId="91" xfId="0" applyNumberFormat="1" applyFont="1" applyFill="1" applyBorder="1" applyAlignment="1" applyProtection="1">
      <alignment horizontal="right" vertical="center" indent="1"/>
    </xf>
    <xf numFmtId="3" fontId="6" fillId="17" borderId="92" xfId="0" applyNumberFormat="1" applyFont="1" applyFill="1" applyBorder="1" applyAlignment="1" applyProtection="1">
      <alignment horizontal="right" vertical="center" indent="1"/>
    </xf>
    <xf numFmtId="3" fontId="8" fillId="17" borderId="64" xfId="0" applyNumberFormat="1" applyFont="1" applyFill="1" applyBorder="1" applyAlignment="1" applyProtection="1">
      <alignment horizontal="right" vertical="center" indent="1"/>
    </xf>
    <xf numFmtId="3" fontId="6" fillId="17" borderId="65" xfId="0" applyNumberFormat="1" applyFont="1" applyFill="1" applyBorder="1" applyAlignment="1" applyProtection="1">
      <alignment horizontal="right" vertical="center" indent="1"/>
    </xf>
    <xf numFmtId="3" fontId="8" fillId="30" borderId="92" xfId="0" applyNumberFormat="1" applyFont="1" applyFill="1" applyBorder="1" applyAlignment="1" applyProtection="1">
      <alignment horizontal="right" vertical="center" indent="1"/>
    </xf>
    <xf numFmtId="3" fontId="8" fillId="21" borderId="69" xfId="0" applyNumberFormat="1" applyFont="1" applyFill="1" applyBorder="1" applyAlignment="1" applyProtection="1">
      <alignment horizontal="right" vertical="center" indent="1"/>
    </xf>
    <xf numFmtId="3" fontId="6" fillId="21" borderId="70" xfId="0" applyNumberFormat="1" applyFont="1" applyFill="1" applyBorder="1" applyAlignment="1" applyProtection="1">
      <alignment horizontal="right" vertical="center" indent="1"/>
    </xf>
    <xf numFmtId="3" fontId="8" fillId="19" borderId="0" xfId="0" applyNumberFormat="1" applyFont="1" applyFill="1" applyBorder="1" applyAlignment="1" applyProtection="1">
      <alignment horizontal="center" vertical="center" wrapText="1"/>
    </xf>
    <xf numFmtId="3" fontId="11" fillId="30"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8" fillId="30" borderId="0" xfId="0" applyNumberFormat="1" applyFont="1" applyFill="1" applyBorder="1" applyAlignment="1" applyProtection="1">
      <alignment horizontal="center" vertical="center" wrapText="1"/>
    </xf>
    <xf numFmtId="3" fontId="11" fillId="30" borderId="33" xfId="0" applyNumberFormat="1" applyFont="1" applyFill="1" applyBorder="1" applyAlignment="1" applyProtection="1">
      <alignment horizontal="right" vertical="center" indent="1"/>
      <protection locked="0"/>
    </xf>
    <xf numFmtId="3" fontId="12" fillId="30" borderId="34" xfId="0" applyNumberFormat="1" applyFont="1" applyFill="1" applyBorder="1" applyAlignment="1" applyProtection="1">
      <alignment horizontal="right" vertical="center" indent="1"/>
      <protection locked="0"/>
    </xf>
    <xf numFmtId="0" fontId="57" fillId="19" borderId="0" xfId="0" applyFont="1" applyFill="1" applyBorder="1" applyAlignment="1" applyProtection="1">
      <alignment horizontal="center" vertical="center" wrapText="1"/>
    </xf>
    <xf numFmtId="3" fontId="11" fillId="21" borderId="33" xfId="0" applyNumberFormat="1" applyFont="1" applyFill="1" applyBorder="1" applyAlignment="1" applyProtection="1">
      <alignment horizontal="right" vertical="center" indent="1"/>
      <protection locked="0"/>
    </xf>
    <xf numFmtId="3" fontId="12" fillId="21" borderId="34" xfId="0" applyNumberFormat="1" applyFont="1" applyFill="1" applyBorder="1" applyAlignment="1" applyProtection="1">
      <alignment horizontal="right" vertical="center" indent="1"/>
      <protection locked="0"/>
    </xf>
    <xf numFmtId="0" fontId="8" fillId="30" borderId="0" xfId="0" applyFont="1" applyFill="1" applyBorder="1" applyAlignment="1" applyProtection="1">
      <alignment horizontal="center" wrapText="1"/>
    </xf>
    <xf numFmtId="0" fontId="11" fillId="30" borderId="0" xfId="0" applyFont="1" applyFill="1" applyBorder="1" applyAlignment="1" applyProtection="1">
      <alignment horizontal="center" wrapText="1"/>
    </xf>
    <xf numFmtId="0" fontId="8" fillId="19" borderId="0" xfId="0" applyFont="1" applyFill="1" applyBorder="1" applyAlignment="1">
      <alignment horizontal="center" wrapText="1"/>
    </xf>
    <xf numFmtId="0" fontId="8" fillId="19" borderId="0" xfId="0" applyFont="1" applyFill="1" applyBorder="1" applyAlignment="1">
      <alignment horizontal="center" vertical="center" wrapText="1"/>
    </xf>
    <xf numFmtId="3" fontId="11" fillId="21" borderId="28" xfId="0" applyNumberFormat="1" applyFont="1" applyFill="1" applyBorder="1" applyAlignment="1" applyProtection="1">
      <alignment horizontal="right" vertical="center" indent="1"/>
      <protection locked="0"/>
    </xf>
    <xf numFmtId="3" fontId="11" fillId="21" borderId="29" xfId="0" applyNumberFormat="1" applyFont="1" applyFill="1" applyBorder="1" applyAlignment="1" applyProtection="1">
      <alignment horizontal="right" vertical="center" indent="1"/>
      <protection locked="0"/>
    </xf>
    <xf numFmtId="3" fontId="11" fillId="17" borderId="0" xfId="0" applyNumberFormat="1" applyFont="1" applyFill="1" applyBorder="1" applyAlignment="1" applyProtection="1">
      <alignment horizontal="center" vertical="center"/>
      <protection locked="0"/>
    </xf>
    <xf numFmtId="3" fontId="11" fillId="21" borderId="53" xfId="0" applyNumberFormat="1" applyFont="1" applyFill="1" applyBorder="1" applyAlignment="1" applyProtection="1">
      <alignment horizontal="right" vertical="center" indent="1"/>
    </xf>
    <xf numFmtId="3" fontId="11" fillId="21" borderId="54" xfId="0" applyNumberFormat="1" applyFont="1" applyFill="1" applyBorder="1" applyAlignment="1" applyProtection="1">
      <alignment horizontal="right" vertical="center" indent="1"/>
    </xf>
    <xf numFmtId="3" fontId="11" fillId="17" borderId="0" xfId="0" applyNumberFormat="1" applyFont="1" applyFill="1" applyBorder="1" applyAlignment="1" applyProtection="1">
      <alignment horizontal="center" vertical="center"/>
    </xf>
    <xf numFmtId="3" fontId="8" fillId="17" borderId="0" xfId="0" applyNumberFormat="1" applyFont="1" applyFill="1" applyBorder="1" applyAlignment="1" applyProtection="1">
      <alignment horizontal="center" vertical="center"/>
    </xf>
    <xf numFmtId="3" fontId="8" fillId="17" borderId="21" xfId="0" applyNumberFormat="1" applyFont="1" applyFill="1" applyBorder="1" applyAlignment="1" applyProtection="1">
      <alignment horizontal="center" vertical="center"/>
    </xf>
    <xf numFmtId="0" fontId="30" fillId="20" borderId="12" xfId="0" applyFont="1" applyFill="1"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11" fillId="30" borderId="0" xfId="0" applyFont="1" applyFill="1" applyBorder="1" applyAlignment="1">
      <alignment horizontal="center"/>
    </xf>
    <xf numFmtId="0" fontId="3" fillId="19" borderId="0" xfId="0" applyFont="1" applyFill="1" applyBorder="1" applyAlignment="1">
      <alignment horizontal="left"/>
    </xf>
    <xf numFmtId="0" fontId="12" fillId="19" borderId="0" xfId="0" applyFont="1" applyFill="1" applyBorder="1" applyAlignment="1">
      <alignment vertical="top" wrapText="1"/>
    </xf>
    <xf numFmtId="0" fontId="0" fillId="0" borderId="0" xfId="0" applyAlignment="1">
      <alignment vertical="top" wrapText="1"/>
    </xf>
    <xf numFmtId="3" fontId="11" fillId="30" borderId="33" xfId="0" applyNumberFormat="1" applyFont="1" applyFill="1" applyBorder="1" applyAlignment="1" applyProtection="1">
      <alignment horizontal="right" vertical="center" indent="1"/>
    </xf>
    <xf numFmtId="3" fontId="12" fillId="30" borderId="34" xfId="0" applyNumberFormat="1" applyFont="1" applyFill="1" applyBorder="1" applyAlignment="1" applyProtection="1">
      <alignment horizontal="right" vertical="center" indent="1"/>
    </xf>
    <xf numFmtId="3" fontId="11" fillId="22" borderId="0" xfId="0" applyNumberFormat="1" applyFont="1" applyFill="1" applyBorder="1" applyAlignment="1">
      <alignment horizontal="right" vertical="center" indent="1"/>
    </xf>
    <xf numFmtId="0" fontId="11" fillId="19" borderId="0" xfId="0" applyFont="1" applyFill="1" applyBorder="1" applyAlignment="1">
      <alignment horizontal="center"/>
    </xf>
    <xf numFmtId="0" fontId="6" fillId="19" borderId="0" xfId="0" applyFont="1" applyFill="1" applyBorder="1" applyAlignment="1">
      <alignment horizontal="center"/>
    </xf>
    <xf numFmtId="0" fontId="12" fillId="19" borderId="0" xfId="0" applyFont="1" applyFill="1" applyBorder="1" applyAlignment="1">
      <alignment horizontal="center"/>
    </xf>
    <xf numFmtId="0" fontId="11" fillId="19" borderId="0" xfId="0" applyFont="1" applyFill="1" applyBorder="1" applyAlignment="1">
      <alignment horizontal="center" wrapText="1"/>
    </xf>
    <xf numFmtId="0" fontId="12" fillId="0" borderId="0" xfId="0" applyFont="1" applyBorder="1" applyAlignment="1">
      <alignment wrapText="1"/>
    </xf>
    <xf numFmtId="0" fontId="8" fillId="22" borderId="0" xfId="0" applyFont="1" applyFill="1" applyAlignment="1">
      <alignment horizontal="left" vertical="top" wrapText="1"/>
    </xf>
    <xf numFmtId="0" fontId="6" fillId="22" borderId="0" xfId="0" applyFont="1" applyFill="1" applyAlignment="1">
      <alignment horizontal="left" vertical="top" wrapText="1"/>
    </xf>
    <xf numFmtId="0" fontId="44" fillId="19" borderId="0" xfId="0" applyFont="1" applyFill="1" applyBorder="1" applyAlignment="1">
      <alignment horizontal="left" vertical="center" wrapText="1"/>
    </xf>
    <xf numFmtId="0" fontId="57" fillId="19" borderId="0" xfId="0" applyFont="1" applyFill="1" applyBorder="1" applyAlignment="1">
      <alignment horizontal="center" vertical="center" wrapText="1"/>
    </xf>
    <xf numFmtId="0" fontId="57" fillId="30" borderId="0" xfId="0" applyFont="1" applyFill="1" applyBorder="1" applyAlignment="1">
      <alignment horizontal="center" vertical="center" wrapText="1"/>
    </xf>
    <xf numFmtId="0" fontId="8" fillId="19" borderId="18" xfId="0" applyFont="1" applyFill="1" applyBorder="1" applyAlignment="1">
      <alignment horizontal="center"/>
    </xf>
    <xf numFmtId="3" fontId="6" fillId="19" borderId="0" xfId="0" applyNumberFormat="1" applyFont="1" applyFill="1" applyBorder="1" applyAlignment="1" applyProtection="1">
      <alignment horizontal="center" vertical="center"/>
    </xf>
    <xf numFmtId="0" fontId="0" fillId="0" borderId="0" xfId="0" applyAlignment="1"/>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12" fillId="19" borderId="0" xfId="0" applyNumberFormat="1" applyFont="1" applyFill="1" applyBorder="1" applyAlignment="1" applyProtection="1">
      <alignment horizontal="center" vertical="center"/>
    </xf>
    <xf numFmtId="2" fontId="81" fillId="17" borderId="0" xfId="57" applyNumberFormat="1" applyFont="1" applyFill="1" applyBorder="1" applyAlignment="1" applyProtection="1">
      <alignment wrapText="1"/>
    </xf>
    <xf numFmtId="0" fontId="81" fillId="17" borderId="0" xfId="55" applyFont="1" applyFill="1" applyBorder="1" applyAlignment="1" applyProtection="1">
      <alignment wrapText="1"/>
    </xf>
    <xf numFmtId="0" fontId="83" fillId="34" borderId="12" xfId="55" applyFont="1" applyFill="1" applyBorder="1" applyAlignment="1" applyProtection="1">
      <alignment horizontal="left"/>
    </xf>
    <xf numFmtId="0" fontId="84" fillId="34" borderId="0" xfId="55" applyFont="1" applyFill="1" applyBorder="1" applyAlignment="1" applyProtection="1">
      <alignment horizontal="left"/>
    </xf>
    <xf numFmtId="0" fontId="84" fillId="34" borderId="13" xfId="55" applyFont="1" applyFill="1" applyBorder="1" applyAlignment="1" applyProtection="1">
      <alignment horizontal="left"/>
    </xf>
    <xf numFmtId="0" fontId="8" fillId="19" borderId="83" xfId="55" applyFont="1" applyFill="1" applyBorder="1" applyAlignment="1" applyProtection="1">
      <alignment horizontal="center" vertical="center"/>
    </xf>
    <xf numFmtId="0" fontId="6" fillId="0" borderId="84" xfId="0" applyFont="1" applyBorder="1" applyAlignment="1">
      <alignment horizontal="center"/>
    </xf>
    <xf numFmtId="0" fontId="6" fillId="0" borderId="82" xfId="0" applyFont="1" applyBorder="1" applyAlignment="1">
      <alignment horizontal="center"/>
    </xf>
    <xf numFmtId="0" fontId="6" fillId="0" borderId="84" xfId="0" applyFont="1" applyBorder="1" applyAlignment="1">
      <alignment horizontal="center" vertical="center"/>
    </xf>
    <xf numFmtId="0" fontId="6" fillId="0" borderId="82" xfId="0" applyFont="1" applyBorder="1" applyAlignment="1">
      <alignment horizontal="center" vertical="center"/>
    </xf>
    <xf numFmtId="0" fontId="8" fillId="19" borderId="59" xfId="55"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61" xfId="0" applyBorder="1" applyAlignment="1" applyProtection="1">
      <alignment horizontal="center" vertical="center" wrapText="1"/>
    </xf>
    <xf numFmtId="0" fontId="8" fillId="19" borderId="59" xfId="55" quotePrefix="1" applyFont="1" applyFill="1" applyBorder="1" applyAlignment="1" applyProtection="1">
      <alignment horizontal="center" vertical="center" wrapText="1"/>
    </xf>
    <xf numFmtId="0" fontId="76" fillId="19" borderId="0" xfId="55" applyFont="1" applyFill="1" applyBorder="1" applyAlignment="1" applyProtection="1">
      <alignment horizontal="center" vertical="center" wrapText="1"/>
    </xf>
    <xf numFmtId="0" fontId="0" fillId="0" borderId="0" xfId="55" applyFont="1" applyBorder="1" applyAlignment="1" applyProtection="1">
      <alignment horizontal="center" vertical="center"/>
    </xf>
    <xf numFmtId="0" fontId="0" fillId="0" borderId="0" xfId="0" applyBorder="1" applyAlignment="1">
      <alignment vertical="top" wrapText="1"/>
    </xf>
    <xf numFmtId="3" fontId="8" fillId="17" borderId="28" xfId="0" applyNumberFormat="1" applyFont="1" applyFill="1" applyBorder="1" applyAlignment="1" applyProtection="1">
      <alignment horizontal="right" vertical="center" indent="1"/>
      <protection locked="0"/>
    </xf>
    <xf numFmtId="3" fontId="8" fillId="17" borderId="94" xfId="0" applyNumberFormat="1" applyFont="1" applyFill="1" applyBorder="1" applyAlignment="1" applyProtection="1">
      <alignment horizontal="right" vertical="center" indent="1"/>
      <protection locked="0"/>
    </xf>
    <xf numFmtId="3" fontId="8" fillId="30" borderId="69" xfId="0" applyNumberFormat="1" applyFont="1" applyFill="1" applyBorder="1" applyAlignment="1">
      <alignment horizontal="right" vertical="center" indent="1"/>
    </xf>
    <xf numFmtId="3" fontId="6" fillId="30" borderId="70" xfId="0" applyNumberFormat="1" applyFont="1" applyFill="1" applyBorder="1" applyAlignment="1">
      <alignment horizontal="right" vertical="center" indent="1"/>
    </xf>
    <xf numFmtId="0" fontId="8" fillId="22" borderId="0" xfId="0" applyFont="1" applyFill="1" applyBorder="1" applyAlignment="1">
      <alignment horizontal="left" vertical="top" wrapText="1"/>
    </xf>
    <xf numFmtId="3" fontId="8" fillId="21" borderId="28" xfId="0" applyNumberFormat="1" applyFont="1" applyFill="1" applyBorder="1" applyAlignment="1" applyProtection="1">
      <alignment horizontal="right" vertical="center" indent="1"/>
      <protection locked="0"/>
    </xf>
    <xf numFmtId="3" fontId="8" fillId="21" borderId="94" xfId="0" applyNumberFormat="1" applyFont="1" applyFill="1" applyBorder="1" applyAlignment="1" applyProtection="1">
      <alignment horizontal="right" vertical="center" indent="1"/>
      <protection locked="0"/>
    </xf>
    <xf numFmtId="3" fontId="8" fillId="17" borderId="69" xfId="0" applyNumberFormat="1" applyFont="1" applyFill="1" applyBorder="1" applyAlignment="1">
      <alignment horizontal="right" vertical="center" indent="1"/>
    </xf>
    <xf numFmtId="3" fontId="6" fillId="17" borderId="70" xfId="0" applyNumberFormat="1" applyFont="1" applyFill="1" applyBorder="1" applyAlignment="1">
      <alignment horizontal="right" vertical="center" indent="1"/>
    </xf>
    <xf numFmtId="3" fontId="8" fillId="21" borderId="93" xfId="0" applyNumberFormat="1" applyFont="1" applyFill="1" applyBorder="1" applyAlignment="1" applyProtection="1">
      <alignment horizontal="right" vertical="center" indent="1"/>
      <protection locked="0"/>
    </xf>
    <xf numFmtId="3" fontId="11" fillId="21" borderId="69" xfId="0" applyNumberFormat="1" applyFont="1" applyFill="1" applyBorder="1" applyAlignment="1">
      <alignment horizontal="right" vertical="center" indent="1"/>
    </xf>
    <xf numFmtId="3" fontId="12" fillId="21" borderId="70" xfId="0" applyNumberFormat="1" applyFont="1" applyFill="1" applyBorder="1" applyAlignment="1">
      <alignment horizontal="right" vertical="center" indent="1"/>
    </xf>
    <xf numFmtId="3" fontId="11" fillId="30" borderId="69" xfId="0" applyNumberFormat="1" applyFont="1" applyFill="1" applyBorder="1" applyAlignment="1">
      <alignment horizontal="right" vertical="center" indent="1"/>
    </xf>
    <xf numFmtId="3" fontId="12" fillId="30" borderId="70" xfId="0" applyNumberFormat="1" applyFont="1" applyFill="1" applyBorder="1" applyAlignment="1">
      <alignment horizontal="right" vertical="center" indent="1"/>
    </xf>
    <xf numFmtId="3" fontId="11" fillId="30" borderId="69" xfId="0" applyNumberFormat="1" applyFont="1" applyFill="1" applyBorder="1" applyAlignment="1" applyProtection="1">
      <alignment horizontal="right" vertical="center" indent="1"/>
      <protection locked="0"/>
    </xf>
    <xf numFmtId="3" fontId="12" fillId="30" borderId="70" xfId="0" applyNumberFormat="1" applyFont="1" applyFill="1" applyBorder="1" applyAlignment="1" applyProtection="1">
      <alignment horizontal="right" vertical="center" indent="1"/>
      <protection locked="0"/>
    </xf>
    <xf numFmtId="0" fontId="3" fillId="19" borderId="66" xfId="0" applyFont="1" applyFill="1" applyBorder="1" applyAlignment="1">
      <alignment horizontal="left"/>
    </xf>
    <xf numFmtId="0" fontId="6" fillId="23" borderId="0" xfId="0" applyFont="1" applyFill="1" applyBorder="1" applyAlignment="1">
      <alignment vertical="top" wrapText="1"/>
    </xf>
    <xf numFmtId="0" fontId="2" fillId="0" borderId="0" xfId="0" applyFont="1" applyAlignment="1">
      <alignment vertical="top" wrapText="1"/>
    </xf>
    <xf numFmtId="3" fontId="8" fillId="17" borderId="29" xfId="0" applyNumberFormat="1" applyFont="1" applyFill="1" applyBorder="1" applyAlignment="1" applyProtection="1">
      <alignment horizontal="right" vertical="center" indent="1"/>
      <protection locked="0"/>
    </xf>
    <xf numFmtId="3" fontId="41" fillId="24" borderId="33" xfId="0" applyNumberFormat="1" applyFont="1" applyFill="1" applyBorder="1" applyAlignment="1">
      <alignment horizontal="right" vertical="center" indent="1"/>
    </xf>
    <xf numFmtId="3" fontId="42" fillId="24" borderId="34" xfId="0" applyNumberFormat="1" applyFont="1" applyFill="1" applyBorder="1" applyAlignment="1">
      <alignment horizontal="right" vertical="center" indent="1"/>
    </xf>
    <xf numFmtId="3" fontId="41" fillId="24" borderId="33" xfId="0" applyNumberFormat="1" applyFont="1" applyFill="1" applyBorder="1" applyAlignment="1" applyProtection="1">
      <alignment horizontal="right" vertical="center" indent="1"/>
    </xf>
    <xf numFmtId="3" fontId="42" fillId="24" borderId="34" xfId="0" applyNumberFormat="1" applyFont="1" applyFill="1" applyBorder="1" applyAlignment="1" applyProtection="1">
      <alignment horizontal="right" vertical="center" indent="1"/>
    </xf>
    <xf numFmtId="0" fontId="11" fillId="19" borderId="0" xfId="0" applyFont="1" applyFill="1" applyBorder="1" applyAlignment="1">
      <alignment horizontal="left"/>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3" fontId="60" fillId="24" borderId="74" xfId="0" applyNumberFormat="1" applyFont="1" applyFill="1" applyBorder="1" applyAlignment="1">
      <alignment horizontal="center" vertical="center"/>
    </xf>
    <xf numFmtId="3" fontId="11" fillId="30" borderId="0" xfId="0" applyNumberFormat="1" applyFont="1" applyFill="1" applyBorder="1" applyAlignment="1">
      <alignment horizontal="center" vertical="center"/>
    </xf>
    <xf numFmtId="0" fontId="0" fillId="30" borderId="0" xfId="0" applyFill="1" applyBorder="1" applyAlignment="1">
      <alignment horizontal="center" vertical="center"/>
    </xf>
    <xf numFmtId="0" fontId="87" fillId="19" borderId="18" xfId="0" applyFont="1" applyFill="1" applyBorder="1" applyAlignment="1"/>
    <xf numFmtId="0" fontId="88" fillId="0" borderId="18" xfId="0" applyFont="1" applyBorder="1" applyAlignment="1"/>
    <xf numFmtId="3" fontId="11" fillId="17" borderId="33" xfId="0" applyNumberFormat="1" applyFont="1" applyFill="1" applyBorder="1" applyAlignment="1">
      <alignment horizontal="right" vertical="center" indent="1"/>
    </xf>
    <xf numFmtId="3" fontId="12" fillId="17" borderId="34" xfId="0" applyNumberFormat="1" applyFont="1" applyFill="1" applyBorder="1" applyAlignment="1">
      <alignment horizontal="right" vertical="center" indent="1"/>
    </xf>
    <xf numFmtId="3" fontId="8" fillId="17" borderId="64" xfId="0" applyNumberFormat="1" applyFont="1" applyFill="1" applyBorder="1" applyAlignment="1">
      <alignment horizontal="right" vertical="center" indent="1"/>
    </xf>
    <xf numFmtId="3" fontId="6" fillId="17" borderId="65"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11" fillId="17" borderId="70" xfId="0" applyNumberFormat="1" applyFont="1" applyFill="1" applyBorder="1" applyAlignment="1">
      <alignment horizontal="right" vertical="center" indent="1"/>
    </xf>
    <xf numFmtId="3" fontId="11" fillId="17" borderId="64" xfId="0" applyNumberFormat="1" applyFont="1" applyFill="1" applyBorder="1" applyAlignment="1">
      <alignment horizontal="right" vertical="center" indent="1"/>
    </xf>
    <xf numFmtId="3" fontId="11" fillId="17" borderId="65" xfId="0" applyNumberFormat="1" applyFont="1" applyFill="1" applyBorder="1" applyAlignment="1">
      <alignment horizontal="right" vertical="center" indent="1"/>
    </xf>
    <xf numFmtId="0" fontId="2" fillId="0" borderId="0" xfId="0" applyFont="1" applyAlignment="1">
      <alignment wrapText="1"/>
    </xf>
    <xf numFmtId="3" fontId="8" fillId="17" borderId="70" xfId="0" applyNumberFormat="1" applyFont="1" applyFill="1" applyBorder="1" applyAlignment="1">
      <alignment horizontal="right" vertical="center" indent="1"/>
    </xf>
    <xf numFmtId="0" fontId="3" fillId="19" borderId="15" xfId="0" applyFont="1" applyFill="1" applyBorder="1" applyAlignment="1">
      <alignment horizontal="left"/>
    </xf>
    <xf numFmtId="0" fontId="6" fillId="19" borderId="12" xfId="0" applyFont="1" applyFill="1" applyBorder="1" applyAlignment="1">
      <alignment wrapText="1"/>
    </xf>
    <xf numFmtId="3" fontId="8" fillId="19" borderId="0" xfId="0" applyNumberFormat="1" applyFont="1" applyFill="1" applyBorder="1" applyAlignment="1">
      <alignment horizontal="center" wrapText="1"/>
    </xf>
    <xf numFmtId="3" fontId="11" fillId="30" borderId="33" xfId="0" applyNumberFormat="1" applyFont="1" applyFill="1" applyBorder="1" applyAlignment="1">
      <alignment horizontal="right" vertical="center" indent="1"/>
    </xf>
    <xf numFmtId="3" fontId="12" fillId="30" borderId="34" xfId="0" applyNumberFormat="1" applyFont="1" applyFill="1" applyBorder="1" applyAlignment="1">
      <alignment horizontal="right" vertical="center" indent="1"/>
    </xf>
    <xf numFmtId="3" fontId="8" fillId="21" borderId="69" xfId="0" applyNumberFormat="1" applyFont="1" applyFill="1" applyBorder="1" applyAlignment="1">
      <alignment horizontal="right" vertical="center" indent="1"/>
    </xf>
    <xf numFmtId="3" fontId="6" fillId="21" borderId="70" xfId="0" applyNumberFormat="1" applyFont="1" applyFill="1" applyBorder="1" applyAlignment="1">
      <alignment horizontal="right" vertical="center" indent="1"/>
    </xf>
    <xf numFmtId="9" fontId="8" fillId="17" borderId="69" xfId="43" applyFont="1" applyFill="1" applyBorder="1" applyAlignment="1">
      <alignment horizontal="center" vertical="center"/>
    </xf>
    <xf numFmtId="9" fontId="8" fillId="17" borderId="70" xfId="43" applyFont="1" applyFill="1" applyBorder="1" applyAlignment="1">
      <alignment horizontal="center" vertical="center"/>
    </xf>
    <xf numFmtId="3" fontId="11" fillId="30" borderId="70" xfId="0" applyNumberFormat="1" applyFont="1" applyFill="1" applyBorder="1" applyAlignment="1">
      <alignment horizontal="right" vertical="center" indent="1"/>
    </xf>
    <xf numFmtId="3" fontId="6" fillId="19" borderId="0" xfId="0" applyNumberFormat="1" applyFont="1" applyFill="1" applyBorder="1" applyAlignment="1">
      <alignment horizontal="center" vertical="center"/>
    </xf>
    <xf numFmtId="3" fontId="8" fillId="17" borderId="35" xfId="0" applyNumberFormat="1" applyFont="1" applyFill="1" applyBorder="1" applyAlignment="1">
      <alignment horizontal="right" vertical="center" indent="1"/>
    </xf>
    <xf numFmtId="3" fontId="6" fillId="17" borderId="36" xfId="0" applyNumberFormat="1" applyFont="1" applyFill="1" applyBorder="1" applyAlignment="1">
      <alignment horizontal="right" vertical="center" indent="1"/>
    </xf>
    <xf numFmtId="0" fontId="6" fillId="22" borderId="0" xfId="0" applyFont="1" applyFill="1" applyBorder="1" applyAlignment="1">
      <alignment horizontal="left" vertical="top" wrapText="1"/>
    </xf>
    <xf numFmtId="3" fontId="11" fillId="17" borderId="64" xfId="0" applyNumberFormat="1" applyFont="1" applyFill="1" applyBorder="1" applyAlignment="1" applyProtection="1">
      <alignment horizontal="right" vertical="center" indent="1"/>
    </xf>
    <xf numFmtId="3" fontId="11" fillId="17" borderId="65" xfId="0" applyNumberFormat="1" applyFont="1" applyFill="1" applyBorder="1" applyAlignment="1" applyProtection="1">
      <alignment horizontal="right" vertical="center" indent="1"/>
    </xf>
    <xf numFmtId="0" fontId="8" fillId="19" borderId="0" xfId="0" applyFont="1" applyFill="1" applyBorder="1" applyAlignment="1">
      <alignment horizontal="center" vertical="center"/>
    </xf>
    <xf numFmtId="3" fontId="8" fillId="21" borderId="70" xfId="0" applyNumberFormat="1" applyFont="1" applyFill="1" applyBorder="1" applyAlignment="1">
      <alignment horizontal="right" vertical="center" indent="1"/>
    </xf>
    <xf numFmtId="3" fontId="11" fillId="17" borderId="34" xfId="0" applyNumberFormat="1" applyFont="1" applyFill="1" applyBorder="1" applyAlignment="1">
      <alignment horizontal="right" vertical="center" indent="1"/>
    </xf>
    <xf numFmtId="0" fontId="87" fillId="19" borderId="75" xfId="0" applyFont="1" applyFill="1" applyBorder="1" applyAlignment="1"/>
    <xf numFmtId="0" fontId="88" fillId="0" borderId="75" xfId="0" applyFont="1" applyBorder="1" applyAlignment="1"/>
    <xf numFmtId="3" fontId="91" fillId="22" borderId="75" xfId="0" applyNumberFormat="1" applyFont="1" applyFill="1" applyBorder="1" applyAlignment="1">
      <alignment horizontal="right" vertical="center" indent="1"/>
    </xf>
    <xf numFmtId="3" fontId="87" fillId="22" borderId="75" xfId="0" applyNumberFormat="1" applyFont="1" applyFill="1" applyBorder="1" applyAlignment="1">
      <alignment horizontal="right" vertical="center" indent="1"/>
    </xf>
    <xf numFmtId="0" fontId="87" fillId="19" borderId="75" xfId="0" applyFont="1" applyFill="1" applyBorder="1" applyAlignment="1">
      <alignment wrapText="1"/>
    </xf>
    <xf numFmtId="0" fontId="88" fillId="0" borderId="75" xfId="0" applyFont="1" applyBorder="1" applyAlignment="1">
      <alignment wrapText="1"/>
    </xf>
    <xf numFmtId="3" fontId="8" fillId="17" borderId="64" xfId="0" applyNumberFormat="1" applyFont="1" applyFill="1" applyBorder="1" applyAlignment="1" applyProtection="1">
      <alignment horizontal="right" vertical="center" indent="1"/>
      <protection locked="0"/>
    </xf>
    <xf numFmtId="3" fontId="8" fillId="17" borderId="65" xfId="0" applyNumberFormat="1" applyFont="1" applyFill="1" applyBorder="1" applyAlignment="1" applyProtection="1">
      <alignment horizontal="right" vertical="center" indent="1"/>
      <protection locked="0"/>
    </xf>
    <xf numFmtId="3" fontId="8" fillId="17" borderId="34" xfId="0" applyNumberFormat="1" applyFont="1" applyFill="1" applyBorder="1" applyAlignment="1">
      <alignment horizontal="right" vertical="center" indent="1"/>
    </xf>
    <xf numFmtId="3" fontId="8" fillId="17" borderId="65" xfId="0" applyNumberFormat="1" applyFont="1" applyFill="1" applyBorder="1" applyAlignment="1" applyProtection="1">
      <alignment horizontal="right" vertical="center" indent="1"/>
    </xf>
    <xf numFmtId="3" fontId="8"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xf>
    <xf numFmtId="9" fontId="8" fillId="17" borderId="33" xfId="43" applyFont="1" applyFill="1" applyBorder="1" applyAlignment="1">
      <alignment horizontal="right" vertical="center" indent="1"/>
    </xf>
    <xf numFmtId="9" fontId="8" fillId="17" borderId="34" xfId="43" applyFont="1" applyFill="1" applyBorder="1" applyAlignment="1">
      <alignment horizontal="right" vertical="center" indent="1"/>
    </xf>
    <xf numFmtId="0" fontId="6" fillId="19" borderId="0" xfId="0" applyFont="1" applyFill="1" applyBorder="1" applyAlignment="1">
      <alignment wrapText="1"/>
    </xf>
    <xf numFmtId="0" fontId="6" fillId="0" borderId="0" xfId="0" applyFont="1" applyBorder="1" applyAlignment="1">
      <alignment wrapText="1"/>
    </xf>
    <xf numFmtId="0" fontId="0" fillId="0" borderId="0" xfId="0" applyAlignment="1">
      <alignment wrapText="1"/>
    </xf>
    <xf numFmtId="3" fontId="8" fillId="28" borderId="33" xfId="0" applyNumberFormat="1" applyFont="1" applyFill="1" applyBorder="1" applyAlignment="1">
      <alignment horizontal="right" vertical="center" indent="1"/>
    </xf>
    <xf numFmtId="3" fontId="8" fillId="28" borderId="34" xfId="0" applyNumberFormat="1" applyFont="1" applyFill="1" applyBorder="1" applyAlignment="1">
      <alignment horizontal="right" vertical="center" indent="1"/>
    </xf>
    <xf numFmtId="3" fontId="8" fillId="28" borderId="64" xfId="0" applyNumberFormat="1" applyFont="1" applyFill="1" applyBorder="1" applyAlignment="1" applyProtection="1">
      <alignment horizontal="right" vertical="center" indent="1"/>
    </xf>
    <xf numFmtId="3" fontId="8" fillId="28" borderId="65" xfId="0" applyNumberFormat="1" applyFont="1" applyFill="1" applyBorder="1" applyAlignment="1" applyProtection="1">
      <alignment horizontal="right" vertical="center" indent="1"/>
    </xf>
    <xf numFmtId="3" fontId="8" fillId="28" borderId="53" xfId="0" applyNumberFormat="1" applyFont="1" applyFill="1" applyBorder="1" applyAlignment="1">
      <alignment horizontal="right" vertical="center" indent="1"/>
    </xf>
    <xf numFmtId="3" fontId="8" fillId="28" borderId="54" xfId="0" applyNumberFormat="1" applyFont="1" applyFill="1" applyBorder="1" applyAlignment="1">
      <alignment horizontal="right" vertical="center" indent="1"/>
    </xf>
    <xf numFmtId="0" fontId="6" fillId="28" borderId="0" xfId="0" applyFont="1" applyFill="1" applyBorder="1" applyAlignment="1">
      <alignment vertical="center" wrapText="1"/>
    </xf>
    <xf numFmtId="3" fontId="8" fillId="28" borderId="0" xfId="0" applyNumberFormat="1" applyFont="1" applyFill="1" applyBorder="1" applyAlignment="1">
      <alignment horizontal="center" wrapText="1"/>
    </xf>
    <xf numFmtId="0" fontId="6" fillId="28" borderId="0" xfId="0" applyFont="1" applyFill="1" applyBorder="1" applyAlignment="1">
      <alignment wrapText="1"/>
    </xf>
    <xf numFmtId="3" fontId="8" fillId="28" borderId="79" xfId="0" applyNumberFormat="1" applyFont="1" applyFill="1" applyBorder="1" applyAlignment="1">
      <alignment horizontal="center" vertical="center"/>
    </xf>
    <xf numFmtId="3" fontId="6" fillId="0" borderId="0" xfId="0" applyNumberFormat="1" applyFont="1" applyAlignment="1">
      <alignment horizontal="center"/>
    </xf>
    <xf numFmtId="0" fontId="6" fillId="0" borderId="0" xfId="0" applyFont="1" applyAlignment="1">
      <alignment horizontal="center"/>
    </xf>
    <xf numFmtId="0" fontId="44" fillId="19" borderId="0" xfId="0" applyFont="1" applyFill="1" applyBorder="1" applyAlignment="1">
      <alignment horizontal="center" vertical="center"/>
    </xf>
    <xf numFmtId="0" fontId="53" fillId="29" borderId="32" xfId="40" applyFont="1" applyFill="1" applyBorder="1" applyAlignment="1">
      <alignment horizontal="center" wrapText="1"/>
    </xf>
    <xf numFmtId="3" fontId="51" fillId="6" borderId="60" xfId="33" applyNumberFormat="1" applyFont="1" applyBorder="1" applyAlignment="1">
      <alignment horizontal="center" vertical="center" wrapText="1"/>
    </xf>
    <xf numFmtId="0" fontId="3" fillId="20" borderId="0" xfId="0" applyFont="1" applyFill="1" applyAlignment="1">
      <alignment horizontal="center"/>
    </xf>
    <xf numFmtId="1" fontId="3" fillId="33" borderId="81" xfId="0" applyNumberFormat="1" applyFont="1" applyFill="1" applyBorder="1" applyAlignment="1">
      <alignment horizontal="center" wrapText="1"/>
    </xf>
    <xf numFmtId="1" fontId="3" fillId="33" borderId="112" xfId="0" applyNumberFormat="1" applyFont="1" applyFill="1" applyBorder="1" applyAlignment="1">
      <alignment horizontal="center" wrapText="1"/>
    </xf>
    <xf numFmtId="0" fontId="0" fillId="0" borderId="32" xfId="0" applyBorder="1" applyAlignment="1">
      <alignment horizontal="center" wrapText="1"/>
    </xf>
    <xf numFmtId="0" fontId="0" fillId="0" borderId="113" xfId="0" applyBorder="1" applyAlignment="1">
      <alignment horizontal="center" wrapText="1"/>
    </xf>
    <xf numFmtId="0" fontId="3" fillId="33" borderId="81" xfId="0" applyFont="1" applyFill="1" applyBorder="1" applyAlignment="1">
      <alignment horizontal="center" wrapText="1"/>
    </xf>
    <xf numFmtId="0" fontId="3" fillId="33" borderId="112" xfId="0" applyFont="1" applyFill="1" applyBorder="1" applyAlignment="1">
      <alignment horizontal="center" wrapText="1"/>
    </xf>
    <xf numFmtId="0" fontId="3" fillId="33" borderId="81" xfId="0" applyFont="1" applyFill="1" applyBorder="1" applyAlignment="1">
      <alignment horizontal="center" wrapText="1" shrinkToFit="1"/>
    </xf>
  </cellXfs>
  <cellStyles count="58">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xr:uid="{00000000-0005-0000-0000-00001B000000}"/>
    <cellStyle name="CellBAValue 2" xfId="47" xr:uid="{00000000-0005-0000-0000-00001C000000}"/>
    <cellStyle name="CellNationValue" xfId="28" xr:uid="{00000000-0005-0000-0000-00001D000000}"/>
    <cellStyle name="CellUAValue" xfId="29" xr:uid="{00000000-0005-0000-0000-00001E000000}"/>
    <cellStyle name="CellUAValue 2" xfId="48" xr:uid="{00000000-0005-0000-0000-00001F000000}"/>
    <cellStyle name="Check Cell" xfId="30" builtinId="23" customBuiltin="1"/>
    <cellStyle name="Comma 2" xfId="31" xr:uid="{00000000-0005-0000-0000-000021000000}"/>
    <cellStyle name="Comma 2 2" xfId="50" xr:uid="{00000000-0005-0000-0000-00002200000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_Sheet1" xfId="57" xr:uid="{00000000-0005-0000-0000-000033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25">
    <dxf>
      <fill>
        <patternFill>
          <bgColor indexed="43"/>
        </patternFill>
      </fill>
    </dxf>
    <dxf>
      <fill>
        <patternFill>
          <bgColor indexed="4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99CCFF"/>
      <color rgb="FF0000FF"/>
      <color rgb="FFB7DEE8"/>
      <color rgb="FFC5D9F1"/>
      <color rgb="FFFFFFFF"/>
      <color rgb="FFD8E4BC"/>
      <color rgb="FFFDE9D9"/>
      <color rgb="FFDA9694"/>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List" dx="16" fmlaLink="F1" fmlaRange="Datasheet1!$D$5:$D$331" noThreeD="1" sel="326"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581025</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40</xdr:row>
      <xdr:rowOff>127000</xdr:rowOff>
    </xdr:from>
    <xdr:to>
      <xdr:col>17</xdr:col>
      <xdr:colOff>31750</xdr:colOff>
      <xdr:row>40</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40</xdr:row>
      <xdr:rowOff>142875</xdr:rowOff>
    </xdr:from>
    <xdr:to>
      <xdr:col>17</xdr:col>
      <xdr:colOff>79375</xdr:colOff>
      <xdr:row>49</xdr:row>
      <xdr:rowOff>111125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175875" y="9921875"/>
          <a:ext cx="47625" cy="22225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49</xdr:row>
      <xdr:rowOff>127000</xdr:rowOff>
    </xdr:from>
    <xdr:to>
      <xdr:col>17</xdr:col>
      <xdr:colOff>269875</xdr:colOff>
      <xdr:row>49</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sktop21.dclg.gov.uk\DCLGDFS\LGF3Data\NNDR%201%20-%203\NNDR3\2017-18\Form%20to%20LA\NNDR3%202017-18%20to%20LAs%20v1.1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NNDR1_Form"/>
      <sheetName val="Supplementary_Information"/>
      <sheetName val="Supplementary_Validation"/>
      <sheetName val="Drop Downs and Lookup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C8" t="str">
            <v>E3831</v>
          </cell>
        </row>
      </sheetData>
      <sheetData sheetId="15">
        <row r="4">
          <cell r="C4" t="str">
            <v>E3831EZ1</v>
          </cell>
        </row>
      </sheetData>
      <sheetData sheetId="16" refreshError="1"/>
      <sheetData sheetId="17" refreshError="1"/>
      <sheetData sheetId="18">
        <row r="6">
          <cell r="A6" t="str">
            <v>E3831</v>
          </cell>
        </row>
      </sheetData>
      <sheetData sheetId="19" refreshError="1"/>
      <sheetData sheetId="20">
        <row r="3">
          <cell r="A3" t="str">
            <v>E3831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4"/>
  <sheetViews>
    <sheetView showGridLines="0" tabSelected="1" zoomScaleNormal="100" workbookViewId="0"/>
  </sheetViews>
  <sheetFormatPr defaultRowHeight="12.75" x14ac:dyDescent="0.2"/>
  <cols>
    <col min="1" max="1" width="4" customWidth="1"/>
    <col min="2" max="2" width="13.42578125" customWidth="1"/>
  </cols>
  <sheetData>
    <row r="1" spans="2:22" ht="13.5" thickBot="1" x14ac:dyDescent="0.25"/>
    <row r="2" spans="2:22" x14ac:dyDescent="0.2">
      <c r="B2" s="610"/>
      <c r="C2" s="611"/>
      <c r="D2" s="611"/>
      <c r="E2" s="611"/>
      <c r="F2" s="611"/>
      <c r="G2" s="611"/>
      <c r="H2" s="611"/>
      <c r="I2" s="611"/>
      <c r="J2" s="611"/>
      <c r="K2" s="611"/>
      <c r="L2" s="611"/>
      <c r="M2" s="611"/>
      <c r="N2" s="611"/>
      <c r="O2" s="612"/>
    </row>
    <row r="3" spans="2:22" x14ac:dyDescent="0.2">
      <c r="B3" s="613"/>
      <c r="C3" s="44"/>
      <c r="D3" s="44"/>
      <c r="E3" s="44"/>
      <c r="F3" s="44"/>
      <c r="G3" s="44"/>
      <c r="H3" s="44"/>
      <c r="I3" s="44"/>
      <c r="J3" s="44"/>
      <c r="K3" s="44"/>
      <c r="L3" s="44"/>
      <c r="M3" s="44"/>
      <c r="N3" s="44"/>
      <c r="O3" s="614"/>
    </row>
    <row r="4" spans="2:22" x14ac:dyDescent="0.2">
      <c r="B4" s="613"/>
      <c r="C4" s="44"/>
      <c r="D4" s="44"/>
      <c r="E4" s="44"/>
      <c r="F4" s="44"/>
      <c r="G4" s="44"/>
      <c r="H4" s="44"/>
      <c r="I4" s="44"/>
      <c r="J4" s="44"/>
      <c r="K4" s="44"/>
      <c r="L4" s="44"/>
      <c r="M4" s="44"/>
      <c r="N4" s="44"/>
      <c r="O4" s="614"/>
    </row>
    <row r="5" spans="2:22" x14ac:dyDescent="0.2">
      <c r="B5" s="613"/>
      <c r="C5" s="44"/>
      <c r="D5" s="44"/>
      <c r="E5" s="44"/>
      <c r="F5" s="44"/>
      <c r="G5" s="44"/>
      <c r="H5" s="44"/>
      <c r="I5" s="44"/>
      <c r="J5" s="44"/>
      <c r="K5" s="44"/>
      <c r="L5" s="44"/>
      <c r="M5" s="44"/>
      <c r="N5" s="44"/>
      <c r="O5" s="614"/>
    </row>
    <row r="6" spans="2:22" x14ac:dyDescent="0.2">
      <c r="B6" s="613"/>
      <c r="C6" s="44"/>
      <c r="D6" s="44"/>
      <c r="E6" s="44"/>
      <c r="F6" s="44"/>
      <c r="G6" s="44"/>
      <c r="H6" s="44"/>
      <c r="I6" s="44"/>
      <c r="J6" s="44"/>
      <c r="K6" s="44"/>
      <c r="L6" s="44"/>
      <c r="M6" s="44"/>
      <c r="N6" s="44"/>
      <c r="O6" s="614"/>
    </row>
    <row r="7" spans="2:22" x14ac:dyDescent="0.2">
      <c r="B7" s="613"/>
      <c r="C7" s="44"/>
      <c r="D7" s="44"/>
      <c r="E7" s="44"/>
      <c r="F7" s="44"/>
      <c r="G7" s="44"/>
      <c r="H7" s="44"/>
      <c r="I7" s="44"/>
      <c r="J7" s="44"/>
      <c r="K7" s="44"/>
      <c r="L7" s="44"/>
      <c r="M7" s="44"/>
      <c r="N7" s="44"/>
      <c r="O7" s="614"/>
    </row>
    <row r="8" spans="2:22" x14ac:dyDescent="0.2">
      <c r="B8" s="613"/>
      <c r="C8" s="44"/>
      <c r="D8" s="44"/>
      <c r="E8" s="44"/>
      <c r="F8" s="44"/>
      <c r="G8" s="44"/>
      <c r="H8" s="44"/>
      <c r="I8" s="44"/>
      <c r="J8" s="44"/>
      <c r="K8" s="44"/>
      <c r="L8" s="44"/>
      <c r="M8" s="44"/>
      <c r="N8" s="44"/>
      <c r="O8" s="614"/>
    </row>
    <row r="9" spans="2:22" x14ac:dyDescent="0.2">
      <c r="B9" s="613"/>
      <c r="C9" s="44"/>
      <c r="D9" s="44"/>
      <c r="E9" s="44"/>
      <c r="F9" s="44"/>
      <c r="G9" s="44"/>
      <c r="H9" s="44"/>
      <c r="I9" s="44"/>
      <c r="J9" s="44"/>
      <c r="K9" s="44"/>
      <c r="L9" s="44"/>
      <c r="M9" s="44"/>
      <c r="N9" s="44"/>
      <c r="O9" s="614"/>
    </row>
    <row r="10" spans="2:22" x14ac:dyDescent="0.2">
      <c r="B10" s="615" t="s">
        <v>1162</v>
      </c>
      <c r="C10" s="44"/>
      <c r="D10" s="44"/>
      <c r="E10" s="44"/>
      <c r="F10" s="44"/>
      <c r="G10" s="44"/>
      <c r="H10" s="44"/>
      <c r="I10" s="44"/>
      <c r="J10" s="44"/>
      <c r="K10" s="44"/>
      <c r="L10" s="44"/>
      <c r="M10" s="44"/>
      <c r="N10" s="44"/>
      <c r="O10" s="614"/>
    </row>
    <row r="11" spans="2:22" ht="79.5" customHeight="1" x14ac:dyDescent="0.2">
      <c r="B11" s="840" t="s">
        <v>1670</v>
      </c>
      <c r="C11" s="841"/>
      <c r="D11" s="841"/>
      <c r="E11" s="841"/>
      <c r="F11" s="841"/>
      <c r="G11" s="841"/>
      <c r="H11" s="841"/>
      <c r="I11" s="841"/>
      <c r="J11" s="841"/>
      <c r="K11" s="841"/>
      <c r="L11" s="841"/>
      <c r="M11" s="841"/>
      <c r="N11" s="841"/>
      <c r="O11" s="614"/>
      <c r="V11" s="212"/>
    </row>
    <row r="12" spans="2:22" ht="14.25" customHeight="1" x14ac:dyDescent="0.2">
      <c r="B12" s="613"/>
      <c r="C12" s="616"/>
      <c r="D12" s="616"/>
      <c r="E12" s="616"/>
      <c r="F12" s="616"/>
      <c r="G12" s="616"/>
      <c r="H12" s="616"/>
      <c r="I12" s="616"/>
      <c r="J12" s="616"/>
      <c r="K12" s="616"/>
      <c r="L12" s="616"/>
      <c r="M12" s="616"/>
      <c r="N12" s="616"/>
      <c r="O12" s="617"/>
      <c r="V12" s="212"/>
    </row>
    <row r="13" spans="2:22" ht="41.25" customHeight="1" x14ac:dyDescent="0.2">
      <c r="B13" s="840" t="s">
        <v>1666</v>
      </c>
      <c r="C13" s="841"/>
      <c r="D13" s="841"/>
      <c r="E13" s="841"/>
      <c r="F13" s="841"/>
      <c r="G13" s="841"/>
      <c r="H13" s="841"/>
      <c r="I13" s="841"/>
      <c r="J13" s="841"/>
      <c r="K13" s="841"/>
      <c r="L13" s="841"/>
      <c r="M13" s="841"/>
      <c r="N13" s="841"/>
      <c r="O13" s="617"/>
      <c r="V13" s="212"/>
    </row>
    <row r="14" spans="2:22" ht="32.25" customHeight="1" x14ac:dyDescent="0.2">
      <c r="B14" s="842" t="s">
        <v>1165</v>
      </c>
      <c r="C14" s="843"/>
      <c r="D14" s="843"/>
      <c r="E14" s="843"/>
      <c r="F14" s="843"/>
      <c r="G14" s="843"/>
      <c r="H14" s="843"/>
      <c r="I14" s="843"/>
      <c r="J14" s="843"/>
      <c r="K14" s="843"/>
      <c r="L14" s="843"/>
      <c r="M14" s="843"/>
      <c r="N14" s="843"/>
      <c r="O14" s="617"/>
    </row>
    <row r="15" spans="2:22" x14ac:dyDescent="0.2">
      <c r="B15" s="844" t="s">
        <v>1166</v>
      </c>
      <c r="C15" s="845"/>
      <c r="D15" s="845"/>
      <c r="E15" s="845"/>
      <c r="F15" s="845"/>
      <c r="G15" s="845"/>
      <c r="H15" s="845"/>
      <c r="I15" s="845"/>
      <c r="J15" s="845"/>
      <c r="K15" s="845"/>
      <c r="L15" s="845"/>
      <c r="M15" s="845"/>
      <c r="N15" s="845"/>
      <c r="O15" s="617"/>
      <c r="V15" s="212"/>
    </row>
    <row r="16" spans="2:22" ht="23.25" customHeight="1" x14ac:dyDescent="0.2">
      <c r="B16" s="618" t="s">
        <v>1167</v>
      </c>
      <c r="C16" s="845" t="s">
        <v>1175</v>
      </c>
      <c r="D16" s="845"/>
      <c r="E16" s="845"/>
      <c r="F16" s="845"/>
      <c r="G16" s="845"/>
      <c r="H16" s="845"/>
      <c r="I16" s="845"/>
      <c r="J16" s="845"/>
      <c r="K16" s="845"/>
      <c r="L16" s="845"/>
      <c r="M16" s="845"/>
      <c r="N16" s="845"/>
      <c r="O16" s="617"/>
      <c r="V16" s="212"/>
    </row>
    <row r="17" spans="2:15" x14ac:dyDescent="0.2">
      <c r="B17" s="619"/>
      <c r="C17" s="616"/>
      <c r="D17" s="616"/>
      <c r="E17" s="616"/>
      <c r="F17" s="616"/>
      <c r="G17" s="616"/>
      <c r="H17" s="616"/>
      <c r="I17" s="616"/>
      <c r="J17" s="616"/>
      <c r="K17" s="616"/>
      <c r="L17" s="616"/>
      <c r="M17" s="616"/>
      <c r="N17" s="616"/>
      <c r="O17" s="617"/>
    </row>
    <row r="18" spans="2:15" ht="50.1" customHeight="1" x14ac:dyDescent="0.2">
      <c r="B18" s="618" t="s">
        <v>1168</v>
      </c>
      <c r="C18" s="845" t="s">
        <v>1665</v>
      </c>
      <c r="D18" s="845"/>
      <c r="E18" s="845"/>
      <c r="F18" s="845"/>
      <c r="G18" s="845"/>
      <c r="H18" s="845"/>
      <c r="I18" s="845"/>
      <c r="J18" s="845"/>
      <c r="K18" s="845"/>
      <c r="L18" s="845"/>
      <c r="M18" s="845"/>
      <c r="N18" s="845"/>
      <c r="O18" s="617"/>
    </row>
    <row r="19" spans="2:15" ht="12" customHeight="1" x14ac:dyDescent="0.2">
      <c r="B19" s="618"/>
      <c r="C19" s="736"/>
      <c r="D19" s="736"/>
      <c r="E19" s="736"/>
      <c r="F19" s="736"/>
      <c r="G19" s="736"/>
      <c r="H19" s="736"/>
      <c r="I19" s="736"/>
      <c r="J19" s="736"/>
      <c r="K19" s="736"/>
      <c r="L19" s="736"/>
      <c r="M19" s="736"/>
      <c r="N19" s="736"/>
      <c r="O19" s="617"/>
    </row>
    <row r="20" spans="2:15" ht="12" customHeight="1" x14ac:dyDescent="0.2">
      <c r="B20" s="618" t="s">
        <v>1354</v>
      </c>
      <c r="C20" s="845" t="s">
        <v>1355</v>
      </c>
      <c r="D20" s="846"/>
      <c r="E20" s="846"/>
      <c r="F20" s="846"/>
      <c r="G20" s="846"/>
      <c r="H20" s="846"/>
      <c r="I20" s="846"/>
      <c r="J20" s="846"/>
      <c r="K20" s="846"/>
      <c r="L20" s="846"/>
      <c r="M20" s="846"/>
      <c r="N20" s="846"/>
      <c r="O20" s="617"/>
    </row>
    <row r="21" spans="2:15" x14ac:dyDescent="0.2">
      <c r="B21" s="619"/>
      <c r="C21" s="616"/>
      <c r="D21" s="616"/>
      <c r="E21" s="616"/>
      <c r="F21" s="616"/>
      <c r="G21" s="616"/>
      <c r="H21" s="616"/>
      <c r="I21" s="616"/>
      <c r="J21" s="616"/>
      <c r="K21" s="616"/>
      <c r="L21" s="616"/>
      <c r="M21" s="616"/>
      <c r="N21" s="616"/>
      <c r="O21" s="617"/>
    </row>
    <row r="22" spans="2:15" ht="52.5" customHeight="1" x14ac:dyDescent="0.2">
      <c r="B22" s="618" t="s">
        <v>1169</v>
      </c>
      <c r="C22" s="845" t="s">
        <v>1172</v>
      </c>
      <c r="D22" s="845"/>
      <c r="E22" s="845"/>
      <c r="F22" s="845"/>
      <c r="G22" s="845"/>
      <c r="H22" s="845"/>
      <c r="I22" s="845"/>
      <c r="J22" s="845"/>
      <c r="K22" s="845"/>
      <c r="L22" s="845"/>
      <c r="M22" s="845"/>
      <c r="N22" s="845"/>
      <c r="O22" s="617"/>
    </row>
    <row r="23" spans="2:15" x14ac:dyDescent="0.2">
      <c r="B23" s="619"/>
      <c r="C23" s="616"/>
      <c r="D23" s="616"/>
      <c r="E23" s="616"/>
      <c r="F23" s="616"/>
      <c r="G23" s="616"/>
      <c r="H23" s="616"/>
      <c r="I23" s="616"/>
      <c r="J23" s="616"/>
      <c r="K23" s="616"/>
      <c r="L23" s="616"/>
      <c r="M23" s="616"/>
      <c r="N23" s="616"/>
      <c r="O23" s="617"/>
    </row>
    <row r="24" spans="2:15" x14ac:dyDescent="0.2">
      <c r="B24" s="618" t="s">
        <v>1170</v>
      </c>
      <c r="C24" s="845" t="s">
        <v>1173</v>
      </c>
      <c r="D24" s="845"/>
      <c r="E24" s="845"/>
      <c r="F24" s="845"/>
      <c r="G24" s="845"/>
      <c r="H24" s="845"/>
      <c r="I24" s="845"/>
      <c r="J24" s="845"/>
      <c r="K24" s="845"/>
      <c r="L24" s="845"/>
      <c r="M24" s="845"/>
      <c r="N24" s="845"/>
      <c r="O24" s="617"/>
    </row>
    <row r="25" spans="2:15" x14ac:dyDescent="0.2">
      <c r="B25" s="619"/>
      <c r="C25" s="616"/>
      <c r="D25" s="616"/>
      <c r="E25" s="616"/>
      <c r="F25" s="616"/>
      <c r="G25" s="616"/>
      <c r="H25" s="616"/>
      <c r="I25" s="616"/>
      <c r="J25" s="616"/>
      <c r="K25" s="616"/>
      <c r="L25" s="616"/>
      <c r="M25" s="616"/>
      <c r="N25" s="616"/>
      <c r="O25" s="617"/>
    </row>
    <row r="26" spans="2:15" ht="27" customHeight="1" x14ac:dyDescent="0.2">
      <c r="B26" s="618" t="s">
        <v>1171</v>
      </c>
      <c r="C26" s="845" t="s">
        <v>1174</v>
      </c>
      <c r="D26" s="845"/>
      <c r="E26" s="845"/>
      <c r="F26" s="845"/>
      <c r="G26" s="845"/>
      <c r="H26" s="845"/>
      <c r="I26" s="845"/>
      <c r="J26" s="845"/>
      <c r="K26" s="845"/>
      <c r="L26" s="845"/>
      <c r="M26" s="845"/>
      <c r="N26" s="845"/>
      <c r="O26" s="617"/>
    </row>
    <row r="27" spans="2:15" x14ac:dyDescent="0.2">
      <c r="B27" s="619"/>
      <c r="C27" s="616"/>
      <c r="D27" s="616"/>
      <c r="E27" s="616"/>
      <c r="F27" s="616"/>
      <c r="G27" s="616"/>
      <c r="H27" s="616"/>
      <c r="I27" s="616"/>
      <c r="J27" s="616"/>
      <c r="K27" s="616"/>
      <c r="L27" s="616"/>
      <c r="M27" s="616"/>
      <c r="N27" s="616"/>
      <c r="O27" s="617"/>
    </row>
    <row r="28" spans="2:15" x14ac:dyDescent="0.2">
      <c r="B28" s="609"/>
      <c r="C28" s="608"/>
      <c r="D28" s="608"/>
      <c r="E28" s="608"/>
      <c r="F28" s="608"/>
      <c r="G28" s="608"/>
      <c r="H28" s="608"/>
      <c r="I28" s="608"/>
      <c r="J28" s="608"/>
      <c r="K28" s="608"/>
      <c r="L28" s="608"/>
      <c r="M28" s="608"/>
      <c r="N28" s="44"/>
      <c r="O28" s="614"/>
    </row>
    <row r="29" spans="2:15" x14ac:dyDescent="0.2">
      <c r="B29" s="615" t="s">
        <v>1176</v>
      </c>
      <c r="C29" s="44"/>
      <c r="D29" s="44"/>
      <c r="E29" s="44"/>
      <c r="F29" s="44"/>
      <c r="G29" s="44"/>
      <c r="H29" s="44"/>
      <c r="I29" s="44"/>
      <c r="J29" s="44"/>
      <c r="K29" s="44"/>
      <c r="L29" s="44"/>
      <c r="M29" s="44"/>
      <c r="N29" s="44"/>
      <c r="O29" s="614"/>
    </row>
    <row r="30" spans="2:15" x14ac:dyDescent="0.2">
      <c r="B30" s="615"/>
      <c r="C30" s="44"/>
      <c r="D30" s="44"/>
      <c r="E30" s="44"/>
      <c r="F30" s="44"/>
      <c r="G30" s="44"/>
      <c r="H30" s="44"/>
      <c r="I30" s="44"/>
      <c r="J30" s="44"/>
      <c r="K30" s="44"/>
      <c r="L30" s="44"/>
      <c r="M30" s="44"/>
      <c r="N30" s="44"/>
      <c r="O30" s="614"/>
    </row>
    <row r="31" spans="2:15" ht="12.75" customHeight="1" x14ac:dyDescent="0.2">
      <c r="B31" s="840" t="s">
        <v>1658</v>
      </c>
      <c r="C31" s="841"/>
      <c r="D31" s="841"/>
      <c r="E31" s="841"/>
      <c r="F31" s="841"/>
      <c r="G31" s="841"/>
      <c r="H31" s="841"/>
      <c r="I31" s="841"/>
      <c r="J31" s="841"/>
      <c r="K31" s="841"/>
      <c r="L31" s="841"/>
      <c r="M31" s="841"/>
      <c r="N31" s="841"/>
      <c r="O31" s="614"/>
    </row>
    <row r="32" spans="2:15" x14ac:dyDescent="0.2">
      <c r="B32" s="609"/>
      <c r="C32" s="608"/>
      <c r="D32" s="608"/>
      <c r="E32" s="608"/>
      <c r="F32" s="608"/>
      <c r="G32" s="608"/>
      <c r="H32" s="608"/>
      <c r="I32" s="608"/>
      <c r="J32" s="608"/>
      <c r="K32" s="608"/>
      <c r="L32" s="608"/>
      <c r="M32" s="608"/>
      <c r="N32" s="44"/>
      <c r="O32" s="614"/>
    </row>
    <row r="33" spans="2:15" x14ac:dyDescent="0.2">
      <c r="B33" s="615" t="s">
        <v>1163</v>
      </c>
      <c r="C33" s="44"/>
      <c r="D33" s="44"/>
      <c r="E33" s="44"/>
      <c r="F33" s="44"/>
      <c r="G33" s="44"/>
      <c r="H33" s="44"/>
      <c r="I33" s="44"/>
      <c r="J33" s="44"/>
      <c r="K33" s="44"/>
      <c r="L33" s="44"/>
      <c r="M33" s="44"/>
      <c r="N33" s="44"/>
      <c r="O33" s="614"/>
    </row>
    <row r="34" spans="2:15" ht="15" x14ac:dyDescent="0.2">
      <c r="B34" s="620"/>
      <c r="C34" s="44"/>
      <c r="D34" s="44"/>
      <c r="E34" s="44"/>
      <c r="F34" s="44"/>
      <c r="G34" s="44"/>
      <c r="H34" s="44"/>
      <c r="I34" s="44"/>
      <c r="J34" s="44"/>
      <c r="K34" s="44"/>
      <c r="L34" s="44"/>
      <c r="M34" s="44"/>
      <c r="N34" s="44"/>
      <c r="O34" s="614"/>
    </row>
    <row r="35" spans="2:15" x14ac:dyDescent="0.2">
      <c r="B35" s="836" t="s">
        <v>1662</v>
      </c>
      <c r="C35" s="837"/>
      <c r="D35" s="837"/>
      <c r="E35" s="837"/>
      <c r="F35" s="837"/>
      <c r="G35" s="837"/>
      <c r="H35" s="837"/>
      <c r="I35" s="837"/>
      <c r="J35" s="837"/>
      <c r="K35" s="837"/>
      <c r="L35" s="837"/>
      <c r="M35" s="837"/>
      <c r="N35" s="837"/>
      <c r="O35" s="838"/>
    </row>
    <row r="36" spans="2:15" ht="27" customHeight="1" x14ac:dyDescent="0.2">
      <c r="B36" s="839"/>
      <c r="C36" s="837"/>
      <c r="D36" s="837"/>
      <c r="E36" s="837"/>
      <c r="F36" s="837"/>
      <c r="G36" s="837"/>
      <c r="H36" s="837"/>
      <c r="I36" s="837"/>
      <c r="J36" s="837"/>
      <c r="K36" s="837"/>
      <c r="L36" s="837"/>
      <c r="M36" s="837"/>
      <c r="N36" s="837"/>
      <c r="O36" s="838"/>
    </row>
    <row r="37" spans="2:15" x14ac:dyDescent="0.2">
      <c r="B37" s="613"/>
      <c r="C37" s="44"/>
      <c r="D37" s="44"/>
      <c r="E37" s="44"/>
      <c r="F37" s="44"/>
      <c r="G37" s="44"/>
      <c r="H37" s="44"/>
      <c r="I37" s="44"/>
      <c r="J37" s="44"/>
      <c r="K37" s="44"/>
      <c r="L37" s="44"/>
      <c r="M37" s="44"/>
      <c r="N37" s="44"/>
      <c r="O37" s="614"/>
    </row>
    <row r="38" spans="2:15" x14ac:dyDescent="0.2">
      <c r="B38" s="615" t="s">
        <v>1164</v>
      </c>
      <c r="C38" s="44"/>
      <c r="D38" s="44"/>
      <c r="E38" s="44"/>
      <c r="F38" s="44"/>
      <c r="G38" s="44"/>
      <c r="H38" s="44"/>
      <c r="I38" s="44"/>
      <c r="J38" s="44"/>
      <c r="K38" s="44"/>
      <c r="L38" s="44"/>
      <c r="M38" s="44"/>
      <c r="N38" s="44"/>
      <c r="O38" s="614"/>
    </row>
    <row r="39" spans="2:15" x14ac:dyDescent="0.2">
      <c r="B39" s="613"/>
      <c r="C39" s="44"/>
      <c r="D39" s="44"/>
      <c r="E39" s="44"/>
      <c r="F39" s="44"/>
      <c r="G39" s="44"/>
      <c r="H39" s="44"/>
      <c r="I39" s="44"/>
      <c r="J39" s="44"/>
      <c r="K39" s="44"/>
      <c r="L39" s="44"/>
      <c r="M39" s="44"/>
      <c r="N39" s="44"/>
      <c r="O39" s="614"/>
    </row>
    <row r="40" spans="2:15" x14ac:dyDescent="0.2">
      <c r="B40" s="621" t="s">
        <v>1663</v>
      </c>
      <c r="C40" s="44"/>
      <c r="D40" s="44"/>
      <c r="E40" s="44"/>
      <c r="F40" s="44"/>
      <c r="G40" s="44"/>
      <c r="H40" s="44"/>
      <c r="I40" s="44"/>
      <c r="J40" s="44"/>
      <c r="K40" s="44"/>
      <c r="L40" s="44"/>
      <c r="M40" s="44"/>
      <c r="N40" s="44"/>
      <c r="O40" s="614"/>
    </row>
    <row r="41" spans="2:15" x14ac:dyDescent="0.2">
      <c r="B41" s="613"/>
      <c r="C41" s="44"/>
      <c r="D41" s="44"/>
      <c r="E41" s="44"/>
      <c r="F41" s="44"/>
      <c r="G41" s="44"/>
      <c r="H41" s="44"/>
      <c r="I41" s="44"/>
      <c r="J41" s="44"/>
      <c r="K41" s="44"/>
      <c r="L41" s="44"/>
      <c r="M41" s="44"/>
      <c r="N41" s="44"/>
      <c r="O41" s="614"/>
    </row>
    <row r="42" spans="2:15" x14ac:dyDescent="0.2">
      <c r="B42" s="615" t="s">
        <v>1669</v>
      </c>
      <c r="C42" s="44"/>
      <c r="D42" s="44"/>
      <c r="E42" s="44"/>
      <c r="F42" s="44"/>
      <c r="G42" s="44"/>
      <c r="H42" s="44"/>
      <c r="I42" s="44"/>
      <c r="J42" s="44"/>
      <c r="K42" s="44"/>
      <c r="L42" s="44"/>
      <c r="M42" s="44"/>
      <c r="N42" s="44"/>
      <c r="O42" s="614"/>
    </row>
    <row r="43" spans="2:15" x14ac:dyDescent="0.2">
      <c r="B43" s="621" t="s">
        <v>1664</v>
      </c>
      <c r="C43" s="44"/>
      <c r="D43" s="44"/>
      <c r="E43" s="44"/>
      <c r="F43" s="44"/>
      <c r="G43" s="44"/>
      <c r="H43" s="44"/>
      <c r="I43" s="44"/>
      <c r="J43" s="44"/>
      <c r="K43" s="44"/>
      <c r="L43" s="44"/>
      <c r="M43" s="44"/>
      <c r="N43" s="44"/>
      <c r="O43" s="614"/>
    </row>
    <row r="44" spans="2:15" ht="13.5" thickBot="1" x14ac:dyDescent="0.25">
      <c r="B44" s="622"/>
      <c r="C44" s="623"/>
      <c r="D44" s="623"/>
      <c r="E44" s="623"/>
      <c r="F44" s="623"/>
      <c r="G44" s="623"/>
      <c r="H44" s="623"/>
      <c r="I44" s="623"/>
      <c r="J44" s="623"/>
      <c r="K44" s="623"/>
      <c r="L44" s="623"/>
      <c r="M44" s="623"/>
      <c r="N44" s="623"/>
      <c r="O44" s="624"/>
    </row>
  </sheetData>
  <mergeCells count="12">
    <mergeCell ref="B35:O36"/>
    <mergeCell ref="B11:N11"/>
    <mergeCell ref="B13:N13"/>
    <mergeCell ref="B14:N14"/>
    <mergeCell ref="B15:N15"/>
    <mergeCell ref="C16:N16"/>
    <mergeCell ref="C26:N26"/>
    <mergeCell ref="C24:N24"/>
    <mergeCell ref="C22:N22"/>
    <mergeCell ref="C18:N18"/>
    <mergeCell ref="B31:N31"/>
    <mergeCell ref="C20:N20"/>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32"/>
  <sheetViews>
    <sheetView workbookViewId="0"/>
  </sheetViews>
  <sheetFormatPr defaultRowHeight="12.75" x14ac:dyDescent="0.2"/>
  <cols>
    <col min="1" max="1" width="4.28515625" style="214" customWidth="1"/>
    <col min="2" max="2" width="4.140625" style="214" customWidth="1"/>
    <col min="3" max="3" width="9.140625" style="214"/>
    <col min="4" max="4" width="31.5703125" style="214" customWidth="1"/>
    <col min="5" max="5" width="14.7109375" style="625" customWidth="1"/>
    <col min="6" max="6" width="13.5703125" style="625" customWidth="1"/>
    <col min="7" max="7" width="13.7109375" style="625" customWidth="1"/>
    <col min="8" max="8" width="11.85546875" style="625" customWidth="1"/>
    <col min="9" max="9" width="13.28515625" style="625" customWidth="1"/>
    <col min="10" max="10" width="13.42578125" style="625" customWidth="1"/>
    <col min="11" max="11" width="11" style="625" customWidth="1"/>
    <col min="12" max="12" width="12.28515625" style="625" customWidth="1"/>
    <col min="13" max="13" width="11.28515625" style="625" customWidth="1"/>
    <col min="14" max="14" width="16.140625" style="625" customWidth="1"/>
    <col min="15" max="15" width="15.85546875" style="625" customWidth="1"/>
    <col min="16" max="16" width="14" style="625" customWidth="1"/>
    <col min="17" max="17" width="14.28515625" style="214" customWidth="1"/>
    <col min="18" max="18" width="18.5703125" style="214" customWidth="1"/>
    <col min="19" max="19" width="30.85546875" style="214" customWidth="1"/>
    <col min="20" max="31" width="9.140625" style="214"/>
  </cols>
  <sheetData>
    <row r="1" spans="1:20" s="626" customFormat="1" ht="100.5" customHeight="1" x14ac:dyDescent="0.2">
      <c r="A1" s="601"/>
      <c r="D1" s="606"/>
      <c r="E1" s="607" t="s">
        <v>1050</v>
      </c>
      <c r="F1" s="607" t="s">
        <v>1051</v>
      </c>
      <c r="G1" s="607" t="s">
        <v>1052</v>
      </c>
      <c r="H1" s="607" t="s">
        <v>1053</v>
      </c>
      <c r="I1" s="607" t="s">
        <v>1054</v>
      </c>
      <c r="J1" s="607" t="s">
        <v>1055</v>
      </c>
      <c r="K1" s="607" t="s">
        <v>1056</v>
      </c>
      <c r="L1" s="607" t="s">
        <v>1057</v>
      </c>
      <c r="M1" s="607" t="s">
        <v>1058</v>
      </c>
      <c r="N1" s="607" t="s">
        <v>1059</v>
      </c>
      <c r="O1" s="607" t="s">
        <v>1060</v>
      </c>
      <c r="P1" s="607" t="s">
        <v>1061</v>
      </c>
      <c r="Q1" s="627"/>
    </row>
    <row r="2" spans="1:20" x14ac:dyDescent="0.2">
      <c r="D2" s="215" t="s">
        <v>1156</v>
      </c>
      <c r="E2" s="625">
        <v>1</v>
      </c>
      <c r="F2" s="625">
        <v>2</v>
      </c>
      <c r="G2" s="625">
        <v>3</v>
      </c>
      <c r="H2" s="625">
        <v>4</v>
      </c>
      <c r="I2" s="625">
        <v>5</v>
      </c>
      <c r="J2" s="625">
        <v>6</v>
      </c>
      <c r="K2" s="625">
        <v>7</v>
      </c>
      <c r="L2" s="625">
        <v>8</v>
      </c>
      <c r="M2" s="625">
        <v>9</v>
      </c>
      <c r="N2" s="625">
        <v>10</v>
      </c>
      <c r="O2" s="625">
        <v>11</v>
      </c>
      <c r="P2" s="625">
        <v>12</v>
      </c>
    </row>
    <row r="3" spans="1:20" x14ac:dyDescent="0.2">
      <c r="D3" s="214" t="s">
        <v>1062</v>
      </c>
      <c r="E3" s="625">
        <v>1</v>
      </c>
      <c r="F3" s="625">
        <v>1</v>
      </c>
      <c r="G3" s="625">
        <v>1</v>
      </c>
      <c r="H3" s="625">
        <v>1</v>
      </c>
      <c r="I3" s="625">
        <v>1</v>
      </c>
      <c r="J3" s="625">
        <v>1</v>
      </c>
      <c r="K3" s="625">
        <v>1</v>
      </c>
      <c r="L3" s="625">
        <v>1</v>
      </c>
      <c r="M3" s="625">
        <v>1</v>
      </c>
      <c r="N3" s="625">
        <v>1</v>
      </c>
      <c r="O3" s="625">
        <v>1</v>
      </c>
      <c r="P3" s="625">
        <v>1</v>
      </c>
      <c r="Q3" s="215"/>
      <c r="R3" s="215"/>
      <c r="S3" s="215"/>
      <c r="T3" s="215"/>
    </row>
    <row r="4" spans="1:20" x14ac:dyDescent="0.2">
      <c r="A4" s="626"/>
      <c r="C4" s="628" t="s">
        <v>1063</v>
      </c>
      <c r="D4" s="628" t="s">
        <v>88</v>
      </c>
      <c r="Q4" s="626" t="s">
        <v>21</v>
      </c>
      <c r="R4" s="626" t="s">
        <v>1144</v>
      </c>
      <c r="S4" s="626" t="s">
        <v>1145</v>
      </c>
      <c r="T4" s="215" t="s">
        <v>1157</v>
      </c>
    </row>
    <row r="5" spans="1:20" x14ac:dyDescent="0.2">
      <c r="B5" s="214">
        <v>1</v>
      </c>
      <c r="C5" s="250" t="s">
        <v>93</v>
      </c>
      <c r="D5" s="250" t="s">
        <v>92</v>
      </c>
      <c r="E5" s="239">
        <v>18914385</v>
      </c>
      <c r="F5" s="239">
        <v>0</v>
      </c>
      <c r="G5" s="239">
        <v>1038906</v>
      </c>
      <c r="H5" s="239">
        <v>85393</v>
      </c>
      <c r="I5" s="239">
        <v>0</v>
      </c>
      <c r="J5" s="239">
        <v>85393</v>
      </c>
      <c r="K5" s="239">
        <v>0</v>
      </c>
      <c r="L5" s="239">
        <v>0</v>
      </c>
      <c r="M5" s="239">
        <v>0</v>
      </c>
      <c r="N5" s="239">
        <v>0</v>
      </c>
      <c r="O5" s="239">
        <v>0</v>
      </c>
      <c r="P5" s="239">
        <v>17790086</v>
      </c>
      <c r="Q5" s="214" t="s">
        <v>92</v>
      </c>
      <c r="R5" s="214" t="s">
        <v>762</v>
      </c>
      <c r="S5" s="214" t="s">
        <v>761</v>
      </c>
      <c r="T5" s="214" t="s">
        <v>1158</v>
      </c>
    </row>
    <row r="6" spans="1:20" x14ac:dyDescent="0.2">
      <c r="B6" s="214">
        <v>2</v>
      </c>
      <c r="C6" s="250" t="s">
        <v>95</v>
      </c>
      <c r="D6" s="250" t="s">
        <v>94</v>
      </c>
      <c r="E6" s="239">
        <v>26963642</v>
      </c>
      <c r="F6" s="239">
        <v>627980</v>
      </c>
      <c r="G6" s="239">
        <v>0</v>
      </c>
      <c r="H6" s="239">
        <v>183183</v>
      </c>
      <c r="I6" s="239">
        <v>0</v>
      </c>
      <c r="J6" s="239">
        <v>183183</v>
      </c>
      <c r="K6" s="239">
        <v>0</v>
      </c>
      <c r="L6" s="239">
        <v>0</v>
      </c>
      <c r="M6" s="239">
        <v>514443</v>
      </c>
      <c r="N6" s="239">
        <v>494998</v>
      </c>
      <c r="O6" s="239">
        <v>19445</v>
      </c>
      <c r="P6" s="239">
        <v>26893996</v>
      </c>
      <c r="Q6" s="214" t="s">
        <v>94</v>
      </c>
      <c r="R6" s="214" t="s">
        <v>849</v>
      </c>
      <c r="S6" s="214" t="s">
        <v>761</v>
      </c>
      <c r="T6" s="214" t="s">
        <v>1158</v>
      </c>
    </row>
    <row r="7" spans="1:20" x14ac:dyDescent="0.2">
      <c r="B7" s="214">
        <v>3</v>
      </c>
      <c r="C7" s="250" t="s">
        <v>97</v>
      </c>
      <c r="D7" s="250" t="s">
        <v>96</v>
      </c>
      <c r="E7" s="239">
        <v>28986443</v>
      </c>
      <c r="F7" s="239">
        <v>370767</v>
      </c>
      <c r="G7" s="239">
        <v>0</v>
      </c>
      <c r="H7" s="239">
        <v>149167</v>
      </c>
      <c r="I7" s="239">
        <v>0</v>
      </c>
      <c r="J7" s="239">
        <v>149167</v>
      </c>
      <c r="K7" s="239">
        <v>0</v>
      </c>
      <c r="L7" s="239">
        <v>0</v>
      </c>
      <c r="M7" s="239">
        <v>10820</v>
      </c>
      <c r="N7" s="239">
        <v>10820</v>
      </c>
      <c r="O7" s="239">
        <v>0</v>
      </c>
      <c r="P7" s="239">
        <v>29197223</v>
      </c>
      <c r="Q7" s="214" t="s">
        <v>96</v>
      </c>
      <c r="R7" s="214" t="s">
        <v>856</v>
      </c>
      <c r="S7" s="214" t="s">
        <v>854</v>
      </c>
      <c r="T7" s="214" t="s">
        <v>1158</v>
      </c>
    </row>
    <row r="8" spans="1:20" x14ac:dyDescent="0.2">
      <c r="B8" s="214">
        <v>4</v>
      </c>
      <c r="C8" s="250" t="s">
        <v>99</v>
      </c>
      <c r="D8" s="250" t="s">
        <v>98</v>
      </c>
      <c r="E8" s="239">
        <v>35150771</v>
      </c>
      <c r="F8" s="239">
        <v>0</v>
      </c>
      <c r="G8" s="239">
        <v>307789</v>
      </c>
      <c r="H8" s="239">
        <v>186077</v>
      </c>
      <c r="I8" s="239">
        <v>0</v>
      </c>
      <c r="J8" s="239">
        <v>186077</v>
      </c>
      <c r="K8" s="239">
        <v>0</v>
      </c>
      <c r="L8" s="239">
        <v>0</v>
      </c>
      <c r="M8" s="239">
        <v>0</v>
      </c>
      <c r="N8" s="239">
        <v>0</v>
      </c>
      <c r="O8" s="239">
        <v>0</v>
      </c>
      <c r="P8" s="239">
        <v>34656905</v>
      </c>
      <c r="Q8" s="214" t="s">
        <v>98</v>
      </c>
      <c r="R8" s="214" t="s">
        <v>762</v>
      </c>
      <c r="S8" s="214" t="s">
        <v>761</v>
      </c>
      <c r="T8" s="214" t="s">
        <v>1158</v>
      </c>
    </row>
    <row r="9" spans="1:20" x14ac:dyDescent="0.2">
      <c r="B9" s="214">
        <v>5</v>
      </c>
      <c r="C9" s="250" t="s">
        <v>101</v>
      </c>
      <c r="D9" s="250" t="s">
        <v>100</v>
      </c>
      <c r="E9" s="239">
        <v>34104552</v>
      </c>
      <c r="F9" s="239">
        <v>253216</v>
      </c>
      <c r="G9" s="239">
        <v>0</v>
      </c>
      <c r="H9" s="239">
        <v>130702</v>
      </c>
      <c r="I9" s="239">
        <v>0</v>
      </c>
      <c r="J9" s="239">
        <v>130702</v>
      </c>
      <c r="K9" s="239">
        <v>0</v>
      </c>
      <c r="L9" s="239">
        <v>0</v>
      </c>
      <c r="M9" s="239">
        <v>0</v>
      </c>
      <c r="N9" s="239">
        <v>0</v>
      </c>
      <c r="O9" s="239">
        <v>0</v>
      </c>
      <c r="P9" s="239">
        <v>34227066</v>
      </c>
      <c r="Q9" s="214" t="s">
        <v>100</v>
      </c>
      <c r="R9" s="214" t="s">
        <v>872</v>
      </c>
      <c r="S9" s="214" t="s">
        <v>870</v>
      </c>
      <c r="T9" s="214" t="s">
        <v>1158</v>
      </c>
    </row>
    <row r="10" spans="1:20" x14ac:dyDescent="0.2">
      <c r="B10" s="214">
        <v>6</v>
      </c>
      <c r="C10" s="250" t="s">
        <v>103</v>
      </c>
      <c r="D10" s="250" t="s">
        <v>102</v>
      </c>
      <c r="E10" s="239">
        <v>48505820</v>
      </c>
      <c r="F10" s="239">
        <v>0</v>
      </c>
      <c r="G10" s="239">
        <v>53461</v>
      </c>
      <c r="H10" s="239">
        <v>181049</v>
      </c>
      <c r="I10" s="239">
        <v>0</v>
      </c>
      <c r="J10" s="239">
        <v>181049</v>
      </c>
      <c r="K10" s="239">
        <v>0</v>
      </c>
      <c r="L10" s="239">
        <v>0</v>
      </c>
      <c r="M10" s="239">
        <v>100531</v>
      </c>
      <c r="N10" s="239">
        <v>100531</v>
      </c>
      <c r="O10" s="239">
        <v>0</v>
      </c>
      <c r="P10" s="239">
        <v>48170779</v>
      </c>
      <c r="Q10" s="214" t="s">
        <v>102</v>
      </c>
      <c r="R10" s="214" t="s">
        <v>824</v>
      </c>
      <c r="S10" s="214" t="s">
        <v>822</v>
      </c>
      <c r="T10" s="214" t="s">
        <v>1158</v>
      </c>
    </row>
    <row r="11" spans="1:20" x14ac:dyDescent="0.2">
      <c r="B11" s="214">
        <v>7</v>
      </c>
      <c r="C11" s="250" t="s">
        <v>105</v>
      </c>
      <c r="D11" s="250" t="s">
        <v>104</v>
      </c>
      <c r="E11" s="239">
        <v>51543388</v>
      </c>
      <c r="F11" s="239">
        <v>0</v>
      </c>
      <c r="G11" s="239">
        <v>448427</v>
      </c>
      <c r="H11" s="239">
        <v>223286</v>
      </c>
      <c r="I11" s="239">
        <v>0</v>
      </c>
      <c r="J11" s="239">
        <v>223286</v>
      </c>
      <c r="K11" s="239">
        <v>0</v>
      </c>
      <c r="L11" s="239">
        <v>282439</v>
      </c>
      <c r="M11" s="239">
        <v>220340</v>
      </c>
      <c r="N11" s="239">
        <v>0</v>
      </c>
      <c r="O11" s="239">
        <v>220340</v>
      </c>
      <c r="P11" s="239">
        <v>50368896</v>
      </c>
      <c r="Q11" s="214" t="s">
        <v>104</v>
      </c>
      <c r="R11" s="214" t="s">
        <v>759</v>
      </c>
      <c r="S11" s="214" t="s">
        <v>757</v>
      </c>
      <c r="T11" s="214" t="s">
        <v>1158</v>
      </c>
    </row>
    <row r="12" spans="1:20" x14ac:dyDescent="0.2">
      <c r="B12" s="214">
        <v>8</v>
      </c>
      <c r="C12" s="250" t="s">
        <v>107</v>
      </c>
      <c r="D12" s="250" t="s">
        <v>106</v>
      </c>
      <c r="E12" s="239">
        <v>21877257</v>
      </c>
      <c r="F12" s="239">
        <v>0</v>
      </c>
      <c r="G12" s="239">
        <v>324377</v>
      </c>
      <c r="H12" s="239">
        <v>129574</v>
      </c>
      <c r="I12" s="239">
        <v>0</v>
      </c>
      <c r="J12" s="239">
        <v>129574</v>
      </c>
      <c r="K12" s="239">
        <v>0</v>
      </c>
      <c r="L12" s="239">
        <v>0</v>
      </c>
      <c r="M12" s="239">
        <v>26379</v>
      </c>
      <c r="N12" s="239">
        <v>1176</v>
      </c>
      <c r="O12" s="239">
        <v>25203</v>
      </c>
      <c r="P12" s="239">
        <v>21396927</v>
      </c>
      <c r="Q12" s="214" t="s">
        <v>106</v>
      </c>
      <c r="R12" s="214" t="s">
        <v>809</v>
      </c>
      <c r="S12" s="214" t="s">
        <v>761</v>
      </c>
      <c r="T12" s="214" t="s">
        <v>1158</v>
      </c>
    </row>
    <row r="13" spans="1:20" x14ac:dyDescent="0.2">
      <c r="B13" s="214">
        <v>9</v>
      </c>
      <c r="C13" s="250" t="s">
        <v>109</v>
      </c>
      <c r="D13" s="250" t="s">
        <v>108</v>
      </c>
      <c r="E13" s="239">
        <v>57219883</v>
      </c>
      <c r="F13" s="239">
        <v>0</v>
      </c>
      <c r="G13" s="239">
        <v>3934871</v>
      </c>
      <c r="H13" s="239">
        <v>203037</v>
      </c>
      <c r="I13" s="239">
        <v>0</v>
      </c>
      <c r="J13" s="239">
        <v>203037</v>
      </c>
      <c r="K13" s="239">
        <v>0</v>
      </c>
      <c r="L13" s="239">
        <v>0</v>
      </c>
      <c r="M13" s="239">
        <v>0</v>
      </c>
      <c r="N13" s="239">
        <v>0</v>
      </c>
      <c r="O13" s="239">
        <v>0</v>
      </c>
      <c r="P13" s="239">
        <v>53081975</v>
      </c>
      <c r="Q13" s="214" t="s">
        <v>925</v>
      </c>
      <c r="R13" s="214" t="s">
        <v>788</v>
      </c>
      <c r="S13" s="214" t="s">
        <v>747</v>
      </c>
      <c r="T13" s="214" t="s">
        <v>1159</v>
      </c>
    </row>
    <row r="14" spans="1:20" x14ac:dyDescent="0.2">
      <c r="B14" s="214">
        <v>10</v>
      </c>
      <c r="C14" s="250" t="s">
        <v>111</v>
      </c>
      <c r="D14" s="250" t="s">
        <v>110</v>
      </c>
      <c r="E14" s="239">
        <v>106022604</v>
      </c>
      <c r="F14" s="239">
        <v>2571824</v>
      </c>
      <c r="G14" s="239">
        <v>0</v>
      </c>
      <c r="H14" s="239">
        <v>417570</v>
      </c>
      <c r="I14" s="239">
        <v>0</v>
      </c>
      <c r="J14" s="239">
        <v>417570</v>
      </c>
      <c r="K14" s="239">
        <v>0</v>
      </c>
      <c r="L14" s="239">
        <v>0</v>
      </c>
      <c r="M14" s="239">
        <v>0</v>
      </c>
      <c r="N14" s="239">
        <v>0</v>
      </c>
      <c r="O14" s="239">
        <v>0</v>
      </c>
      <c r="P14" s="239">
        <v>108176858</v>
      </c>
      <c r="Q14" s="214" t="s">
        <v>110</v>
      </c>
      <c r="R14" s="214" t="s">
        <v>788</v>
      </c>
      <c r="S14" s="214" t="s">
        <v>747</v>
      </c>
      <c r="T14" s="214" t="s">
        <v>1159</v>
      </c>
    </row>
    <row r="15" spans="1:20" x14ac:dyDescent="0.2">
      <c r="B15" s="214">
        <v>11</v>
      </c>
      <c r="C15" s="250" t="s">
        <v>113</v>
      </c>
      <c r="D15" s="250" t="s">
        <v>112</v>
      </c>
      <c r="E15" s="239">
        <v>48989372</v>
      </c>
      <c r="F15" s="239">
        <v>0</v>
      </c>
      <c r="G15" s="239">
        <v>2762528</v>
      </c>
      <c r="H15" s="239">
        <v>266729</v>
      </c>
      <c r="I15" s="239">
        <v>0</v>
      </c>
      <c r="J15" s="239">
        <v>266729</v>
      </c>
      <c r="K15" s="239">
        <v>0</v>
      </c>
      <c r="L15" s="239">
        <v>512418</v>
      </c>
      <c r="M15" s="239">
        <v>48371</v>
      </c>
      <c r="N15" s="239">
        <v>48371</v>
      </c>
      <c r="O15" s="239">
        <v>0</v>
      </c>
      <c r="P15" s="239">
        <v>45399326</v>
      </c>
      <c r="Q15" s="214" t="s">
        <v>112</v>
      </c>
      <c r="R15" s="214" t="s">
        <v>766</v>
      </c>
      <c r="S15" s="214" t="s">
        <v>863</v>
      </c>
      <c r="T15" s="214" t="s">
        <v>1160</v>
      </c>
    </row>
    <row r="16" spans="1:20" x14ac:dyDescent="0.2">
      <c r="B16" s="214">
        <v>12</v>
      </c>
      <c r="C16" s="250" t="s">
        <v>115</v>
      </c>
      <c r="D16" s="250" t="s">
        <v>114</v>
      </c>
      <c r="E16" s="239">
        <v>23160560</v>
      </c>
      <c r="F16" s="239">
        <v>0</v>
      </c>
      <c r="G16" s="239">
        <v>3056280</v>
      </c>
      <c r="H16" s="239">
        <v>92724</v>
      </c>
      <c r="I16" s="239">
        <v>0</v>
      </c>
      <c r="J16" s="239">
        <v>92724</v>
      </c>
      <c r="K16" s="239">
        <v>0</v>
      </c>
      <c r="L16" s="239">
        <v>0</v>
      </c>
      <c r="M16" s="239">
        <v>206988</v>
      </c>
      <c r="N16" s="239">
        <v>206988</v>
      </c>
      <c r="O16" s="239">
        <v>0</v>
      </c>
      <c r="P16" s="239">
        <v>19804568</v>
      </c>
      <c r="Q16" s="214" t="s">
        <v>114</v>
      </c>
      <c r="R16" s="214" t="s">
        <v>849</v>
      </c>
      <c r="S16" s="214" t="s">
        <v>761</v>
      </c>
      <c r="T16" s="214" t="s">
        <v>1158</v>
      </c>
    </row>
    <row r="17" spans="2:20" x14ac:dyDescent="0.2">
      <c r="B17" s="214">
        <v>13</v>
      </c>
      <c r="C17" s="250" t="s">
        <v>117</v>
      </c>
      <c r="D17" s="250" t="s">
        <v>116</v>
      </c>
      <c r="E17" s="239">
        <v>80254127</v>
      </c>
      <c r="F17" s="239">
        <v>0</v>
      </c>
      <c r="G17" s="239">
        <v>2116195</v>
      </c>
      <c r="H17" s="239">
        <v>229078</v>
      </c>
      <c r="I17" s="239">
        <v>0</v>
      </c>
      <c r="J17" s="239">
        <v>229078</v>
      </c>
      <c r="K17" s="239">
        <v>0</v>
      </c>
      <c r="L17" s="239">
        <v>0</v>
      </c>
      <c r="M17" s="239">
        <v>354</v>
      </c>
      <c r="N17" s="239">
        <v>354</v>
      </c>
      <c r="O17" s="239">
        <v>0</v>
      </c>
      <c r="P17" s="239">
        <v>77908500</v>
      </c>
      <c r="Q17" s="214" t="s">
        <v>116</v>
      </c>
      <c r="R17" s="214" t="s">
        <v>820</v>
      </c>
      <c r="S17" s="214" t="s">
        <v>818</v>
      </c>
      <c r="T17" s="214" t="s">
        <v>1158</v>
      </c>
    </row>
    <row r="18" spans="2:20" x14ac:dyDescent="0.2">
      <c r="B18" s="214">
        <v>14</v>
      </c>
      <c r="C18" s="250" t="s">
        <v>119</v>
      </c>
      <c r="D18" s="250" t="s">
        <v>118</v>
      </c>
      <c r="E18" s="239">
        <v>74490755</v>
      </c>
      <c r="F18" s="239">
        <v>0</v>
      </c>
      <c r="G18" s="239">
        <v>3393328</v>
      </c>
      <c r="H18" s="239">
        <v>198939</v>
      </c>
      <c r="I18" s="239">
        <v>0</v>
      </c>
      <c r="J18" s="239">
        <v>198939</v>
      </c>
      <c r="K18" s="239">
        <v>0</v>
      </c>
      <c r="L18" s="239">
        <v>0</v>
      </c>
      <c r="M18" s="239">
        <v>302693</v>
      </c>
      <c r="N18" s="239">
        <v>91502</v>
      </c>
      <c r="O18" s="239">
        <v>211191</v>
      </c>
      <c r="P18" s="239">
        <v>70595795</v>
      </c>
      <c r="Q18" s="214" t="s">
        <v>118</v>
      </c>
      <c r="R18" s="214" t="s">
        <v>777</v>
      </c>
      <c r="S18" s="214" t="s">
        <v>775</v>
      </c>
      <c r="T18" s="214" t="s">
        <v>1158</v>
      </c>
    </row>
    <row r="19" spans="2:20" x14ac:dyDescent="0.2">
      <c r="B19" s="214">
        <v>15</v>
      </c>
      <c r="C19" s="250" t="s">
        <v>121</v>
      </c>
      <c r="D19" s="250" t="s">
        <v>120</v>
      </c>
      <c r="E19" s="239">
        <v>52136280</v>
      </c>
      <c r="F19" s="239">
        <v>0</v>
      </c>
      <c r="G19" s="239">
        <v>9057301</v>
      </c>
      <c r="H19" s="239">
        <v>167487</v>
      </c>
      <c r="I19" s="239">
        <v>0</v>
      </c>
      <c r="J19" s="239">
        <v>167487</v>
      </c>
      <c r="K19" s="239">
        <v>0</v>
      </c>
      <c r="L19" s="239">
        <v>0</v>
      </c>
      <c r="M19" s="239">
        <v>550121</v>
      </c>
      <c r="N19" s="239">
        <v>550121</v>
      </c>
      <c r="O19" s="239">
        <v>0</v>
      </c>
      <c r="P19" s="239">
        <v>42361371</v>
      </c>
      <c r="Q19" s="214" t="s">
        <v>120</v>
      </c>
      <c r="R19" s="214" t="s">
        <v>872</v>
      </c>
      <c r="S19" s="214" t="s">
        <v>870</v>
      </c>
      <c r="T19" s="214" t="s">
        <v>1158</v>
      </c>
    </row>
    <row r="20" spans="2:20" x14ac:dyDescent="0.2">
      <c r="B20" s="214">
        <v>16</v>
      </c>
      <c r="C20" s="250" t="s">
        <v>123</v>
      </c>
      <c r="D20" s="250" t="s">
        <v>122</v>
      </c>
      <c r="E20" s="239">
        <v>64702497</v>
      </c>
      <c r="F20" s="239">
        <v>0</v>
      </c>
      <c r="G20" s="239">
        <v>502698</v>
      </c>
      <c r="H20" s="239">
        <v>259447</v>
      </c>
      <c r="I20" s="239">
        <v>0</v>
      </c>
      <c r="J20" s="239">
        <v>259447</v>
      </c>
      <c r="K20" s="239">
        <v>0</v>
      </c>
      <c r="L20" s="239">
        <v>354475</v>
      </c>
      <c r="M20" s="239">
        <v>22696</v>
      </c>
      <c r="N20" s="239">
        <v>22696</v>
      </c>
      <c r="O20" s="239">
        <v>0</v>
      </c>
      <c r="P20" s="239">
        <v>63563181</v>
      </c>
      <c r="Q20" s="214" t="s">
        <v>924</v>
      </c>
      <c r="R20" s="214" t="s">
        <v>746</v>
      </c>
      <c r="S20" s="214" t="s">
        <v>851</v>
      </c>
      <c r="T20" s="214" t="s">
        <v>746</v>
      </c>
    </row>
    <row r="21" spans="2:20" x14ac:dyDescent="0.2">
      <c r="B21" s="214">
        <v>17</v>
      </c>
      <c r="C21" s="250" t="s">
        <v>125</v>
      </c>
      <c r="D21" s="250" t="s">
        <v>124</v>
      </c>
      <c r="E21" s="239">
        <v>62868104</v>
      </c>
      <c r="F21" s="239">
        <v>0</v>
      </c>
      <c r="G21" s="239">
        <v>4885088</v>
      </c>
      <c r="H21" s="239">
        <v>226153</v>
      </c>
      <c r="I21" s="239">
        <v>0</v>
      </c>
      <c r="J21" s="239">
        <v>226153</v>
      </c>
      <c r="K21" s="239">
        <v>0</v>
      </c>
      <c r="L21" s="239">
        <v>0</v>
      </c>
      <c r="M21" s="239">
        <v>572520</v>
      </c>
      <c r="N21" s="239">
        <v>572520</v>
      </c>
      <c r="O21" s="239">
        <v>0</v>
      </c>
      <c r="P21" s="239">
        <v>57184343</v>
      </c>
      <c r="Q21" s="214" t="s">
        <v>124</v>
      </c>
      <c r="R21" s="214" t="s">
        <v>746</v>
      </c>
      <c r="S21" s="214" t="s">
        <v>896</v>
      </c>
      <c r="T21" s="214" t="s">
        <v>746</v>
      </c>
    </row>
    <row r="22" spans="2:20" x14ac:dyDescent="0.2">
      <c r="B22" s="214">
        <v>18</v>
      </c>
      <c r="C22" s="250" t="s">
        <v>127</v>
      </c>
      <c r="D22" s="250" t="s">
        <v>126</v>
      </c>
      <c r="E22" s="239">
        <v>73114349</v>
      </c>
      <c r="F22" s="239">
        <v>0</v>
      </c>
      <c r="G22" s="239">
        <v>719500</v>
      </c>
      <c r="H22" s="239">
        <v>247577</v>
      </c>
      <c r="I22" s="239">
        <v>0</v>
      </c>
      <c r="J22" s="239">
        <v>247577</v>
      </c>
      <c r="K22" s="239">
        <v>0</v>
      </c>
      <c r="L22" s="239">
        <v>0</v>
      </c>
      <c r="M22" s="239">
        <v>0</v>
      </c>
      <c r="N22" s="239">
        <v>0</v>
      </c>
      <c r="O22" s="239">
        <v>0</v>
      </c>
      <c r="P22" s="239">
        <v>72147272</v>
      </c>
      <c r="Q22" s="214" t="s">
        <v>126</v>
      </c>
      <c r="R22" s="214" t="s">
        <v>788</v>
      </c>
      <c r="S22" s="214" t="s">
        <v>747</v>
      </c>
      <c r="T22" s="214" t="s">
        <v>1159</v>
      </c>
    </row>
    <row r="23" spans="2:20" x14ac:dyDescent="0.2">
      <c r="B23" s="214">
        <v>19</v>
      </c>
      <c r="C23" s="250" t="s">
        <v>129</v>
      </c>
      <c r="D23" s="250" t="s">
        <v>128</v>
      </c>
      <c r="E23" s="239">
        <v>432824883</v>
      </c>
      <c r="F23" s="239">
        <v>0</v>
      </c>
      <c r="G23" s="239">
        <v>8175614</v>
      </c>
      <c r="H23" s="239">
        <v>1893141</v>
      </c>
      <c r="I23" s="239">
        <v>0</v>
      </c>
      <c r="J23" s="239">
        <v>1893141</v>
      </c>
      <c r="K23" s="239">
        <v>0</v>
      </c>
      <c r="L23" s="239">
        <v>35351</v>
      </c>
      <c r="M23" s="239">
        <v>0</v>
      </c>
      <c r="N23" s="239">
        <v>0</v>
      </c>
      <c r="O23" s="239">
        <v>0</v>
      </c>
      <c r="P23" s="239">
        <v>422720777</v>
      </c>
      <c r="Q23" s="214" t="s">
        <v>128</v>
      </c>
      <c r="R23" s="214" t="s">
        <v>766</v>
      </c>
      <c r="S23" s="214" t="s">
        <v>764</v>
      </c>
      <c r="T23" s="214" t="s">
        <v>1160</v>
      </c>
    </row>
    <row r="24" spans="2:20" x14ac:dyDescent="0.2">
      <c r="B24" s="214">
        <v>20</v>
      </c>
      <c r="C24" s="250" t="s">
        <v>131</v>
      </c>
      <c r="D24" s="250" t="s">
        <v>130</v>
      </c>
      <c r="E24" s="239">
        <v>41386801</v>
      </c>
      <c r="F24" s="239">
        <v>0</v>
      </c>
      <c r="G24" s="239">
        <v>144265</v>
      </c>
      <c r="H24" s="239">
        <v>101839</v>
      </c>
      <c r="I24" s="239">
        <v>0</v>
      </c>
      <c r="J24" s="239">
        <v>101839</v>
      </c>
      <c r="K24" s="239">
        <v>0</v>
      </c>
      <c r="L24" s="239">
        <v>0</v>
      </c>
      <c r="M24" s="239">
        <v>0</v>
      </c>
      <c r="N24" s="239">
        <v>0</v>
      </c>
      <c r="O24" s="239">
        <v>0</v>
      </c>
      <c r="P24" s="239">
        <v>41140697</v>
      </c>
      <c r="Q24" s="214" t="s">
        <v>130</v>
      </c>
      <c r="R24" s="214" t="s">
        <v>882</v>
      </c>
      <c r="S24" s="214" t="s">
        <v>867</v>
      </c>
      <c r="T24" s="214" t="s">
        <v>1158</v>
      </c>
    </row>
    <row r="25" spans="2:20" x14ac:dyDescent="0.2">
      <c r="B25" s="214">
        <v>21</v>
      </c>
      <c r="C25" s="250" t="s">
        <v>133</v>
      </c>
      <c r="D25" s="250" t="s">
        <v>132</v>
      </c>
      <c r="E25" s="239">
        <v>47609237</v>
      </c>
      <c r="F25" s="239">
        <v>0</v>
      </c>
      <c r="G25" s="239">
        <v>5232836</v>
      </c>
      <c r="H25" s="239">
        <v>247772</v>
      </c>
      <c r="I25" s="239">
        <v>0</v>
      </c>
      <c r="J25" s="239">
        <v>247772</v>
      </c>
      <c r="K25" s="239">
        <v>0</v>
      </c>
      <c r="L25" s="239">
        <v>0</v>
      </c>
      <c r="M25" s="239">
        <v>0</v>
      </c>
      <c r="N25" s="239">
        <v>0</v>
      </c>
      <c r="O25" s="239">
        <v>0</v>
      </c>
      <c r="P25" s="239">
        <v>42128629</v>
      </c>
      <c r="Q25" s="214" t="s">
        <v>923</v>
      </c>
      <c r="R25" s="214" t="s">
        <v>746</v>
      </c>
      <c r="S25" s="214" t="s">
        <v>753</v>
      </c>
      <c r="T25" s="214" t="s">
        <v>746</v>
      </c>
    </row>
    <row r="26" spans="2:20" x14ac:dyDescent="0.2">
      <c r="B26" s="214">
        <v>22</v>
      </c>
      <c r="C26" s="250" t="s">
        <v>135</v>
      </c>
      <c r="D26" s="250" t="s">
        <v>134</v>
      </c>
      <c r="E26" s="239">
        <v>42832016</v>
      </c>
      <c r="F26" s="239">
        <v>0</v>
      </c>
      <c r="G26" s="239">
        <v>4589753</v>
      </c>
      <c r="H26" s="239">
        <v>261549</v>
      </c>
      <c r="I26" s="239">
        <v>0</v>
      </c>
      <c r="J26" s="239">
        <v>261549</v>
      </c>
      <c r="K26" s="239">
        <v>0</v>
      </c>
      <c r="L26" s="239">
        <v>384189</v>
      </c>
      <c r="M26" s="239">
        <v>0</v>
      </c>
      <c r="N26" s="239">
        <v>0</v>
      </c>
      <c r="O26" s="239">
        <v>0</v>
      </c>
      <c r="P26" s="239">
        <v>37596525</v>
      </c>
      <c r="Q26" s="214" t="s">
        <v>922</v>
      </c>
      <c r="R26" s="214" t="s">
        <v>746</v>
      </c>
      <c r="S26" s="214" t="s">
        <v>753</v>
      </c>
      <c r="T26" s="214" t="s">
        <v>746</v>
      </c>
    </row>
    <row r="27" spans="2:20" x14ac:dyDescent="0.2">
      <c r="B27" s="214">
        <v>23</v>
      </c>
      <c r="C27" s="250" t="s">
        <v>137</v>
      </c>
      <c r="D27" s="250" t="s">
        <v>136</v>
      </c>
      <c r="E27" s="239">
        <v>21786066</v>
      </c>
      <c r="F27" s="239">
        <v>0</v>
      </c>
      <c r="G27" s="239">
        <v>34819</v>
      </c>
      <c r="H27" s="239">
        <v>96880</v>
      </c>
      <c r="I27" s="239">
        <v>0</v>
      </c>
      <c r="J27" s="239">
        <v>96880</v>
      </c>
      <c r="K27" s="239">
        <v>0</v>
      </c>
      <c r="L27" s="239">
        <v>0</v>
      </c>
      <c r="M27" s="239">
        <v>67866</v>
      </c>
      <c r="N27" s="239">
        <v>67866</v>
      </c>
      <c r="O27" s="239">
        <v>0</v>
      </c>
      <c r="P27" s="239">
        <v>21586501</v>
      </c>
      <c r="Q27" s="214" t="s">
        <v>136</v>
      </c>
      <c r="R27" s="214" t="s">
        <v>856</v>
      </c>
      <c r="S27" s="214" t="s">
        <v>854</v>
      </c>
      <c r="T27" s="214" t="s">
        <v>1158</v>
      </c>
    </row>
    <row r="28" spans="2:20" x14ac:dyDescent="0.2">
      <c r="B28" s="214">
        <v>24</v>
      </c>
      <c r="C28" s="250" t="s">
        <v>139</v>
      </c>
      <c r="D28" s="250" t="s">
        <v>138</v>
      </c>
      <c r="E28" s="239">
        <v>83916958</v>
      </c>
      <c r="F28" s="239">
        <v>0</v>
      </c>
      <c r="G28" s="239">
        <v>5593151</v>
      </c>
      <c r="H28" s="239">
        <v>393126</v>
      </c>
      <c r="I28" s="239">
        <v>0</v>
      </c>
      <c r="J28" s="239">
        <v>393126</v>
      </c>
      <c r="K28" s="239">
        <v>0</v>
      </c>
      <c r="L28" s="239">
        <v>0</v>
      </c>
      <c r="M28" s="239">
        <v>0</v>
      </c>
      <c r="N28" s="239">
        <v>0</v>
      </c>
      <c r="O28" s="239">
        <v>0</v>
      </c>
      <c r="P28" s="239">
        <v>77930681</v>
      </c>
      <c r="Q28" s="214" t="s">
        <v>138</v>
      </c>
      <c r="R28" s="214" t="s">
        <v>766</v>
      </c>
      <c r="S28" s="214" t="s">
        <v>781</v>
      </c>
      <c r="T28" s="214" t="s">
        <v>1160</v>
      </c>
    </row>
    <row r="29" spans="2:20" x14ac:dyDescent="0.2">
      <c r="B29" s="214">
        <v>25</v>
      </c>
      <c r="C29" s="250" t="s">
        <v>141</v>
      </c>
      <c r="D29" s="250" t="s">
        <v>140</v>
      </c>
      <c r="E29" s="239">
        <v>18678715</v>
      </c>
      <c r="F29" s="239">
        <v>76634</v>
      </c>
      <c r="G29" s="239">
        <v>0</v>
      </c>
      <c r="H29" s="239">
        <v>91296</v>
      </c>
      <c r="I29" s="239">
        <v>0</v>
      </c>
      <c r="J29" s="239">
        <v>91296</v>
      </c>
      <c r="K29" s="239">
        <v>0</v>
      </c>
      <c r="L29" s="239">
        <v>0</v>
      </c>
      <c r="M29" s="239">
        <v>148595</v>
      </c>
      <c r="N29" s="239">
        <v>148595</v>
      </c>
      <c r="O29" s="239">
        <v>0</v>
      </c>
      <c r="P29" s="239">
        <v>18515458</v>
      </c>
      <c r="Q29" s="214" t="s">
        <v>140</v>
      </c>
      <c r="R29" s="214" t="s">
        <v>796</v>
      </c>
      <c r="S29" s="214" t="s">
        <v>761</v>
      </c>
      <c r="T29" s="214" t="s">
        <v>1158</v>
      </c>
    </row>
    <row r="30" spans="2:20" x14ac:dyDescent="0.2">
      <c r="B30" s="214">
        <v>26</v>
      </c>
      <c r="C30" s="250" t="s">
        <v>143</v>
      </c>
      <c r="D30" s="250" t="s">
        <v>142</v>
      </c>
      <c r="E30" s="239">
        <v>64909384</v>
      </c>
      <c r="F30" s="239">
        <v>0</v>
      </c>
      <c r="G30" s="239">
        <v>3463772</v>
      </c>
      <c r="H30" s="239">
        <v>292496</v>
      </c>
      <c r="I30" s="239">
        <v>0</v>
      </c>
      <c r="J30" s="239">
        <v>292496</v>
      </c>
      <c r="K30" s="239">
        <v>0</v>
      </c>
      <c r="L30" s="239">
        <v>0</v>
      </c>
      <c r="M30" s="239">
        <v>204</v>
      </c>
      <c r="N30" s="239">
        <v>204</v>
      </c>
      <c r="O30" s="239">
        <v>0</v>
      </c>
      <c r="P30" s="239">
        <v>61152912</v>
      </c>
      <c r="Q30" s="214" t="s">
        <v>921</v>
      </c>
      <c r="R30" s="214" t="s">
        <v>746</v>
      </c>
      <c r="S30" s="214" t="s">
        <v>783</v>
      </c>
      <c r="T30" s="214" t="s">
        <v>746</v>
      </c>
    </row>
    <row r="31" spans="2:20" x14ac:dyDescent="0.2">
      <c r="B31" s="214">
        <v>27</v>
      </c>
      <c r="C31" s="250" t="s">
        <v>145</v>
      </c>
      <c r="D31" s="250" t="s">
        <v>144</v>
      </c>
      <c r="E31" s="239">
        <v>65551289</v>
      </c>
      <c r="F31" s="239">
        <v>0</v>
      </c>
      <c r="G31" s="239">
        <v>1418757</v>
      </c>
      <c r="H31" s="239">
        <v>144145</v>
      </c>
      <c r="I31" s="239">
        <v>0</v>
      </c>
      <c r="J31" s="239">
        <v>144145</v>
      </c>
      <c r="K31" s="239">
        <v>0</v>
      </c>
      <c r="L31" s="239">
        <v>0</v>
      </c>
      <c r="M31" s="239">
        <v>0</v>
      </c>
      <c r="N31" s="239">
        <v>0</v>
      </c>
      <c r="O31" s="239">
        <v>0</v>
      </c>
      <c r="P31" s="239">
        <v>63988387</v>
      </c>
      <c r="Q31" s="214" t="s">
        <v>920</v>
      </c>
      <c r="R31" s="214" t="s">
        <v>746</v>
      </c>
      <c r="S31" s="214" t="s">
        <v>767</v>
      </c>
      <c r="T31" s="214" t="s">
        <v>746</v>
      </c>
    </row>
    <row r="32" spans="2:20" x14ac:dyDescent="0.2">
      <c r="B32" s="214">
        <v>28</v>
      </c>
      <c r="C32" s="250" t="s">
        <v>147</v>
      </c>
      <c r="D32" s="250" t="s">
        <v>146</v>
      </c>
      <c r="E32" s="239">
        <v>130376607</v>
      </c>
      <c r="F32" s="239">
        <v>0</v>
      </c>
      <c r="G32" s="239">
        <v>3860931</v>
      </c>
      <c r="H32" s="239">
        <v>736622</v>
      </c>
      <c r="I32" s="239">
        <v>0</v>
      </c>
      <c r="J32" s="239">
        <v>736622</v>
      </c>
      <c r="K32" s="239">
        <v>0</v>
      </c>
      <c r="L32" s="239">
        <v>0</v>
      </c>
      <c r="M32" s="239">
        <v>0</v>
      </c>
      <c r="N32" s="239">
        <v>0</v>
      </c>
      <c r="O32" s="239">
        <v>0</v>
      </c>
      <c r="P32" s="239">
        <v>125779054</v>
      </c>
      <c r="Q32" s="214" t="s">
        <v>146</v>
      </c>
      <c r="R32" s="214" t="s">
        <v>766</v>
      </c>
      <c r="S32" s="214" t="s">
        <v>816</v>
      </c>
      <c r="T32" s="214" t="s">
        <v>1160</v>
      </c>
    </row>
    <row r="33" spans="1:20" x14ac:dyDescent="0.2">
      <c r="B33" s="214">
        <v>29</v>
      </c>
      <c r="C33" s="250" t="s">
        <v>149</v>
      </c>
      <c r="D33" s="250" t="s">
        <v>148</v>
      </c>
      <c r="E33" s="239">
        <v>41602141</v>
      </c>
      <c r="F33" s="239">
        <v>0</v>
      </c>
      <c r="G33" s="239">
        <v>101794</v>
      </c>
      <c r="H33" s="239">
        <v>192687</v>
      </c>
      <c r="I33" s="239">
        <v>0</v>
      </c>
      <c r="J33" s="239">
        <v>192687</v>
      </c>
      <c r="K33" s="239">
        <v>0</v>
      </c>
      <c r="L33" s="239">
        <v>0</v>
      </c>
      <c r="M33" s="239">
        <v>219177</v>
      </c>
      <c r="N33" s="239">
        <v>122339</v>
      </c>
      <c r="O33" s="239">
        <v>96838</v>
      </c>
      <c r="P33" s="239">
        <v>41088483</v>
      </c>
      <c r="Q33" s="214" t="s">
        <v>148</v>
      </c>
      <c r="R33" s="214" t="s">
        <v>820</v>
      </c>
      <c r="S33" s="214" t="s">
        <v>818</v>
      </c>
      <c r="T33" s="214" t="s">
        <v>1158</v>
      </c>
    </row>
    <row r="34" spans="1:20" x14ac:dyDescent="0.2">
      <c r="B34" s="214">
        <v>30</v>
      </c>
      <c r="C34" s="250" t="s">
        <v>151</v>
      </c>
      <c r="D34" s="250" t="s">
        <v>150</v>
      </c>
      <c r="E34" s="239">
        <v>31882961</v>
      </c>
      <c r="F34" s="239">
        <v>856503</v>
      </c>
      <c r="G34" s="239">
        <v>0</v>
      </c>
      <c r="H34" s="239">
        <v>163444</v>
      </c>
      <c r="I34" s="239">
        <v>0</v>
      </c>
      <c r="J34" s="239">
        <v>163444</v>
      </c>
      <c r="K34" s="239">
        <v>0</v>
      </c>
      <c r="L34" s="239">
        <v>0</v>
      </c>
      <c r="M34" s="239">
        <v>1217557</v>
      </c>
      <c r="N34" s="239">
        <v>1217557</v>
      </c>
      <c r="O34" s="239">
        <v>0</v>
      </c>
      <c r="P34" s="239">
        <v>31358463</v>
      </c>
      <c r="Q34" s="214" t="s">
        <v>150</v>
      </c>
      <c r="R34" s="214" t="s">
        <v>847</v>
      </c>
      <c r="S34" s="214" t="s">
        <v>761</v>
      </c>
      <c r="T34" s="214" t="s">
        <v>1158</v>
      </c>
    </row>
    <row r="35" spans="1:20" x14ac:dyDescent="0.2">
      <c r="B35" s="214">
        <v>31</v>
      </c>
      <c r="C35" s="250" t="s">
        <v>153</v>
      </c>
      <c r="D35" s="250" t="s">
        <v>152</v>
      </c>
      <c r="E35" s="239">
        <v>117240886</v>
      </c>
      <c r="F35" s="239">
        <v>3543330</v>
      </c>
      <c r="G35" s="239">
        <v>0</v>
      </c>
      <c r="H35" s="239">
        <v>416255</v>
      </c>
      <c r="I35" s="239">
        <v>0</v>
      </c>
      <c r="J35" s="239">
        <v>416255</v>
      </c>
      <c r="K35" s="239">
        <v>0</v>
      </c>
      <c r="L35" s="239">
        <v>0</v>
      </c>
      <c r="M35" s="239">
        <v>0</v>
      </c>
      <c r="N35" s="239">
        <v>0</v>
      </c>
      <c r="O35" s="239">
        <v>0</v>
      </c>
      <c r="P35" s="239">
        <v>120367961</v>
      </c>
      <c r="Q35" s="214" t="s">
        <v>152</v>
      </c>
      <c r="R35" s="214" t="s">
        <v>788</v>
      </c>
      <c r="S35" s="214" t="s">
        <v>747</v>
      </c>
      <c r="T35" s="214" t="s">
        <v>1159</v>
      </c>
    </row>
    <row r="36" spans="1:20" x14ac:dyDescent="0.2">
      <c r="B36" s="214">
        <v>32</v>
      </c>
      <c r="C36" s="250" t="s">
        <v>155</v>
      </c>
      <c r="D36" s="250" t="s">
        <v>154</v>
      </c>
      <c r="E36" s="239">
        <v>29450898</v>
      </c>
      <c r="F36" s="239">
        <v>0</v>
      </c>
      <c r="G36" s="239">
        <v>1265828</v>
      </c>
      <c r="H36" s="239">
        <v>104595</v>
      </c>
      <c r="I36" s="239">
        <v>0</v>
      </c>
      <c r="J36" s="239">
        <v>104595</v>
      </c>
      <c r="K36" s="239">
        <v>0</v>
      </c>
      <c r="L36" s="239">
        <v>0</v>
      </c>
      <c r="M36" s="239">
        <v>0</v>
      </c>
      <c r="N36" s="239">
        <v>0</v>
      </c>
      <c r="O36" s="239">
        <v>0</v>
      </c>
      <c r="P36" s="239">
        <v>28080475</v>
      </c>
      <c r="Q36" s="214" t="s">
        <v>154</v>
      </c>
      <c r="R36" s="214" t="s">
        <v>820</v>
      </c>
      <c r="S36" s="214" t="s">
        <v>818</v>
      </c>
      <c r="T36" s="214" t="s">
        <v>1158</v>
      </c>
    </row>
    <row r="37" spans="1:20" x14ac:dyDescent="0.2">
      <c r="B37" s="214">
        <v>33</v>
      </c>
      <c r="C37" s="250" t="s">
        <v>157</v>
      </c>
      <c r="D37" s="250" t="s">
        <v>156</v>
      </c>
      <c r="E37" s="239">
        <v>106882161</v>
      </c>
      <c r="F37" s="239">
        <v>5961571</v>
      </c>
      <c r="G37" s="239">
        <v>0</v>
      </c>
      <c r="H37" s="239">
        <v>432307</v>
      </c>
      <c r="I37" s="239">
        <v>0</v>
      </c>
      <c r="J37" s="239">
        <v>432307</v>
      </c>
      <c r="K37" s="239">
        <v>0</v>
      </c>
      <c r="L37" s="239">
        <v>0</v>
      </c>
      <c r="M37" s="239">
        <v>0</v>
      </c>
      <c r="N37" s="239">
        <v>0</v>
      </c>
      <c r="O37" s="239">
        <v>0</v>
      </c>
      <c r="P37" s="239">
        <v>112411425</v>
      </c>
      <c r="Q37" s="214" t="s">
        <v>919</v>
      </c>
      <c r="R37" s="214" t="s">
        <v>746</v>
      </c>
      <c r="S37" s="214" t="s">
        <v>805</v>
      </c>
      <c r="T37" s="214" t="s">
        <v>746</v>
      </c>
    </row>
    <row r="38" spans="1:20" x14ac:dyDescent="0.2">
      <c r="B38" s="214">
        <v>34</v>
      </c>
      <c r="C38" s="250" t="s">
        <v>159</v>
      </c>
      <c r="D38" s="250" t="s">
        <v>158</v>
      </c>
      <c r="E38" s="239">
        <v>215235592</v>
      </c>
      <c r="F38" s="239">
        <v>0</v>
      </c>
      <c r="G38" s="239">
        <v>6049796</v>
      </c>
      <c r="H38" s="239">
        <v>715969</v>
      </c>
      <c r="I38" s="239">
        <v>0</v>
      </c>
      <c r="J38" s="239">
        <v>715969</v>
      </c>
      <c r="K38" s="239">
        <v>0</v>
      </c>
      <c r="L38" s="239">
        <v>3240095</v>
      </c>
      <c r="M38" s="239">
        <v>205327</v>
      </c>
      <c r="N38" s="239">
        <v>205327</v>
      </c>
      <c r="O38" s="239">
        <v>0</v>
      </c>
      <c r="P38" s="239">
        <v>205024405</v>
      </c>
      <c r="Q38" s="214" t="s">
        <v>918</v>
      </c>
      <c r="R38" s="214" t="s">
        <v>746</v>
      </c>
      <c r="S38" s="214" t="s">
        <v>851</v>
      </c>
      <c r="T38" s="214" t="s">
        <v>746</v>
      </c>
    </row>
    <row r="39" spans="1:20" x14ac:dyDescent="0.2">
      <c r="B39" s="214">
        <v>35</v>
      </c>
      <c r="C39" s="250" t="s">
        <v>161</v>
      </c>
      <c r="D39" s="250" t="s">
        <v>160</v>
      </c>
      <c r="E39" s="239">
        <v>28939253</v>
      </c>
      <c r="F39" s="239">
        <v>0</v>
      </c>
      <c r="G39" s="239">
        <v>704639</v>
      </c>
      <c r="H39" s="239">
        <v>139831</v>
      </c>
      <c r="I39" s="239">
        <v>0</v>
      </c>
      <c r="J39" s="239">
        <v>139831</v>
      </c>
      <c r="K39" s="239">
        <v>0</v>
      </c>
      <c r="L39" s="239">
        <v>0</v>
      </c>
      <c r="M39" s="239">
        <v>146976</v>
      </c>
      <c r="N39" s="239">
        <v>146976</v>
      </c>
      <c r="O39" s="239">
        <v>0</v>
      </c>
      <c r="P39" s="239">
        <v>27947807</v>
      </c>
      <c r="Q39" s="214" t="s">
        <v>160</v>
      </c>
      <c r="R39" s="214" t="s">
        <v>847</v>
      </c>
      <c r="S39" s="214" t="s">
        <v>761</v>
      </c>
      <c r="T39" s="214" t="s">
        <v>1158</v>
      </c>
    </row>
    <row r="40" spans="1:20" x14ac:dyDescent="0.2">
      <c r="B40" s="214">
        <v>36</v>
      </c>
      <c r="C40" s="250" t="s">
        <v>163</v>
      </c>
      <c r="D40" s="250" t="s">
        <v>162</v>
      </c>
      <c r="E40" s="239">
        <v>84310771</v>
      </c>
      <c r="F40" s="239">
        <v>5212356</v>
      </c>
      <c r="G40" s="239">
        <v>0</v>
      </c>
      <c r="H40" s="239">
        <v>336429</v>
      </c>
      <c r="I40" s="239">
        <v>0</v>
      </c>
      <c r="J40" s="239">
        <v>336429</v>
      </c>
      <c r="K40" s="239">
        <v>0</v>
      </c>
      <c r="L40" s="239">
        <v>0</v>
      </c>
      <c r="M40" s="239">
        <v>0</v>
      </c>
      <c r="N40" s="239">
        <v>0</v>
      </c>
      <c r="O40" s="239">
        <v>0</v>
      </c>
      <c r="P40" s="239">
        <v>89186698</v>
      </c>
      <c r="Q40" s="214" t="s">
        <v>162</v>
      </c>
      <c r="R40" s="214" t="s">
        <v>788</v>
      </c>
      <c r="S40" s="214" t="s">
        <v>747</v>
      </c>
      <c r="T40" s="214" t="s">
        <v>1159</v>
      </c>
    </row>
    <row r="41" spans="1:20" x14ac:dyDescent="0.2">
      <c r="B41" s="214">
        <v>37</v>
      </c>
      <c r="C41" s="250" t="s">
        <v>165</v>
      </c>
      <c r="D41" s="250" t="s">
        <v>164</v>
      </c>
      <c r="E41" s="239">
        <v>25075589</v>
      </c>
      <c r="F41" s="239">
        <v>0</v>
      </c>
      <c r="G41" s="239">
        <v>2093266</v>
      </c>
      <c r="H41" s="239">
        <v>119076</v>
      </c>
      <c r="I41" s="239">
        <v>0</v>
      </c>
      <c r="J41" s="239">
        <v>119076</v>
      </c>
      <c r="K41" s="239">
        <v>0</v>
      </c>
      <c r="L41" s="239">
        <v>0</v>
      </c>
      <c r="M41" s="239">
        <v>0</v>
      </c>
      <c r="N41" s="239">
        <v>0</v>
      </c>
      <c r="O41" s="239">
        <v>0</v>
      </c>
      <c r="P41" s="239">
        <v>22863247</v>
      </c>
      <c r="Q41" s="214" t="s">
        <v>164</v>
      </c>
      <c r="R41" s="214" t="s">
        <v>751</v>
      </c>
      <c r="S41" s="214" t="s">
        <v>749</v>
      </c>
      <c r="T41" s="214" t="s">
        <v>1158</v>
      </c>
    </row>
    <row r="42" spans="1:20" x14ac:dyDescent="0.2">
      <c r="B42" s="214">
        <v>38</v>
      </c>
      <c r="C42" s="250" t="s">
        <v>167</v>
      </c>
      <c r="D42" s="250" t="s">
        <v>166</v>
      </c>
      <c r="E42" s="239">
        <v>40741198</v>
      </c>
      <c r="F42" s="239">
        <v>0</v>
      </c>
      <c r="G42" s="239">
        <v>1462638</v>
      </c>
      <c r="H42" s="239">
        <v>111335</v>
      </c>
      <c r="I42" s="239">
        <v>0</v>
      </c>
      <c r="J42" s="239">
        <v>111335</v>
      </c>
      <c r="K42" s="239">
        <v>0</v>
      </c>
      <c r="L42" s="239">
        <v>0</v>
      </c>
      <c r="M42" s="239">
        <v>0</v>
      </c>
      <c r="N42" s="239">
        <v>0</v>
      </c>
      <c r="O42" s="239">
        <v>0</v>
      </c>
      <c r="P42" s="239">
        <v>39167225</v>
      </c>
      <c r="Q42" s="214" t="s">
        <v>166</v>
      </c>
      <c r="R42" s="214" t="s">
        <v>801</v>
      </c>
      <c r="S42" s="214" t="s">
        <v>761</v>
      </c>
      <c r="T42" s="214" t="s">
        <v>1158</v>
      </c>
    </row>
    <row r="43" spans="1:20" x14ac:dyDescent="0.2">
      <c r="A43" s="215"/>
      <c r="B43" s="214">
        <v>39</v>
      </c>
      <c r="C43" s="250" t="s">
        <v>169</v>
      </c>
      <c r="D43" s="250" t="s">
        <v>168</v>
      </c>
      <c r="E43" s="239">
        <v>26144327</v>
      </c>
      <c r="F43" s="239">
        <v>723133</v>
      </c>
      <c r="G43" s="239">
        <v>0</v>
      </c>
      <c r="H43" s="239">
        <v>106254</v>
      </c>
      <c r="I43" s="239">
        <v>0</v>
      </c>
      <c r="J43" s="239">
        <v>106254</v>
      </c>
      <c r="K43" s="239">
        <v>0</v>
      </c>
      <c r="L43" s="239">
        <v>0</v>
      </c>
      <c r="M43" s="239">
        <v>2290.6799999999998</v>
      </c>
      <c r="N43" s="239">
        <v>0</v>
      </c>
      <c r="O43" s="239">
        <v>2290.6799999999998</v>
      </c>
      <c r="P43" s="239">
        <v>26758915.32</v>
      </c>
      <c r="Q43" s="214" t="s">
        <v>168</v>
      </c>
      <c r="R43" s="214" t="s">
        <v>872</v>
      </c>
      <c r="S43" s="214" t="s">
        <v>870</v>
      </c>
      <c r="T43" s="214" t="s">
        <v>1158</v>
      </c>
    </row>
    <row r="44" spans="1:20" x14ac:dyDescent="0.2">
      <c r="B44" s="214">
        <v>40</v>
      </c>
      <c r="C44" s="250" t="s">
        <v>171</v>
      </c>
      <c r="D44" s="250" t="s">
        <v>170</v>
      </c>
      <c r="E44" s="239">
        <v>26824681</v>
      </c>
      <c r="F44" s="239">
        <v>0</v>
      </c>
      <c r="G44" s="239">
        <v>2093134</v>
      </c>
      <c r="H44" s="239">
        <v>148995</v>
      </c>
      <c r="I44" s="239">
        <v>0</v>
      </c>
      <c r="J44" s="239">
        <v>148995</v>
      </c>
      <c r="K44" s="239">
        <v>0</v>
      </c>
      <c r="L44" s="239">
        <v>0</v>
      </c>
      <c r="M44" s="239">
        <v>234277</v>
      </c>
      <c r="N44" s="239">
        <v>234277</v>
      </c>
      <c r="O44" s="239">
        <v>0</v>
      </c>
      <c r="P44" s="239">
        <v>24348275</v>
      </c>
      <c r="Q44" s="214" t="s">
        <v>170</v>
      </c>
      <c r="R44" s="214" t="s">
        <v>755</v>
      </c>
      <c r="S44" s="214" t="s">
        <v>753</v>
      </c>
      <c r="T44" s="214" t="s">
        <v>1158</v>
      </c>
    </row>
    <row r="45" spans="1:20" x14ac:dyDescent="0.2">
      <c r="B45" s="214">
        <v>41</v>
      </c>
      <c r="C45" s="250" t="s">
        <v>173</v>
      </c>
      <c r="D45" s="250" t="s">
        <v>172</v>
      </c>
      <c r="E45" s="239">
        <v>43578243</v>
      </c>
      <c r="F45" s="239">
        <v>0</v>
      </c>
      <c r="G45" s="239">
        <v>1902430</v>
      </c>
      <c r="H45" s="239">
        <v>238334</v>
      </c>
      <c r="I45" s="239">
        <v>0</v>
      </c>
      <c r="J45" s="239">
        <v>238334</v>
      </c>
      <c r="K45" s="239">
        <v>0</v>
      </c>
      <c r="L45" s="239">
        <v>0</v>
      </c>
      <c r="M45" s="239">
        <v>0</v>
      </c>
      <c r="N45" s="239">
        <v>0</v>
      </c>
      <c r="O45" s="239">
        <v>0</v>
      </c>
      <c r="P45" s="239">
        <v>41437479</v>
      </c>
      <c r="Q45" s="214" t="s">
        <v>172</v>
      </c>
      <c r="R45" s="214" t="s">
        <v>766</v>
      </c>
      <c r="S45" s="214" t="s">
        <v>781</v>
      </c>
      <c r="T45" s="214" t="s">
        <v>1160</v>
      </c>
    </row>
    <row r="46" spans="1:20" x14ac:dyDescent="0.2">
      <c r="B46" s="214">
        <v>42</v>
      </c>
      <c r="C46" s="250" t="s">
        <v>175</v>
      </c>
      <c r="D46" s="250" t="s">
        <v>174</v>
      </c>
      <c r="E46" s="239">
        <v>54838353</v>
      </c>
      <c r="F46" s="239">
        <v>0</v>
      </c>
      <c r="G46" s="239">
        <v>1753128</v>
      </c>
      <c r="H46" s="239">
        <v>349888</v>
      </c>
      <c r="I46" s="239">
        <v>0</v>
      </c>
      <c r="J46" s="239">
        <v>349888</v>
      </c>
      <c r="K46" s="239">
        <v>0</v>
      </c>
      <c r="L46" s="239">
        <v>0</v>
      </c>
      <c r="M46" s="239">
        <v>345565</v>
      </c>
      <c r="N46" s="239">
        <v>345565</v>
      </c>
      <c r="O46" s="239">
        <v>0</v>
      </c>
      <c r="P46" s="239">
        <v>52389772</v>
      </c>
      <c r="Q46" s="214" t="s">
        <v>174</v>
      </c>
      <c r="R46" s="214" t="s">
        <v>766</v>
      </c>
      <c r="S46" s="214" t="s">
        <v>816</v>
      </c>
      <c r="T46" s="214" t="s">
        <v>1160</v>
      </c>
    </row>
    <row r="47" spans="1:20" x14ac:dyDescent="0.2">
      <c r="B47" s="214">
        <v>43</v>
      </c>
      <c r="C47" s="250" t="s">
        <v>177</v>
      </c>
      <c r="D47" s="250" t="s">
        <v>176</v>
      </c>
      <c r="E47" s="239">
        <v>103080770</v>
      </c>
      <c r="F47" s="239">
        <v>20456</v>
      </c>
      <c r="G47" s="239">
        <v>0</v>
      </c>
      <c r="H47" s="239">
        <v>226244</v>
      </c>
      <c r="I47" s="239">
        <v>0</v>
      </c>
      <c r="J47" s="239">
        <v>226244</v>
      </c>
      <c r="K47" s="239">
        <v>0</v>
      </c>
      <c r="L47" s="239">
        <v>0</v>
      </c>
      <c r="M47" s="239">
        <v>0</v>
      </c>
      <c r="N47" s="239">
        <v>0</v>
      </c>
      <c r="O47" s="239">
        <v>0</v>
      </c>
      <c r="P47" s="239">
        <v>102874982</v>
      </c>
      <c r="Q47" s="214" t="s">
        <v>176</v>
      </c>
      <c r="R47" s="214" t="s">
        <v>860</v>
      </c>
      <c r="S47" s="214" t="s">
        <v>858</v>
      </c>
      <c r="T47" s="214" t="s">
        <v>1158</v>
      </c>
    </row>
    <row r="48" spans="1:20" x14ac:dyDescent="0.2">
      <c r="B48" s="214">
        <v>44</v>
      </c>
      <c r="C48" s="250" t="s">
        <v>179</v>
      </c>
      <c r="D48" s="250" t="s">
        <v>178</v>
      </c>
      <c r="E48" s="239">
        <v>552522829</v>
      </c>
      <c r="F48" s="239">
        <v>40225395</v>
      </c>
      <c r="G48" s="239">
        <v>0</v>
      </c>
      <c r="H48" s="239">
        <v>1258806</v>
      </c>
      <c r="I48" s="239">
        <v>0</v>
      </c>
      <c r="J48" s="239">
        <v>1258806</v>
      </c>
      <c r="K48" s="239">
        <v>0</v>
      </c>
      <c r="L48" s="239">
        <v>0</v>
      </c>
      <c r="M48" s="239">
        <v>0</v>
      </c>
      <c r="N48" s="239">
        <v>0</v>
      </c>
      <c r="O48" s="239">
        <v>0</v>
      </c>
      <c r="P48" s="239">
        <v>591489418</v>
      </c>
      <c r="Q48" s="214" t="s">
        <v>178</v>
      </c>
      <c r="R48" s="214" t="s">
        <v>788</v>
      </c>
      <c r="S48" s="214" t="s">
        <v>747</v>
      </c>
      <c r="T48" s="214" t="s">
        <v>1161</v>
      </c>
    </row>
    <row r="49" spans="2:20" x14ac:dyDescent="0.2">
      <c r="B49" s="214">
        <v>45</v>
      </c>
      <c r="C49" s="250" t="s">
        <v>181</v>
      </c>
      <c r="D49" s="250" t="s">
        <v>180</v>
      </c>
      <c r="E49" s="239">
        <v>31372331</v>
      </c>
      <c r="F49" s="239">
        <v>0</v>
      </c>
      <c r="G49" s="239">
        <v>904781</v>
      </c>
      <c r="H49" s="239">
        <v>130851</v>
      </c>
      <c r="I49" s="239">
        <v>0</v>
      </c>
      <c r="J49" s="239">
        <v>130851</v>
      </c>
      <c r="K49" s="239">
        <v>0</v>
      </c>
      <c r="L49" s="239">
        <v>0</v>
      </c>
      <c r="M49" s="239">
        <v>0</v>
      </c>
      <c r="N49" s="239">
        <v>0</v>
      </c>
      <c r="O49" s="239">
        <v>0</v>
      </c>
      <c r="P49" s="239">
        <v>30336699</v>
      </c>
      <c r="Q49" s="214" t="s">
        <v>180</v>
      </c>
      <c r="R49" s="214" t="s">
        <v>836</v>
      </c>
      <c r="S49" s="214" t="s">
        <v>834</v>
      </c>
      <c r="T49" s="214" t="s">
        <v>1158</v>
      </c>
    </row>
    <row r="50" spans="2:20" x14ac:dyDescent="0.2">
      <c r="B50" s="214">
        <v>46</v>
      </c>
      <c r="C50" s="250" t="s">
        <v>183</v>
      </c>
      <c r="D50" s="250" t="s">
        <v>182</v>
      </c>
      <c r="E50" s="239">
        <v>50495783</v>
      </c>
      <c r="F50" s="239">
        <v>0</v>
      </c>
      <c r="G50" s="239">
        <v>2187298</v>
      </c>
      <c r="H50" s="239">
        <v>228946</v>
      </c>
      <c r="I50" s="239">
        <v>0</v>
      </c>
      <c r="J50" s="239">
        <v>228946</v>
      </c>
      <c r="K50" s="239">
        <v>0</v>
      </c>
      <c r="L50" s="239">
        <v>0</v>
      </c>
      <c r="M50" s="239">
        <v>328566</v>
      </c>
      <c r="N50" s="239">
        <v>328566</v>
      </c>
      <c r="O50" s="239">
        <v>0</v>
      </c>
      <c r="P50" s="239">
        <v>47750973</v>
      </c>
      <c r="Q50" s="214" t="s">
        <v>182</v>
      </c>
      <c r="R50" s="214" t="s">
        <v>824</v>
      </c>
      <c r="S50" s="214" t="s">
        <v>822</v>
      </c>
      <c r="T50" s="214" t="s">
        <v>1158</v>
      </c>
    </row>
    <row r="51" spans="2:20" x14ac:dyDescent="0.2">
      <c r="B51" s="214">
        <v>47</v>
      </c>
      <c r="C51" s="250" t="s">
        <v>185</v>
      </c>
      <c r="D51" s="250" t="s">
        <v>184</v>
      </c>
      <c r="E51" s="239">
        <v>43866942</v>
      </c>
      <c r="F51" s="239">
        <v>0</v>
      </c>
      <c r="G51" s="239">
        <v>3024894</v>
      </c>
      <c r="H51" s="239">
        <v>176202</v>
      </c>
      <c r="I51" s="239">
        <v>0</v>
      </c>
      <c r="J51" s="239">
        <v>176202</v>
      </c>
      <c r="K51" s="239">
        <v>0</v>
      </c>
      <c r="L51" s="239">
        <v>0</v>
      </c>
      <c r="M51" s="239">
        <v>334290</v>
      </c>
      <c r="N51" s="239">
        <v>334290</v>
      </c>
      <c r="O51" s="239">
        <v>0</v>
      </c>
      <c r="P51" s="239">
        <v>40331556</v>
      </c>
      <c r="Q51" s="214" t="s">
        <v>184</v>
      </c>
      <c r="R51" s="214" t="s">
        <v>849</v>
      </c>
      <c r="S51" s="214" t="s">
        <v>761</v>
      </c>
      <c r="T51" s="214" t="s">
        <v>1158</v>
      </c>
    </row>
    <row r="52" spans="2:20" x14ac:dyDescent="0.2">
      <c r="B52" s="214">
        <v>48</v>
      </c>
      <c r="C52" s="250" t="s">
        <v>187</v>
      </c>
      <c r="D52" s="250" t="s">
        <v>186</v>
      </c>
      <c r="E52" s="239">
        <v>14548263</v>
      </c>
      <c r="F52" s="239">
        <v>0</v>
      </c>
      <c r="G52" s="239">
        <v>881959</v>
      </c>
      <c r="H52" s="239">
        <v>78958</v>
      </c>
      <c r="I52" s="239">
        <v>0</v>
      </c>
      <c r="J52" s="239">
        <v>78958</v>
      </c>
      <c r="K52" s="239">
        <v>0</v>
      </c>
      <c r="L52" s="239">
        <v>0</v>
      </c>
      <c r="M52" s="239">
        <v>0</v>
      </c>
      <c r="N52" s="239">
        <v>0</v>
      </c>
      <c r="O52" s="239">
        <v>0</v>
      </c>
      <c r="P52" s="239">
        <v>13587346</v>
      </c>
      <c r="Q52" s="214" t="s">
        <v>186</v>
      </c>
      <c r="R52" s="214" t="s">
        <v>820</v>
      </c>
      <c r="S52" s="214" t="s">
        <v>818</v>
      </c>
      <c r="T52" s="214" t="s">
        <v>1158</v>
      </c>
    </row>
    <row r="53" spans="2:20" x14ac:dyDescent="0.2">
      <c r="B53" s="214">
        <v>49</v>
      </c>
      <c r="C53" s="250" t="s">
        <v>189</v>
      </c>
      <c r="D53" s="250" t="s">
        <v>188</v>
      </c>
      <c r="E53" s="239">
        <v>85108565</v>
      </c>
      <c r="F53" s="239">
        <v>0</v>
      </c>
      <c r="G53" s="239">
        <v>2141210</v>
      </c>
      <c r="H53" s="239">
        <v>305867</v>
      </c>
      <c r="I53" s="239">
        <v>0</v>
      </c>
      <c r="J53" s="239">
        <v>305867</v>
      </c>
      <c r="K53" s="239">
        <v>0</v>
      </c>
      <c r="L53" s="239">
        <v>0</v>
      </c>
      <c r="M53" s="239">
        <v>363795</v>
      </c>
      <c r="N53" s="239">
        <v>363795</v>
      </c>
      <c r="O53" s="239">
        <v>0</v>
      </c>
      <c r="P53" s="239">
        <v>82297693</v>
      </c>
      <c r="Q53" s="214" t="s">
        <v>188</v>
      </c>
      <c r="R53" s="214" t="s">
        <v>746</v>
      </c>
      <c r="S53" s="214" t="s">
        <v>896</v>
      </c>
      <c r="T53" s="214" t="s">
        <v>746</v>
      </c>
    </row>
    <row r="54" spans="2:20" x14ac:dyDescent="0.2">
      <c r="B54" s="214">
        <v>50</v>
      </c>
      <c r="C54" s="250" t="s">
        <v>191</v>
      </c>
      <c r="D54" s="250" t="s">
        <v>190</v>
      </c>
      <c r="E54" s="239">
        <v>43596182</v>
      </c>
      <c r="F54" s="239">
        <v>937517</v>
      </c>
      <c r="G54" s="239">
        <v>0</v>
      </c>
      <c r="H54" s="239">
        <v>193360</v>
      </c>
      <c r="I54" s="239">
        <v>0</v>
      </c>
      <c r="J54" s="239">
        <v>193360</v>
      </c>
      <c r="K54" s="239">
        <v>0</v>
      </c>
      <c r="L54" s="239">
        <v>5540</v>
      </c>
      <c r="M54" s="239">
        <v>191811</v>
      </c>
      <c r="N54" s="239">
        <v>179125</v>
      </c>
      <c r="O54" s="239">
        <v>12686</v>
      </c>
      <c r="P54" s="239">
        <v>44142988</v>
      </c>
      <c r="Q54" s="214" t="s">
        <v>190</v>
      </c>
      <c r="R54" s="214" t="s">
        <v>882</v>
      </c>
      <c r="S54" s="214" t="s">
        <v>867</v>
      </c>
      <c r="T54" s="214" t="s">
        <v>1158</v>
      </c>
    </row>
    <row r="55" spans="2:20" x14ac:dyDescent="0.2">
      <c r="B55" s="214">
        <v>51</v>
      </c>
      <c r="C55" s="250" t="s">
        <v>193</v>
      </c>
      <c r="D55" s="250" t="s">
        <v>192</v>
      </c>
      <c r="E55" s="239">
        <v>81158603</v>
      </c>
      <c r="F55" s="239">
        <v>0</v>
      </c>
      <c r="G55" s="239">
        <v>4420543</v>
      </c>
      <c r="H55" s="239">
        <v>217330</v>
      </c>
      <c r="I55" s="239">
        <v>0</v>
      </c>
      <c r="J55" s="239">
        <v>217330</v>
      </c>
      <c r="K55" s="239">
        <v>0</v>
      </c>
      <c r="L55" s="239">
        <v>0</v>
      </c>
      <c r="M55" s="239">
        <v>0</v>
      </c>
      <c r="N55" s="239">
        <v>0</v>
      </c>
      <c r="O55" s="239">
        <v>0</v>
      </c>
      <c r="P55" s="239">
        <v>76520730</v>
      </c>
      <c r="Q55" s="214" t="s">
        <v>192</v>
      </c>
      <c r="R55" s="214" t="s">
        <v>820</v>
      </c>
      <c r="S55" s="214" t="s">
        <v>818</v>
      </c>
      <c r="T55" s="214" t="s">
        <v>1158</v>
      </c>
    </row>
    <row r="56" spans="2:20" x14ac:dyDescent="0.2">
      <c r="B56" s="214">
        <v>52</v>
      </c>
      <c r="C56" s="250" t="s">
        <v>195</v>
      </c>
      <c r="D56" s="250" t="s">
        <v>194</v>
      </c>
      <c r="E56" s="239">
        <v>55044696</v>
      </c>
      <c r="F56" s="239">
        <v>0</v>
      </c>
      <c r="G56" s="239">
        <v>2287581</v>
      </c>
      <c r="H56" s="239">
        <v>174255</v>
      </c>
      <c r="I56" s="239">
        <v>0</v>
      </c>
      <c r="J56" s="239">
        <v>174255</v>
      </c>
      <c r="K56" s="239">
        <v>0</v>
      </c>
      <c r="L56" s="239">
        <v>0</v>
      </c>
      <c r="M56" s="239">
        <v>0</v>
      </c>
      <c r="N56" s="239">
        <v>0</v>
      </c>
      <c r="O56" s="239">
        <v>0</v>
      </c>
      <c r="P56" s="239">
        <v>52582860</v>
      </c>
      <c r="Q56" s="214" t="s">
        <v>194</v>
      </c>
      <c r="R56" s="214" t="s">
        <v>829</v>
      </c>
      <c r="S56" s="214" t="s">
        <v>761</v>
      </c>
      <c r="T56" s="214" t="s">
        <v>1158</v>
      </c>
    </row>
    <row r="57" spans="2:20" x14ac:dyDescent="0.2">
      <c r="B57" s="214">
        <v>53</v>
      </c>
      <c r="C57" s="250" t="s">
        <v>197</v>
      </c>
      <c r="D57" s="250" t="s">
        <v>196</v>
      </c>
      <c r="E57" s="239">
        <v>83903317</v>
      </c>
      <c r="F57" s="239">
        <v>6862872</v>
      </c>
      <c r="G57" s="239">
        <v>0</v>
      </c>
      <c r="H57" s="239">
        <v>227866</v>
      </c>
      <c r="I57" s="239">
        <v>0</v>
      </c>
      <c r="J57" s="239">
        <v>227866</v>
      </c>
      <c r="K57" s="239">
        <v>0</v>
      </c>
      <c r="L57" s="239">
        <v>0</v>
      </c>
      <c r="M57" s="239">
        <v>531235</v>
      </c>
      <c r="N57" s="239">
        <v>300118</v>
      </c>
      <c r="O57" s="239">
        <v>231117</v>
      </c>
      <c r="P57" s="239">
        <v>90007088</v>
      </c>
      <c r="Q57" s="214" t="s">
        <v>196</v>
      </c>
      <c r="R57" s="214" t="s">
        <v>794</v>
      </c>
      <c r="S57" s="214" t="s">
        <v>761</v>
      </c>
      <c r="T57" s="214" t="s">
        <v>1158</v>
      </c>
    </row>
    <row r="58" spans="2:20" x14ac:dyDescent="0.2">
      <c r="B58" s="214">
        <v>54</v>
      </c>
      <c r="C58" s="250" t="s">
        <v>199</v>
      </c>
      <c r="D58" s="250" t="s">
        <v>198</v>
      </c>
      <c r="E58" s="239">
        <v>137115918</v>
      </c>
      <c r="F58" s="239">
        <v>0</v>
      </c>
      <c r="G58" s="239">
        <v>4247415</v>
      </c>
      <c r="H58" s="239">
        <v>563725</v>
      </c>
      <c r="I58" s="239">
        <v>0</v>
      </c>
      <c r="J58" s="239">
        <v>563725</v>
      </c>
      <c r="K58" s="239">
        <v>0</v>
      </c>
      <c r="L58" s="239">
        <v>312749</v>
      </c>
      <c r="M58" s="239">
        <v>94085</v>
      </c>
      <c r="N58" s="239">
        <v>94085</v>
      </c>
      <c r="O58" s="239">
        <v>0</v>
      </c>
      <c r="P58" s="239">
        <v>131897944</v>
      </c>
      <c r="Q58" s="214" t="s">
        <v>198</v>
      </c>
      <c r="R58" s="214" t="s">
        <v>746</v>
      </c>
      <c r="S58" s="214" t="s">
        <v>813</v>
      </c>
      <c r="T58" s="214" t="s">
        <v>746</v>
      </c>
    </row>
    <row r="59" spans="2:20" x14ac:dyDescent="0.2">
      <c r="B59" s="214">
        <v>55</v>
      </c>
      <c r="C59" s="250" t="s">
        <v>201</v>
      </c>
      <c r="D59" s="250" t="s">
        <v>917</v>
      </c>
      <c r="E59" s="239">
        <v>143407023</v>
      </c>
      <c r="F59" s="239">
        <v>0</v>
      </c>
      <c r="G59" s="239">
        <v>11317796</v>
      </c>
      <c r="H59" s="239">
        <v>480131</v>
      </c>
      <c r="I59" s="239">
        <v>0</v>
      </c>
      <c r="J59" s="239">
        <v>480131</v>
      </c>
      <c r="K59" s="239">
        <v>0</v>
      </c>
      <c r="L59" s="239">
        <v>11515</v>
      </c>
      <c r="M59" s="239">
        <v>389640</v>
      </c>
      <c r="N59" s="239">
        <v>389640</v>
      </c>
      <c r="O59" s="239">
        <v>0</v>
      </c>
      <c r="P59" s="239">
        <v>131207941</v>
      </c>
      <c r="Q59" s="214" t="s">
        <v>917</v>
      </c>
      <c r="R59" s="214" t="s">
        <v>746</v>
      </c>
      <c r="S59" s="214" t="s">
        <v>813</v>
      </c>
      <c r="T59" s="214" t="s">
        <v>746</v>
      </c>
    </row>
    <row r="60" spans="2:20" x14ac:dyDescent="0.2">
      <c r="B60" s="214">
        <v>56</v>
      </c>
      <c r="C60" s="250" t="s">
        <v>203</v>
      </c>
      <c r="D60" s="250" t="s">
        <v>202</v>
      </c>
      <c r="E60" s="239">
        <v>35514402</v>
      </c>
      <c r="F60" s="239">
        <v>0</v>
      </c>
      <c r="G60" s="239">
        <v>657878</v>
      </c>
      <c r="H60" s="239">
        <v>163817</v>
      </c>
      <c r="I60" s="239">
        <v>0</v>
      </c>
      <c r="J60" s="239">
        <v>163817</v>
      </c>
      <c r="K60" s="239">
        <v>0</v>
      </c>
      <c r="L60" s="239">
        <v>886300</v>
      </c>
      <c r="M60" s="239">
        <v>54963</v>
      </c>
      <c r="N60" s="239">
        <v>54963</v>
      </c>
      <c r="O60" s="239">
        <v>0</v>
      </c>
      <c r="P60" s="239">
        <v>33751444</v>
      </c>
      <c r="Q60" s="214" t="s">
        <v>202</v>
      </c>
      <c r="R60" s="214" t="s">
        <v>856</v>
      </c>
      <c r="S60" s="214" t="s">
        <v>854</v>
      </c>
      <c r="T60" s="214" t="s">
        <v>1158</v>
      </c>
    </row>
    <row r="61" spans="2:20" x14ac:dyDescent="0.2">
      <c r="B61" s="214">
        <v>57</v>
      </c>
      <c r="C61" s="250" t="s">
        <v>205</v>
      </c>
      <c r="D61" s="250" t="s">
        <v>204</v>
      </c>
      <c r="E61" s="239">
        <v>43691910</v>
      </c>
      <c r="F61" s="239">
        <v>1501425</v>
      </c>
      <c r="G61" s="239">
        <v>0</v>
      </c>
      <c r="H61" s="239">
        <v>197628</v>
      </c>
      <c r="I61" s="239">
        <v>0</v>
      </c>
      <c r="J61" s="239">
        <v>197628</v>
      </c>
      <c r="K61" s="239">
        <v>0</v>
      </c>
      <c r="L61" s="239">
        <v>0</v>
      </c>
      <c r="M61" s="239">
        <v>179729</v>
      </c>
      <c r="N61" s="239">
        <v>162512</v>
      </c>
      <c r="O61" s="239">
        <v>17217</v>
      </c>
      <c r="P61" s="239">
        <v>44815978</v>
      </c>
      <c r="Q61" s="214" t="s">
        <v>204</v>
      </c>
      <c r="R61" s="214" t="s">
        <v>762</v>
      </c>
      <c r="S61" s="214" t="s">
        <v>761</v>
      </c>
      <c r="T61" s="214" t="s">
        <v>1158</v>
      </c>
    </row>
    <row r="62" spans="2:20" x14ac:dyDescent="0.2">
      <c r="B62" s="214">
        <v>58</v>
      </c>
      <c r="C62" s="250" t="s">
        <v>207</v>
      </c>
      <c r="D62" s="250" t="s">
        <v>206</v>
      </c>
      <c r="E62" s="239">
        <v>19952438</v>
      </c>
      <c r="F62" s="239">
        <v>820573</v>
      </c>
      <c r="G62" s="239">
        <v>0</v>
      </c>
      <c r="H62" s="239">
        <v>112028</v>
      </c>
      <c r="I62" s="239">
        <v>0</v>
      </c>
      <c r="J62" s="239">
        <v>112028</v>
      </c>
      <c r="K62" s="239">
        <v>0</v>
      </c>
      <c r="L62" s="239">
        <v>0</v>
      </c>
      <c r="M62" s="239">
        <v>0</v>
      </c>
      <c r="N62" s="239">
        <v>0</v>
      </c>
      <c r="O62" s="239">
        <v>0</v>
      </c>
      <c r="P62" s="239">
        <v>20660983</v>
      </c>
      <c r="Q62" s="214" t="s">
        <v>206</v>
      </c>
      <c r="R62" s="214" t="s">
        <v>759</v>
      </c>
      <c r="S62" s="214" t="s">
        <v>757</v>
      </c>
      <c r="T62" s="214" t="s">
        <v>1158</v>
      </c>
    </row>
    <row r="63" spans="2:20" x14ac:dyDescent="0.2">
      <c r="B63" s="214">
        <v>59</v>
      </c>
      <c r="C63" s="250" t="s">
        <v>209</v>
      </c>
      <c r="D63" s="250" t="s">
        <v>208</v>
      </c>
      <c r="E63" s="239">
        <v>26127499</v>
      </c>
      <c r="F63" s="239">
        <v>0</v>
      </c>
      <c r="G63" s="239">
        <v>2365086</v>
      </c>
      <c r="H63" s="239">
        <v>132804</v>
      </c>
      <c r="I63" s="239">
        <v>0</v>
      </c>
      <c r="J63" s="239">
        <v>132804</v>
      </c>
      <c r="K63" s="239">
        <v>0</v>
      </c>
      <c r="L63" s="239">
        <v>0</v>
      </c>
      <c r="M63" s="239">
        <v>0</v>
      </c>
      <c r="N63" s="239">
        <v>0</v>
      </c>
      <c r="O63" s="239">
        <v>0</v>
      </c>
      <c r="P63" s="239">
        <v>23629609</v>
      </c>
      <c r="Q63" s="214" t="s">
        <v>208</v>
      </c>
      <c r="R63" s="214" t="s">
        <v>755</v>
      </c>
      <c r="S63" s="214" t="s">
        <v>753</v>
      </c>
      <c r="T63" s="214" t="s">
        <v>1158</v>
      </c>
    </row>
    <row r="64" spans="2:20" x14ac:dyDescent="0.2">
      <c r="B64" s="214">
        <v>60</v>
      </c>
      <c r="C64" s="250" t="s">
        <v>211</v>
      </c>
      <c r="D64" s="250" t="s">
        <v>210</v>
      </c>
      <c r="E64" s="239">
        <v>20644065</v>
      </c>
      <c r="F64" s="239">
        <v>158224</v>
      </c>
      <c r="G64" s="239">
        <v>0</v>
      </c>
      <c r="H64" s="239">
        <v>74395</v>
      </c>
      <c r="I64" s="239">
        <v>0</v>
      </c>
      <c r="J64" s="239">
        <v>74395</v>
      </c>
      <c r="K64" s="239">
        <v>0</v>
      </c>
      <c r="L64" s="239">
        <v>0</v>
      </c>
      <c r="M64" s="239">
        <v>318272</v>
      </c>
      <c r="N64" s="239">
        <v>318272</v>
      </c>
      <c r="O64" s="239">
        <v>0</v>
      </c>
      <c r="P64" s="239">
        <v>20409622</v>
      </c>
      <c r="Q64" s="214" t="s">
        <v>210</v>
      </c>
      <c r="R64" s="214" t="s">
        <v>785</v>
      </c>
      <c r="S64" s="214" t="s">
        <v>783</v>
      </c>
      <c r="T64" s="214" t="s">
        <v>1158</v>
      </c>
    </row>
    <row r="65" spans="1:20" x14ac:dyDescent="0.2">
      <c r="B65" s="214">
        <v>61</v>
      </c>
      <c r="C65" s="250" t="s">
        <v>213</v>
      </c>
      <c r="D65" s="250" t="s">
        <v>212</v>
      </c>
      <c r="E65" s="239">
        <v>1116627967</v>
      </c>
      <c r="F65" s="239">
        <v>29371287</v>
      </c>
      <c r="G65" s="239">
        <v>0</v>
      </c>
      <c r="H65" s="239">
        <v>1959373</v>
      </c>
      <c r="I65" s="239">
        <v>0</v>
      </c>
      <c r="J65" s="239">
        <v>1959373</v>
      </c>
      <c r="K65" s="239">
        <v>11267000</v>
      </c>
      <c r="L65" s="239">
        <v>0</v>
      </c>
      <c r="M65" s="239">
        <v>0</v>
      </c>
      <c r="N65" s="239">
        <v>0</v>
      </c>
      <c r="O65" s="239">
        <v>0</v>
      </c>
      <c r="P65" s="239">
        <v>1132772881</v>
      </c>
      <c r="Q65" s="214" t="s">
        <v>212</v>
      </c>
      <c r="R65" s="214" t="s">
        <v>915</v>
      </c>
      <c r="S65" s="214" t="s">
        <v>747</v>
      </c>
      <c r="T65" s="214" t="s">
        <v>1161</v>
      </c>
    </row>
    <row r="66" spans="1:20" x14ac:dyDescent="0.2">
      <c r="B66" s="214">
        <v>62</v>
      </c>
      <c r="C66" s="250" t="s">
        <v>215</v>
      </c>
      <c r="D66" s="250" t="s">
        <v>214</v>
      </c>
      <c r="E66" s="239">
        <v>61910960</v>
      </c>
      <c r="F66" s="239">
        <v>0</v>
      </c>
      <c r="G66" s="239">
        <v>1776120</v>
      </c>
      <c r="H66" s="239">
        <v>239982</v>
      </c>
      <c r="I66" s="239">
        <v>0</v>
      </c>
      <c r="J66" s="239">
        <v>239982</v>
      </c>
      <c r="K66" s="239">
        <v>0</v>
      </c>
      <c r="L66" s="239">
        <v>0</v>
      </c>
      <c r="M66" s="239">
        <v>0</v>
      </c>
      <c r="N66" s="239">
        <v>0</v>
      </c>
      <c r="O66" s="239">
        <v>0</v>
      </c>
      <c r="P66" s="239">
        <v>59894858</v>
      </c>
      <c r="Q66" s="214" t="s">
        <v>214</v>
      </c>
      <c r="R66" s="214" t="s">
        <v>820</v>
      </c>
      <c r="S66" s="214" t="s">
        <v>818</v>
      </c>
      <c r="T66" s="214" t="s">
        <v>1158</v>
      </c>
    </row>
    <row r="67" spans="1:20" x14ac:dyDescent="0.2">
      <c r="A67" s="215" t="s">
        <v>1668</v>
      </c>
      <c r="B67" s="214">
        <v>63</v>
      </c>
      <c r="C67" s="250" t="s">
        <v>217</v>
      </c>
      <c r="D67" s="250" t="s">
        <v>216</v>
      </c>
      <c r="E67" s="239">
        <v>35777933</v>
      </c>
      <c r="F67" s="239">
        <v>0</v>
      </c>
      <c r="G67" s="239">
        <v>6806499</v>
      </c>
      <c r="H67" s="239">
        <v>101141</v>
      </c>
      <c r="I67" s="239">
        <v>0</v>
      </c>
      <c r="J67" s="239">
        <v>101141</v>
      </c>
      <c r="K67" s="239">
        <v>0</v>
      </c>
      <c r="L67" s="239">
        <v>0</v>
      </c>
      <c r="M67" s="239">
        <v>36304</v>
      </c>
      <c r="N67" s="239">
        <v>36304</v>
      </c>
      <c r="O67" s="239">
        <v>0</v>
      </c>
      <c r="P67" s="239">
        <v>28833989</v>
      </c>
      <c r="Q67" s="214" t="s">
        <v>216</v>
      </c>
      <c r="R67" s="214" t="s">
        <v>849</v>
      </c>
      <c r="S67" s="214" t="s">
        <v>761</v>
      </c>
      <c r="T67" s="214" t="s">
        <v>1158</v>
      </c>
    </row>
    <row r="68" spans="1:20" x14ac:dyDescent="0.2">
      <c r="B68" s="214">
        <v>64</v>
      </c>
      <c r="C68" s="250" t="s">
        <v>219</v>
      </c>
      <c r="D68" s="250" t="s">
        <v>218</v>
      </c>
      <c r="E68" s="239">
        <v>33593287</v>
      </c>
      <c r="F68" s="239">
        <v>0</v>
      </c>
      <c r="G68" s="239">
        <v>3197425</v>
      </c>
      <c r="H68" s="239">
        <v>87948</v>
      </c>
      <c r="I68" s="239">
        <v>0</v>
      </c>
      <c r="J68" s="239">
        <v>87948</v>
      </c>
      <c r="K68" s="239">
        <v>0</v>
      </c>
      <c r="L68" s="239">
        <v>0</v>
      </c>
      <c r="M68" s="239">
        <v>0</v>
      </c>
      <c r="N68" s="239">
        <v>0</v>
      </c>
      <c r="O68" s="239">
        <v>0</v>
      </c>
      <c r="P68" s="239">
        <v>30307914</v>
      </c>
      <c r="Q68" s="214" t="s">
        <v>218</v>
      </c>
      <c r="R68" s="214" t="s">
        <v>803</v>
      </c>
      <c r="S68" s="214" t="s">
        <v>761</v>
      </c>
      <c r="T68" s="214" t="s">
        <v>1158</v>
      </c>
    </row>
    <row r="69" spans="1:20" x14ac:dyDescent="0.2">
      <c r="B69" s="214">
        <v>65</v>
      </c>
      <c r="C69" s="250" t="s">
        <v>221</v>
      </c>
      <c r="D69" s="250" t="s">
        <v>220</v>
      </c>
      <c r="E69" s="239">
        <v>149969018</v>
      </c>
      <c r="F69" s="239">
        <v>0</v>
      </c>
      <c r="G69" s="239">
        <v>955631</v>
      </c>
      <c r="H69" s="239">
        <v>1124892</v>
      </c>
      <c r="I69" s="239">
        <v>0</v>
      </c>
      <c r="J69" s="239">
        <v>1124892</v>
      </c>
      <c r="K69" s="239">
        <v>0</v>
      </c>
      <c r="L69" s="239">
        <v>125898</v>
      </c>
      <c r="M69" s="239">
        <v>2361706</v>
      </c>
      <c r="N69" s="239">
        <v>2361706</v>
      </c>
      <c r="O69" s="239">
        <v>0</v>
      </c>
      <c r="P69" s="239">
        <v>145400891</v>
      </c>
      <c r="Q69" s="214" t="s">
        <v>220</v>
      </c>
      <c r="R69" s="214" t="s">
        <v>746</v>
      </c>
      <c r="S69" s="214" t="s">
        <v>761</v>
      </c>
      <c r="T69" s="214" t="s">
        <v>746</v>
      </c>
    </row>
    <row r="70" spans="1:20" x14ac:dyDescent="0.2">
      <c r="B70" s="214">
        <v>66</v>
      </c>
      <c r="C70" s="250" t="s">
        <v>223</v>
      </c>
      <c r="D70" s="250" t="s">
        <v>222</v>
      </c>
      <c r="E70" s="239">
        <v>30005474</v>
      </c>
      <c r="F70" s="239">
        <v>1445616</v>
      </c>
      <c r="G70" s="239">
        <v>0</v>
      </c>
      <c r="H70" s="239">
        <v>179930</v>
      </c>
      <c r="I70" s="239">
        <v>0</v>
      </c>
      <c r="J70" s="239">
        <v>179930</v>
      </c>
      <c r="K70" s="239">
        <v>0</v>
      </c>
      <c r="L70" s="239">
        <v>0</v>
      </c>
      <c r="M70" s="239">
        <v>98841</v>
      </c>
      <c r="N70" s="239">
        <v>98841</v>
      </c>
      <c r="O70" s="239">
        <v>0</v>
      </c>
      <c r="P70" s="239">
        <v>31172319</v>
      </c>
      <c r="Q70" s="214" t="s">
        <v>222</v>
      </c>
      <c r="R70" s="214" t="s">
        <v>829</v>
      </c>
      <c r="S70" s="214" t="s">
        <v>761</v>
      </c>
      <c r="T70" s="214" t="s">
        <v>1158</v>
      </c>
    </row>
    <row r="71" spans="1:20" x14ac:dyDescent="0.2">
      <c r="B71" s="214">
        <v>67</v>
      </c>
      <c r="C71" s="250" t="s">
        <v>225</v>
      </c>
      <c r="D71" s="250" t="s">
        <v>224</v>
      </c>
      <c r="E71" s="239">
        <v>120264328</v>
      </c>
      <c r="F71" s="239">
        <v>0</v>
      </c>
      <c r="G71" s="239">
        <v>4921591</v>
      </c>
      <c r="H71" s="239">
        <v>373014</v>
      </c>
      <c r="I71" s="239">
        <v>0</v>
      </c>
      <c r="J71" s="239">
        <v>373014</v>
      </c>
      <c r="K71" s="239">
        <v>0</v>
      </c>
      <c r="L71" s="239">
        <v>0</v>
      </c>
      <c r="M71" s="239">
        <v>0</v>
      </c>
      <c r="N71" s="239">
        <v>0</v>
      </c>
      <c r="O71" s="239">
        <v>0</v>
      </c>
      <c r="P71" s="239">
        <v>114969723</v>
      </c>
      <c r="Q71" s="214" t="s">
        <v>224</v>
      </c>
      <c r="R71" s="214" t="s">
        <v>766</v>
      </c>
      <c r="S71" s="214" t="s">
        <v>764</v>
      </c>
      <c r="T71" s="214" t="s">
        <v>1160</v>
      </c>
    </row>
    <row r="72" spans="1:20" x14ac:dyDescent="0.2">
      <c r="B72" s="214">
        <v>68</v>
      </c>
      <c r="C72" s="250" t="s">
        <v>227</v>
      </c>
      <c r="D72" s="250" t="s">
        <v>226</v>
      </c>
      <c r="E72" s="239">
        <v>17874543</v>
      </c>
      <c r="F72" s="239">
        <v>262932</v>
      </c>
      <c r="G72" s="239">
        <v>0</v>
      </c>
      <c r="H72" s="239">
        <v>118120</v>
      </c>
      <c r="I72" s="239">
        <v>0</v>
      </c>
      <c r="J72" s="239">
        <v>118120</v>
      </c>
      <c r="K72" s="239">
        <v>0</v>
      </c>
      <c r="L72" s="239">
        <v>0</v>
      </c>
      <c r="M72" s="239">
        <v>0</v>
      </c>
      <c r="N72" s="239">
        <v>0</v>
      </c>
      <c r="O72" s="239">
        <v>0</v>
      </c>
      <c r="P72" s="239">
        <v>18019355</v>
      </c>
      <c r="Q72" s="214" t="s">
        <v>226</v>
      </c>
      <c r="R72" s="214" t="s">
        <v>865</v>
      </c>
      <c r="S72" s="214" t="s">
        <v>744</v>
      </c>
      <c r="T72" s="214" t="s">
        <v>1158</v>
      </c>
    </row>
    <row r="73" spans="1:20" x14ac:dyDescent="0.2">
      <c r="B73" s="214">
        <v>69</v>
      </c>
      <c r="C73" s="250" t="s">
        <v>229</v>
      </c>
      <c r="D73" s="250" t="s">
        <v>228</v>
      </c>
      <c r="E73" s="239">
        <v>117877033</v>
      </c>
      <c r="F73" s="239">
        <v>0</v>
      </c>
      <c r="G73" s="239">
        <v>3676628</v>
      </c>
      <c r="H73" s="239">
        <v>201502</v>
      </c>
      <c r="I73" s="239">
        <v>0</v>
      </c>
      <c r="J73" s="239">
        <v>201502</v>
      </c>
      <c r="K73" s="239">
        <v>0</v>
      </c>
      <c r="L73" s="239">
        <v>0</v>
      </c>
      <c r="M73" s="239">
        <v>4660</v>
      </c>
      <c r="N73" s="239">
        <v>4660</v>
      </c>
      <c r="O73" s="239">
        <v>0</v>
      </c>
      <c r="P73" s="239">
        <v>113994243</v>
      </c>
      <c r="Q73" s="214" t="s">
        <v>228</v>
      </c>
      <c r="R73" s="214" t="s">
        <v>762</v>
      </c>
      <c r="S73" s="214" t="s">
        <v>761</v>
      </c>
      <c r="T73" s="214" t="s">
        <v>1158</v>
      </c>
    </row>
    <row r="74" spans="1:20" x14ac:dyDescent="0.2">
      <c r="A74" s="215"/>
      <c r="B74" s="214">
        <v>70</v>
      </c>
      <c r="C74" s="250" t="s">
        <v>231</v>
      </c>
      <c r="D74" s="250" t="s">
        <v>230</v>
      </c>
      <c r="E74" s="239">
        <v>104868094</v>
      </c>
      <c r="F74" s="239">
        <v>6774135</v>
      </c>
      <c r="G74" s="239">
        <v>0</v>
      </c>
      <c r="H74" s="239">
        <v>429856</v>
      </c>
      <c r="I74" s="239">
        <v>0</v>
      </c>
      <c r="J74" s="239">
        <v>429856</v>
      </c>
      <c r="K74" s="239">
        <v>0</v>
      </c>
      <c r="L74" s="239">
        <v>0</v>
      </c>
      <c r="M74" s="239">
        <v>0</v>
      </c>
      <c r="N74" s="239">
        <v>0</v>
      </c>
      <c r="O74" s="239">
        <v>0</v>
      </c>
      <c r="P74" s="239">
        <v>111212373</v>
      </c>
      <c r="Q74" s="214" t="s">
        <v>230</v>
      </c>
      <c r="R74" s="214" t="s">
        <v>788</v>
      </c>
      <c r="S74" s="214" t="s">
        <v>747</v>
      </c>
      <c r="T74" s="214" t="s">
        <v>1159</v>
      </c>
    </row>
    <row r="75" spans="1:20" x14ac:dyDescent="0.2">
      <c r="B75" s="214">
        <v>71</v>
      </c>
      <c r="C75" s="250" t="s">
        <v>233</v>
      </c>
      <c r="D75" s="250" t="s">
        <v>232</v>
      </c>
      <c r="E75" s="239">
        <v>60189092</v>
      </c>
      <c r="F75" s="239">
        <v>0</v>
      </c>
      <c r="G75" s="239">
        <v>291758</v>
      </c>
      <c r="H75" s="239">
        <v>207475</v>
      </c>
      <c r="I75" s="239">
        <v>0</v>
      </c>
      <c r="J75" s="239">
        <v>207475</v>
      </c>
      <c r="K75" s="239">
        <v>0</v>
      </c>
      <c r="L75" s="239">
        <v>28100</v>
      </c>
      <c r="M75" s="239">
        <v>0</v>
      </c>
      <c r="N75" s="239">
        <v>0</v>
      </c>
      <c r="O75" s="239">
        <v>0</v>
      </c>
      <c r="P75" s="239">
        <v>59661759</v>
      </c>
      <c r="Q75" s="214" t="s">
        <v>232</v>
      </c>
      <c r="R75" s="214" t="s">
        <v>801</v>
      </c>
      <c r="S75" s="214" t="s">
        <v>761</v>
      </c>
      <c r="T75" s="214" t="s">
        <v>1158</v>
      </c>
    </row>
    <row r="76" spans="1:20" x14ac:dyDescent="0.2">
      <c r="B76" s="214">
        <v>72</v>
      </c>
      <c r="C76" s="250" t="s">
        <v>235</v>
      </c>
      <c r="D76" s="250" t="s">
        <v>234</v>
      </c>
      <c r="E76" s="239">
        <v>32656406</v>
      </c>
      <c r="F76" s="239">
        <v>0</v>
      </c>
      <c r="G76" s="239">
        <v>3527765</v>
      </c>
      <c r="H76" s="239">
        <v>143297</v>
      </c>
      <c r="I76" s="239">
        <v>0</v>
      </c>
      <c r="J76" s="239">
        <v>143297</v>
      </c>
      <c r="K76" s="239">
        <v>0</v>
      </c>
      <c r="L76" s="239">
        <v>168953</v>
      </c>
      <c r="M76" s="239">
        <v>0</v>
      </c>
      <c r="N76" s="239">
        <v>0</v>
      </c>
      <c r="O76" s="239">
        <v>0</v>
      </c>
      <c r="P76" s="239">
        <v>28816391</v>
      </c>
      <c r="Q76" s="214" t="s">
        <v>914</v>
      </c>
      <c r="R76" s="214" t="s">
        <v>746</v>
      </c>
      <c r="S76" s="214" t="s">
        <v>911</v>
      </c>
      <c r="T76" s="214" t="s">
        <v>746</v>
      </c>
    </row>
    <row r="77" spans="1:20" x14ac:dyDescent="0.2">
      <c r="B77" s="214">
        <v>73</v>
      </c>
      <c r="C77" s="250" t="s">
        <v>237</v>
      </c>
      <c r="D77" s="250" t="s">
        <v>236</v>
      </c>
      <c r="E77" s="239">
        <v>84213281</v>
      </c>
      <c r="F77" s="239">
        <v>0</v>
      </c>
      <c r="G77" s="239">
        <v>5129221</v>
      </c>
      <c r="H77" s="239">
        <v>168218</v>
      </c>
      <c r="I77" s="239">
        <v>0</v>
      </c>
      <c r="J77" s="239">
        <v>168218</v>
      </c>
      <c r="K77" s="239">
        <v>0</v>
      </c>
      <c r="L77" s="239">
        <v>0</v>
      </c>
      <c r="M77" s="239">
        <v>0</v>
      </c>
      <c r="N77" s="239">
        <v>0</v>
      </c>
      <c r="O77" s="239">
        <v>0</v>
      </c>
      <c r="P77" s="239">
        <v>78915842</v>
      </c>
      <c r="Q77" s="214" t="s">
        <v>236</v>
      </c>
      <c r="R77" s="214" t="s">
        <v>824</v>
      </c>
      <c r="S77" s="214" t="s">
        <v>822</v>
      </c>
      <c r="T77" s="214" t="s">
        <v>1158</v>
      </c>
    </row>
    <row r="78" spans="1:20" x14ac:dyDescent="0.2">
      <c r="B78" s="214">
        <v>74</v>
      </c>
      <c r="C78" s="250" t="s">
        <v>239</v>
      </c>
      <c r="D78" s="250" t="s">
        <v>238</v>
      </c>
      <c r="E78" s="239">
        <v>45772461</v>
      </c>
      <c r="F78" s="239">
        <v>0</v>
      </c>
      <c r="G78" s="239">
        <v>894722</v>
      </c>
      <c r="H78" s="239">
        <v>119376</v>
      </c>
      <c r="I78" s="239">
        <v>0</v>
      </c>
      <c r="J78" s="239">
        <v>119376</v>
      </c>
      <c r="K78" s="239">
        <v>0</v>
      </c>
      <c r="L78" s="239">
        <v>0</v>
      </c>
      <c r="M78" s="239">
        <v>797074</v>
      </c>
      <c r="N78" s="239">
        <v>797074</v>
      </c>
      <c r="O78" s="239">
        <v>0</v>
      </c>
      <c r="P78" s="239">
        <v>43961289</v>
      </c>
      <c r="Q78" s="214" t="s">
        <v>238</v>
      </c>
      <c r="R78" s="214" t="s">
        <v>803</v>
      </c>
      <c r="S78" s="214" t="s">
        <v>761</v>
      </c>
      <c r="T78" s="214" t="s">
        <v>1158</v>
      </c>
    </row>
    <row r="79" spans="1:20" x14ac:dyDescent="0.2">
      <c r="B79" s="214">
        <v>75</v>
      </c>
      <c r="C79" s="250" t="s">
        <v>241</v>
      </c>
      <c r="D79" s="250" t="s">
        <v>240</v>
      </c>
      <c r="E79" s="239">
        <v>90546423</v>
      </c>
      <c r="F79" s="239">
        <v>855483</v>
      </c>
      <c r="G79" s="239">
        <v>0</v>
      </c>
      <c r="H79" s="239">
        <v>314953</v>
      </c>
      <c r="I79" s="239">
        <v>0</v>
      </c>
      <c r="J79" s="239">
        <v>314953</v>
      </c>
      <c r="K79" s="239">
        <v>0</v>
      </c>
      <c r="L79" s="239">
        <v>87559</v>
      </c>
      <c r="M79" s="239">
        <v>743634</v>
      </c>
      <c r="N79" s="239">
        <v>743634</v>
      </c>
      <c r="O79" s="239">
        <v>0</v>
      </c>
      <c r="P79" s="239">
        <v>90255760</v>
      </c>
      <c r="Q79" s="214" t="s">
        <v>913</v>
      </c>
      <c r="R79" s="214" t="s">
        <v>746</v>
      </c>
      <c r="S79" s="214" t="s">
        <v>854</v>
      </c>
      <c r="T79" s="214" t="s">
        <v>746</v>
      </c>
    </row>
    <row r="80" spans="1:20" x14ac:dyDescent="0.2">
      <c r="B80" s="214">
        <v>76</v>
      </c>
      <c r="C80" s="250" t="s">
        <v>243</v>
      </c>
      <c r="D80" s="250" t="s">
        <v>242</v>
      </c>
      <c r="E80" s="239">
        <v>16963089</v>
      </c>
      <c r="F80" s="239">
        <v>2233366</v>
      </c>
      <c r="G80" s="239">
        <v>0</v>
      </c>
      <c r="H80" s="239">
        <v>147507</v>
      </c>
      <c r="I80" s="239">
        <v>0</v>
      </c>
      <c r="J80" s="239">
        <v>147507</v>
      </c>
      <c r="K80" s="239">
        <v>0</v>
      </c>
      <c r="L80" s="239">
        <v>0</v>
      </c>
      <c r="M80" s="239">
        <v>154866</v>
      </c>
      <c r="N80" s="239">
        <v>154866</v>
      </c>
      <c r="O80" s="239">
        <v>0</v>
      </c>
      <c r="P80" s="239">
        <v>18894082</v>
      </c>
      <c r="Q80" s="214" t="s">
        <v>242</v>
      </c>
      <c r="R80" s="214" t="s">
        <v>856</v>
      </c>
      <c r="S80" s="214" t="s">
        <v>854</v>
      </c>
      <c r="T80" s="214" t="s">
        <v>1158</v>
      </c>
    </row>
    <row r="81" spans="1:20" x14ac:dyDescent="0.2">
      <c r="B81" s="214">
        <v>77</v>
      </c>
      <c r="C81" s="250" t="s">
        <v>245</v>
      </c>
      <c r="D81" s="250" t="s">
        <v>244</v>
      </c>
      <c r="E81" s="239">
        <v>95151867</v>
      </c>
      <c r="F81" s="239">
        <v>0</v>
      </c>
      <c r="G81" s="239">
        <v>4151881</v>
      </c>
      <c r="H81" s="239">
        <v>371344</v>
      </c>
      <c r="I81" s="239">
        <v>0</v>
      </c>
      <c r="J81" s="239">
        <v>371344</v>
      </c>
      <c r="K81" s="239">
        <v>0</v>
      </c>
      <c r="L81" s="239">
        <v>0</v>
      </c>
      <c r="M81" s="239">
        <v>196728</v>
      </c>
      <c r="N81" s="239">
        <v>196728</v>
      </c>
      <c r="O81" s="239">
        <v>0</v>
      </c>
      <c r="P81" s="239">
        <v>90431914</v>
      </c>
      <c r="Q81" s="214" t="s">
        <v>244</v>
      </c>
      <c r="R81" s="214" t="s">
        <v>766</v>
      </c>
      <c r="S81" s="214" t="s">
        <v>863</v>
      </c>
      <c r="T81" s="214" t="s">
        <v>1160</v>
      </c>
    </row>
    <row r="82" spans="1:20" x14ac:dyDescent="0.2">
      <c r="B82" s="214">
        <v>78</v>
      </c>
      <c r="C82" s="250" t="s">
        <v>247</v>
      </c>
      <c r="D82" s="250" t="s">
        <v>246</v>
      </c>
      <c r="E82" s="239">
        <v>34739811</v>
      </c>
      <c r="F82" s="239">
        <v>1302545</v>
      </c>
      <c r="G82" s="239">
        <v>0</v>
      </c>
      <c r="H82" s="239">
        <v>164215</v>
      </c>
      <c r="I82" s="239">
        <v>0</v>
      </c>
      <c r="J82" s="239">
        <v>164215</v>
      </c>
      <c r="K82" s="239">
        <v>0</v>
      </c>
      <c r="L82" s="239">
        <v>0</v>
      </c>
      <c r="M82" s="239">
        <v>61103</v>
      </c>
      <c r="N82" s="239">
        <v>61103</v>
      </c>
      <c r="O82" s="239">
        <v>0</v>
      </c>
      <c r="P82" s="239">
        <v>35817038</v>
      </c>
      <c r="Q82" s="214" t="s">
        <v>246</v>
      </c>
      <c r="R82" s="214" t="s">
        <v>824</v>
      </c>
      <c r="S82" s="214" t="s">
        <v>822</v>
      </c>
      <c r="T82" s="214" t="s">
        <v>1158</v>
      </c>
    </row>
    <row r="83" spans="1:20" x14ac:dyDescent="0.2">
      <c r="B83" s="214">
        <v>79</v>
      </c>
      <c r="C83" s="250" t="s">
        <v>249</v>
      </c>
      <c r="D83" s="250" t="s">
        <v>248</v>
      </c>
      <c r="E83" s="239">
        <v>87710960</v>
      </c>
      <c r="F83" s="239">
        <v>0</v>
      </c>
      <c r="G83" s="239">
        <v>4594177</v>
      </c>
      <c r="H83" s="239">
        <v>417732</v>
      </c>
      <c r="I83" s="239">
        <v>0</v>
      </c>
      <c r="J83" s="239">
        <v>417732</v>
      </c>
      <c r="K83" s="239">
        <v>0</v>
      </c>
      <c r="L83" s="239">
        <v>0</v>
      </c>
      <c r="M83" s="239">
        <v>0</v>
      </c>
      <c r="N83" s="239">
        <v>0</v>
      </c>
      <c r="O83" s="239">
        <v>0</v>
      </c>
      <c r="P83" s="239">
        <v>82699051</v>
      </c>
      <c r="Q83" s="214" t="s">
        <v>248</v>
      </c>
      <c r="R83" s="214" t="s">
        <v>766</v>
      </c>
      <c r="S83" s="214" t="s">
        <v>764</v>
      </c>
      <c r="T83" s="214" t="s">
        <v>1160</v>
      </c>
    </row>
    <row r="84" spans="1:20" x14ac:dyDescent="0.2">
      <c r="B84" s="214">
        <v>80</v>
      </c>
      <c r="C84" s="250" t="s">
        <v>251</v>
      </c>
      <c r="D84" s="250" t="s">
        <v>250</v>
      </c>
      <c r="E84" s="239">
        <v>106798137</v>
      </c>
      <c r="F84" s="239">
        <v>0</v>
      </c>
      <c r="G84" s="239">
        <v>4674501</v>
      </c>
      <c r="H84" s="239">
        <v>589560</v>
      </c>
      <c r="I84" s="239">
        <v>0</v>
      </c>
      <c r="J84" s="239">
        <v>589560</v>
      </c>
      <c r="K84" s="239">
        <v>0</v>
      </c>
      <c r="L84" s="239">
        <v>0</v>
      </c>
      <c r="M84" s="239">
        <v>100387</v>
      </c>
      <c r="N84" s="239">
        <v>100387</v>
      </c>
      <c r="O84" s="239">
        <v>0</v>
      </c>
      <c r="P84" s="239">
        <v>101433689</v>
      </c>
      <c r="Q84" s="214" t="s">
        <v>250</v>
      </c>
      <c r="R84" s="214" t="s">
        <v>746</v>
      </c>
      <c r="S84" s="214" t="s">
        <v>911</v>
      </c>
      <c r="T84" s="214" t="s">
        <v>746</v>
      </c>
    </row>
    <row r="85" spans="1:20" x14ac:dyDescent="0.2">
      <c r="B85" s="214">
        <v>81</v>
      </c>
      <c r="C85" s="250" t="s">
        <v>253</v>
      </c>
      <c r="D85" s="250" t="s">
        <v>252</v>
      </c>
      <c r="E85" s="239">
        <v>149635587</v>
      </c>
      <c r="F85" s="239">
        <v>5839265</v>
      </c>
      <c r="G85" s="239">
        <v>0</v>
      </c>
      <c r="H85" s="239">
        <v>495725</v>
      </c>
      <c r="I85" s="239">
        <v>0</v>
      </c>
      <c r="J85" s="239">
        <v>495725</v>
      </c>
      <c r="K85" s="239">
        <v>0</v>
      </c>
      <c r="L85" s="239">
        <v>0</v>
      </c>
      <c r="M85" s="239">
        <v>0</v>
      </c>
      <c r="N85" s="239">
        <v>0</v>
      </c>
      <c r="O85" s="239">
        <v>0</v>
      </c>
      <c r="P85" s="239">
        <v>154979127</v>
      </c>
      <c r="Q85" s="214" t="s">
        <v>252</v>
      </c>
      <c r="R85" s="214" t="s">
        <v>788</v>
      </c>
      <c r="S85" s="214" t="s">
        <v>747</v>
      </c>
      <c r="T85" s="214" t="s">
        <v>1159</v>
      </c>
    </row>
    <row r="86" spans="1:20" x14ac:dyDescent="0.2">
      <c r="B86" s="214">
        <v>82</v>
      </c>
      <c r="C86" s="250" t="s">
        <v>255</v>
      </c>
      <c r="D86" s="250" t="s">
        <v>254</v>
      </c>
      <c r="E86" s="239">
        <v>20199484</v>
      </c>
      <c r="F86" s="239">
        <v>871662</v>
      </c>
      <c r="G86" s="239">
        <v>0</v>
      </c>
      <c r="H86" s="239">
        <v>94945</v>
      </c>
      <c r="I86" s="239">
        <v>0</v>
      </c>
      <c r="J86" s="239">
        <v>94945</v>
      </c>
      <c r="K86" s="239">
        <v>0</v>
      </c>
      <c r="L86" s="239">
        <v>0</v>
      </c>
      <c r="M86" s="239">
        <v>366656</v>
      </c>
      <c r="N86" s="239">
        <v>366656</v>
      </c>
      <c r="O86" s="239">
        <v>0</v>
      </c>
      <c r="P86" s="239">
        <v>20609545</v>
      </c>
      <c r="Q86" s="214" t="s">
        <v>254</v>
      </c>
      <c r="R86" s="214" t="s">
        <v>860</v>
      </c>
      <c r="S86" s="214" t="s">
        <v>858</v>
      </c>
      <c r="T86" s="214" t="s">
        <v>1158</v>
      </c>
    </row>
    <row r="87" spans="1:20" x14ac:dyDescent="0.2">
      <c r="B87" s="214">
        <v>83</v>
      </c>
      <c r="C87" s="250" t="s">
        <v>257</v>
      </c>
      <c r="D87" s="250" t="s">
        <v>256</v>
      </c>
      <c r="E87" s="239">
        <v>32336203</v>
      </c>
      <c r="F87" s="239">
        <v>0</v>
      </c>
      <c r="G87" s="239">
        <v>88623</v>
      </c>
      <c r="H87" s="239">
        <v>228268</v>
      </c>
      <c r="I87" s="239">
        <v>0</v>
      </c>
      <c r="J87" s="239">
        <v>228268</v>
      </c>
      <c r="K87" s="239">
        <v>0</v>
      </c>
      <c r="L87" s="239">
        <v>4320</v>
      </c>
      <c r="M87" s="239">
        <v>292194</v>
      </c>
      <c r="N87" s="239">
        <v>292194</v>
      </c>
      <c r="O87" s="239">
        <v>0</v>
      </c>
      <c r="P87" s="239">
        <v>31722798</v>
      </c>
      <c r="Q87" s="214" t="s">
        <v>256</v>
      </c>
      <c r="R87" s="214" t="s">
        <v>798</v>
      </c>
      <c r="S87" s="214" t="s">
        <v>790</v>
      </c>
      <c r="T87" s="214" t="s">
        <v>1158</v>
      </c>
    </row>
    <row r="88" spans="1:20" x14ac:dyDescent="0.2">
      <c r="B88" s="214">
        <v>84</v>
      </c>
      <c r="C88" s="250" t="s">
        <v>259</v>
      </c>
      <c r="D88" s="250" t="s">
        <v>258</v>
      </c>
      <c r="E88" s="239">
        <v>21613104</v>
      </c>
      <c r="F88" s="239">
        <v>369181</v>
      </c>
      <c r="G88" s="239">
        <v>0</v>
      </c>
      <c r="H88" s="239">
        <v>108647</v>
      </c>
      <c r="I88" s="239">
        <v>0</v>
      </c>
      <c r="J88" s="239">
        <v>108647</v>
      </c>
      <c r="K88" s="239">
        <v>0</v>
      </c>
      <c r="L88" s="239">
        <v>0</v>
      </c>
      <c r="M88" s="239">
        <v>229407</v>
      </c>
      <c r="N88" s="239">
        <v>229407</v>
      </c>
      <c r="O88" s="239">
        <v>0</v>
      </c>
      <c r="P88" s="239">
        <v>21644231</v>
      </c>
      <c r="Q88" s="214" t="s">
        <v>258</v>
      </c>
      <c r="R88" s="214" t="s">
        <v>785</v>
      </c>
      <c r="S88" s="214" t="s">
        <v>783</v>
      </c>
      <c r="T88" s="214" t="s">
        <v>1158</v>
      </c>
    </row>
    <row r="89" spans="1:20" x14ac:dyDescent="0.2">
      <c r="B89" s="214">
        <v>85</v>
      </c>
      <c r="C89" s="250" t="s">
        <v>261</v>
      </c>
      <c r="D89" s="250" t="s">
        <v>260</v>
      </c>
      <c r="E89" s="239">
        <v>29037981.199999999</v>
      </c>
      <c r="F89" s="239">
        <v>1596447</v>
      </c>
      <c r="G89" s="239">
        <v>0</v>
      </c>
      <c r="H89" s="239">
        <v>155157</v>
      </c>
      <c r="I89" s="239">
        <v>0</v>
      </c>
      <c r="J89" s="239">
        <v>155157</v>
      </c>
      <c r="K89" s="239">
        <v>0</v>
      </c>
      <c r="L89" s="239">
        <v>3870</v>
      </c>
      <c r="M89" s="239">
        <v>0</v>
      </c>
      <c r="N89" s="239">
        <v>0</v>
      </c>
      <c r="O89" s="239">
        <v>0</v>
      </c>
      <c r="P89" s="239">
        <v>30475401.199999999</v>
      </c>
      <c r="Q89" s="214" t="s">
        <v>260</v>
      </c>
      <c r="R89" s="214" t="s">
        <v>777</v>
      </c>
      <c r="S89" s="214" t="s">
        <v>775</v>
      </c>
      <c r="T89" s="214" t="s">
        <v>1158</v>
      </c>
    </row>
    <row r="90" spans="1:20" x14ac:dyDescent="0.2">
      <c r="B90" s="214">
        <v>86</v>
      </c>
      <c r="C90" s="250" t="s">
        <v>263</v>
      </c>
      <c r="D90" s="250" t="s">
        <v>262</v>
      </c>
      <c r="E90" s="239">
        <v>41761119</v>
      </c>
      <c r="F90" s="239">
        <v>0</v>
      </c>
      <c r="G90" s="239">
        <v>225926</v>
      </c>
      <c r="H90" s="239">
        <v>193979</v>
      </c>
      <c r="I90" s="239">
        <v>0</v>
      </c>
      <c r="J90" s="239">
        <v>193979</v>
      </c>
      <c r="K90" s="239">
        <v>0</v>
      </c>
      <c r="L90" s="239">
        <v>0</v>
      </c>
      <c r="M90" s="239">
        <v>0</v>
      </c>
      <c r="N90" s="239">
        <v>0</v>
      </c>
      <c r="O90" s="239">
        <v>0</v>
      </c>
      <c r="P90" s="239">
        <v>41341214</v>
      </c>
      <c r="Q90" s="214" t="s">
        <v>262</v>
      </c>
      <c r="R90" s="214" t="s">
        <v>801</v>
      </c>
      <c r="S90" s="214" t="s">
        <v>761</v>
      </c>
      <c r="T90" s="214" t="s">
        <v>1158</v>
      </c>
    </row>
    <row r="91" spans="1:20" x14ac:dyDescent="0.2">
      <c r="B91" s="214">
        <v>87</v>
      </c>
      <c r="C91" s="250" t="s">
        <v>265</v>
      </c>
      <c r="D91" s="250" t="s">
        <v>264</v>
      </c>
      <c r="E91" s="239">
        <v>33712391</v>
      </c>
      <c r="F91" s="239">
        <v>567774</v>
      </c>
      <c r="G91" s="239">
        <v>0</v>
      </c>
      <c r="H91" s="239">
        <v>267225</v>
      </c>
      <c r="I91" s="239">
        <v>0</v>
      </c>
      <c r="J91" s="239">
        <v>267225</v>
      </c>
      <c r="K91" s="239">
        <v>0</v>
      </c>
      <c r="L91" s="239">
        <v>0</v>
      </c>
      <c r="M91" s="239">
        <v>739169</v>
      </c>
      <c r="N91" s="239">
        <v>675727</v>
      </c>
      <c r="O91" s="239">
        <v>63442</v>
      </c>
      <c r="P91" s="239">
        <v>33273771</v>
      </c>
      <c r="Q91" s="214" t="s">
        <v>264</v>
      </c>
      <c r="R91" s="214" t="s">
        <v>796</v>
      </c>
      <c r="S91" s="214" t="s">
        <v>761</v>
      </c>
      <c r="T91" s="214" t="s">
        <v>1158</v>
      </c>
    </row>
    <row r="92" spans="1:20" x14ac:dyDescent="0.2">
      <c r="B92" s="214">
        <v>88</v>
      </c>
      <c r="C92" s="250" t="s">
        <v>267</v>
      </c>
      <c r="D92" s="250" t="s">
        <v>266</v>
      </c>
      <c r="E92" s="239">
        <v>29300085</v>
      </c>
      <c r="F92" s="239">
        <v>0</v>
      </c>
      <c r="G92" s="239">
        <v>721055</v>
      </c>
      <c r="H92" s="239">
        <v>99517</v>
      </c>
      <c r="I92" s="239">
        <v>0</v>
      </c>
      <c r="J92" s="239">
        <v>99517</v>
      </c>
      <c r="K92" s="239">
        <v>0</v>
      </c>
      <c r="L92" s="239">
        <v>0</v>
      </c>
      <c r="M92" s="239">
        <v>453535</v>
      </c>
      <c r="N92" s="239">
        <v>453535</v>
      </c>
      <c r="O92" s="239">
        <v>0</v>
      </c>
      <c r="P92" s="239">
        <v>28025978</v>
      </c>
      <c r="Q92" s="214" t="s">
        <v>266</v>
      </c>
      <c r="R92" s="214" t="s">
        <v>803</v>
      </c>
      <c r="S92" s="214" t="s">
        <v>761</v>
      </c>
      <c r="T92" s="214" t="s">
        <v>1158</v>
      </c>
    </row>
    <row r="93" spans="1:20" x14ac:dyDescent="0.2">
      <c r="B93" s="214">
        <v>89</v>
      </c>
      <c r="C93" s="250" t="s">
        <v>269</v>
      </c>
      <c r="D93" s="250" t="s">
        <v>268</v>
      </c>
      <c r="E93" s="239">
        <v>102709007</v>
      </c>
      <c r="F93" s="239">
        <v>0</v>
      </c>
      <c r="G93" s="239">
        <v>10401806</v>
      </c>
      <c r="H93" s="239">
        <v>431637</v>
      </c>
      <c r="I93" s="239">
        <v>0</v>
      </c>
      <c r="J93" s="239">
        <v>431637</v>
      </c>
      <c r="K93" s="239">
        <v>0</v>
      </c>
      <c r="L93" s="239">
        <v>0</v>
      </c>
      <c r="M93" s="239">
        <v>4384052</v>
      </c>
      <c r="N93" s="239">
        <v>4384052</v>
      </c>
      <c r="O93" s="239">
        <v>0</v>
      </c>
      <c r="P93" s="239">
        <v>87491512</v>
      </c>
      <c r="Q93" s="214" t="s">
        <v>910</v>
      </c>
      <c r="R93" s="214" t="s">
        <v>746</v>
      </c>
      <c r="S93" s="214" t="s">
        <v>888</v>
      </c>
      <c r="T93" s="214" t="s">
        <v>746</v>
      </c>
    </row>
    <row r="94" spans="1:20" x14ac:dyDescent="0.2">
      <c r="B94" s="214">
        <v>90</v>
      </c>
      <c r="C94" s="250" t="s">
        <v>271</v>
      </c>
      <c r="D94" s="250" t="s">
        <v>270</v>
      </c>
      <c r="E94" s="239">
        <v>55639423</v>
      </c>
      <c r="F94" s="239">
        <v>0</v>
      </c>
      <c r="G94" s="239">
        <v>1319248</v>
      </c>
      <c r="H94" s="239">
        <v>175258</v>
      </c>
      <c r="I94" s="239">
        <v>0</v>
      </c>
      <c r="J94" s="239">
        <v>175258</v>
      </c>
      <c r="K94" s="239">
        <v>0</v>
      </c>
      <c r="L94" s="239">
        <v>0</v>
      </c>
      <c r="M94" s="239">
        <v>0</v>
      </c>
      <c r="N94" s="239">
        <v>0</v>
      </c>
      <c r="O94" s="239">
        <v>0</v>
      </c>
      <c r="P94" s="239">
        <v>54144917</v>
      </c>
      <c r="Q94" s="214" t="s">
        <v>270</v>
      </c>
      <c r="R94" s="214" t="s">
        <v>836</v>
      </c>
      <c r="S94" s="214" t="s">
        <v>834</v>
      </c>
      <c r="T94" s="214" t="s">
        <v>1158</v>
      </c>
    </row>
    <row r="95" spans="1:20" x14ac:dyDescent="0.2">
      <c r="B95" s="214">
        <v>91</v>
      </c>
      <c r="C95" s="250" t="s">
        <v>273</v>
      </c>
      <c r="D95" s="250" t="s">
        <v>272</v>
      </c>
      <c r="E95" s="239">
        <v>33301535</v>
      </c>
      <c r="F95" s="239">
        <v>556252</v>
      </c>
      <c r="G95" s="239">
        <v>0</v>
      </c>
      <c r="H95" s="239">
        <v>125525</v>
      </c>
      <c r="I95" s="239">
        <v>0</v>
      </c>
      <c r="J95" s="239">
        <v>125525</v>
      </c>
      <c r="K95" s="239">
        <v>0</v>
      </c>
      <c r="L95" s="239">
        <v>0</v>
      </c>
      <c r="M95" s="239">
        <v>0</v>
      </c>
      <c r="N95" s="239">
        <v>0</v>
      </c>
      <c r="O95" s="239">
        <v>0</v>
      </c>
      <c r="P95" s="239">
        <v>33732262</v>
      </c>
      <c r="Q95" s="214" t="s">
        <v>272</v>
      </c>
      <c r="R95" s="214" t="s">
        <v>807</v>
      </c>
      <c r="S95" s="214" t="s">
        <v>805</v>
      </c>
      <c r="T95" s="214" t="s">
        <v>1158</v>
      </c>
    </row>
    <row r="96" spans="1:20" x14ac:dyDescent="0.2">
      <c r="A96" s="215"/>
      <c r="B96" s="214">
        <v>92</v>
      </c>
      <c r="C96" s="250" t="s">
        <v>275</v>
      </c>
      <c r="D96" s="250" t="s">
        <v>274</v>
      </c>
      <c r="E96" s="239">
        <v>60496326</v>
      </c>
      <c r="F96" s="239">
        <v>0</v>
      </c>
      <c r="G96" s="239">
        <v>2131970</v>
      </c>
      <c r="H96" s="239">
        <v>145309</v>
      </c>
      <c r="I96" s="239">
        <v>0</v>
      </c>
      <c r="J96" s="239">
        <v>145309</v>
      </c>
      <c r="K96" s="239">
        <v>0</v>
      </c>
      <c r="L96" s="239">
        <v>0</v>
      </c>
      <c r="M96" s="239">
        <v>0</v>
      </c>
      <c r="N96" s="239">
        <v>0</v>
      </c>
      <c r="O96" s="239">
        <v>0</v>
      </c>
      <c r="P96" s="239">
        <v>58219047</v>
      </c>
      <c r="Q96" s="214" t="s">
        <v>274</v>
      </c>
      <c r="R96" s="214" t="s">
        <v>777</v>
      </c>
      <c r="S96" s="214" t="s">
        <v>775</v>
      </c>
      <c r="T96" s="214" t="s">
        <v>1158</v>
      </c>
    </row>
    <row r="97" spans="2:20" x14ac:dyDescent="0.2">
      <c r="B97" s="214">
        <v>93</v>
      </c>
      <c r="C97" s="250" t="s">
        <v>277</v>
      </c>
      <c r="D97" s="250" t="s">
        <v>276</v>
      </c>
      <c r="E97" s="239">
        <v>19761321</v>
      </c>
      <c r="F97" s="239">
        <v>295766</v>
      </c>
      <c r="G97" s="239">
        <v>0</v>
      </c>
      <c r="H97" s="239">
        <v>125987</v>
      </c>
      <c r="I97" s="239">
        <v>0</v>
      </c>
      <c r="J97" s="239">
        <v>125987</v>
      </c>
      <c r="K97" s="239">
        <v>0</v>
      </c>
      <c r="L97" s="239">
        <v>0</v>
      </c>
      <c r="M97" s="239">
        <v>0</v>
      </c>
      <c r="N97" s="239">
        <v>0</v>
      </c>
      <c r="O97" s="239">
        <v>0</v>
      </c>
      <c r="P97" s="239">
        <v>19931100</v>
      </c>
      <c r="Q97" s="214" t="s">
        <v>276</v>
      </c>
      <c r="R97" s="214" t="s">
        <v>849</v>
      </c>
      <c r="S97" s="214" t="s">
        <v>761</v>
      </c>
      <c r="T97" s="214" t="s">
        <v>1158</v>
      </c>
    </row>
    <row r="98" spans="2:20" x14ac:dyDescent="0.2">
      <c r="B98" s="214">
        <v>94</v>
      </c>
      <c r="C98" s="250" t="s">
        <v>279</v>
      </c>
      <c r="D98" s="250" t="s">
        <v>278</v>
      </c>
      <c r="E98" s="239">
        <v>57491168</v>
      </c>
      <c r="F98" s="239">
        <v>4491597</v>
      </c>
      <c r="G98" s="239">
        <v>0</v>
      </c>
      <c r="H98" s="239">
        <v>183674</v>
      </c>
      <c r="I98" s="239">
        <v>0</v>
      </c>
      <c r="J98" s="239">
        <v>183674</v>
      </c>
      <c r="K98" s="239">
        <v>0</v>
      </c>
      <c r="L98" s="239">
        <v>0</v>
      </c>
      <c r="M98" s="239">
        <v>22549</v>
      </c>
      <c r="N98" s="239">
        <v>22549</v>
      </c>
      <c r="O98" s="239">
        <v>0</v>
      </c>
      <c r="P98" s="239">
        <v>61776542</v>
      </c>
      <c r="Q98" s="214" t="s">
        <v>278</v>
      </c>
      <c r="R98" s="214" t="s">
        <v>770</v>
      </c>
      <c r="S98" s="214" t="s">
        <v>761</v>
      </c>
      <c r="T98" s="214" t="s">
        <v>1158</v>
      </c>
    </row>
    <row r="99" spans="2:20" x14ac:dyDescent="0.2">
      <c r="B99" s="214">
        <v>95</v>
      </c>
      <c r="C99" s="250" t="s">
        <v>281</v>
      </c>
      <c r="D99" s="250" t="s">
        <v>280</v>
      </c>
      <c r="E99" s="239">
        <v>106183328</v>
      </c>
      <c r="F99" s="239">
        <v>0</v>
      </c>
      <c r="G99" s="239">
        <v>1657910</v>
      </c>
      <c r="H99" s="239">
        <v>339782</v>
      </c>
      <c r="I99" s="239">
        <v>0</v>
      </c>
      <c r="J99" s="239">
        <v>339782</v>
      </c>
      <c r="K99" s="239">
        <v>0</v>
      </c>
      <c r="L99" s="239">
        <v>0</v>
      </c>
      <c r="M99" s="239">
        <v>0</v>
      </c>
      <c r="N99" s="239">
        <v>0</v>
      </c>
      <c r="O99" s="239">
        <v>0</v>
      </c>
      <c r="P99" s="239">
        <v>104185636</v>
      </c>
      <c r="Q99" s="214" t="s">
        <v>280</v>
      </c>
      <c r="R99" s="214" t="s">
        <v>788</v>
      </c>
      <c r="S99" s="214" t="s">
        <v>747</v>
      </c>
      <c r="T99" s="214" t="s">
        <v>1159</v>
      </c>
    </row>
    <row r="100" spans="2:20" x14ac:dyDescent="0.2">
      <c r="B100" s="214">
        <v>96</v>
      </c>
      <c r="C100" s="250" t="s">
        <v>283</v>
      </c>
      <c r="D100" s="250" t="s">
        <v>282</v>
      </c>
      <c r="E100" s="239">
        <v>34615279</v>
      </c>
      <c r="F100" s="239">
        <v>884144</v>
      </c>
      <c r="G100" s="239">
        <v>0</v>
      </c>
      <c r="H100" s="239">
        <v>172654</v>
      </c>
      <c r="I100" s="239">
        <v>0</v>
      </c>
      <c r="J100" s="239">
        <v>172654</v>
      </c>
      <c r="K100" s="239">
        <v>0</v>
      </c>
      <c r="L100" s="239">
        <v>0</v>
      </c>
      <c r="M100" s="239">
        <v>0</v>
      </c>
      <c r="N100" s="239">
        <v>0</v>
      </c>
      <c r="O100" s="239">
        <v>0</v>
      </c>
      <c r="P100" s="239">
        <v>35326769</v>
      </c>
      <c r="Q100" s="214" t="s">
        <v>282</v>
      </c>
      <c r="R100" s="214" t="s">
        <v>820</v>
      </c>
      <c r="S100" s="214" t="s">
        <v>818</v>
      </c>
      <c r="T100" s="214" t="s">
        <v>1158</v>
      </c>
    </row>
    <row r="101" spans="2:20" x14ac:dyDescent="0.2">
      <c r="B101" s="214">
        <v>97</v>
      </c>
      <c r="C101" s="250" t="s">
        <v>285</v>
      </c>
      <c r="D101" s="250" t="s">
        <v>284</v>
      </c>
      <c r="E101" s="239">
        <v>20364197</v>
      </c>
      <c r="F101" s="239">
        <v>97314</v>
      </c>
      <c r="G101" s="239">
        <v>0</v>
      </c>
      <c r="H101" s="239">
        <v>83437</v>
      </c>
      <c r="I101" s="239">
        <v>0</v>
      </c>
      <c r="J101" s="239">
        <v>83437</v>
      </c>
      <c r="K101" s="239">
        <v>0</v>
      </c>
      <c r="L101" s="239">
        <v>0</v>
      </c>
      <c r="M101" s="239">
        <v>0</v>
      </c>
      <c r="N101" s="239">
        <v>0</v>
      </c>
      <c r="O101" s="239">
        <v>0</v>
      </c>
      <c r="P101" s="239">
        <v>20378074</v>
      </c>
      <c r="Q101" s="214" t="s">
        <v>284</v>
      </c>
      <c r="R101" s="214" t="s">
        <v>770</v>
      </c>
      <c r="S101" s="214" t="s">
        <v>761</v>
      </c>
      <c r="T101" s="214" t="s">
        <v>1158</v>
      </c>
    </row>
    <row r="102" spans="2:20" x14ac:dyDescent="0.2">
      <c r="B102" s="214">
        <v>98</v>
      </c>
      <c r="C102" s="250" t="s">
        <v>287</v>
      </c>
      <c r="D102" s="250" t="s">
        <v>286</v>
      </c>
      <c r="E102" s="239">
        <v>22375738</v>
      </c>
      <c r="F102" s="239">
        <v>0</v>
      </c>
      <c r="G102" s="239">
        <v>99909</v>
      </c>
      <c r="H102" s="239">
        <v>134458</v>
      </c>
      <c r="I102" s="239">
        <v>0</v>
      </c>
      <c r="J102" s="239">
        <v>134458</v>
      </c>
      <c r="K102" s="239">
        <v>0</v>
      </c>
      <c r="L102" s="239">
        <v>0</v>
      </c>
      <c r="M102" s="239">
        <v>0</v>
      </c>
      <c r="N102" s="239">
        <v>0</v>
      </c>
      <c r="O102" s="239">
        <v>0</v>
      </c>
      <c r="P102" s="239">
        <v>22141371</v>
      </c>
      <c r="Q102" s="214" t="s">
        <v>286</v>
      </c>
      <c r="R102" s="214" t="s">
        <v>856</v>
      </c>
      <c r="S102" s="214" t="s">
        <v>854</v>
      </c>
      <c r="T102" s="214" t="s">
        <v>1158</v>
      </c>
    </row>
    <row r="103" spans="2:20" x14ac:dyDescent="0.2">
      <c r="B103" s="214">
        <v>99</v>
      </c>
      <c r="C103" s="250" t="s">
        <v>289</v>
      </c>
      <c r="D103" s="250" t="s">
        <v>288</v>
      </c>
      <c r="E103" s="239">
        <v>75121332</v>
      </c>
      <c r="F103" s="239">
        <v>0</v>
      </c>
      <c r="G103" s="239">
        <v>4960872</v>
      </c>
      <c r="H103" s="239">
        <v>215774</v>
      </c>
      <c r="I103" s="239">
        <v>0</v>
      </c>
      <c r="J103" s="239">
        <v>215774</v>
      </c>
      <c r="K103" s="239">
        <v>0</v>
      </c>
      <c r="L103" s="239">
        <v>0</v>
      </c>
      <c r="M103" s="239">
        <v>0</v>
      </c>
      <c r="N103" s="239">
        <v>0</v>
      </c>
      <c r="O103" s="239">
        <v>0</v>
      </c>
      <c r="P103" s="239">
        <v>69944686</v>
      </c>
      <c r="Q103" s="214" t="s">
        <v>288</v>
      </c>
      <c r="R103" s="214" t="s">
        <v>798</v>
      </c>
      <c r="S103" s="214" t="s">
        <v>790</v>
      </c>
      <c r="T103" s="214" t="s">
        <v>1158</v>
      </c>
    </row>
    <row r="104" spans="2:20" x14ac:dyDescent="0.2">
      <c r="B104" s="214">
        <v>100</v>
      </c>
      <c r="C104" s="250" t="s">
        <v>291</v>
      </c>
      <c r="D104" s="250" t="s">
        <v>290</v>
      </c>
      <c r="E104" s="239">
        <v>41749198</v>
      </c>
      <c r="F104" s="239">
        <v>0</v>
      </c>
      <c r="G104" s="239">
        <v>1730871</v>
      </c>
      <c r="H104" s="239">
        <v>138082</v>
      </c>
      <c r="I104" s="239">
        <v>0</v>
      </c>
      <c r="J104" s="239">
        <v>138082</v>
      </c>
      <c r="K104" s="239">
        <v>0</v>
      </c>
      <c r="L104" s="239">
        <v>41572</v>
      </c>
      <c r="M104" s="239">
        <v>79829</v>
      </c>
      <c r="N104" s="239">
        <v>79829</v>
      </c>
      <c r="O104" s="239">
        <v>0</v>
      </c>
      <c r="P104" s="239">
        <v>39758844</v>
      </c>
      <c r="Q104" s="214" t="s">
        <v>290</v>
      </c>
      <c r="R104" s="214" t="s">
        <v>777</v>
      </c>
      <c r="S104" s="214" t="s">
        <v>775</v>
      </c>
      <c r="T104" s="214" t="s">
        <v>1158</v>
      </c>
    </row>
    <row r="105" spans="2:20" x14ac:dyDescent="0.2">
      <c r="B105" s="214">
        <v>101</v>
      </c>
      <c r="C105" s="250" t="s">
        <v>293</v>
      </c>
      <c r="D105" s="250" t="s">
        <v>292</v>
      </c>
      <c r="E105" s="239">
        <v>25712148</v>
      </c>
      <c r="F105" s="239">
        <v>0</v>
      </c>
      <c r="G105" s="239">
        <v>481301</v>
      </c>
      <c r="H105" s="239">
        <v>124366</v>
      </c>
      <c r="I105" s="239">
        <v>0</v>
      </c>
      <c r="J105" s="239">
        <v>124366</v>
      </c>
      <c r="K105" s="239">
        <v>0</v>
      </c>
      <c r="L105" s="239">
        <v>0</v>
      </c>
      <c r="M105" s="239">
        <v>222929</v>
      </c>
      <c r="N105" s="239">
        <v>222929</v>
      </c>
      <c r="O105" s="239">
        <v>0</v>
      </c>
      <c r="P105" s="239">
        <v>24883552</v>
      </c>
      <c r="Q105" s="214" t="s">
        <v>292</v>
      </c>
      <c r="R105" s="214" t="s">
        <v>860</v>
      </c>
      <c r="S105" s="214" t="s">
        <v>858</v>
      </c>
      <c r="T105" s="214" t="s">
        <v>1158</v>
      </c>
    </row>
    <row r="106" spans="2:20" x14ac:dyDescent="0.2">
      <c r="B106" s="214">
        <v>102</v>
      </c>
      <c r="C106" s="250" t="s">
        <v>295</v>
      </c>
      <c r="D106" s="250" t="s">
        <v>294</v>
      </c>
      <c r="E106" s="239">
        <v>23035968</v>
      </c>
      <c r="F106" s="239">
        <v>732322</v>
      </c>
      <c r="G106" s="239">
        <v>0</v>
      </c>
      <c r="H106" s="239">
        <v>90908</v>
      </c>
      <c r="I106" s="239">
        <v>0</v>
      </c>
      <c r="J106" s="239">
        <v>90908</v>
      </c>
      <c r="K106" s="239">
        <v>0</v>
      </c>
      <c r="L106" s="239">
        <v>0</v>
      </c>
      <c r="M106" s="239">
        <v>90988</v>
      </c>
      <c r="N106" s="239">
        <v>90988</v>
      </c>
      <c r="O106" s="239">
        <v>0</v>
      </c>
      <c r="P106" s="239">
        <v>23586394</v>
      </c>
      <c r="Q106" s="214" t="s">
        <v>294</v>
      </c>
      <c r="R106" s="214" t="s">
        <v>809</v>
      </c>
      <c r="S106" s="214" t="s">
        <v>761</v>
      </c>
      <c r="T106" s="214" t="s">
        <v>1158</v>
      </c>
    </row>
    <row r="107" spans="2:20" x14ac:dyDescent="0.2">
      <c r="B107" s="214">
        <v>103</v>
      </c>
      <c r="C107" s="250" t="s">
        <v>297</v>
      </c>
      <c r="D107" s="250" t="s">
        <v>296</v>
      </c>
      <c r="E107" s="239">
        <v>11759002</v>
      </c>
      <c r="F107" s="239">
        <v>752674</v>
      </c>
      <c r="G107" s="239">
        <v>0</v>
      </c>
      <c r="H107" s="239">
        <v>119111</v>
      </c>
      <c r="I107" s="239">
        <v>0</v>
      </c>
      <c r="J107" s="239">
        <v>119111</v>
      </c>
      <c r="K107" s="239">
        <v>0</v>
      </c>
      <c r="L107" s="239">
        <v>0</v>
      </c>
      <c r="M107" s="239">
        <v>146405</v>
      </c>
      <c r="N107" s="239">
        <v>146405</v>
      </c>
      <c r="O107" s="239">
        <v>0</v>
      </c>
      <c r="P107" s="239">
        <v>12246160</v>
      </c>
      <c r="Q107" s="214" t="s">
        <v>296</v>
      </c>
      <c r="R107" s="214" t="s">
        <v>829</v>
      </c>
      <c r="S107" s="214" t="s">
        <v>761</v>
      </c>
      <c r="T107" s="214" t="s">
        <v>1158</v>
      </c>
    </row>
    <row r="108" spans="2:20" x14ac:dyDescent="0.2">
      <c r="B108" s="214">
        <v>104</v>
      </c>
      <c r="C108" s="250" t="s">
        <v>299</v>
      </c>
      <c r="D108" s="250" t="s">
        <v>298</v>
      </c>
      <c r="E108" s="239">
        <v>25079340</v>
      </c>
      <c r="F108" s="239">
        <v>0</v>
      </c>
      <c r="G108" s="239">
        <v>585513</v>
      </c>
      <c r="H108" s="239">
        <v>112715</v>
      </c>
      <c r="I108" s="239">
        <v>0</v>
      </c>
      <c r="J108" s="239">
        <v>112715</v>
      </c>
      <c r="K108" s="239">
        <v>0</v>
      </c>
      <c r="L108" s="239">
        <v>40693</v>
      </c>
      <c r="M108" s="239">
        <v>103456</v>
      </c>
      <c r="N108" s="239">
        <v>93400</v>
      </c>
      <c r="O108" s="239">
        <v>10056</v>
      </c>
      <c r="P108" s="239">
        <v>24236963</v>
      </c>
      <c r="Q108" s="214" t="s">
        <v>298</v>
      </c>
      <c r="R108" s="214" t="s">
        <v>755</v>
      </c>
      <c r="S108" s="214" t="s">
        <v>753</v>
      </c>
      <c r="T108" s="214" t="s">
        <v>1158</v>
      </c>
    </row>
    <row r="109" spans="2:20" x14ac:dyDescent="0.2">
      <c r="B109" s="214">
        <v>105</v>
      </c>
      <c r="C109" s="250" t="s">
        <v>301</v>
      </c>
      <c r="D109" s="250" t="s">
        <v>300</v>
      </c>
      <c r="E109" s="239">
        <v>85843945</v>
      </c>
      <c r="F109" s="239">
        <v>0</v>
      </c>
      <c r="G109" s="239">
        <v>3834882</v>
      </c>
      <c r="H109" s="239">
        <v>285107</v>
      </c>
      <c r="I109" s="239">
        <v>0</v>
      </c>
      <c r="J109" s="239">
        <v>285107</v>
      </c>
      <c r="K109" s="239">
        <v>0</v>
      </c>
      <c r="L109" s="239">
        <v>483062</v>
      </c>
      <c r="M109" s="239">
        <v>0</v>
      </c>
      <c r="N109" s="239">
        <v>0</v>
      </c>
      <c r="O109" s="239">
        <v>0</v>
      </c>
      <c r="P109" s="239">
        <v>81240894</v>
      </c>
      <c r="Q109" s="214" t="s">
        <v>300</v>
      </c>
      <c r="R109" s="214" t="s">
        <v>766</v>
      </c>
      <c r="S109" s="214" t="s">
        <v>839</v>
      </c>
      <c r="T109" s="214" t="s">
        <v>1160</v>
      </c>
    </row>
    <row r="110" spans="2:20" x14ac:dyDescent="0.2">
      <c r="B110" s="214">
        <v>106</v>
      </c>
      <c r="C110" s="250" t="s">
        <v>303</v>
      </c>
      <c r="D110" s="250" t="s">
        <v>302</v>
      </c>
      <c r="E110" s="239">
        <v>21973533.329999998</v>
      </c>
      <c r="F110" s="239">
        <v>481864</v>
      </c>
      <c r="G110" s="239">
        <v>0</v>
      </c>
      <c r="H110" s="239">
        <v>100864</v>
      </c>
      <c r="I110" s="239">
        <v>0</v>
      </c>
      <c r="J110" s="239">
        <v>100864</v>
      </c>
      <c r="K110" s="239">
        <v>0</v>
      </c>
      <c r="L110" s="239">
        <v>0</v>
      </c>
      <c r="M110" s="239">
        <v>122005</v>
      </c>
      <c r="N110" s="239">
        <v>122005</v>
      </c>
      <c r="O110" s="239">
        <v>0</v>
      </c>
      <c r="P110" s="239">
        <v>22232528.329999998</v>
      </c>
      <c r="Q110" s="214" t="s">
        <v>302</v>
      </c>
      <c r="R110" s="214" t="s">
        <v>872</v>
      </c>
      <c r="S110" s="214" t="s">
        <v>870</v>
      </c>
      <c r="T110" s="214" t="s">
        <v>1158</v>
      </c>
    </row>
    <row r="111" spans="2:20" x14ac:dyDescent="0.2">
      <c r="B111" s="214">
        <v>107</v>
      </c>
      <c r="C111" s="250" t="s">
        <v>305</v>
      </c>
      <c r="D111" s="250" t="s">
        <v>304</v>
      </c>
      <c r="E111" s="239">
        <v>53618839</v>
      </c>
      <c r="F111" s="239">
        <v>0</v>
      </c>
      <c r="G111" s="239">
        <v>2129963</v>
      </c>
      <c r="H111" s="239">
        <v>174575</v>
      </c>
      <c r="I111" s="239">
        <v>0</v>
      </c>
      <c r="J111" s="239">
        <v>174575</v>
      </c>
      <c r="K111" s="239">
        <v>0</v>
      </c>
      <c r="L111" s="239">
        <v>0</v>
      </c>
      <c r="M111" s="239">
        <v>0</v>
      </c>
      <c r="N111" s="239">
        <v>0</v>
      </c>
      <c r="O111" s="239">
        <v>0</v>
      </c>
      <c r="P111" s="239">
        <v>51314301</v>
      </c>
      <c r="Q111" s="214" t="s">
        <v>304</v>
      </c>
      <c r="R111" s="214" t="s">
        <v>829</v>
      </c>
      <c r="S111" s="214" t="s">
        <v>761</v>
      </c>
      <c r="T111" s="214" t="s">
        <v>1158</v>
      </c>
    </row>
    <row r="112" spans="2:20" x14ac:dyDescent="0.2">
      <c r="B112" s="214">
        <v>108</v>
      </c>
      <c r="C112" s="250" t="s">
        <v>307</v>
      </c>
      <c r="D112" s="250" t="s">
        <v>306</v>
      </c>
      <c r="E112" s="239">
        <v>16156773</v>
      </c>
      <c r="F112" s="239">
        <v>0</v>
      </c>
      <c r="G112" s="239">
        <v>233930</v>
      </c>
      <c r="H112" s="239">
        <v>78069</v>
      </c>
      <c r="I112" s="239">
        <v>0</v>
      </c>
      <c r="J112" s="239">
        <v>78069</v>
      </c>
      <c r="K112" s="239">
        <v>0</v>
      </c>
      <c r="L112" s="239">
        <v>0</v>
      </c>
      <c r="M112" s="239">
        <v>0</v>
      </c>
      <c r="N112" s="239">
        <v>0</v>
      </c>
      <c r="O112" s="239">
        <v>0</v>
      </c>
      <c r="P112" s="239">
        <v>15844774</v>
      </c>
      <c r="Q112" s="214" t="s">
        <v>306</v>
      </c>
      <c r="R112" s="214" t="s">
        <v>777</v>
      </c>
      <c r="S112" s="214" t="s">
        <v>775</v>
      </c>
      <c r="T112" s="214" t="s">
        <v>1158</v>
      </c>
    </row>
    <row r="113" spans="1:20" x14ac:dyDescent="0.2">
      <c r="B113" s="214">
        <v>109</v>
      </c>
      <c r="C113" s="250" t="s">
        <v>309</v>
      </c>
      <c r="D113" s="250" t="s">
        <v>308</v>
      </c>
      <c r="E113" s="239">
        <v>23664102</v>
      </c>
      <c r="F113" s="239">
        <v>0</v>
      </c>
      <c r="G113" s="239">
        <v>143579</v>
      </c>
      <c r="H113" s="239">
        <v>94419</v>
      </c>
      <c r="I113" s="239">
        <v>0</v>
      </c>
      <c r="J113" s="239">
        <v>94419</v>
      </c>
      <c r="K113" s="239">
        <v>0</v>
      </c>
      <c r="L113" s="239">
        <v>0</v>
      </c>
      <c r="M113" s="239">
        <v>0</v>
      </c>
      <c r="N113" s="239">
        <v>0</v>
      </c>
      <c r="O113" s="239">
        <v>0</v>
      </c>
      <c r="P113" s="239">
        <v>23426104</v>
      </c>
      <c r="Q113" s="214" t="s">
        <v>308</v>
      </c>
      <c r="R113" s="214" t="s">
        <v>824</v>
      </c>
      <c r="S113" s="214" t="s">
        <v>822</v>
      </c>
      <c r="T113" s="214" t="s">
        <v>1158</v>
      </c>
    </row>
    <row r="114" spans="1:20" x14ac:dyDescent="0.2">
      <c r="A114" s="215"/>
      <c r="B114" s="214">
        <v>110</v>
      </c>
      <c r="C114" s="250" t="s">
        <v>311</v>
      </c>
      <c r="D114" s="250" t="s">
        <v>310</v>
      </c>
      <c r="E114" s="239">
        <v>28020462</v>
      </c>
      <c r="F114" s="239">
        <v>0</v>
      </c>
      <c r="G114" s="239">
        <v>1330768</v>
      </c>
      <c r="H114" s="239">
        <v>179649</v>
      </c>
      <c r="I114" s="239">
        <v>0</v>
      </c>
      <c r="J114" s="239">
        <v>179649</v>
      </c>
      <c r="K114" s="239">
        <v>0</v>
      </c>
      <c r="L114" s="239">
        <v>373528</v>
      </c>
      <c r="M114" s="239">
        <v>72951</v>
      </c>
      <c r="N114" s="239">
        <v>72951</v>
      </c>
      <c r="O114" s="239">
        <v>0</v>
      </c>
      <c r="P114" s="239">
        <v>26063566</v>
      </c>
      <c r="Q114" s="214" t="s">
        <v>310</v>
      </c>
      <c r="R114" s="214" t="s">
        <v>847</v>
      </c>
      <c r="S114" s="214" t="s">
        <v>761</v>
      </c>
      <c r="T114" s="214" t="s">
        <v>1158</v>
      </c>
    </row>
    <row r="115" spans="1:20" x14ac:dyDescent="0.2">
      <c r="B115" s="214">
        <v>111</v>
      </c>
      <c r="C115" s="250" t="s">
        <v>313</v>
      </c>
      <c r="D115" s="250" t="s">
        <v>312</v>
      </c>
      <c r="E115" s="239">
        <v>78470245</v>
      </c>
      <c r="F115" s="239">
        <v>5013038</v>
      </c>
      <c r="G115" s="239">
        <v>0</v>
      </c>
      <c r="H115" s="239">
        <v>290353</v>
      </c>
      <c r="I115" s="239">
        <v>0</v>
      </c>
      <c r="J115" s="239">
        <v>290353</v>
      </c>
      <c r="K115" s="239">
        <v>0</v>
      </c>
      <c r="L115" s="239">
        <v>0</v>
      </c>
      <c r="M115" s="239">
        <v>0</v>
      </c>
      <c r="N115" s="239">
        <v>0</v>
      </c>
      <c r="O115" s="239">
        <v>0</v>
      </c>
      <c r="P115" s="239">
        <v>83192930</v>
      </c>
      <c r="Q115" s="214" t="s">
        <v>312</v>
      </c>
      <c r="R115" s="214" t="s">
        <v>788</v>
      </c>
      <c r="S115" s="214" t="s">
        <v>747</v>
      </c>
      <c r="T115" s="214" t="s">
        <v>1161</v>
      </c>
    </row>
    <row r="116" spans="1:20" x14ac:dyDescent="0.2">
      <c r="B116" s="214">
        <v>112</v>
      </c>
      <c r="C116" s="250" t="s">
        <v>315</v>
      </c>
      <c r="D116" s="250" t="s">
        <v>314</v>
      </c>
      <c r="E116" s="239">
        <v>75740776</v>
      </c>
      <c r="F116" s="239">
        <v>1657606</v>
      </c>
      <c r="G116" s="239">
        <v>0</v>
      </c>
      <c r="H116" s="239">
        <v>231721</v>
      </c>
      <c r="I116" s="239">
        <v>0</v>
      </c>
      <c r="J116" s="239">
        <v>231721</v>
      </c>
      <c r="K116" s="239">
        <v>0</v>
      </c>
      <c r="L116" s="239">
        <v>0</v>
      </c>
      <c r="M116" s="239">
        <v>0</v>
      </c>
      <c r="N116" s="239">
        <v>0</v>
      </c>
      <c r="O116" s="239">
        <v>0</v>
      </c>
      <c r="P116" s="239">
        <v>77166661</v>
      </c>
      <c r="Q116" s="214" t="s">
        <v>314</v>
      </c>
      <c r="R116" s="214" t="s">
        <v>770</v>
      </c>
      <c r="S116" s="214" t="s">
        <v>761</v>
      </c>
      <c r="T116" s="214" t="s">
        <v>1158</v>
      </c>
    </row>
    <row r="117" spans="1:20" x14ac:dyDescent="0.2">
      <c r="B117" s="214">
        <v>113</v>
      </c>
      <c r="C117" s="250" t="s">
        <v>317</v>
      </c>
      <c r="D117" s="250" t="s">
        <v>316</v>
      </c>
      <c r="E117" s="239">
        <v>97147630.939999998</v>
      </c>
      <c r="F117" s="239">
        <v>26658777</v>
      </c>
      <c r="G117" s="239">
        <v>0</v>
      </c>
      <c r="H117" s="239">
        <v>534739</v>
      </c>
      <c r="I117" s="239">
        <v>0</v>
      </c>
      <c r="J117" s="239">
        <v>534739</v>
      </c>
      <c r="K117" s="239">
        <v>0</v>
      </c>
      <c r="L117" s="239">
        <v>0</v>
      </c>
      <c r="M117" s="239">
        <v>0</v>
      </c>
      <c r="N117" s="239">
        <v>0</v>
      </c>
      <c r="O117" s="239">
        <v>0</v>
      </c>
      <c r="P117" s="239">
        <v>123271668.94</v>
      </c>
      <c r="Q117" s="214" t="s">
        <v>316</v>
      </c>
      <c r="R117" s="214" t="s">
        <v>788</v>
      </c>
      <c r="S117" s="214" t="s">
        <v>747</v>
      </c>
      <c r="T117" s="214" t="s">
        <v>1161</v>
      </c>
    </row>
    <row r="118" spans="1:20" x14ac:dyDescent="0.2">
      <c r="B118" s="214">
        <v>114</v>
      </c>
      <c r="C118" s="250" t="s">
        <v>319</v>
      </c>
      <c r="D118" s="250" t="s">
        <v>318</v>
      </c>
      <c r="E118" s="239">
        <v>55364830</v>
      </c>
      <c r="F118" s="239">
        <v>0</v>
      </c>
      <c r="G118" s="239">
        <v>5896956</v>
      </c>
      <c r="H118" s="239">
        <v>157675</v>
      </c>
      <c r="I118" s="239">
        <v>0</v>
      </c>
      <c r="J118" s="239">
        <v>157675</v>
      </c>
      <c r="K118" s="239">
        <v>0</v>
      </c>
      <c r="L118" s="239">
        <v>0</v>
      </c>
      <c r="M118" s="239">
        <v>0</v>
      </c>
      <c r="N118" s="239">
        <v>0</v>
      </c>
      <c r="O118" s="239">
        <v>0</v>
      </c>
      <c r="P118" s="239">
        <v>49310199</v>
      </c>
      <c r="Q118" s="214" t="s">
        <v>909</v>
      </c>
      <c r="R118" s="214" t="s">
        <v>746</v>
      </c>
      <c r="S118" s="214" t="s">
        <v>813</v>
      </c>
      <c r="T118" s="214" t="s">
        <v>746</v>
      </c>
    </row>
    <row r="119" spans="1:20" x14ac:dyDescent="0.2">
      <c r="B119" s="214">
        <v>115</v>
      </c>
      <c r="C119" s="250" t="s">
        <v>321</v>
      </c>
      <c r="D119" s="250" t="s">
        <v>320</v>
      </c>
      <c r="E119" s="239">
        <v>27292444</v>
      </c>
      <c r="F119" s="239">
        <v>152889</v>
      </c>
      <c r="G119" s="239">
        <v>0</v>
      </c>
      <c r="H119" s="239">
        <v>154954</v>
      </c>
      <c r="I119" s="239">
        <v>0</v>
      </c>
      <c r="J119" s="239">
        <v>154954</v>
      </c>
      <c r="K119" s="239">
        <v>0</v>
      </c>
      <c r="L119" s="239">
        <v>0</v>
      </c>
      <c r="M119" s="239">
        <v>43431</v>
      </c>
      <c r="N119" s="239">
        <v>43431</v>
      </c>
      <c r="O119" s="239">
        <v>0</v>
      </c>
      <c r="P119" s="239">
        <v>27246948</v>
      </c>
      <c r="Q119" s="214" t="s">
        <v>320</v>
      </c>
      <c r="R119" s="214" t="s">
        <v>865</v>
      </c>
      <c r="S119" s="214" t="s">
        <v>744</v>
      </c>
      <c r="T119" s="214" t="s">
        <v>1158</v>
      </c>
    </row>
    <row r="120" spans="1:20" x14ac:dyDescent="0.2">
      <c r="B120" s="214">
        <v>116</v>
      </c>
      <c r="C120" s="250" t="s">
        <v>323</v>
      </c>
      <c r="D120" s="250" t="s">
        <v>322</v>
      </c>
      <c r="E120" s="239">
        <v>191369521</v>
      </c>
      <c r="F120" s="239">
        <v>23821594</v>
      </c>
      <c r="G120" s="239">
        <v>0</v>
      </c>
      <c r="H120" s="239">
        <v>584390</v>
      </c>
      <c r="I120" s="239">
        <v>0</v>
      </c>
      <c r="J120" s="239">
        <v>584390</v>
      </c>
      <c r="K120" s="239">
        <v>0</v>
      </c>
      <c r="L120" s="239">
        <v>0</v>
      </c>
      <c r="M120" s="239">
        <v>0</v>
      </c>
      <c r="N120" s="239">
        <v>0</v>
      </c>
      <c r="O120" s="239">
        <v>0</v>
      </c>
      <c r="P120" s="239">
        <v>214606725</v>
      </c>
      <c r="Q120" s="214" t="s">
        <v>908</v>
      </c>
      <c r="R120" s="214" t="s">
        <v>788</v>
      </c>
      <c r="S120" s="214" t="s">
        <v>747</v>
      </c>
      <c r="T120" s="214" t="s">
        <v>1161</v>
      </c>
    </row>
    <row r="121" spans="1:20" x14ac:dyDescent="0.2">
      <c r="B121" s="214">
        <v>117</v>
      </c>
      <c r="C121" s="250" t="s">
        <v>325</v>
      </c>
      <c r="D121" s="250" t="s">
        <v>324</v>
      </c>
      <c r="E121" s="239">
        <v>35490988</v>
      </c>
      <c r="F121" s="239">
        <v>1894818</v>
      </c>
      <c r="G121" s="239">
        <v>0</v>
      </c>
      <c r="H121" s="239">
        <v>127153</v>
      </c>
      <c r="I121" s="239">
        <v>0</v>
      </c>
      <c r="J121" s="239">
        <v>127153</v>
      </c>
      <c r="K121" s="239">
        <v>0</v>
      </c>
      <c r="L121" s="239">
        <v>0</v>
      </c>
      <c r="M121" s="239">
        <v>-652</v>
      </c>
      <c r="N121" s="239">
        <v>-652</v>
      </c>
      <c r="O121" s="239">
        <v>0</v>
      </c>
      <c r="P121" s="239">
        <v>37259305</v>
      </c>
      <c r="Q121" s="214" t="s">
        <v>324</v>
      </c>
      <c r="R121" s="214" t="s">
        <v>882</v>
      </c>
      <c r="S121" s="214" t="s">
        <v>867</v>
      </c>
      <c r="T121" s="214" t="s">
        <v>1158</v>
      </c>
    </row>
    <row r="122" spans="1:20" x14ac:dyDescent="0.2">
      <c r="B122" s="214">
        <v>118</v>
      </c>
      <c r="C122" s="250" t="s">
        <v>327</v>
      </c>
      <c r="D122" s="250" t="s">
        <v>326</v>
      </c>
      <c r="E122" s="239">
        <v>63925470</v>
      </c>
      <c r="F122" s="239">
        <v>6541305</v>
      </c>
      <c r="G122" s="239">
        <v>0</v>
      </c>
      <c r="H122" s="239">
        <v>309182</v>
      </c>
      <c r="I122" s="239">
        <v>0</v>
      </c>
      <c r="J122" s="239">
        <v>309182</v>
      </c>
      <c r="K122" s="239">
        <v>0</v>
      </c>
      <c r="L122" s="239">
        <v>0</v>
      </c>
      <c r="M122" s="239">
        <v>0</v>
      </c>
      <c r="N122" s="239">
        <v>0</v>
      </c>
      <c r="O122" s="239">
        <v>0</v>
      </c>
      <c r="P122" s="239">
        <v>70157593</v>
      </c>
      <c r="Q122" s="214" t="s">
        <v>326</v>
      </c>
      <c r="R122" s="214" t="s">
        <v>788</v>
      </c>
      <c r="S122" s="214" t="s">
        <v>747</v>
      </c>
      <c r="T122" s="214" t="s">
        <v>1159</v>
      </c>
    </row>
    <row r="123" spans="1:20" x14ac:dyDescent="0.2">
      <c r="B123" s="214">
        <v>119</v>
      </c>
      <c r="C123" s="250" t="s">
        <v>329</v>
      </c>
      <c r="D123" s="250" t="s">
        <v>328</v>
      </c>
      <c r="E123" s="239">
        <v>47192691</v>
      </c>
      <c r="F123" s="239">
        <v>0</v>
      </c>
      <c r="G123" s="239">
        <v>1201887</v>
      </c>
      <c r="H123" s="239">
        <v>117691</v>
      </c>
      <c r="I123" s="239">
        <v>0</v>
      </c>
      <c r="J123" s="239">
        <v>117691</v>
      </c>
      <c r="K123" s="239">
        <v>0</v>
      </c>
      <c r="L123" s="239">
        <v>1773820</v>
      </c>
      <c r="M123" s="239">
        <v>0</v>
      </c>
      <c r="N123" s="239">
        <v>0</v>
      </c>
      <c r="O123" s="239">
        <v>0</v>
      </c>
      <c r="P123" s="239">
        <v>44099293</v>
      </c>
      <c r="Q123" s="214" t="s">
        <v>328</v>
      </c>
      <c r="R123" s="214" t="s">
        <v>820</v>
      </c>
      <c r="S123" s="214" t="s">
        <v>818</v>
      </c>
      <c r="T123" s="214" t="s">
        <v>1158</v>
      </c>
    </row>
    <row r="124" spans="1:20" x14ac:dyDescent="0.2">
      <c r="B124" s="214">
        <v>120</v>
      </c>
      <c r="C124" s="250" t="s">
        <v>331</v>
      </c>
      <c r="D124" s="250" t="s">
        <v>330</v>
      </c>
      <c r="E124" s="239">
        <v>57961401</v>
      </c>
      <c r="F124" s="239">
        <v>33249</v>
      </c>
      <c r="G124" s="239">
        <v>0</v>
      </c>
      <c r="H124" s="239">
        <v>287118</v>
      </c>
      <c r="I124" s="239">
        <v>0</v>
      </c>
      <c r="J124" s="239">
        <v>287118</v>
      </c>
      <c r="K124" s="239">
        <v>0</v>
      </c>
      <c r="L124" s="239">
        <v>0</v>
      </c>
      <c r="M124" s="239">
        <v>0</v>
      </c>
      <c r="N124" s="239">
        <v>0</v>
      </c>
      <c r="O124" s="239">
        <v>0</v>
      </c>
      <c r="P124" s="239">
        <v>57707532</v>
      </c>
      <c r="Q124" s="214" t="s">
        <v>330</v>
      </c>
      <c r="R124" s="214" t="s">
        <v>865</v>
      </c>
      <c r="S124" s="214" t="s">
        <v>744</v>
      </c>
      <c r="T124" s="214" t="s">
        <v>1158</v>
      </c>
    </row>
    <row r="125" spans="1:20" x14ac:dyDescent="0.2">
      <c r="B125" s="214">
        <v>121</v>
      </c>
      <c r="C125" s="250" t="s">
        <v>333</v>
      </c>
      <c r="D125" s="250" t="s">
        <v>332</v>
      </c>
      <c r="E125" s="239">
        <v>52390099</v>
      </c>
      <c r="F125" s="239">
        <v>2399959</v>
      </c>
      <c r="G125" s="239">
        <v>0</v>
      </c>
      <c r="H125" s="239">
        <v>243685</v>
      </c>
      <c r="I125" s="239">
        <v>0</v>
      </c>
      <c r="J125" s="239">
        <v>243685</v>
      </c>
      <c r="K125" s="239">
        <v>0</v>
      </c>
      <c r="L125" s="239">
        <v>0</v>
      </c>
      <c r="M125" s="239">
        <v>0</v>
      </c>
      <c r="N125" s="239">
        <v>0</v>
      </c>
      <c r="O125" s="239">
        <v>0</v>
      </c>
      <c r="P125" s="239">
        <v>54546373</v>
      </c>
      <c r="Q125" s="214" t="s">
        <v>332</v>
      </c>
      <c r="R125" s="214" t="s">
        <v>788</v>
      </c>
      <c r="S125" s="214" t="s">
        <v>747</v>
      </c>
      <c r="T125" s="214" t="s">
        <v>1159</v>
      </c>
    </row>
    <row r="126" spans="1:20" x14ac:dyDescent="0.2">
      <c r="B126" s="214">
        <v>122</v>
      </c>
      <c r="C126" s="250" t="s">
        <v>335</v>
      </c>
      <c r="D126" s="250" t="s">
        <v>334</v>
      </c>
      <c r="E126" s="239">
        <v>29612218</v>
      </c>
      <c r="F126" s="239">
        <v>797400</v>
      </c>
      <c r="G126" s="239">
        <v>0</v>
      </c>
      <c r="H126" s="239">
        <v>98299</v>
      </c>
      <c r="I126" s="239">
        <v>0</v>
      </c>
      <c r="J126" s="239">
        <v>98299</v>
      </c>
      <c r="K126" s="239">
        <v>0</v>
      </c>
      <c r="L126" s="239">
        <v>0</v>
      </c>
      <c r="M126" s="239">
        <v>0</v>
      </c>
      <c r="N126" s="239">
        <v>0</v>
      </c>
      <c r="O126" s="239">
        <v>0</v>
      </c>
      <c r="P126" s="239">
        <v>30311319</v>
      </c>
      <c r="Q126" s="214" t="s">
        <v>334</v>
      </c>
      <c r="R126" s="214" t="s">
        <v>777</v>
      </c>
      <c r="S126" s="214" t="s">
        <v>775</v>
      </c>
      <c r="T126" s="214" t="s">
        <v>1158</v>
      </c>
    </row>
    <row r="127" spans="1:20" x14ac:dyDescent="0.2">
      <c r="B127" s="214">
        <v>123</v>
      </c>
      <c r="C127" s="250" t="s">
        <v>337</v>
      </c>
      <c r="D127" s="250" t="s">
        <v>336</v>
      </c>
      <c r="E127" s="239">
        <v>29392299</v>
      </c>
      <c r="F127" s="239">
        <v>0</v>
      </c>
      <c r="G127" s="239">
        <v>2265556</v>
      </c>
      <c r="H127" s="239">
        <v>115333</v>
      </c>
      <c r="I127" s="239">
        <v>0</v>
      </c>
      <c r="J127" s="239">
        <v>115333</v>
      </c>
      <c r="K127" s="239">
        <v>0</v>
      </c>
      <c r="L127" s="239">
        <v>30935</v>
      </c>
      <c r="M127" s="239">
        <v>0</v>
      </c>
      <c r="N127" s="239">
        <v>0</v>
      </c>
      <c r="O127" s="239">
        <v>0</v>
      </c>
      <c r="P127" s="239">
        <v>26980475</v>
      </c>
      <c r="Q127" s="214" t="s">
        <v>907</v>
      </c>
      <c r="R127" s="214" t="s">
        <v>746</v>
      </c>
      <c r="S127" s="214" t="s">
        <v>842</v>
      </c>
      <c r="T127" s="214" t="s">
        <v>746</v>
      </c>
    </row>
    <row r="128" spans="1:20" x14ac:dyDescent="0.2">
      <c r="B128" s="214">
        <v>124</v>
      </c>
      <c r="C128" s="250" t="s">
        <v>339</v>
      </c>
      <c r="D128" s="250" t="s">
        <v>338</v>
      </c>
      <c r="E128" s="239">
        <v>20819787</v>
      </c>
      <c r="F128" s="239">
        <v>0</v>
      </c>
      <c r="G128" s="239">
        <v>90853</v>
      </c>
      <c r="H128" s="239">
        <v>133508</v>
      </c>
      <c r="I128" s="239">
        <v>0</v>
      </c>
      <c r="J128" s="239">
        <v>133508</v>
      </c>
      <c r="K128" s="239">
        <v>0</v>
      </c>
      <c r="L128" s="239">
        <v>0</v>
      </c>
      <c r="M128" s="239">
        <v>0</v>
      </c>
      <c r="N128" s="239">
        <v>0</v>
      </c>
      <c r="O128" s="239">
        <v>0</v>
      </c>
      <c r="P128" s="239">
        <v>20595426</v>
      </c>
      <c r="Q128" s="214" t="s">
        <v>338</v>
      </c>
      <c r="R128" s="214" t="s">
        <v>807</v>
      </c>
      <c r="S128" s="214" t="s">
        <v>805</v>
      </c>
      <c r="T128" s="214" t="s">
        <v>1158</v>
      </c>
    </row>
    <row r="129" spans="2:20" x14ac:dyDescent="0.2">
      <c r="B129" s="214">
        <v>125</v>
      </c>
      <c r="C129" s="250" t="s">
        <v>341</v>
      </c>
      <c r="D129" s="250" t="s">
        <v>340</v>
      </c>
      <c r="E129" s="239">
        <v>34499442</v>
      </c>
      <c r="F129" s="239">
        <v>0</v>
      </c>
      <c r="G129" s="239">
        <v>1056189</v>
      </c>
      <c r="H129" s="239">
        <v>137942</v>
      </c>
      <c r="I129" s="239">
        <v>0</v>
      </c>
      <c r="J129" s="239">
        <v>137942</v>
      </c>
      <c r="K129" s="239">
        <v>0</v>
      </c>
      <c r="L129" s="239">
        <v>0</v>
      </c>
      <c r="M129" s="239">
        <v>0</v>
      </c>
      <c r="N129" s="239">
        <v>0</v>
      </c>
      <c r="O129" s="239">
        <v>0</v>
      </c>
      <c r="P129" s="239">
        <v>33305311</v>
      </c>
      <c r="Q129" s="214" t="s">
        <v>340</v>
      </c>
      <c r="R129" s="214" t="s">
        <v>777</v>
      </c>
      <c r="S129" s="214" t="s">
        <v>775</v>
      </c>
      <c r="T129" s="214" t="s">
        <v>1158</v>
      </c>
    </row>
    <row r="130" spans="2:20" x14ac:dyDescent="0.2">
      <c r="B130" s="214">
        <v>126</v>
      </c>
      <c r="C130" s="250" t="s">
        <v>343</v>
      </c>
      <c r="D130" s="250" t="s">
        <v>342</v>
      </c>
      <c r="E130" s="239">
        <v>78236811.569999993</v>
      </c>
      <c r="F130" s="239">
        <v>1935995</v>
      </c>
      <c r="G130" s="239">
        <v>0</v>
      </c>
      <c r="H130" s="239">
        <v>268121</v>
      </c>
      <c r="I130" s="239">
        <v>0</v>
      </c>
      <c r="J130" s="239">
        <v>268121</v>
      </c>
      <c r="K130" s="239">
        <v>0</v>
      </c>
      <c r="L130" s="239">
        <v>0</v>
      </c>
      <c r="M130" s="239">
        <v>0</v>
      </c>
      <c r="N130" s="239">
        <v>0</v>
      </c>
      <c r="O130" s="239">
        <v>0</v>
      </c>
      <c r="P130" s="239">
        <v>79904685.569999993</v>
      </c>
      <c r="Q130" s="214" t="s">
        <v>342</v>
      </c>
      <c r="R130" s="214" t="s">
        <v>788</v>
      </c>
      <c r="S130" s="214" t="s">
        <v>747</v>
      </c>
      <c r="T130" s="214" t="s">
        <v>1159</v>
      </c>
    </row>
    <row r="131" spans="2:20" x14ac:dyDescent="0.2">
      <c r="B131" s="214">
        <v>127</v>
      </c>
      <c r="C131" s="250" t="s">
        <v>345</v>
      </c>
      <c r="D131" s="250" t="s">
        <v>344</v>
      </c>
      <c r="E131" s="239">
        <v>47022472</v>
      </c>
      <c r="F131" s="239">
        <v>0</v>
      </c>
      <c r="G131" s="239">
        <v>197589</v>
      </c>
      <c r="H131" s="239">
        <v>299893</v>
      </c>
      <c r="I131" s="239">
        <v>0</v>
      </c>
      <c r="J131" s="239">
        <v>299893</v>
      </c>
      <c r="K131" s="239">
        <v>0</v>
      </c>
      <c r="L131" s="239">
        <v>74608</v>
      </c>
      <c r="M131" s="239">
        <v>115445</v>
      </c>
      <c r="N131" s="239">
        <v>115445</v>
      </c>
      <c r="O131" s="239">
        <v>0</v>
      </c>
      <c r="P131" s="239">
        <v>46334937</v>
      </c>
      <c r="Q131" s="214" t="s">
        <v>906</v>
      </c>
      <c r="R131" s="214" t="s">
        <v>746</v>
      </c>
      <c r="S131" s="214" t="s">
        <v>749</v>
      </c>
      <c r="T131" s="214" t="s">
        <v>746</v>
      </c>
    </row>
    <row r="132" spans="2:20" x14ac:dyDescent="0.2">
      <c r="B132" s="214">
        <v>128</v>
      </c>
      <c r="C132" s="250" t="s">
        <v>347</v>
      </c>
      <c r="D132" s="250" t="s">
        <v>346</v>
      </c>
      <c r="E132" s="239">
        <v>42996830</v>
      </c>
      <c r="F132" s="239">
        <v>0</v>
      </c>
      <c r="G132" s="239">
        <v>443412</v>
      </c>
      <c r="H132" s="239">
        <v>151151</v>
      </c>
      <c r="I132" s="239">
        <v>0</v>
      </c>
      <c r="J132" s="239">
        <v>151151</v>
      </c>
      <c r="K132" s="239">
        <v>0</v>
      </c>
      <c r="L132" s="239">
        <v>0</v>
      </c>
      <c r="M132" s="239">
        <v>0</v>
      </c>
      <c r="N132" s="239">
        <v>0</v>
      </c>
      <c r="O132" s="239">
        <v>0</v>
      </c>
      <c r="P132" s="239">
        <v>42402267</v>
      </c>
      <c r="Q132" s="214" t="s">
        <v>346</v>
      </c>
      <c r="R132" s="214" t="s">
        <v>801</v>
      </c>
      <c r="S132" s="214" t="s">
        <v>761</v>
      </c>
      <c r="T132" s="214" t="s">
        <v>1158</v>
      </c>
    </row>
    <row r="133" spans="2:20" x14ac:dyDescent="0.2">
      <c r="B133" s="214">
        <v>129</v>
      </c>
      <c r="C133" s="250" t="s">
        <v>349</v>
      </c>
      <c r="D133" s="250" t="s">
        <v>348</v>
      </c>
      <c r="E133" s="239">
        <v>23216112</v>
      </c>
      <c r="F133" s="239">
        <v>1571463</v>
      </c>
      <c r="G133" s="239">
        <v>0</v>
      </c>
      <c r="H133" s="239">
        <v>135269</v>
      </c>
      <c r="I133" s="239">
        <v>0</v>
      </c>
      <c r="J133" s="239">
        <v>135269</v>
      </c>
      <c r="K133" s="239">
        <v>0</v>
      </c>
      <c r="L133" s="239">
        <v>0</v>
      </c>
      <c r="M133" s="239">
        <v>0</v>
      </c>
      <c r="N133" s="239">
        <v>0</v>
      </c>
      <c r="O133" s="239">
        <v>0</v>
      </c>
      <c r="P133" s="239">
        <v>24652306</v>
      </c>
      <c r="Q133" s="214" t="s">
        <v>348</v>
      </c>
      <c r="R133" s="214" t="s">
        <v>856</v>
      </c>
      <c r="S133" s="214" t="s">
        <v>854</v>
      </c>
      <c r="T133" s="214" t="s">
        <v>1158</v>
      </c>
    </row>
    <row r="134" spans="2:20" x14ac:dyDescent="0.2">
      <c r="B134" s="214">
        <v>130</v>
      </c>
      <c r="C134" s="250" t="s">
        <v>351</v>
      </c>
      <c r="D134" s="250" t="s">
        <v>350</v>
      </c>
      <c r="E134" s="239">
        <v>375321211</v>
      </c>
      <c r="F134" s="239">
        <v>0</v>
      </c>
      <c r="G134" s="239">
        <v>25050090</v>
      </c>
      <c r="H134" s="239">
        <v>576004</v>
      </c>
      <c r="I134" s="239">
        <v>0</v>
      </c>
      <c r="J134" s="239">
        <v>576004</v>
      </c>
      <c r="K134" s="239">
        <v>0</v>
      </c>
      <c r="L134" s="239">
        <v>0</v>
      </c>
      <c r="M134" s="239">
        <v>0</v>
      </c>
      <c r="N134" s="239">
        <v>0</v>
      </c>
      <c r="O134" s="239">
        <v>0</v>
      </c>
      <c r="P134" s="239">
        <v>349695117</v>
      </c>
      <c r="Q134" s="214" t="s">
        <v>350</v>
      </c>
      <c r="R134" s="214" t="s">
        <v>788</v>
      </c>
      <c r="S134" s="214" t="s">
        <v>747</v>
      </c>
      <c r="T134" s="214" t="s">
        <v>1159</v>
      </c>
    </row>
    <row r="135" spans="2:20" x14ac:dyDescent="0.2">
      <c r="B135" s="214">
        <v>131</v>
      </c>
      <c r="C135" s="250" t="s">
        <v>353</v>
      </c>
      <c r="D135" s="250" t="s">
        <v>352</v>
      </c>
      <c r="E135" s="239">
        <v>31008316</v>
      </c>
      <c r="F135" s="239">
        <v>826143</v>
      </c>
      <c r="G135" s="239">
        <v>0</v>
      </c>
      <c r="H135" s="239">
        <v>127087</v>
      </c>
      <c r="I135" s="239">
        <v>0</v>
      </c>
      <c r="J135" s="239">
        <v>127087</v>
      </c>
      <c r="K135" s="239">
        <v>0</v>
      </c>
      <c r="L135" s="239">
        <v>261268</v>
      </c>
      <c r="M135" s="239">
        <v>131168</v>
      </c>
      <c r="N135" s="239">
        <v>131168</v>
      </c>
      <c r="O135" s="239">
        <v>0</v>
      </c>
      <c r="P135" s="239">
        <v>31314936</v>
      </c>
      <c r="Q135" s="214" t="s">
        <v>905</v>
      </c>
      <c r="R135" s="214" t="s">
        <v>882</v>
      </c>
      <c r="S135" s="214" t="s">
        <v>867</v>
      </c>
      <c r="T135" s="214" t="s">
        <v>1158</v>
      </c>
    </row>
    <row r="136" spans="2:20" x14ac:dyDescent="0.2">
      <c r="B136" s="214">
        <v>132</v>
      </c>
      <c r="C136" s="250" t="s">
        <v>355</v>
      </c>
      <c r="D136" s="250" t="s">
        <v>354</v>
      </c>
      <c r="E136" s="239">
        <v>40123875</v>
      </c>
      <c r="F136" s="239">
        <v>668166</v>
      </c>
      <c r="G136" s="239">
        <v>0</v>
      </c>
      <c r="H136" s="239">
        <v>179932</v>
      </c>
      <c r="I136" s="239">
        <v>0</v>
      </c>
      <c r="J136" s="239">
        <v>179932</v>
      </c>
      <c r="K136" s="239">
        <v>0</v>
      </c>
      <c r="L136" s="239">
        <v>0</v>
      </c>
      <c r="M136" s="239">
        <v>0</v>
      </c>
      <c r="N136" s="239">
        <v>0</v>
      </c>
      <c r="O136" s="239">
        <v>0</v>
      </c>
      <c r="P136" s="239">
        <v>40612109</v>
      </c>
      <c r="Q136" s="214" t="s">
        <v>354</v>
      </c>
      <c r="R136" s="214" t="s">
        <v>762</v>
      </c>
      <c r="S136" s="214" t="s">
        <v>761</v>
      </c>
      <c r="T136" s="214" t="s">
        <v>1158</v>
      </c>
    </row>
    <row r="137" spans="2:20" x14ac:dyDescent="0.2">
      <c r="B137" s="214">
        <v>133</v>
      </c>
      <c r="C137" s="250" t="s">
        <v>357</v>
      </c>
      <c r="D137" s="250" t="s">
        <v>356</v>
      </c>
      <c r="E137" s="239">
        <v>193072093</v>
      </c>
      <c r="F137" s="239">
        <v>14650031</v>
      </c>
      <c r="G137" s="239">
        <v>0</v>
      </c>
      <c r="H137" s="239">
        <v>415076</v>
      </c>
      <c r="I137" s="239">
        <v>0</v>
      </c>
      <c r="J137" s="239">
        <v>415076</v>
      </c>
      <c r="K137" s="239">
        <v>0</v>
      </c>
      <c r="L137" s="239">
        <v>0</v>
      </c>
      <c r="M137" s="239">
        <v>0</v>
      </c>
      <c r="N137" s="239">
        <v>0</v>
      </c>
      <c r="O137" s="239">
        <v>0</v>
      </c>
      <c r="P137" s="239">
        <v>207307048</v>
      </c>
      <c r="Q137" s="214" t="s">
        <v>356</v>
      </c>
      <c r="R137" s="214" t="s">
        <v>788</v>
      </c>
      <c r="S137" s="214" t="s">
        <v>747</v>
      </c>
      <c r="T137" s="214" t="s">
        <v>1159</v>
      </c>
    </row>
    <row r="138" spans="2:20" x14ac:dyDescent="0.2">
      <c r="B138" s="214">
        <v>134</v>
      </c>
      <c r="C138" s="250" t="s">
        <v>359</v>
      </c>
      <c r="D138" s="250" t="s">
        <v>358</v>
      </c>
      <c r="E138" s="239">
        <v>56783514</v>
      </c>
      <c r="F138" s="239">
        <v>0</v>
      </c>
      <c r="G138" s="239">
        <v>1779402</v>
      </c>
      <c r="H138" s="239">
        <v>217080</v>
      </c>
      <c r="I138" s="239">
        <v>0</v>
      </c>
      <c r="J138" s="239">
        <v>217080</v>
      </c>
      <c r="K138" s="239">
        <v>0</v>
      </c>
      <c r="L138" s="239">
        <v>0</v>
      </c>
      <c r="M138" s="239">
        <v>881438</v>
      </c>
      <c r="N138" s="239">
        <v>881438</v>
      </c>
      <c r="O138" s="239">
        <v>0</v>
      </c>
      <c r="P138" s="239">
        <v>53905594</v>
      </c>
      <c r="Q138" s="214" t="s">
        <v>358</v>
      </c>
      <c r="R138" s="214" t="s">
        <v>860</v>
      </c>
      <c r="S138" s="214" t="s">
        <v>858</v>
      </c>
      <c r="T138" s="214" t="s">
        <v>1158</v>
      </c>
    </row>
    <row r="139" spans="2:20" x14ac:dyDescent="0.2">
      <c r="B139" s="214">
        <v>135</v>
      </c>
      <c r="C139" s="250" t="s">
        <v>361</v>
      </c>
      <c r="D139" s="250" t="s">
        <v>360</v>
      </c>
      <c r="E139" s="239">
        <v>19273277</v>
      </c>
      <c r="F139" s="239">
        <v>0</v>
      </c>
      <c r="G139" s="239">
        <v>1826065</v>
      </c>
      <c r="H139" s="239">
        <v>125909</v>
      </c>
      <c r="I139" s="239">
        <v>0</v>
      </c>
      <c r="J139" s="239">
        <v>125909</v>
      </c>
      <c r="K139" s="239">
        <v>0</v>
      </c>
      <c r="L139" s="239">
        <v>0</v>
      </c>
      <c r="M139" s="239">
        <v>0</v>
      </c>
      <c r="N139" s="239">
        <v>0</v>
      </c>
      <c r="O139" s="239">
        <v>0</v>
      </c>
      <c r="P139" s="239">
        <v>17321303</v>
      </c>
      <c r="Q139" s="214" t="s">
        <v>360</v>
      </c>
      <c r="R139" s="214" t="s">
        <v>755</v>
      </c>
      <c r="S139" s="214" t="s">
        <v>753</v>
      </c>
      <c r="T139" s="214" t="s">
        <v>1158</v>
      </c>
    </row>
    <row r="140" spans="2:20" x14ac:dyDescent="0.2">
      <c r="B140" s="214">
        <v>136</v>
      </c>
      <c r="C140" s="250" t="s">
        <v>363</v>
      </c>
      <c r="D140" s="250" t="s">
        <v>362</v>
      </c>
      <c r="E140" s="239">
        <v>53793238</v>
      </c>
      <c r="F140" s="239">
        <v>0</v>
      </c>
      <c r="G140" s="239">
        <v>2776257</v>
      </c>
      <c r="H140" s="239">
        <v>187343</v>
      </c>
      <c r="I140" s="239">
        <v>0</v>
      </c>
      <c r="J140" s="239">
        <v>187343</v>
      </c>
      <c r="K140" s="239">
        <v>0</v>
      </c>
      <c r="L140" s="239">
        <v>0</v>
      </c>
      <c r="M140" s="239">
        <v>2597</v>
      </c>
      <c r="N140" s="239">
        <v>2597</v>
      </c>
      <c r="O140" s="239">
        <v>0</v>
      </c>
      <c r="P140" s="239">
        <v>50827041</v>
      </c>
      <c r="Q140" s="214" t="s">
        <v>362</v>
      </c>
      <c r="R140" s="214" t="s">
        <v>809</v>
      </c>
      <c r="S140" s="214" t="s">
        <v>761</v>
      </c>
      <c r="T140" s="214" t="s">
        <v>1158</v>
      </c>
    </row>
    <row r="141" spans="2:20" x14ac:dyDescent="0.2">
      <c r="B141" s="214">
        <v>137</v>
      </c>
      <c r="C141" s="250" t="s">
        <v>365</v>
      </c>
      <c r="D141" s="250" t="s">
        <v>364</v>
      </c>
      <c r="E141" s="239">
        <v>33400409</v>
      </c>
      <c r="F141" s="239">
        <v>2278393</v>
      </c>
      <c r="G141" s="239">
        <v>0</v>
      </c>
      <c r="H141" s="239">
        <v>263045</v>
      </c>
      <c r="I141" s="239">
        <v>0</v>
      </c>
      <c r="J141" s="239">
        <v>263045</v>
      </c>
      <c r="K141" s="239">
        <v>0</v>
      </c>
      <c r="L141" s="239">
        <v>0</v>
      </c>
      <c r="M141" s="239">
        <v>270954</v>
      </c>
      <c r="N141" s="239">
        <v>270954</v>
      </c>
      <c r="O141" s="239">
        <v>0</v>
      </c>
      <c r="P141" s="239">
        <v>35144803</v>
      </c>
      <c r="Q141" s="214" t="s">
        <v>904</v>
      </c>
      <c r="R141" s="214" t="s">
        <v>746</v>
      </c>
      <c r="S141" s="214" t="s">
        <v>761</v>
      </c>
      <c r="T141" s="214" t="s">
        <v>746</v>
      </c>
    </row>
    <row r="142" spans="2:20" x14ac:dyDescent="0.2">
      <c r="B142" s="214">
        <v>138</v>
      </c>
      <c r="C142" s="250" t="s">
        <v>367</v>
      </c>
      <c r="D142" s="250" t="s">
        <v>366</v>
      </c>
      <c r="E142" s="239">
        <v>1459443</v>
      </c>
      <c r="F142" s="239">
        <v>7278</v>
      </c>
      <c r="G142" s="239">
        <v>0</v>
      </c>
      <c r="H142" s="239">
        <v>24246</v>
      </c>
      <c r="I142" s="239">
        <v>0</v>
      </c>
      <c r="J142" s="239">
        <v>24246</v>
      </c>
      <c r="K142" s="239">
        <v>0</v>
      </c>
      <c r="L142" s="239">
        <v>0</v>
      </c>
      <c r="M142" s="239">
        <v>0</v>
      </c>
      <c r="N142" s="239">
        <v>0</v>
      </c>
      <c r="O142" s="239">
        <v>0</v>
      </c>
      <c r="P142" s="239">
        <v>1442475</v>
      </c>
      <c r="Q142" s="214" t="s">
        <v>366</v>
      </c>
      <c r="R142" s="214" t="s">
        <v>746</v>
      </c>
      <c r="S142" s="214" t="s">
        <v>761</v>
      </c>
      <c r="T142" s="214" t="s">
        <v>746</v>
      </c>
    </row>
    <row r="143" spans="2:20" x14ac:dyDescent="0.2">
      <c r="B143" s="214">
        <v>139</v>
      </c>
      <c r="C143" s="250" t="s">
        <v>369</v>
      </c>
      <c r="D143" s="250" t="s">
        <v>368</v>
      </c>
      <c r="E143" s="239">
        <v>240410287</v>
      </c>
      <c r="F143" s="239">
        <v>37171254</v>
      </c>
      <c r="G143" s="239">
        <v>0</v>
      </c>
      <c r="H143" s="239">
        <v>703757</v>
      </c>
      <c r="I143" s="239">
        <v>0</v>
      </c>
      <c r="J143" s="239">
        <v>703757</v>
      </c>
      <c r="K143" s="239">
        <v>0</v>
      </c>
      <c r="L143" s="239">
        <v>0</v>
      </c>
      <c r="M143" s="239">
        <v>74351</v>
      </c>
      <c r="N143" s="239">
        <v>74351</v>
      </c>
      <c r="O143" s="239">
        <v>0</v>
      </c>
      <c r="P143" s="239">
        <v>276803433</v>
      </c>
      <c r="Q143" s="214" t="s">
        <v>368</v>
      </c>
      <c r="R143" s="214" t="s">
        <v>788</v>
      </c>
      <c r="S143" s="214" t="s">
        <v>747</v>
      </c>
      <c r="T143" s="214" t="s">
        <v>1161</v>
      </c>
    </row>
    <row r="144" spans="2:20" x14ac:dyDescent="0.2">
      <c r="B144" s="214">
        <v>140</v>
      </c>
      <c r="C144" s="250" t="s">
        <v>371</v>
      </c>
      <c r="D144" s="250" t="s">
        <v>370</v>
      </c>
      <c r="E144" s="239">
        <v>302528041</v>
      </c>
      <c r="F144" s="239">
        <v>18230687</v>
      </c>
      <c r="G144" s="239">
        <v>0</v>
      </c>
      <c r="H144" s="239">
        <v>649577</v>
      </c>
      <c r="I144" s="239">
        <v>0</v>
      </c>
      <c r="J144" s="239">
        <v>649577</v>
      </c>
      <c r="K144" s="239">
        <v>0</v>
      </c>
      <c r="L144" s="239">
        <v>0</v>
      </c>
      <c r="M144" s="239">
        <v>0</v>
      </c>
      <c r="N144" s="239">
        <v>0</v>
      </c>
      <c r="O144" s="239">
        <v>0</v>
      </c>
      <c r="P144" s="239">
        <v>320109151</v>
      </c>
      <c r="Q144" s="214" t="s">
        <v>903</v>
      </c>
      <c r="R144" s="214" t="s">
        <v>788</v>
      </c>
      <c r="S144" s="214" t="s">
        <v>747</v>
      </c>
      <c r="T144" s="214" t="s">
        <v>1161</v>
      </c>
    </row>
    <row r="145" spans="2:20" x14ac:dyDescent="0.2">
      <c r="B145" s="214">
        <v>141</v>
      </c>
      <c r="C145" s="250" t="s">
        <v>373</v>
      </c>
      <c r="D145" s="250" t="s">
        <v>372</v>
      </c>
      <c r="E145" s="239">
        <v>30418686</v>
      </c>
      <c r="F145" s="239">
        <v>0</v>
      </c>
      <c r="G145" s="239">
        <v>825480</v>
      </c>
      <c r="H145" s="239">
        <v>110062</v>
      </c>
      <c r="I145" s="239">
        <v>0</v>
      </c>
      <c r="J145" s="239">
        <v>110062</v>
      </c>
      <c r="K145" s="239">
        <v>0</v>
      </c>
      <c r="L145" s="239">
        <v>0</v>
      </c>
      <c r="M145" s="239">
        <v>351859</v>
      </c>
      <c r="N145" s="239">
        <v>351859</v>
      </c>
      <c r="O145" s="239">
        <v>0</v>
      </c>
      <c r="P145" s="239">
        <v>29131285</v>
      </c>
      <c r="Q145" s="214" t="s">
        <v>372</v>
      </c>
      <c r="R145" s="214" t="s">
        <v>803</v>
      </c>
      <c r="S145" s="214" t="s">
        <v>761</v>
      </c>
      <c r="T145" s="214" t="s">
        <v>1158</v>
      </c>
    </row>
    <row r="146" spans="2:20" x14ac:dyDescent="0.2">
      <c r="B146" s="214">
        <v>142</v>
      </c>
      <c r="C146" s="250" t="s">
        <v>375</v>
      </c>
      <c r="D146" s="250" t="s">
        <v>374</v>
      </c>
      <c r="E146" s="239">
        <v>41366705</v>
      </c>
      <c r="F146" s="239">
        <v>0</v>
      </c>
      <c r="G146" s="239">
        <v>877650</v>
      </c>
      <c r="H146" s="239">
        <v>220343</v>
      </c>
      <c r="I146" s="239">
        <v>0</v>
      </c>
      <c r="J146" s="239">
        <v>220343</v>
      </c>
      <c r="K146" s="239">
        <v>0</v>
      </c>
      <c r="L146" s="239">
        <v>0</v>
      </c>
      <c r="M146" s="239">
        <v>1159890</v>
      </c>
      <c r="N146" s="239">
        <v>1159890</v>
      </c>
      <c r="O146" s="239">
        <v>0</v>
      </c>
      <c r="P146" s="239">
        <v>39108822</v>
      </c>
      <c r="Q146" s="214" t="s">
        <v>902</v>
      </c>
      <c r="R146" s="214" t="s">
        <v>847</v>
      </c>
      <c r="S146" s="214" t="s">
        <v>761</v>
      </c>
      <c r="T146" s="214" t="s">
        <v>1158</v>
      </c>
    </row>
    <row r="147" spans="2:20" x14ac:dyDescent="0.2">
      <c r="B147" s="214">
        <v>143</v>
      </c>
      <c r="C147" s="250" t="s">
        <v>377</v>
      </c>
      <c r="D147" s="250" t="s">
        <v>376</v>
      </c>
      <c r="E147" s="239">
        <v>78060574</v>
      </c>
      <c r="F147" s="239">
        <v>3147439</v>
      </c>
      <c r="G147" s="239">
        <v>0</v>
      </c>
      <c r="H147" s="239">
        <v>356488</v>
      </c>
      <c r="I147" s="239">
        <v>0</v>
      </c>
      <c r="J147" s="239">
        <v>356488</v>
      </c>
      <c r="K147" s="239">
        <v>0</v>
      </c>
      <c r="L147" s="239">
        <v>3183081</v>
      </c>
      <c r="M147" s="239">
        <v>29809</v>
      </c>
      <c r="N147" s="239">
        <v>29809</v>
      </c>
      <c r="O147" s="239">
        <v>0</v>
      </c>
      <c r="P147" s="239">
        <v>77638635</v>
      </c>
      <c r="Q147" s="214" t="s">
        <v>901</v>
      </c>
      <c r="R147" s="214" t="s">
        <v>746</v>
      </c>
      <c r="S147" s="214" t="s">
        <v>888</v>
      </c>
      <c r="T147" s="214" t="s">
        <v>746</v>
      </c>
    </row>
    <row r="148" spans="2:20" x14ac:dyDescent="0.2">
      <c r="B148" s="214">
        <v>144</v>
      </c>
      <c r="C148" s="250" t="s">
        <v>379</v>
      </c>
      <c r="D148" s="250" t="s">
        <v>378</v>
      </c>
      <c r="E148" s="239">
        <v>89755902</v>
      </c>
      <c r="F148" s="239">
        <v>654968</v>
      </c>
      <c r="G148" s="239">
        <v>0</v>
      </c>
      <c r="H148" s="239">
        <v>243188</v>
      </c>
      <c r="I148" s="239">
        <v>0</v>
      </c>
      <c r="J148" s="239">
        <v>243188</v>
      </c>
      <c r="K148" s="239">
        <v>0</v>
      </c>
      <c r="L148" s="239">
        <v>0</v>
      </c>
      <c r="M148" s="239">
        <v>0</v>
      </c>
      <c r="N148" s="239">
        <v>0</v>
      </c>
      <c r="O148" s="239">
        <v>0</v>
      </c>
      <c r="P148" s="239">
        <v>90167682</v>
      </c>
      <c r="Q148" s="214" t="s">
        <v>900</v>
      </c>
      <c r="R148" s="214" t="s">
        <v>788</v>
      </c>
      <c r="S148" s="214" t="s">
        <v>747</v>
      </c>
      <c r="T148" s="214" t="s">
        <v>1159</v>
      </c>
    </row>
    <row r="149" spans="2:20" x14ac:dyDescent="0.2">
      <c r="B149" s="214">
        <v>145</v>
      </c>
      <c r="C149" s="250" t="s">
        <v>381</v>
      </c>
      <c r="D149" s="250" t="s">
        <v>380</v>
      </c>
      <c r="E149" s="239">
        <v>100475697.878111</v>
      </c>
      <c r="F149" s="239">
        <v>0</v>
      </c>
      <c r="G149" s="239">
        <v>3705778</v>
      </c>
      <c r="H149" s="239">
        <v>600133</v>
      </c>
      <c r="I149" s="239">
        <v>0</v>
      </c>
      <c r="J149" s="239">
        <v>600133</v>
      </c>
      <c r="K149" s="239">
        <v>0</v>
      </c>
      <c r="L149" s="239">
        <v>83910</v>
      </c>
      <c r="M149" s="239">
        <v>0</v>
      </c>
      <c r="N149" s="239">
        <v>0</v>
      </c>
      <c r="O149" s="239">
        <v>0</v>
      </c>
      <c r="P149" s="239">
        <v>96085876.878111005</v>
      </c>
      <c r="Q149" s="214" t="s">
        <v>380</v>
      </c>
      <c r="R149" s="214" t="s">
        <v>766</v>
      </c>
      <c r="S149" s="214" t="s">
        <v>816</v>
      </c>
      <c r="T149" s="214" t="s">
        <v>1160</v>
      </c>
    </row>
    <row r="150" spans="2:20" x14ac:dyDescent="0.2">
      <c r="B150" s="214">
        <v>146</v>
      </c>
      <c r="C150" s="250" t="s">
        <v>383</v>
      </c>
      <c r="D150" s="250" t="s">
        <v>382</v>
      </c>
      <c r="E150" s="239">
        <v>42603274</v>
      </c>
      <c r="F150" s="239">
        <v>362719</v>
      </c>
      <c r="G150" s="239">
        <v>0</v>
      </c>
      <c r="H150" s="239">
        <v>143792</v>
      </c>
      <c r="I150" s="239">
        <v>0</v>
      </c>
      <c r="J150" s="239">
        <v>143792</v>
      </c>
      <c r="K150" s="239">
        <v>0</v>
      </c>
      <c r="L150" s="239">
        <v>0</v>
      </c>
      <c r="M150" s="239">
        <v>0</v>
      </c>
      <c r="N150" s="239">
        <v>0</v>
      </c>
      <c r="O150" s="239">
        <v>0</v>
      </c>
      <c r="P150" s="239">
        <v>42822201</v>
      </c>
      <c r="Q150" s="214" t="s">
        <v>382</v>
      </c>
      <c r="R150" s="214" t="s">
        <v>766</v>
      </c>
      <c r="S150" s="214" t="s">
        <v>772</v>
      </c>
      <c r="T150" s="214" t="s">
        <v>1160</v>
      </c>
    </row>
    <row r="151" spans="2:20" x14ac:dyDescent="0.2">
      <c r="B151" s="214">
        <v>147</v>
      </c>
      <c r="C151" s="250" t="s">
        <v>385</v>
      </c>
      <c r="D151" s="250" t="s">
        <v>384</v>
      </c>
      <c r="E151" s="239">
        <v>144895046</v>
      </c>
      <c r="F151" s="239">
        <v>19043990</v>
      </c>
      <c r="G151" s="239">
        <v>0</v>
      </c>
      <c r="H151" s="239">
        <v>507754</v>
      </c>
      <c r="I151" s="239">
        <v>0</v>
      </c>
      <c r="J151" s="239">
        <v>507754</v>
      </c>
      <c r="K151" s="239">
        <v>0</v>
      </c>
      <c r="L151" s="239">
        <v>987743</v>
      </c>
      <c r="M151" s="239">
        <v>0</v>
      </c>
      <c r="N151" s="239">
        <v>0</v>
      </c>
      <c r="O151" s="239">
        <v>0</v>
      </c>
      <c r="P151" s="239">
        <v>162443539</v>
      </c>
      <c r="Q151" s="214" t="s">
        <v>384</v>
      </c>
      <c r="R151" s="214" t="s">
        <v>788</v>
      </c>
      <c r="S151" s="214" t="s">
        <v>747</v>
      </c>
      <c r="T151" s="214" t="s">
        <v>1161</v>
      </c>
    </row>
    <row r="152" spans="2:20" x14ac:dyDescent="0.2">
      <c r="B152" s="214">
        <v>148</v>
      </c>
      <c r="C152" s="250" t="s">
        <v>387</v>
      </c>
      <c r="D152" s="250" t="s">
        <v>386</v>
      </c>
      <c r="E152" s="239">
        <v>63772268</v>
      </c>
      <c r="F152" s="239">
        <v>0</v>
      </c>
      <c r="G152" s="239">
        <v>1825794</v>
      </c>
      <c r="H152" s="239">
        <v>217329</v>
      </c>
      <c r="I152" s="239">
        <v>0</v>
      </c>
      <c r="J152" s="239">
        <v>217329</v>
      </c>
      <c r="K152" s="239">
        <v>0</v>
      </c>
      <c r="L152" s="239">
        <v>0</v>
      </c>
      <c r="M152" s="239">
        <v>960924</v>
      </c>
      <c r="N152" s="239">
        <v>954214</v>
      </c>
      <c r="O152" s="239">
        <v>6710</v>
      </c>
      <c r="P152" s="239">
        <v>60768221</v>
      </c>
      <c r="Q152" s="214" t="s">
        <v>386</v>
      </c>
      <c r="R152" s="214" t="s">
        <v>755</v>
      </c>
      <c r="S152" s="214" t="s">
        <v>753</v>
      </c>
      <c r="T152" s="214" t="s">
        <v>1158</v>
      </c>
    </row>
    <row r="153" spans="2:20" x14ac:dyDescent="0.2">
      <c r="B153" s="214">
        <v>149</v>
      </c>
      <c r="C153" s="250" t="s">
        <v>389</v>
      </c>
      <c r="D153" s="250" t="s">
        <v>388</v>
      </c>
      <c r="E153" s="239">
        <v>363454913</v>
      </c>
      <c r="F153" s="239">
        <v>0</v>
      </c>
      <c r="G153" s="239">
        <v>21600974</v>
      </c>
      <c r="H153" s="239">
        <v>1204810</v>
      </c>
      <c r="I153" s="239">
        <v>0</v>
      </c>
      <c r="J153" s="239">
        <v>1204810</v>
      </c>
      <c r="K153" s="239">
        <v>0</v>
      </c>
      <c r="L153" s="239">
        <v>979794</v>
      </c>
      <c r="M153" s="239">
        <v>226355</v>
      </c>
      <c r="N153" s="239">
        <v>226355</v>
      </c>
      <c r="O153" s="239">
        <v>0</v>
      </c>
      <c r="P153" s="239">
        <v>339442980</v>
      </c>
      <c r="Q153" s="214" t="s">
        <v>388</v>
      </c>
      <c r="R153" s="214" t="s">
        <v>766</v>
      </c>
      <c r="S153" s="214" t="s">
        <v>816</v>
      </c>
      <c r="T153" s="214" t="s">
        <v>1160</v>
      </c>
    </row>
    <row r="154" spans="2:20" x14ac:dyDescent="0.2">
      <c r="B154" s="214">
        <v>150</v>
      </c>
      <c r="C154" s="250" t="s">
        <v>391</v>
      </c>
      <c r="D154" s="250" t="s">
        <v>390</v>
      </c>
      <c r="E154" s="239">
        <v>95814677</v>
      </c>
      <c r="F154" s="239">
        <v>6380921</v>
      </c>
      <c r="G154" s="239">
        <v>0</v>
      </c>
      <c r="H154" s="239">
        <v>491838</v>
      </c>
      <c r="I154" s="239">
        <v>0</v>
      </c>
      <c r="J154" s="239">
        <v>491838</v>
      </c>
      <c r="K154" s="239">
        <v>0</v>
      </c>
      <c r="L154" s="239">
        <v>0</v>
      </c>
      <c r="M154" s="239">
        <v>0</v>
      </c>
      <c r="N154" s="239">
        <v>0</v>
      </c>
      <c r="O154" s="239">
        <v>0</v>
      </c>
      <c r="P154" s="239">
        <v>101703760</v>
      </c>
      <c r="Q154" s="214" t="s">
        <v>899</v>
      </c>
      <c r="R154" s="214" t="s">
        <v>746</v>
      </c>
      <c r="S154" s="214" t="s">
        <v>867</v>
      </c>
      <c r="T154" s="214" t="s">
        <v>746</v>
      </c>
    </row>
    <row r="155" spans="2:20" x14ac:dyDescent="0.2">
      <c r="B155" s="214">
        <v>151</v>
      </c>
      <c r="C155" s="250" t="s">
        <v>393</v>
      </c>
      <c r="D155" s="250" t="s">
        <v>392</v>
      </c>
      <c r="E155" s="239">
        <v>22871115</v>
      </c>
      <c r="F155" s="239">
        <v>455758</v>
      </c>
      <c r="G155" s="239">
        <v>0</v>
      </c>
      <c r="H155" s="239">
        <v>130669</v>
      </c>
      <c r="I155" s="239">
        <v>0</v>
      </c>
      <c r="J155" s="239">
        <v>130669</v>
      </c>
      <c r="K155" s="239">
        <v>0</v>
      </c>
      <c r="L155" s="239">
        <v>478128</v>
      </c>
      <c r="M155" s="239">
        <v>0</v>
      </c>
      <c r="N155" s="239">
        <v>0</v>
      </c>
      <c r="O155" s="239">
        <v>0</v>
      </c>
      <c r="P155" s="239">
        <v>22718076</v>
      </c>
      <c r="Q155" s="214" t="s">
        <v>392</v>
      </c>
      <c r="R155" s="214" t="s">
        <v>807</v>
      </c>
      <c r="S155" s="214" t="s">
        <v>805</v>
      </c>
      <c r="T155" s="214" t="s">
        <v>1158</v>
      </c>
    </row>
    <row r="156" spans="2:20" x14ac:dyDescent="0.2">
      <c r="B156" s="214">
        <v>152</v>
      </c>
      <c r="C156" s="250" t="s">
        <v>395</v>
      </c>
      <c r="D156" s="250" t="s">
        <v>394</v>
      </c>
      <c r="E156" s="239">
        <v>56545119</v>
      </c>
      <c r="F156" s="239">
        <v>10012457</v>
      </c>
      <c r="G156" s="239">
        <v>0</v>
      </c>
      <c r="H156" s="239">
        <v>306514</v>
      </c>
      <c r="I156" s="239">
        <v>25000</v>
      </c>
      <c r="J156" s="239">
        <v>331514</v>
      </c>
      <c r="K156" s="239">
        <v>0</v>
      </c>
      <c r="L156" s="239">
        <v>0</v>
      </c>
      <c r="M156" s="239">
        <v>0</v>
      </c>
      <c r="N156" s="239">
        <v>0</v>
      </c>
      <c r="O156" s="239">
        <v>0</v>
      </c>
      <c r="P156" s="239">
        <v>66226062</v>
      </c>
      <c r="Q156" s="214" t="s">
        <v>394</v>
      </c>
      <c r="R156" s="214" t="s">
        <v>788</v>
      </c>
      <c r="S156" s="214" t="s">
        <v>747</v>
      </c>
      <c r="T156" s="214" t="s">
        <v>1161</v>
      </c>
    </row>
    <row r="157" spans="2:20" x14ac:dyDescent="0.2">
      <c r="B157" s="214">
        <v>153</v>
      </c>
      <c r="C157" s="250" t="s">
        <v>397</v>
      </c>
      <c r="D157" s="250" t="s">
        <v>396</v>
      </c>
      <c r="E157" s="239">
        <v>34146779</v>
      </c>
      <c r="F157" s="239">
        <v>103185</v>
      </c>
      <c r="G157" s="239">
        <v>0</v>
      </c>
      <c r="H157" s="239">
        <v>121519</v>
      </c>
      <c r="I157" s="239">
        <v>0</v>
      </c>
      <c r="J157" s="239">
        <v>121519</v>
      </c>
      <c r="K157" s="239">
        <v>0</v>
      </c>
      <c r="L157" s="239">
        <v>0</v>
      </c>
      <c r="M157" s="239">
        <v>0</v>
      </c>
      <c r="N157" s="239">
        <v>0</v>
      </c>
      <c r="O157" s="239">
        <v>0</v>
      </c>
      <c r="P157" s="239">
        <v>34128445</v>
      </c>
      <c r="Q157" s="214" t="s">
        <v>396</v>
      </c>
      <c r="R157" s="214" t="s">
        <v>836</v>
      </c>
      <c r="S157" s="214" t="s">
        <v>834</v>
      </c>
      <c r="T157" s="214" t="s">
        <v>1158</v>
      </c>
    </row>
    <row r="158" spans="2:20" x14ac:dyDescent="0.2">
      <c r="B158" s="214">
        <v>154</v>
      </c>
      <c r="C158" s="250" t="s">
        <v>399</v>
      </c>
      <c r="D158" s="250" t="s">
        <v>398</v>
      </c>
      <c r="E158" s="239">
        <v>42286544</v>
      </c>
      <c r="F158" s="239">
        <v>0</v>
      </c>
      <c r="G158" s="239">
        <v>463316</v>
      </c>
      <c r="H158" s="239">
        <v>145092</v>
      </c>
      <c r="I158" s="239">
        <v>0</v>
      </c>
      <c r="J158" s="239">
        <v>145092</v>
      </c>
      <c r="K158" s="239">
        <v>0</v>
      </c>
      <c r="L158" s="239">
        <v>0</v>
      </c>
      <c r="M158" s="239">
        <v>0</v>
      </c>
      <c r="N158" s="239">
        <v>0</v>
      </c>
      <c r="O158" s="239">
        <v>0</v>
      </c>
      <c r="P158" s="239">
        <v>41678136</v>
      </c>
      <c r="Q158" s="214" t="s">
        <v>398</v>
      </c>
      <c r="R158" s="214" t="s">
        <v>796</v>
      </c>
      <c r="S158" s="214" t="s">
        <v>761</v>
      </c>
      <c r="T158" s="214" t="s">
        <v>1158</v>
      </c>
    </row>
    <row r="159" spans="2:20" x14ac:dyDescent="0.2">
      <c r="B159" s="214">
        <v>155</v>
      </c>
      <c r="C159" s="250" t="s">
        <v>401</v>
      </c>
      <c r="D159" s="250" t="s">
        <v>400</v>
      </c>
      <c r="E159" s="239">
        <v>189387437</v>
      </c>
      <c r="F159" s="239">
        <v>0</v>
      </c>
      <c r="G159" s="239">
        <v>7185126</v>
      </c>
      <c r="H159" s="239">
        <v>760155</v>
      </c>
      <c r="I159" s="239">
        <v>0</v>
      </c>
      <c r="J159" s="239">
        <v>760155</v>
      </c>
      <c r="K159" s="239">
        <v>0</v>
      </c>
      <c r="L159" s="239">
        <v>0</v>
      </c>
      <c r="M159" s="239">
        <v>0</v>
      </c>
      <c r="N159" s="239">
        <v>0</v>
      </c>
      <c r="O159" s="239">
        <v>0</v>
      </c>
      <c r="P159" s="239">
        <v>181442156</v>
      </c>
      <c r="Q159" s="214" t="s">
        <v>400</v>
      </c>
      <c r="R159" s="214" t="s">
        <v>766</v>
      </c>
      <c r="S159" s="214" t="s">
        <v>772</v>
      </c>
      <c r="T159" s="214" t="s">
        <v>1160</v>
      </c>
    </row>
    <row r="160" spans="2:20" x14ac:dyDescent="0.2">
      <c r="B160" s="214">
        <v>156</v>
      </c>
      <c r="C160" s="250" t="s">
        <v>403</v>
      </c>
      <c r="D160" s="250" t="s">
        <v>402</v>
      </c>
      <c r="E160" s="239">
        <v>65117993</v>
      </c>
      <c r="F160" s="239">
        <v>0</v>
      </c>
      <c r="G160" s="239">
        <v>1227392</v>
      </c>
      <c r="H160" s="239">
        <v>246453</v>
      </c>
      <c r="I160" s="239">
        <v>0</v>
      </c>
      <c r="J160" s="239">
        <v>246453</v>
      </c>
      <c r="K160" s="239">
        <v>0</v>
      </c>
      <c r="L160" s="239">
        <v>0</v>
      </c>
      <c r="M160" s="239">
        <v>0</v>
      </c>
      <c r="N160" s="239">
        <v>0</v>
      </c>
      <c r="O160" s="239">
        <v>0</v>
      </c>
      <c r="P160" s="239">
        <v>63644148</v>
      </c>
      <c r="Q160" s="214" t="s">
        <v>898</v>
      </c>
      <c r="R160" s="214" t="s">
        <v>746</v>
      </c>
      <c r="S160" s="214" t="s">
        <v>896</v>
      </c>
      <c r="T160" s="214" t="s">
        <v>746</v>
      </c>
    </row>
    <row r="161" spans="1:20" x14ac:dyDescent="0.2">
      <c r="B161" s="214">
        <v>157</v>
      </c>
      <c r="C161" s="250" t="s">
        <v>405</v>
      </c>
      <c r="D161" s="250" t="s">
        <v>404</v>
      </c>
      <c r="E161" s="239">
        <v>58336535</v>
      </c>
      <c r="F161" s="239">
        <v>0</v>
      </c>
      <c r="G161" s="239">
        <v>2355796</v>
      </c>
      <c r="H161" s="239">
        <v>203668</v>
      </c>
      <c r="I161" s="239">
        <v>0</v>
      </c>
      <c r="J161" s="239">
        <v>203668</v>
      </c>
      <c r="K161" s="239">
        <v>0</v>
      </c>
      <c r="L161" s="239">
        <v>0</v>
      </c>
      <c r="M161" s="239">
        <v>38808</v>
      </c>
      <c r="N161" s="239">
        <v>38808</v>
      </c>
      <c r="O161" s="239">
        <v>0</v>
      </c>
      <c r="P161" s="239">
        <v>55738263</v>
      </c>
      <c r="Q161" s="214" t="s">
        <v>404</v>
      </c>
      <c r="R161" s="214" t="s">
        <v>824</v>
      </c>
      <c r="S161" s="214" t="s">
        <v>822</v>
      </c>
      <c r="T161" s="214" t="s">
        <v>1158</v>
      </c>
    </row>
    <row r="162" spans="1:20" x14ac:dyDescent="0.2">
      <c r="A162" s="215"/>
      <c r="B162" s="214">
        <v>158</v>
      </c>
      <c r="C162" s="250" t="s">
        <v>407</v>
      </c>
      <c r="D162" s="250" t="s">
        <v>406</v>
      </c>
      <c r="E162" s="239">
        <v>13506853</v>
      </c>
      <c r="F162" s="239">
        <v>154443</v>
      </c>
      <c r="G162" s="239">
        <v>0</v>
      </c>
      <c r="H162" s="239">
        <v>92673</v>
      </c>
      <c r="I162" s="239">
        <v>0</v>
      </c>
      <c r="J162" s="239">
        <v>92673</v>
      </c>
      <c r="K162" s="239">
        <v>0</v>
      </c>
      <c r="L162" s="239">
        <v>0</v>
      </c>
      <c r="M162" s="239">
        <v>755602</v>
      </c>
      <c r="N162" s="239">
        <v>755602</v>
      </c>
      <c r="O162" s="239">
        <v>0</v>
      </c>
      <c r="P162" s="239">
        <v>12813021</v>
      </c>
      <c r="Q162" s="214" t="s">
        <v>406</v>
      </c>
      <c r="R162" s="214" t="s">
        <v>820</v>
      </c>
      <c r="S162" s="214" t="s">
        <v>818</v>
      </c>
      <c r="T162" s="214" t="s">
        <v>1158</v>
      </c>
    </row>
    <row r="163" spans="1:20" x14ac:dyDescent="0.2">
      <c r="B163" s="214">
        <v>159</v>
      </c>
      <c r="C163" s="250" t="s">
        <v>409</v>
      </c>
      <c r="D163" s="250" t="s">
        <v>408</v>
      </c>
      <c r="E163" s="239">
        <v>16292678</v>
      </c>
      <c r="F163" s="239">
        <v>0</v>
      </c>
      <c r="G163" s="239">
        <v>18602</v>
      </c>
      <c r="H163" s="239">
        <v>106758</v>
      </c>
      <c r="I163" s="239">
        <v>0</v>
      </c>
      <c r="J163" s="239">
        <v>106758</v>
      </c>
      <c r="K163" s="239">
        <v>0</v>
      </c>
      <c r="L163" s="239">
        <v>0</v>
      </c>
      <c r="M163" s="239">
        <v>7899</v>
      </c>
      <c r="N163" s="239">
        <v>7899</v>
      </c>
      <c r="O163" s="239">
        <v>0</v>
      </c>
      <c r="P163" s="239">
        <v>16159419</v>
      </c>
      <c r="Q163" s="214" t="s">
        <v>408</v>
      </c>
      <c r="R163" s="214" t="s">
        <v>751</v>
      </c>
      <c r="S163" s="214" t="s">
        <v>749</v>
      </c>
      <c r="T163" s="214" t="s">
        <v>1158</v>
      </c>
    </row>
    <row r="164" spans="1:20" x14ac:dyDescent="0.2">
      <c r="B164" s="214">
        <v>160</v>
      </c>
      <c r="C164" s="250" t="s">
        <v>411</v>
      </c>
      <c r="D164" s="250" t="s">
        <v>410</v>
      </c>
      <c r="E164" s="239">
        <v>340403899</v>
      </c>
      <c r="F164" s="239">
        <v>0</v>
      </c>
      <c r="G164" s="239">
        <v>6340691</v>
      </c>
      <c r="H164" s="239">
        <v>1123710</v>
      </c>
      <c r="I164" s="239">
        <v>0</v>
      </c>
      <c r="J164" s="239">
        <v>1123710</v>
      </c>
      <c r="K164" s="239">
        <v>0</v>
      </c>
      <c r="L164" s="239">
        <v>0</v>
      </c>
      <c r="M164" s="239">
        <v>0</v>
      </c>
      <c r="N164" s="239">
        <v>0</v>
      </c>
      <c r="O164" s="239">
        <v>0</v>
      </c>
      <c r="P164" s="239">
        <v>332939498</v>
      </c>
      <c r="Q164" s="214" t="s">
        <v>410</v>
      </c>
      <c r="R164" s="214" t="s">
        <v>766</v>
      </c>
      <c r="S164" s="214" t="s">
        <v>781</v>
      </c>
      <c r="T164" s="214" t="s">
        <v>1160</v>
      </c>
    </row>
    <row r="165" spans="1:20" x14ac:dyDescent="0.2">
      <c r="B165" s="214">
        <v>161</v>
      </c>
      <c r="C165" s="250" t="s">
        <v>413</v>
      </c>
      <c r="D165" s="250" t="s">
        <v>412</v>
      </c>
      <c r="E165" s="239">
        <v>26321118</v>
      </c>
      <c r="F165" s="239">
        <v>0</v>
      </c>
      <c r="G165" s="239">
        <v>393915</v>
      </c>
      <c r="H165" s="239">
        <v>126789</v>
      </c>
      <c r="I165" s="239">
        <v>0</v>
      </c>
      <c r="J165" s="239">
        <v>126789</v>
      </c>
      <c r="K165" s="239">
        <v>0</v>
      </c>
      <c r="L165" s="239">
        <v>0</v>
      </c>
      <c r="M165" s="239">
        <v>65923</v>
      </c>
      <c r="N165" s="239">
        <v>65923</v>
      </c>
      <c r="O165" s="239">
        <v>0</v>
      </c>
      <c r="P165" s="239">
        <v>25734491</v>
      </c>
      <c r="Q165" s="214" t="s">
        <v>412</v>
      </c>
      <c r="R165" s="214" t="s">
        <v>872</v>
      </c>
      <c r="S165" s="214" t="s">
        <v>870</v>
      </c>
      <c r="T165" s="214" t="s">
        <v>1158</v>
      </c>
    </row>
    <row r="166" spans="1:20" x14ac:dyDescent="0.2">
      <c r="B166" s="214">
        <v>162</v>
      </c>
      <c r="C166" s="250" t="s">
        <v>415</v>
      </c>
      <c r="D166" s="250" t="s">
        <v>414</v>
      </c>
      <c r="E166" s="239">
        <v>84649981</v>
      </c>
      <c r="F166" s="239">
        <v>0</v>
      </c>
      <c r="G166" s="239">
        <v>7693580</v>
      </c>
      <c r="H166" s="239">
        <v>273476</v>
      </c>
      <c r="I166" s="239">
        <v>0</v>
      </c>
      <c r="J166" s="239">
        <v>273476</v>
      </c>
      <c r="K166" s="239">
        <v>0</v>
      </c>
      <c r="L166" s="239">
        <v>0</v>
      </c>
      <c r="M166" s="239">
        <v>0</v>
      </c>
      <c r="N166" s="239">
        <v>0</v>
      </c>
      <c r="O166" s="239">
        <v>0</v>
      </c>
      <c r="P166" s="239">
        <v>76682925</v>
      </c>
      <c r="Q166" s="214" t="s">
        <v>895</v>
      </c>
      <c r="R166" s="214" t="s">
        <v>746</v>
      </c>
      <c r="S166" s="214" t="s">
        <v>822</v>
      </c>
      <c r="T166" s="214" t="s">
        <v>746</v>
      </c>
    </row>
    <row r="167" spans="1:20" x14ac:dyDescent="0.2">
      <c r="B167" s="214">
        <v>163</v>
      </c>
      <c r="C167" s="250" t="s">
        <v>417</v>
      </c>
      <c r="D167" s="250" t="s">
        <v>416</v>
      </c>
      <c r="E167" s="239">
        <v>13364855</v>
      </c>
      <c r="F167" s="239">
        <v>495731</v>
      </c>
      <c r="G167" s="239">
        <v>0</v>
      </c>
      <c r="H167" s="239">
        <v>62450</v>
      </c>
      <c r="I167" s="239">
        <v>0</v>
      </c>
      <c r="J167" s="239">
        <v>62450</v>
      </c>
      <c r="K167" s="239">
        <v>0</v>
      </c>
      <c r="L167" s="239">
        <v>0</v>
      </c>
      <c r="M167" s="239">
        <v>144590</v>
      </c>
      <c r="N167" s="239">
        <v>144590</v>
      </c>
      <c r="O167" s="239">
        <v>0</v>
      </c>
      <c r="P167" s="239">
        <v>13653546</v>
      </c>
      <c r="Q167" s="214" t="s">
        <v>416</v>
      </c>
      <c r="R167" s="214" t="s">
        <v>882</v>
      </c>
      <c r="S167" s="214" t="s">
        <v>867</v>
      </c>
      <c r="T167" s="214" t="s">
        <v>1158</v>
      </c>
    </row>
    <row r="168" spans="1:20" x14ac:dyDescent="0.2">
      <c r="B168" s="214">
        <v>164</v>
      </c>
      <c r="C168" s="250" t="s">
        <v>419</v>
      </c>
      <c r="D168" s="250" t="s">
        <v>418</v>
      </c>
      <c r="E168" s="239">
        <v>37434780</v>
      </c>
      <c r="F168" s="239">
        <v>435513</v>
      </c>
      <c r="G168" s="239">
        <v>0</v>
      </c>
      <c r="H168" s="239">
        <v>165853</v>
      </c>
      <c r="I168" s="239">
        <v>0</v>
      </c>
      <c r="J168" s="239">
        <v>165853</v>
      </c>
      <c r="K168" s="239">
        <v>0</v>
      </c>
      <c r="L168" s="239">
        <v>0</v>
      </c>
      <c r="M168" s="239">
        <v>135318</v>
      </c>
      <c r="N168" s="239">
        <v>135318</v>
      </c>
      <c r="O168" s="239">
        <v>0</v>
      </c>
      <c r="P168" s="239">
        <v>37569122</v>
      </c>
      <c r="Q168" s="214" t="s">
        <v>418</v>
      </c>
      <c r="R168" s="214" t="s">
        <v>792</v>
      </c>
      <c r="S168" s="214" t="s">
        <v>790</v>
      </c>
      <c r="T168" s="214" t="s">
        <v>1158</v>
      </c>
    </row>
    <row r="169" spans="1:20" x14ac:dyDescent="0.2">
      <c r="B169" s="214">
        <v>165</v>
      </c>
      <c r="C169" s="250" t="s">
        <v>421</v>
      </c>
      <c r="D169" s="250" t="s">
        <v>420</v>
      </c>
      <c r="E169" s="239">
        <v>88756308</v>
      </c>
      <c r="F169" s="239">
        <v>0</v>
      </c>
      <c r="G169" s="239">
        <v>1370462</v>
      </c>
      <c r="H169" s="239">
        <v>264360</v>
      </c>
      <c r="I169" s="239">
        <v>0</v>
      </c>
      <c r="J169" s="239">
        <v>264360</v>
      </c>
      <c r="K169" s="239">
        <v>0</v>
      </c>
      <c r="L169" s="239">
        <v>0</v>
      </c>
      <c r="M169" s="239">
        <v>0</v>
      </c>
      <c r="N169" s="239">
        <v>0</v>
      </c>
      <c r="O169" s="239">
        <v>0</v>
      </c>
      <c r="P169" s="239">
        <v>87121486</v>
      </c>
      <c r="Q169" s="214" t="s">
        <v>420</v>
      </c>
      <c r="R169" s="214" t="s">
        <v>788</v>
      </c>
      <c r="S169" s="214" t="s">
        <v>747</v>
      </c>
      <c r="T169" s="214" t="s">
        <v>1159</v>
      </c>
    </row>
    <row r="170" spans="1:20" x14ac:dyDescent="0.2">
      <c r="B170" s="214">
        <v>166</v>
      </c>
      <c r="C170" s="250" t="s">
        <v>423</v>
      </c>
      <c r="D170" s="250" t="s">
        <v>422</v>
      </c>
      <c r="E170" s="239">
        <v>14302392</v>
      </c>
      <c r="F170" s="239">
        <v>27752</v>
      </c>
      <c r="G170" s="239">
        <v>0</v>
      </c>
      <c r="H170" s="239">
        <v>107103</v>
      </c>
      <c r="I170" s="239">
        <v>0</v>
      </c>
      <c r="J170" s="239">
        <v>107103</v>
      </c>
      <c r="K170" s="239">
        <v>0</v>
      </c>
      <c r="L170" s="239">
        <v>0</v>
      </c>
      <c r="M170" s="239">
        <v>115224</v>
      </c>
      <c r="N170" s="239">
        <v>86158</v>
      </c>
      <c r="O170" s="239">
        <v>29066</v>
      </c>
      <c r="P170" s="239">
        <v>14107817</v>
      </c>
      <c r="Q170" s="214" t="s">
        <v>422</v>
      </c>
      <c r="R170" s="214" t="s">
        <v>798</v>
      </c>
      <c r="S170" s="214" t="s">
        <v>790</v>
      </c>
      <c r="T170" s="214" t="s">
        <v>1158</v>
      </c>
    </row>
    <row r="171" spans="1:20" x14ac:dyDescent="0.2">
      <c r="B171" s="214">
        <v>167</v>
      </c>
      <c r="C171" s="250" t="s">
        <v>425</v>
      </c>
      <c r="D171" s="250" t="s">
        <v>424</v>
      </c>
      <c r="E171" s="239">
        <v>20406154</v>
      </c>
      <c r="F171" s="239">
        <v>139881</v>
      </c>
      <c r="G171" s="239">
        <v>0</v>
      </c>
      <c r="H171" s="239">
        <v>127118</v>
      </c>
      <c r="I171" s="239">
        <v>0</v>
      </c>
      <c r="J171" s="239">
        <v>127118</v>
      </c>
      <c r="K171" s="239">
        <v>0</v>
      </c>
      <c r="L171" s="239">
        <v>0</v>
      </c>
      <c r="M171" s="239">
        <v>334742</v>
      </c>
      <c r="N171" s="239">
        <v>152885</v>
      </c>
      <c r="O171" s="239">
        <v>181857</v>
      </c>
      <c r="P171" s="239">
        <v>20084175</v>
      </c>
      <c r="Q171" s="214" t="s">
        <v>424</v>
      </c>
      <c r="R171" s="214" t="s">
        <v>809</v>
      </c>
      <c r="S171" s="214" t="s">
        <v>761</v>
      </c>
      <c r="T171" s="214" t="s">
        <v>1158</v>
      </c>
    </row>
    <row r="172" spans="1:20" x14ac:dyDescent="0.2">
      <c r="B172" s="214">
        <v>168</v>
      </c>
      <c r="C172" s="250" t="s">
        <v>427</v>
      </c>
      <c r="D172" s="250" t="s">
        <v>426</v>
      </c>
      <c r="E172" s="239">
        <v>45074454</v>
      </c>
      <c r="F172" s="239">
        <v>625576</v>
      </c>
      <c r="G172" s="239">
        <v>0</v>
      </c>
      <c r="H172" s="239">
        <v>172939</v>
      </c>
      <c r="I172" s="239">
        <v>0</v>
      </c>
      <c r="J172" s="239">
        <v>172939</v>
      </c>
      <c r="K172" s="239">
        <v>0</v>
      </c>
      <c r="L172" s="239">
        <v>0</v>
      </c>
      <c r="M172" s="239">
        <v>0</v>
      </c>
      <c r="N172" s="239">
        <v>0</v>
      </c>
      <c r="O172" s="239">
        <v>0</v>
      </c>
      <c r="P172" s="239">
        <v>45527091</v>
      </c>
      <c r="Q172" s="214" t="s">
        <v>426</v>
      </c>
      <c r="R172" s="214" t="s">
        <v>762</v>
      </c>
      <c r="S172" s="214" t="s">
        <v>761</v>
      </c>
      <c r="T172" s="214" t="s">
        <v>1158</v>
      </c>
    </row>
    <row r="173" spans="1:20" x14ac:dyDescent="0.2">
      <c r="B173" s="214">
        <v>169</v>
      </c>
      <c r="C173" s="250" t="s">
        <v>429</v>
      </c>
      <c r="D173" s="250" t="s">
        <v>428</v>
      </c>
      <c r="E173" s="239">
        <v>37248569</v>
      </c>
      <c r="F173" s="239">
        <v>0</v>
      </c>
      <c r="G173" s="239">
        <v>5507838</v>
      </c>
      <c r="H173" s="239">
        <v>172412</v>
      </c>
      <c r="I173" s="239">
        <v>0</v>
      </c>
      <c r="J173" s="239">
        <v>172412</v>
      </c>
      <c r="K173" s="239">
        <v>0</v>
      </c>
      <c r="L173" s="239">
        <v>10623</v>
      </c>
      <c r="M173" s="239">
        <v>0</v>
      </c>
      <c r="N173" s="239">
        <v>0</v>
      </c>
      <c r="O173" s="239">
        <v>0</v>
      </c>
      <c r="P173" s="239">
        <v>31557696</v>
      </c>
      <c r="Q173" s="214" t="s">
        <v>894</v>
      </c>
      <c r="R173" s="214" t="s">
        <v>746</v>
      </c>
      <c r="S173" s="214" t="s">
        <v>842</v>
      </c>
      <c r="T173" s="214" t="s">
        <v>746</v>
      </c>
    </row>
    <row r="174" spans="1:20" x14ac:dyDescent="0.2">
      <c r="B174" s="214">
        <v>170</v>
      </c>
      <c r="C174" s="250" t="s">
        <v>431</v>
      </c>
      <c r="D174" s="250" t="s">
        <v>430</v>
      </c>
      <c r="E174" s="239">
        <v>153541903</v>
      </c>
      <c r="F174" s="239">
        <v>0</v>
      </c>
      <c r="G174" s="239">
        <v>924422</v>
      </c>
      <c r="H174" s="239">
        <v>389838</v>
      </c>
      <c r="I174" s="239">
        <v>0</v>
      </c>
      <c r="J174" s="239">
        <v>389838</v>
      </c>
      <c r="K174" s="239">
        <v>0</v>
      </c>
      <c r="L174" s="239">
        <v>0</v>
      </c>
      <c r="M174" s="239">
        <v>160996</v>
      </c>
      <c r="N174" s="239">
        <v>160996</v>
      </c>
      <c r="O174" s="239">
        <v>0</v>
      </c>
      <c r="P174" s="239">
        <v>152066647</v>
      </c>
      <c r="Q174" s="214" t="s">
        <v>893</v>
      </c>
      <c r="R174" s="214" t="s">
        <v>746</v>
      </c>
      <c r="S174" s="214" t="s">
        <v>757</v>
      </c>
      <c r="T174" s="214" t="s">
        <v>746</v>
      </c>
    </row>
    <row r="175" spans="1:20" x14ac:dyDescent="0.2">
      <c r="B175" s="214">
        <v>171</v>
      </c>
      <c r="C175" s="250" t="s">
        <v>433</v>
      </c>
      <c r="D175" s="250" t="s">
        <v>432</v>
      </c>
      <c r="E175" s="239">
        <v>38769356</v>
      </c>
      <c r="F175" s="239">
        <v>2250781</v>
      </c>
      <c r="G175" s="239">
        <v>0</v>
      </c>
      <c r="H175" s="239">
        <v>154884</v>
      </c>
      <c r="I175" s="239">
        <v>0</v>
      </c>
      <c r="J175" s="239">
        <v>154884</v>
      </c>
      <c r="K175" s="239">
        <v>0</v>
      </c>
      <c r="L175" s="239">
        <v>0</v>
      </c>
      <c r="M175" s="239">
        <v>0</v>
      </c>
      <c r="N175" s="239">
        <v>0</v>
      </c>
      <c r="O175" s="239">
        <v>0</v>
      </c>
      <c r="P175" s="239">
        <v>40865253</v>
      </c>
      <c r="Q175" s="214" t="s">
        <v>432</v>
      </c>
      <c r="R175" s="214" t="s">
        <v>770</v>
      </c>
      <c r="S175" s="214" t="s">
        <v>761</v>
      </c>
      <c r="T175" s="214" t="s">
        <v>1158</v>
      </c>
    </row>
    <row r="176" spans="1:20" x14ac:dyDescent="0.2">
      <c r="B176" s="214">
        <v>172</v>
      </c>
      <c r="C176" s="250" t="s">
        <v>435</v>
      </c>
      <c r="D176" s="250" t="s">
        <v>434</v>
      </c>
      <c r="E176" s="239">
        <v>63300914</v>
      </c>
      <c r="F176" s="239">
        <v>987061</v>
      </c>
      <c r="G176" s="239">
        <v>0</v>
      </c>
      <c r="H176" s="239">
        <v>278159</v>
      </c>
      <c r="I176" s="239">
        <v>0</v>
      </c>
      <c r="J176" s="239">
        <v>278159</v>
      </c>
      <c r="K176" s="239">
        <v>0</v>
      </c>
      <c r="L176" s="239">
        <v>0</v>
      </c>
      <c r="M176" s="239">
        <v>11909</v>
      </c>
      <c r="N176" s="239">
        <v>11909</v>
      </c>
      <c r="O176" s="239">
        <v>0</v>
      </c>
      <c r="P176" s="239">
        <v>63997907</v>
      </c>
      <c r="Q176" s="214" t="s">
        <v>434</v>
      </c>
      <c r="R176" s="214" t="s">
        <v>777</v>
      </c>
      <c r="S176" s="214" t="s">
        <v>775</v>
      </c>
      <c r="T176" s="214" t="s">
        <v>1158</v>
      </c>
    </row>
    <row r="177" spans="2:20" x14ac:dyDescent="0.2">
      <c r="B177" s="214">
        <v>173</v>
      </c>
      <c r="C177" s="250" t="s">
        <v>437</v>
      </c>
      <c r="D177" s="250" t="s">
        <v>436</v>
      </c>
      <c r="E177" s="239">
        <v>40801105</v>
      </c>
      <c r="F177" s="239">
        <v>1359744</v>
      </c>
      <c r="G177" s="239">
        <v>0</v>
      </c>
      <c r="H177" s="239">
        <v>164307</v>
      </c>
      <c r="I177" s="239">
        <v>0</v>
      </c>
      <c r="J177" s="239">
        <v>164307</v>
      </c>
      <c r="K177" s="239">
        <v>0</v>
      </c>
      <c r="L177" s="239">
        <v>0</v>
      </c>
      <c r="M177" s="239">
        <v>713271</v>
      </c>
      <c r="N177" s="239">
        <v>597251</v>
      </c>
      <c r="O177" s="239">
        <v>116020</v>
      </c>
      <c r="P177" s="239">
        <v>41283271</v>
      </c>
      <c r="Q177" s="214" t="s">
        <v>892</v>
      </c>
      <c r="R177" s="214" t="s">
        <v>872</v>
      </c>
      <c r="S177" s="214" t="s">
        <v>870</v>
      </c>
      <c r="T177" s="214" t="s">
        <v>1158</v>
      </c>
    </row>
    <row r="178" spans="2:20" x14ac:dyDescent="0.2">
      <c r="B178" s="214">
        <v>174</v>
      </c>
      <c r="C178" s="250" t="s">
        <v>439</v>
      </c>
      <c r="D178" s="250" t="s">
        <v>1065</v>
      </c>
      <c r="E178" s="239">
        <v>147752866</v>
      </c>
      <c r="F178" s="239">
        <v>0</v>
      </c>
      <c r="G178" s="239">
        <v>11168790</v>
      </c>
      <c r="H178" s="239">
        <v>463069</v>
      </c>
      <c r="I178" s="239">
        <v>0</v>
      </c>
      <c r="J178" s="239">
        <v>463069</v>
      </c>
      <c r="K178" s="239">
        <v>0</v>
      </c>
      <c r="L178" s="239">
        <v>1966079</v>
      </c>
      <c r="M178" s="239">
        <v>0</v>
      </c>
      <c r="N178" s="239">
        <v>0</v>
      </c>
      <c r="O178" s="239">
        <v>0</v>
      </c>
      <c r="P178" s="239">
        <v>134154928</v>
      </c>
      <c r="Q178" s="214" t="s">
        <v>438</v>
      </c>
      <c r="R178" s="214" t="s">
        <v>766</v>
      </c>
      <c r="S178" s="214" t="s">
        <v>839</v>
      </c>
      <c r="T178" s="214" t="s">
        <v>1160</v>
      </c>
    </row>
    <row r="179" spans="2:20" x14ac:dyDescent="0.2">
      <c r="B179" s="214">
        <v>175</v>
      </c>
      <c r="C179" s="250" t="s">
        <v>441</v>
      </c>
      <c r="D179" s="250" t="s">
        <v>440</v>
      </c>
      <c r="E179" s="239">
        <v>31606447</v>
      </c>
      <c r="F179" s="239">
        <v>0</v>
      </c>
      <c r="G179" s="239">
        <v>907101</v>
      </c>
      <c r="H179" s="239">
        <v>137513</v>
      </c>
      <c r="I179" s="239">
        <v>0</v>
      </c>
      <c r="J179" s="239">
        <v>137513</v>
      </c>
      <c r="K179" s="239">
        <v>0</v>
      </c>
      <c r="L179" s="239">
        <v>0</v>
      </c>
      <c r="M179" s="239">
        <v>0</v>
      </c>
      <c r="N179" s="239">
        <v>0</v>
      </c>
      <c r="O179" s="239">
        <v>0</v>
      </c>
      <c r="P179" s="239">
        <v>30561833</v>
      </c>
      <c r="Q179" s="214" t="s">
        <v>440</v>
      </c>
      <c r="R179" s="214" t="s">
        <v>836</v>
      </c>
      <c r="S179" s="214" t="s">
        <v>834</v>
      </c>
      <c r="T179" s="214" t="s">
        <v>1158</v>
      </c>
    </row>
    <row r="180" spans="2:20" x14ac:dyDescent="0.2">
      <c r="B180" s="214">
        <v>176</v>
      </c>
      <c r="C180" s="250" t="s">
        <v>443</v>
      </c>
      <c r="D180" s="250" t="s">
        <v>442</v>
      </c>
      <c r="E180" s="239">
        <v>142810251</v>
      </c>
      <c r="F180" s="239">
        <v>4952031</v>
      </c>
      <c r="G180" s="239">
        <v>0</v>
      </c>
      <c r="H180" s="239">
        <v>381427</v>
      </c>
      <c r="I180" s="239">
        <v>0</v>
      </c>
      <c r="J180" s="239">
        <v>381427</v>
      </c>
      <c r="K180" s="239">
        <v>0</v>
      </c>
      <c r="L180" s="239">
        <v>576599</v>
      </c>
      <c r="M180" s="239">
        <v>0</v>
      </c>
      <c r="N180" s="239">
        <v>0</v>
      </c>
      <c r="O180" s="239">
        <v>0</v>
      </c>
      <c r="P180" s="239">
        <v>146804256</v>
      </c>
      <c r="Q180" s="214" t="s">
        <v>442</v>
      </c>
      <c r="R180" s="214" t="s">
        <v>788</v>
      </c>
      <c r="S180" s="214" t="s">
        <v>747</v>
      </c>
      <c r="T180" s="214" t="s">
        <v>1159</v>
      </c>
    </row>
    <row r="181" spans="2:20" x14ac:dyDescent="0.2">
      <c r="B181" s="214">
        <v>177</v>
      </c>
      <c r="C181" s="250" t="s">
        <v>445</v>
      </c>
      <c r="D181" s="250" t="s">
        <v>444</v>
      </c>
      <c r="E181" s="239">
        <v>31430506</v>
      </c>
      <c r="F181" s="239">
        <v>0</v>
      </c>
      <c r="G181" s="239">
        <v>1139241</v>
      </c>
      <c r="H181" s="239">
        <v>201008</v>
      </c>
      <c r="I181" s="239">
        <v>0</v>
      </c>
      <c r="J181" s="239">
        <v>201008</v>
      </c>
      <c r="K181" s="239">
        <v>0</v>
      </c>
      <c r="L181" s="239">
        <v>0</v>
      </c>
      <c r="M181" s="239">
        <v>358395</v>
      </c>
      <c r="N181" s="239">
        <v>358395</v>
      </c>
      <c r="O181" s="239">
        <v>0</v>
      </c>
      <c r="P181" s="239">
        <v>29731862</v>
      </c>
      <c r="Q181" s="214" t="s">
        <v>444</v>
      </c>
      <c r="R181" s="214" t="s">
        <v>798</v>
      </c>
      <c r="S181" s="214" t="s">
        <v>790</v>
      </c>
      <c r="T181" s="214" t="s">
        <v>1158</v>
      </c>
    </row>
    <row r="182" spans="2:20" x14ac:dyDescent="0.2">
      <c r="B182" s="214">
        <v>178</v>
      </c>
      <c r="C182" s="250" t="s">
        <v>447</v>
      </c>
      <c r="D182" s="250" t="s">
        <v>446</v>
      </c>
      <c r="E182" s="239">
        <v>11699329</v>
      </c>
      <c r="F182" s="239">
        <v>153719</v>
      </c>
      <c r="G182" s="239">
        <v>0</v>
      </c>
      <c r="H182" s="239">
        <v>92680</v>
      </c>
      <c r="I182" s="239">
        <v>0</v>
      </c>
      <c r="J182" s="239">
        <v>92680</v>
      </c>
      <c r="K182" s="239">
        <v>0</v>
      </c>
      <c r="L182" s="239">
        <v>0</v>
      </c>
      <c r="M182" s="239">
        <v>167952</v>
      </c>
      <c r="N182" s="239">
        <v>167952</v>
      </c>
      <c r="O182" s="239">
        <v>0</v>
      </c>
      <c r="P182" s="239">
        <v>11592416</v>
      </c>
      <c r="Q182" s="214" t="s">
        <v>446</v>
      </c>
      <c r="R182" s="214" t="s">
        <v>785</v>
      </c>
      <c r="S182" s="214" t="s">
        <v>783</v>
      </c>
      <c r="T182" s="214" t="s">
        <v>1158</v>
      </c>
    </row>
    <row r="183" spans="2:20" x14ac:dyDescent="0.2">
      <c r="B183" s="214">
        <v>179</v>
      </c>
      <c r="C183" s="250" t="s">
        <v>449</v>
      </c>
      <c r="D183" s="250" t="s">
        <v>448</v>
      </c>
      <c r="E183" s="239">
        <v>14396897</v>
      </c>
      <c r="F183" s="239">
        <v>766281</v>
      </c>
      <c r="G183" s="239">
        <v>0</v>
      </c>
      <c r="H183" s="239">
        <v>98640</v>
      </c>
      <c r="I183" s="239">
        <v>0</v>
      </c>
      <c r="J183" s="239">
        <v>98640</v>
      </c>
      <c r="K183" s="239">
        <v>0</v>
      </c>
      <c r="L183" s="239">
        <v>0</v>
      </c>
      <c r="M183" s="239">
        <v>0</v>
      </c>
      <c r="N183" s="239">
        <v>0</v>
      </c>
      <c r="O183" s="239">
        <v>0</v>
      </c>
      <c r="P183" s="239">
        <v>15064538</v>
      </c>
      <c r="Q183" s="214" t="s">
        <v>448</v>
      </c>
      <c r="R183" s="214" t="s">
        <v>856</v>
      </c>
      <c r="S183" s="214" t="s">
        <v>854</v>
      </c>
      <c r="T183" s="214" t="s">
        <v>1158</v>
      </c>
    </row>
    <row r="184" spans="2:20" x14ac:dyDescent="0.2">
      <c r="B184" s="214">
        <v>180</v>
      </c>
      <c r="C184" s="250" t="s">
        <v>451</v>
      </c>
      <c r="D184" s="250" t="s">
        <v>450</v>
      </c>
      <c r="E184" s="239">
        <v>68373575</v>
      </c>
      <c r="F184" s="239">
        <v>0</v>
      </c>
      <c r="G184" s="239">
        <v>8856371</v>
      </c>
      <c r="H184" s="239">
        <v>226742</v>
      </c>
      <c r="I184" s="239">
        <v>0</v>
      </c>
      <c r="J184" s="239">
        <v>226742</v>
      </c>
      <c r="K184" s="239">
        <v>0</v>
      </c>
      <c r="L184" s="239">
        <v>0</v>
      </c>
      <c r="M184" s="239">
        <v>112883</v>
      </c>
      <c r="N184" s="239">
        <v>112883</v>
      </c>
      <c r="O184" s="239">
        <v>0</v>
      </c>
      <c r="P184" s="239">
        <v>59177579</v>
      </c>
      <c r="Q184" s="214" t="s">
        <v>891</v>
      </c>
      <c r="R184" s="214" t="s">
        <v>746</v>
      </c>
      <c r="S184" s="214" t="s">
        <v>888</v>
      </c>
      <c r="T184" s="214" t="s">
        <v>746</v>
      </c>
    </row>
    <row r="185" spans="2:20" x14ac:dyDescent="0.2">
      <c r="B185" s="214">
        <v>181</v>
      </c>
      <c r="C185" s="250" t="s">
        <v>453</v>
      </c>
      <c r="D185" s="250" t="s">
        <v>452</v>
      </c>
      <c r="E185" s="239">
        <v>36750470</v>
      </c>
      <c r="F185" s="239">
        <v>0</v>
      </c>
      <c r="G185" s="239">
        <v>379336</v>
      </c>
      <c r="H185" s="239">
        <v>179886</v>
      </c>
      <c r="I185" s="239">
        <v>0</v>
      </c>
      <c r="J185" s="239">
        <v>179886</v>
      </c>
      <c r="K185" s="239">
        <v>0</v>
      </c>
      <c r="L185" s="239">
        <v>0</v>
      </c>
      <c r="M185" s="239">
        <v>30587</v>
      </c>
      <c r="N185" s="239">
        <v>30587</v>
      </c>
      <c r="O185" s="239">
        <v>0</v>
      </c>
      <c r="P185" s="239">
        <v>36160661</v>
      </c>
      <c r="Q185" s="214" t="s">
        <v>452</v>
      </c>
      <c r="R185" s="214" t="s">
        <v>801</v>
      </c>
      <c r="S185" s="214" t="s">
        <v>761</v>
      </c>
      <c r="T185" s="214" t="s">
        <v>1158</v>
      </c>
    </row>
    <row r="186" spans="2:20" x14ac:dyDescent="0.2">
      <c r="B186" s="214">
        <v>182</v>
      </c>
      <c r="C186" s="250" t="s">
        <v>455</v>
      </c>
      <c r="D186" s="250" t="s">
        <v>454</v>
      </c>
      <c r="E186" s="239">
        <v>24738520</v>
      </c>
      <c r="F186" s="239">
        <v>723996</v>
      </c>
      <c r="G186" s="239">
        <v>0</v>
      </c>
      <c r="H186" s="239">
        <v>124359</v>
      </c>
      <c r="I186" s="239">
        <v>0</v>
      </c>
      <c r="J186" s="239">
        <v>124359</v>
      </c>
      <c r="K186" s="239">
        <v>0</v>
      </c>
      <c r="L186" s="239">
        <v>0</v>
      </c>
      <c r="M186" s="239">
        <v>1677901</v>
      </c>
      <c r="N186" s="239">
        <v>1544314</v>
      </c>
      <c r="O186" s="239">
        <v>133587</v>
      </c>
      <c r="P186" s="239">
        <v>23660256</v>
      </c>
      <c r="Q186" s="214" t="s">
        <v>454</v>
      </c>
      <c r="R186" s="214" t="s">
        <v>796</v>
      </c>
      <c r="S186" s="214" t="s">
        <v>761</v>
      </c>
      <c r="T186" s="214" t="s">
        <v>1158</v>
      </c>
    </row>
    <row r="187" spans="2:20" x14ac:dyDescent="0.2">
      <c r="B187" s="214">
        <v>183</v>
      </c>
      <c r="C187" s="250" t="s">
        <v>457</v>
      </c>
      <c r="D187" s="250" t="s">
        <v>456</v>
      </c>
      <c r="E187" s="239">
        <v>73420766</v>
      </c>
      <c r="F187" s="239">
        <v>0</v>
      </c>
      <c r="G187" s="239">
        <v>12747779</v>
      </c>
      <c r="H187" s="239">
        <v>238111</v>
      </c>
      <c r="I187" s="239">
        <v>0</v>
      </c>
      <c r="J187" s="239">
        <v>238111</v>
      </c>
      <c r="K187" s="239">
        <v>0</v>
      </c>
      <c r="L187" s="239">
        <v>1116229</v>
      </c>
      <c r="M187" s="239">
        <v>2531277</v>
      </c>
      <c r="N187" s="239">
        <v>2531277</v>
      </c>
      <c r="O187" s="239">
        <v>0</v>
      </c>
      <c r="P187" s="239">
        <v>56787370</v>
      </c>
      <c r="Q187" s="214" t="s">
        <v>890</v>
      </c>
      <c r="R187" s="214" t="s">
        <v>746</v>
      </c>
      <c r="S187" s="214" t="s">
        <v>888</v>
      </c>
      <c r="T187" s="214" t="s">
        <v>746</v>
      </c>
    </row>
    <row r="188" spans="2:20" x14ac:dyDescent="0.2">
      <c r="B188" s="214">
        <v>184</v>
      </c>
      <c r="C188" s="250" t="s">
        <v>459</v>
      </c>
      <c r="D188" s="250" t="s">
        <v>458</v>
      </c>
      <c r="E188" s="239">
        <v>22970613</v>
      </c>
      <c r="F188" s="239">
        <v>2466701</v>
      </c>
      <c r="G188" s="239">
        <v>0</v>
      </c>
      <c r="H188" s="239">
        <v>247838</v>
      </c>
      <c r="I188" s="239">
        <v>0</v>
      </c>
      <c r="J188" s="239">
        <v>247838</v>
      </c>
      <c r="K188" s="239">
        <v>0</v>
      </c>
      <c r="L188" s="239">
        <v>121565</v>
      </c>
      <c r="M188" s="239">
        <v>672679</v>
      </c>
      <c r="N188" s="239">
        <v>672679</v>
      </c>
      <c r="O188" s="239">
        <v>0</v>
      </c>
      <c r="P188" s="239">
        <v>24395232</v>
      </c>
      <c r="Q188" s="214" t="s">
        <v>458</v>
      </c>
      <c r="R188" s="214" t="s">
        <v>847</v>
      </c>
      <c r="S188" s="214" t="s">
        <v>761</v>
      </c>
      <c r="T188" s="214" t="s">
        <v>1158</v>
      </c>
    </row>
    <row r="189" spans="2:20" x14ac:dyDescent="0.2">
      <c r="B189" s="214">
        <v>185</v>
      </c>
      <c r="C189" s="250" t="s">
        <v>461</v>
      </c>
      <c r="D189" s="250" t="s">
        <v>460</v>
      </c>
      <c r="E189" s="239">
        <v>59669545</v>
      </c>
      <c r="F189" s="239">
        <v>0</v>
      </c>
      <c r="G189" s="239">
        <v>1322602</v>
      </c>
      <c r="H189" s="239">
        <v>261366</v>
      </c>
      <c r="I189" s="239">
        <v>0</v>
      </c>
      <c r="J189" s="239">
        <v>261366</v>
      </c>
      <c r="K189" s="239">
        <v>0</v>
      </c>
      <c r="L189" s="239">
        <v>361783</v>
      </c>
      <c r="M189" s="239">
        <v>165376</v>
      </c>
      <c r="N189" s="239">
        <v>165376</v>
      </c>
      <c r="O189" s="239">
        <v>0</v>
      </c>
      <c r="P189" s="239">
        <v>57558418</v>
      </c>
      <c r="Q189" s="214" t="s">
        <v>887</v>
      </c>
      <c r="R189" s="214" t="s">
        <v>746</v>
      </c>
      <c r="S189" s="214" t="s">
        <v>851</v>
      </c>
      <c r="T189" s="214" t="s">
        <v>746</v>
      </c>
    </row>
    <row r="190" spans="2:20" x14ac:dyDescent="0.2">
      <c r="B190" s="214">
        <v>186</v>
      </c>
      <c r="C190" s="250" t="s">
        <v>463</v>
      </c>
      <c r="D190" s="250" t="s">
        <v>462</v>
      </c>
      <c r="E190" s="239">
        <v>57628679</v>
      </c>
      <c r="F190" s="239">
        <v>0</v>
      </c>
      <c r="G190" s="239">
        <v>2850949</v>
      </c>
      <c r="H190" s="239">
        <v>226812</v>
      </c>
      <c r="I190" s="239">
        <v>0</v>
      </c>
      <c r="J190" s="239">
        <v>226812</v>
      </c>
      <c r="K190" s="239">
        <v>0</v>
      </c>
      <c r="L190" s="239">
        <v>137545</v>
      </c>
      <c r="M190" s="239">
        <v>0</v>
      </c>
      <c r="N190" s="239">
        <v>0</v>
      </c>
      <c r="O190" s="239">
        <v>0</v>
      </c>
      <c r="P190" s="239">
        <v>54413373</v>
      </c>
      <c r="Q190" s="214" t="s">
        <v>462</v>
      </c>
      <c r="R190" s="214" t="s">
        <v>766</v>
      </c>
      <c r="S190" s="214" t="s">
        <v>839</v>
      </c>
      <c r="T190" s="214" t="s">
        <v>1160</v>
      </c>
    </row>
    <row r="191" spans="2:20" x14ac:dyDescent="0.2">
      <c r="B191" s="214">
        <v>187</v>
      </c>
      <c r="C191" s="250" t="s">
        <v>465</v>
      </c>
      <c r="D191" s="250" t="s">
        <v>464</v>
      </c>
      <c r="E191" s="239">
        <v>46321737</v>
      </c>
      <c r="F191" s="239">
        <v>0</v>
      </c>
      <c r="G191" s="239">
        <v>170051</v>
      </c>
      <c r="H191" s="239">
        <v>107553</v>
      </c>
      <c r="I191" s="239">
        <v>0</v>
      </c>
      <c r="J191" s="239">
        <v>107553</v>
      </c>
      <c r="K191" s="239">
        <v>0</v>
      </c>
      <c r="L191" s="239">
        <v>0</v>
      </c>
      <c r="M191" s="239">
        <v>0</v>
      </c>
      <c r="N191" s="239">
        <v>0</v>
      </c>
      <c r="O191" s="239">
        <v>0</v>
      </c>
      <c r="P191" s="239">
        <v>46044133</v>
      </c>
      <c r="Q191" s="214" t="s">
        <v>464</v>
      </c>
      <c r="R191" s="214" t="s">
        <v>811</v>
      </c>
      <c r="S191" s="214" t="s">
        <v>761</v>
      </c>
      <c r="T191" s="214" t="s">
        <v>1158</v>
      </c>
    </row>
    <row r="192" spans="2:20" x14ac:dyDescent="0.2">
      <c r="B192" s="214">
        <v>188</v>
      </c>
      <c r="C192" s="250" t="s">
        <v>467</v>
      </c>
      <c r="D192" s="250" t="s">
        <v>466</v>
      </c>
      <c r="E192" s="239">
        <v>58256693</v>
      </c>
      <c r="F192" s="239">
        <v>343651</v>
      </c>
      <c r="G192" s="239">
        <v>0</v>
      </c>
      <c r="H192" s="239">
        <v>145430</v>
      </c>
      <c r="I192" s="239">
        <v>0</v>
      </c>
      <c r="J192" s="239">
        <v>145430</v>
      </c>
      <c r="K192" s="239">
        <v>0</v>
      </c>
      <c r="L192" s="239">
        <v>0</v>
      </c>
      <c r="M192" s="239">
        <v>204059</v>
      </c>
      <c r="N192" s="239">
        <v>204059</v>
      </c>
      <c r="O192" s="239">
        <v>0</v>
      </c>
      <c r="P192" s="239">
        <v>58250855</v>
      </c>
      <c r="Q192" s="214" t="s">
        <v>466</v>
      </c>
      <c r="R192" s="214" t="s">
        <v>882</v>
      </c>
      <c r="S192" s="214" t="s">
        <v>867</v>
      </c>
      <c r="T192" s="214" t="s">
        <v>1158</v>
      </c>
    </row>
    <row r="193" spans="1:20" x14ac:dyDescent="0.2">
      <c r="A193" s="215"/>
      <c r="B193" s="214">
        <v>189</v>
      </c>
      <c r="C193" s="250" t="s">
        <v>469</v>
      </c>
      <c r="D193" s="250" t="s">
        <v>468</v>
      </c>
      <c r="E193" s="239">
        <v>99706857</v>
      </c>
      <c r="F193" s="239">
        <v>0</v>
      </c>
      <c r="G193" s="239">
        <v>5231436</v>
      </c>
      <c r="H193" s="239">
        <v>282973</v>
      </c>
      <c r="I193" s="239">
        <v>0</v>
      </c>
      <c r="J193" s="239">
        <v>282973</v>
      </c>
      <c r="K193" s="239">
        <v>0</v>
      </c>
      <c r="L193" s="239">
        <v>1260524</v>
      </c>
      <c r="M193" s="239">
        <v>0</v>
      </c>
      <c r="N193" s="239">
        <v>0</v>
      </c>
      <c r="O193" s="239">
        <v>0</v>
      </c>
      <c r="P193" s="239">
        <v>92931924</v>
      </c>
      <c r="Q193" s="214" t="s">
        <v>468</v>
      </c>
      <c r="R193" s="214" t="s">
        <v>803</v>
      </c>
      <c r="S193" s="214" t="s">
        <v>761</v>
      </c>
      <c r="T193" s="214" t="s">
        <v>1158</v>
      </c>
    </row>
    <row r="194" spans="1:20" x14ac:dyDescent="0.2">
      <c r="B194" s="214">
        <v>190</v>
      </c>
      <c r="C194" s="250" t="s">
        <v>471</v>
      </c>
      <c r="D194" s="250" t="s">
        <v>470</v>
      </c>
      <c r="E194" s="239">
        <v>77178691</v>
      </c>
      <c r="F194" s="239">
        <v>1585005</v>
      </c>
      <c r="G194" s="239">
        <v>0</v>
      </c>
      <c r="H194" s="239">
        <v>479269</v>
      </c>
      <c r="I194" s="239">
        <v>0</v>
      </c>
      <c r="J194" s="239">
        <v>479269</v>
      </c>
      <c r="K194" s="239">
        <v>0</v>
      </c>
      <c r="L194" s="239">
        <v>132378</v>
      </c>
      <c r="M194" s="239">
        <v>2981307</v>
      </c>
      <c r="N194" s="239">
        <v>2981307</v>
      </c>
      <c r="O194" s="239">
        <v>0</v>
      </c>
      <c r="P194" s="239">
        <v>75170742</v>
      </c>
      <c r="Q194" s="214" t="s">
        <v>470</v>
      </c>
      <c r="R194" s="214" t="s">
        <v>746</v>
      </c>
      <c r="S194" s="214" t="s">
        <v>761</v>
      </c>
      <c r="T194" s="214" t="s">
        <v>746</v>
      </c>
    </row>
    <row r="195" spans="1:20" x14ac:dyDescent="0.2">
      <c r="B195" s="214">
        <v>191</v>
      </c>
      <c r="C195" s="250" t="s">
        <v>473</v>
      </c>
      <c r="D195" s="250" t="s">
        <v>472</v>
      </c>
      <c r="E195" s="239">
        <v>74512549</v>
      </c>
      <c r="F195" s="239">
        <v>0</v>
      </c>
      <c r="G195" s="239">
        <v>1569830</v>
      </c>
      <c r="H195" s="239">
        <v>270765</v>
      </c>
      <c r="I195" s="239">
        <v>0</v>
      </c>
      <c r="J195" s="239">
        <v>270765</v>
      </c>
      <c r="K195" s="239">
        <v>0</v>
      </c>
      <c r="L195" s="239">
        <v>0</v>
      </c>
      <c r="M195" s="239">
        <v>0</v>
      </c>
      <c r="N195" s="239">
        <v>0</v>
      </c>
      <c r="O195" s="239">
        <v>0</v>
      </c>
      <c r="P195" s="239">
        <v>72671954</v>
      </c>
      <c r="Q195" s="214" t="s">
        <v>472</v>
      </c>
      <c r="R195" s="214" t="s">
        <v>847</v>
      </c>
      <c r="S195" s="214" t="s">
        <v>761</v>
      </c>
      <c r="T195" s="214" t="s">
        <v>1158</v>
      </c>
    </row>
    <row r="196" spans="1:20" x14ac:dyDescent="0.2">
      <c r="B196" s="214">
        <v>192</v>
      </c>
      <c r="C196" s="250" t="s">
        <v>475</v>
      </c>
      <c r="D196" s="250" t="s">
        <v>474</v>
      </c>
      <c r="E196" s="239">
        <v>132084890</v>
      </c>
      <c r="F196" s="239">
        <v>4197274</v>
      </c>
      <c r="G196" s="239">
        <v>0</v>
      </c>
      <c r="H196" s="239">
        <v>493121</v>
      </c>
      <c r="I196" s="239">
        <v>0</v>
      </c>
      <c r="J196" s="239">
        <v>493121</v>
      </c>
      <c r="K196" s="239">
        <v>0</v>
      </c>
      <c r="L196" s="239">
        <v>0</v>
      </c>
      <c r="M196" s="239">
        <v>0</v>
      </c>
      <c r="N196" s="239">
        <v>0</v>
      </c>
      <c r="O196" s="239">
        <v>0</v>
      </c>
      <c r="P196" s="239">
        <v>135789043</v>
      </c>
      <c r="Q196" s="214" t="s">
        <v>886</v>
      </c>
      <c r="R196" s="214" t="s">
        <v>746</v>
      </c>
      <c r="S196" s="214" t="s">
        <v>870</v>
      </c>
      <c r="T196" s="214" t="s">
        <v>746</v>
      </c>
    </row>
    <row r="197" spans="1:20" x14ac:dyDescent="0.2">
      <c r="B197" s="214">
        <v>193</v>
      </c>
      <c r="C197" s="250" t="s">
        <v>477</v>
      </c>
      <c r="D197" s="250" t="s">
        <v>476</v>
      </c>
      <c r="E197" s="239">
        <v>34403673</v>
      </c>
      <c r="F197" s="239">
        <v>0</v>
      </c>
      <c r="G197" s="239">
        <v>1282062</v>
      </c>
      <c r="H197" s="239">
        <v>130142</v>
      </c>
      <c r="I197" s="239">
        <v>0</v>
      </c>
      <c r="J197" s="239">
        <v>130142</v>
      </c>
      <c r="K197" s="239">
        <v>0</v>
      </c>
      <c r="L197" s="239">
        <v>0</v>
      </c>
      <c r="M197" s="239">
        <v>0</v>
      </c>
      <c r="N197" s="239">
        <v>0</v>
      </c>
      <c r="O197" s="239">
        <v>0</v>
      </c>
      <c r="P197" s="239">
        <v>32991469</v>
      </c>
      <c r="Q197" s="214" t="s">
        <v>885</v>
      </c>
      <c r="R197" s="214" t="s">
        <v>811</v>
      </c>
      <c r="S197" s="214" t="s">
        <v>761</v>
      </c>
      <c r="T197" s="214" t="s">
        <v>1158</v>
      </c>
    </row>
    <row r="198" spans="1:20" x14ac:dyDescent="0.2">
      <c r="B198" s="214">
        <v>194</v>
      </c>
      <c r="C198" s="250" t="s">
        <v>479</v>
      </c>
      <c r="D198" s="250" t="s">
        <v>478</v>
      </c>
      <c r="E198" s="239">
        <v>11439282</v>
      </c>
      <c r="F198" s="239">
        <v>420004</v>
      </c>
      <c r="G198" s="239">
        <v>0</v>
      </c>
      <c r="H198" s="239">
        <v>55691</v>
      </c>
      <c r="I198" s="239">
        <v>0</v>
      </c>
      <c r="J198" s="239">
        <v>55691</v>
      </c>
      <c r="K198" s="239">
        <v>0</v>
      </c>
      <c r="L198" s="239">
        <v>0</v>
      </c>
      <c r="M198" s="239">
        <v>8039</v>
      </c>
      <c r="N198" s="239">
        <v>8039</v>
      </c>
      <c r="O198" s="239">
        <v>0</v>
      </c>
      <c r="P198" s="239">
        <v>11795556</v>
      </c>
      <c r="Q198" s="214" t="s">
        <v>884</v>
      </c>
      <c r="R198" s="214" t="s">
        <v>882</v>
      </c>
      <c r="S198" s="214" t="s">
        <v>867</v>
      </c>
      <c r="T198" s="214" t="s">
        <v>1158</v>
      </c>
    </row>
    <row r="199" spans="1:20" x14ac:dyDescent="0.2">
      <c r="B199" s="214">
        <v>195</v>
      </c>
      <c r="C199" s="250" t="s">
        <v>481</v>
      </c>
      <c r="D199" s="250" t="s">
        <v>480</v>
      </c>
      <c r="E199" s="239">
        <v>58893635</v>
      </c>
      <c r="F199" s="239">
        <v>0</v>
      </c>
      <c r="G199" s="239">
        <v>3213985</v>
      </c>
      <c r="H199" s="239">
        <v>307642</v>
      </c>
      <c r="I199" s="239">
        <v>0</v>
      </c>
      <c r="J199" s="239">
        <v>307642</v>
      </c>
      <c r="K199" s="239">
        <v>0</v>
      </c>
      <c r="L199" s="239">
        <v>0</v>
      </c>
      <c r="M199" s="239">
        <v>0</v>
      </c>
      <c r="N199" s="239">
        <v>0</v>
      </c>
      <c r="O199" s="239">
        <v>0</v>
      </c>
      <c r="P199" s="239">
        <v>55372008</v>
      </c>
      <c r="Q199" s="214" t="s">
        <v>480</v>
      </c>
      <c r="R199" s="214" t="s">
        <v>766</v>
      </c>
      <c r="S199" s="214" t="s">
        <v>781</v>
      </c>
      <c r="T199" s="214" t="s">
        <v>1160</v>
      </c>
    </row>
    <row r="200" spans="1:20" x14ac:dyDescent="0.2">
      <c r="B200" s="214">
        <v>196</v>
      </c>
      <c r="C200" s="250" t="s">
        <v>483</v>
      </c>
      <c r="D200" s="250" t="s">
        <v>482</v>
      </c>
      <c r="E200" s="239">
        <v>92442394</v>
      </c>
      <c r="F200" s="239">
        <v>0</v>
      </c>
      <c r="G200" s="239">
        <v>977289</v>
      </c>
      <c r="H200" s="239">
        <v>218144</v>
      </c>
      <c r="I200" s="239">
        <v>0</v>
      </c>
      <c r="J200" s="239">
        <v>218144</v>
      </c>
      <c r="K200" s="239">
        <v>0</v>
      </c>
      <c r="L200" s="239">
        <v>0</v>
      </c>
      <c r="M200" s="239">
        <v>12587</v>
      </c>
      <c r="N200" s="239">
        <v>11078</v>
      </c>
      <c r="O200" s="239">
        <v>1509</v>
      </c>
      <c r="P200" s="239">
        <v>91234374</v>
      </c>
      <c r="Q200" s="214" t="s">
        <v>482</v>
      </c>
      <c r="R200" s="214" t="s">
        <v>794</v>
      </c>
      <c r="S200" s="214" t="s">
        <v>761</v>
      </c>
      <c r="T200" s="214" t="s">
        <v>1158</v>
      </c>
    </row>
    <row r="201" spans="1:20" x14ac:dyDescent="0.2">
      <c r="B201" s="214">
        <v>197</v>
      </c>
      <c r="C201" s="250" t="s">
        <v>485</v>
      </c>
      <c r="D201" s="250" t="s">
        <v>484</v>
      </c>
      <c r="E201" s="239">
        <v>18846824</v>
      </c>
      <c r="F201" s="239">
        <v>0</v>
      </c>
      <c r="G201" s="239">
        <v>815527</v>
      </c>
      <c r="H201" s="239">
        <v>133965</v>
      </c>
      <c r="I201" s="239">
        <v>0</v>
      </c>
      <c r="J201" s="239">
        <v>133965</v>
      </c>
      <c r="K201" s="239">
        <v>0</v>
      </c>
      <c r="L201" s="239">
        <v>0</v>
      </c>
      <c r="M201" s="239">
        <v>0</v>
      </c>
      <c r="N201" s="239">
        <v>0</v>
      </c>
      <c r="O201" s="239">
        <v>0</v>
      </c>
      <c r="P201" s="239">
        <v>17897332</v>
      </c>
      <c r="Q201" s="214" t="s">
        <v>484</v>
      </c>
      <c r="R201" s="214" t="s">
        <v>755</v>
      </c>
      <c r="S201" s="214" t="s">
        <v>753</v>
      </c>
      <c r="T201" s="214" t="s">
        <v>1158</v>
      </c>
    </row>
    <row r="202" spans="1:20" x14ac:dyDescent="0.2">
      <c r="B202" s="214">
        <v>198</v>
      </c>
      <c r="C202" s="250" t="s">
        <v>487</v>
      </c>
      <c r="D202" s="250" t="s">
        <v>486</v>
      </c>
      <c r="E202" s="239">
        <v>95584227</v>
      </c>
      <c r="F202" s="239">
        <v>0</v>
      </c>
      <c r="G202" s="239">
        <v>5388423</v>
      </c>
      <c r="H202" s="239">
        <v>268347</v>
      </c>
      <c r="I202" s="239">
        <v>0</v>
      </c>
      <c r="J202" s="239">
        <v>268347</v>
      </c>
      <c r="K202" s="239">
        <v>0</v>
      </c>
      <c r="L202" s="239">
        <v>0</v>
      </c>
      <c r="M202" s="239">
        <v>326211</v>
      </c>
      <c r="N202" s="239">
        <v>326211</v>
      </c>
      <c r="O202" s="239">
        <v>0</v>
      </c>
      <c r="P202" s="239">
        <v>89601246</v>
      </c>
      <c r="Q202" s="214" t="s">
        <v>881</v>
      </c>
      <c r="R202" s="214" t="s">
        <v>746</v>
      </c>
      <c r="S202" s="214" t="s">
        <v>858</v>
      </c>
      <c r="T202" s="214" t="s">
        <v>746</v>
      </c>
    </row>
    <row r="203" spans="1:20" x14ac:dyDescent="0.2">
      <c r="B203" s="214">
        <v>199</v>
      </c>
      <c r="C203" s="250" t="s">
        <v>489</v>
      </c>
      <c r="D203" s="250" t="s">
        <v>488</v>
      </c>
      <c r="E203" s="239">
        <v>83627269</v>
      </c>
      <c r="F203" s="239">
        <v>0</v>
      </c>
      <c r="G203" s="239">
        <v>4756535</v>
      </c>
      <c r="H203" s="239">
        <v>310944</v>
      </c>
      <c r="I203" s="239">
        <v>0</v>
      </c>
      <c r="J203" s="239">
        <v>310944</v>
      </c>
      <c r="K203" s="239">
        <v>0</v>
      </c>
      <c r="L203" s="239">
        <v>0</v>
      </c>
      <c r="M203" s="239">
        <v>193866</v>
      </c>
      <c r="N203" s="239">
        <v>193866</v>
      </c>
      <c r="O203" s="239">
        <v>0</v>
      </c>
      <c r="P203" s="239">
        <v>78365924</v>
      </c>
      <c r="Q203" s="214" t="s">
        <v>880</v>
      </c>
      <c r="R203" s="214" t="s">
        <v>746</v>
      </c>
      <c r="S203" s="214" t="s">
        <v>790</v>
      </c>
      <c r="T203" s="214" t="s">
        <v>746</v>
      </c>
    </row>
    <row r="204" spans="1:20" x14ac:dyDescent="0.2">
      <c r="B204" s="214">
        <v>200</v>
      </c>
      <c r="C204" s="250" t="s">
        <v>491</v>
      </c>
      <c r="D204" s="250" t="s">
        <v>490</v>
      </c>
      <c r="E204" s="239">
        <v>62270915</v>
      </c>
      <c r="F204" s="239">
        <v>0</v>
      </c>
      <c r="G204" s="239">
        <v>1305673</v>
      </c>
      <c r="H204" s="239">
        <v>230423</v>
      </c>
      <c r="I204" s="239">
        <v>0</v>
      </c>
      <c r="J204" s="239">
        <v>230423</v>
      </c>
      <c r="K204" s="239">
        <v>0</v>
      </c>
      <c r="L204" s="239">
        <v>0</v>
      </c>
      <c r="M204" s="239">
        <v>395</v>
      </c>
      <c r="N204" s="239">
        <v>395</v>
      </c>
      <c r="O204" s="239">
        <v>0</v>
      </c>
      <c r="P204" s="239">
        <v>60734424</v>
      </c>
      <c r="Q204" s="214" t="s">
        <v>879</v>
      </c>
      <c r="R204" s="214" t="s">
        <v>746</v>
      </c>
      <c r="S204" s="214" t="s">
        <v>783</v>
      </c>
      <c r="T204" s="214" t="s">
        <v>746</v>
      </c>
    </row>
    <row r="205" spans="1:20" x14ac:dyDescent="0.2">
      <c r="B205" s="214">
        <v>201</v>
      </c>
      <c r="C205" s="250" t="s">
        <v>493</v>
      </c>
      <c r="D205" s="250" t="s">
        <v>492</v>
      </c>
      <c r="E205" s="239">
        <v>82917423</v>
      </c>
      <c r="F205" s="239">
        <v>0</v>
      </c>
      <c r="G205" s="239">
        <v>1458556</v>
      </c>
      <c r="H205" s="239">
        <v>274758</v>
      </c>
      <c r="I205" s="239">
        <v>0</v>
      </c>
      <c r="J205" s="239">
        <v>274758</v>
      </c>
      <c r="K205" s="239">
        <v>0</v>
      </c>
      <c r="L205" s="239">
        <v>0</v>
      </c>
      <c r="M205" s="239">
        <v>0</v>
      </c>
      <c r="N205" s="239">
        <v>0</v>
      </c>
      <c r="O205" s="239">
        <v>0</v>
      </c>
      <c r="P205" s="239">
        <v>81184109</v>
      </c>
      <c r="Q205" s="214" t="s">
        <v>878</v>
      </c>
      <c r="R205" s="214" t="s">
        <v>746</v>
      </c>
      <c r="S205" s="214" t="s">
        <v>775</v>
      </c>
      <c r="T205" s="214" t="s">
        <v>746</v>
      </c>
    </row>
    <row r="206" spans="1:20" x14ac:dyDescent="0.2">
      <c r="B206" s="214">
        <v>202</v>
      </c>
      <c r="C206" s="250" t="s">
        <v>495</v>
      </c>
      <c r="D206" s="250" t="s">
        <v>494</v>
      </c>
      <c r="E206" s="239">
        <v>60449088</v>
      </c>
      <c r="F206" s="239">
        <v>0</v>
      </c>
      <c r="G206" s="239">
        <v>8850282</v>
      </c>
      <c r="H206" s="239">
        <v>224997</v>
      </c>
      <c r="I206" s="239">
        <v>0</v>
      </c>
      <c r="J206" s="239">
        <v>224997</v>
      </c>
      <c r="K206" s="239">
        <v>0</v>
      </c>
      <c r="L206" s="239">
        <v>0</v>
      </c>
      <c r="M206" s="239">
        <v>36337</v>
      </c>
      <c r="N206" s="239">
        <v>36337</v>
      </c>
      <c r="O206" s="239">
        <v>0</v>
      </c>
      <c r="P206" s="239">
        <v>51337472</v>
      </c>
      <c r="Q206" s="214" t="s">
        <v>494</v>
      </c>
      <c r="R206" s="214" t="s">
        <v>755</v>
      </c>
      <c r="S206" s="214" t="s">
        <v>753</v>
      </c>
      <c r="T206" s="214" t="s">
        <v>1158</v>
      </c>
    </row>
    <row r="207" spans="1:20" x14ac:dyDescent="0.2">
      <c r="B207" s="214">
        <v>203</v>
      </c>
      <c r="C207" s="250" t="s">
        <v>497</v>
      </c>
      <c r="D207" s="250" t="s">
        <v>496</v>
      </c>
      <c r="E207" s="239">
        <v>15814930</v>
      </c>
      <c r="F207" s="239">
        <v>353676</v>
      </c>
      <c r="G207" s="239">
        <v>0</v>
      </c>
      <c r="H207" s="239">
        <v>98958</v>
      </c>
      <c r="I207" s="239">
        <v>0</v>
      </c>
      <c r="J207" s="239">
        <v>98958</v>
      </c>
      <c r="K207" s="239">
        <v>0</v>
      </c>
      <c r="L207" s="239">
        <v>85774</v>
      </c>
      <c r="M207" s="239">
        <v>148076</v>
      </c>
      <c r="N207" s="239">
        <v>148076</v>
      </c>
      <c r="O207" s="239">
        <v>0</v>
      </c>
      <c r="P207" s="239">
        <v>15835798</v>
      </c>
      <c r="Q207" s="214" t="s">
        <v>496</v>
      </c>
      <c r="R207" s="214" t="s">
        <v>785</v>
      </c>
      <c r="S207" s="214" t="s">
        <v>783</v>
      </c>
      <c r="T207" s="214" t="s">
        <v>1158</v>
      </c>
    </row>
    <row r="208" spans="1:20" x14ac:dyDescent="0.2">
      <c r="A208" s="215" t="s">
        <v>1668</v>
      </c>
      <c r="B208" s="214">
        <v>204</v>
      </c>
      <c r="C208" s="250" t="s">
        <v>499</v>
      </c>
      <c r="D208" s="250" t="s">
        <v>498</v>
      </c>
      <c r="E208" s="239">
        <v>123207662</v>
      </c>
      <c r="F208" s="239">
        <v>4674869</v>
      </c>
      <c r="G208" s="239">
        <v>0</v>
      </c>
      <c r="H208" s="239">
        <v>282531</v>
      </c>
      <c r="I208" s="239">
        <v>0</v>
      </c>
      <c r="J208" s="239">
        <v>282531</v>
      </c>
      <c r="K208" s="239">
        <v>0</v>
      </c>
      <c r="L208" s="239">
        <v>0</v>
      </c>
      <c r="M208" s="239">
        <v>0</v>
      </c>
      <c r="N208" s="239">
        <v>0</v>
      </c>
      <c r="O208" s="239">
        <v>0</v>
      </c>
      <c r="P208" s="239">
        <v>127600000</v>
      </c>
      <c r="Q208" s="214" t="s">
        <v>877</v>
      </c>
      <c r="R208" s="214" t="s">
        <v>746</v>
      </c>
      <c r="S208" s="214" t="s">
        <v>767</v>
      </c>
      <c r="T208" s="214" t="s">
        <v>746</v>
      </c>
    </row>
    <row r="209" spans="2:20" x14ac:dyDescent="0.2">
      <c r="B209" s="214">
        <v>205</v>
      </c>
      <c r="C209" s="250" t="s">
        <v>501</v>
      </c>
      <c r="D209" s="250" t="s">
        <v>500</v>
      </c>
      <c r="E209" s="239">
        <v>46100418</v>
      </c>
      <c r="F209" s="239">
        <v>3805188</v>
      </c>
      <c r="G209" s="239">
        <v>0</v>
      </c>
      <c r="H209" s="239">
        <v>281336</v>
      </c>
      <c r="I209" s="239">
        <v>0</v>
      </c>
      <c r="J209" s="239">
        <v>281336</v>
      </c>
      <c r="K209" s="239">
        <v>0</v>
      </c>
      <c r="L209" s="239">
        <v>0</v>
      </c>
      <c r="M209" s="239">
        <v>0</v>
      </c>
      <c r="N209" s="239">
        <v>0</v>
      </c>
      <c r="O209" s="239">
        <v>0</v>
      </c>
      <c r="P209" s="239">
        <v>49624270</v>
      </c>
      <c r="Q209" s="214" t="s">
        <v>500</v>
      </c>
      <c r="R209" s="214" t="s">
        <v>788</v>
      </c>
      <c r="S209" s="214" t="s">
        <v>747</v>
      </c>
      <c r="T209" s="214" t="s">
        <v>1159</v>
      </c>
    </row>
    <row r="210" spans="2:20" x14ac:dyDescent="0.2">
      <c r="B210" s="214">
        <v>206</v>
      </c>
      <c r="C210" s="250" t="s">
        <v>503</v>
      </c>
      <c r="D210" s="250" t="s">
        <v>502</v>
      </c>
      <c r="E210" s="239">
        <v>39905335</v>
      </c>
      <c r="F210" s="239">
        <v>0</v>
      </c>
      <c r="G210" s="239">
        <v>7756520</v>
      </c>
      <c r="H210" s="239">
        <v>157055</v>
      </c>
      <c r="I210" s="239">
        <v>0</v>
      </c>
      <c r="J210" s="239">
        <v>157055</v>
      </c>
      <c r="K210" s="239">
        <v>0</v>
      </c>
      <c r="L210" s="239">
        <v>2092122</v>
      </c>
      <c r="M210" s="239">
        <v>0</v>
      </c>
      <c r="N210" s="239">
        <v>0</v>
      </c>
      <c r="O210" s="239">
        <v>0</v>
      </c>
      <c r="P210" s="239">
        <v>29899638</v>
      </c>
      <c r="Q210" s="214" t="s">
        <v>876</v>
      </c>
      <c r="R210" s="214" t="s">
        <v>746</v>
      </c>
      <c r="S210" s="214" t="s">
        <v>842</v>
      </c>
      <c r="T210" s="214" t="s">
        <v>746</v>
      </c>
    </row>
    <row r="211" spans="2:20" x14ac:dyDescent="0.2">
      <c r="B211" s="214">
        <v>207</v>
      </c>
      <c r="C211" s="250" t="s">
        <v>505</v>
      </c>
      <c r="D211" s="250" t="s">
        <v>504</v>
      </c>
      <c r="E211" s="239">
        <v>34435429</v>
      </c>
      <c r="F211" s="239">
        <v>0</v>
      </c>
      <c r="G211" s="239">
        <v>2971648</v>
      </c>
      <c r="H211" s="239">
        <v>106549</v>
      </c>
      <c r="I211" s="239">
        <v>0</v>
      </c>
      <c r="J211" s="239">
        <v>106549</v>
      </c>
      <c r="K211" s="239">
        <v>0</v>
      </c>
      <c r="L211" s="239">
        <v>0</v>
      </c>
      <c r="M211" s="239">
        <v>0</v>
      </c>
      <c r="N211" s="239">
        <v>0</v>
      </c>
      <c r="O211" s="239">
        <v>0</v>
      </c>
      <c r="P211" s="239">
        <v>31357232</v>
      </c>
      <c r="Q211" s="214" t="s">
        <v>504</v>
      </c>
      <c r="R211" s="214" t="s">
        <v>751</v>
      </c>
      <c r="S211" s="214" t="s">
        <v>749</v>
      </c>
      <c r="T211" s="214" t="s">
        <v>1158</v>
      </c>
    </row>
    <row r="212" spans="2:20" x14ac:dyDescent="0.2">
      <c r="B212" s="214">
        <v>208</v>
      </c>
      <c r="C212" s="250" t="s">
        <v>507</v>
      </c>
      <c r="D212" s="250" t="s">
        <v>506</v>
      </c>
      <c r="E212" s="239">
        <v>52108268</v>
      </c>
      <c r="F212" s="239">
        <v>680879</v>
      </c>
      <c r="G212" s="239">
        <v>0</v>
      </c>
      <c r="H212" s="239">
        <v>174020</v>
      </c>
      <c r="I212" s="239">
        <v>0</v>
      </c>
      <c r="J212" s="239">
        <v>174020</v>
      </c>
      <c r="K212" s="239">
        <v>0</v>
      </c>
      <c r="L212" s="239">
        <v>0</v>
      </c>
      <c r="M212" s="239">
        <v>0</v>
      </c>
      <c r="N212" s="239">
        <v>0</v>
      </c>
      <c r="O212" s="239">
        <v>0</v>
      </c>
      <c r="P212" s="239">
        <v>52615127</v>
      </c>
      <c r="Q212" s="214" t="s">
        <v>875</v>
      </c>
      <c r="R212" s="214" t="s">
        <v>770</v>
      </c>
      <c r="S212" s="214" t="s">
        <v>761</v>
      </c>
      <c r="T212" s="214" t="s">
        <v>1158</v>
      </c>
    </row>
    <row r="213" spans="2:20" x14ac:dyDescent="0.2">
      <c r="B213" s="214">
        <v>209</v>
      </c>
      <c r="C213" s="250" t="s">
        <v>509</v>
      </c>
      <c r="D213" s="250" t="s">
        <v>508</v>
      </c>
      <c r="E213" s="239">
        <v>14879252</v>
      </c>
      <c r="F213" s="239">
        <v>0</v>
      </c>
      <c r="G213" s="239">
        <v>37237</v>
      </c>
      <c r="H213" s="239">
        <v>88997</v>
      </c>
      <c r="I213" s="239">
        <v>0</v>
      </c>
      <c r="J213" s="239">
        <v>88997</v>
      </c>
      <c r="K213" s="239">
        <v>0</v>
      </c>
      <c r="L213" s="239">
        <v>257324</v>
      </c>
      <c r="M213" s="239">
        <v>99914</v>
      </c>
      <c r="N213" s="239">
        <v>99914</v>
      </c>
      <c r="O213" s="239">
        <v>0</v>
      </c>
      <c r="P213" s="239">
        <v>14395780</v>
      </c>
      <c r="Q213" s="214" t="s">
        <v>508</v>
      </c>
      <c r="R213" s="214" t="s">
        <v>755</v>
      </c>
      <c r="S213" s="214" t="s">
        <v>753</v>
      </c>
      <c r="T213" s="214" t="s">
        <v>1158</v>
      </c>
    </row>
    <row r="214" spans="2:20" x14ac:dyDescent="0.2">
      <c r="B214" s="214">
        <v>210</v>
      </c>
      <c r="C214" s="250" t="s">
        <v>511</v>
      </c>
      <c r="D214" s="250" t="s">
        <v>510</v>
      </c>
      <c r="E214" s="239">
        <v>88446975</v>
      </c>
      <c r="F214" s="239">
        <v>2296618</v>
      </c>
      <c r="G214" s="239">
        <v>0</v>
      </c>
      <c r="H214" s="239">
        <v>287918</v>
      </c>
      <c r="I214" s="239">
        <v>0</v>
      </c>
      <c r="J214" s="239">
        <v>287918</v>
      </c>
      <c r="K214" s="239">
        <v>0</v>
      </c>
      <c r="L214" s="239">
        <v>0</v>
      </c>
      <c r="M214" s="239">
        <v>0</v>
      </c>
      <c r="N214" s="239">
        <v>0</v>
      </c>
      <c r="O214" s="239">
        <v>0</v>
      </c>
      <c r="P214" s="239">
        <v>90455675</v>
      </c>
      <c r="Q214" s="214" t="s">
        <v>874</v>
      </c>
      <c r="R214" s="214" t="s">
        <v>788</v>
      </c>
      <c r="S214" s="214" t="s">
        <v>747</v>
      </c>
      <c r="T214" s="214" t="s">
        <v>1159</v>
      </c>
    </row>
    <row r="215" spans="2:20" x14ac:dyDescent="0.2">
      <c r="B215" s="214">
        <v>211</v>
      </c>
      <c r="C215" s="250" t="s">
        <v>513</v>
      </c>
      <c r="D215" s="250" t="s">
        <v>512</v>
      </c>
      <c r="E215" s="239">
        <v>12278888</v>
      </c>
      <c r="F215" s="239">
        <v>190410</v>
      </c>
      <c r="G215" s="239">
        <v>0</v>
      </c>
      <c r="H215" s="239">
        <v>98663</v>
      </c>
      <c r="I215" s="239">
        <v>0</v>
      </c>
      <c r="J215" s="239">
        <v>98663</v>
      </c>
      <c r="K215" s="239">
        <v>0</v>
      </c>
      <c r="L215" s="239">
        <v>0</v>
      </c>
      <c r="M215" s="239">
        <v>0</v>
      </c>
      <c r="N215" s="239">
        <v>0</v>
      </c>
      <c r="O215" s="239">
        <v>0</v>
      </c>
      <c r="P215" s="239">
        <v>12370635</v>
      </c>
      <c r="Q215" s="214" t="s">
        <v>512</v>
      </c>
      <c r="R215" s="214" t="s">
        <v>865</v>
      </c>
      <c r="S215" s="214" t="s">
        <v>744</v>
      </c>
      <c r="T215" s="214" t="s">
        <v>1158</v>
      </c>
    </row>
    <row r="216" spans="2:20" x14ac:dyDescent="0.2">
      <c r="B216" s="214">
        <v>212</v>
      </c>
      <c r="C216" s="250" t="s">
        <v>515</v>
      </c>
      <c r="D216" s="250" t="s">
        <v>514</v>
      </c>
      <c r="E216" s="239">
        <v>62136391</v>
      </c>
      <c r="F216" s="239">
        <v>0</v>
      </c>
      <c r="G216" s="239">
        <v>3313485</v>
      </c>
      <c r="H216" s="239">
        <v>281477</v>
      </c>
      <c r="I216" s="239">
        <v>0</v>
      </c>
      <c r="J216" s="239">
        <v>281477</v>
      </c>
      <c r="K216" s="239">
        <v>0</v>
      </c>
      <c r="L216" s="239">
        <v>0</v>
      </c>
      <c r="M216" s="239">
        <v>491294</v>
      </c>
      <c r="N216" s="239">
        <v>491294</v>
      </c>
      <c r="O216" s="239">
        <v>0</v>
      </c>
      <c r="P216" s="239">
        <v>58050135</v>
      </c>
      <c r="Q216" s="214" t="s">
        <v>514</v>
      </c>
      <c r="R216" s="214" t="s">
        <v>766</v>
      </c>
      <c r="S216" s="214" t="s">
        <v>781</v>
      </c>
      <c r="T216" s="214" t="s">
        <v>1160</v>
      </c>
    </row>
    <row r="217" spans="2:20" x14ac:dyDescent="0.2">
      <c r="B217" s="214">
        <v>213</v>
      </c>
      <c r="C217" s="250" t="s">
        <v>517</v>
      </c>
      <c r="D217" s="250" t="s">
        <v>516</v>
      </c>
      <c r="E217" s="239">
        <v>14046910</v>
      </c>
      <c r="F217" s="239">
        <v>332981</v>
      </c>
      <c r="G217" s="239">
        <v>0</v>
      </c>
      <c r="H217" s="239">
        <v>84456</v>
      </c>
      <c r="I217" s="239">
        <v>0</v>
      </c>
      <c r="J217" s="239">
        <v>84456</v>
      </c>
      <c r="K217" s="239">
        <v>0</v>
      </c>
      <c r="L217" s="239">
        <v>0</v>
      </c>
      <c r="M217" s="239">
        <v>63392</v>
      </c>
      <c r="N217" s="239">
        <v>63392</v>
      </c>
      <c r="O217" s="239">
        <v>0</v>
      </c>
      <c r="P217" s="239">
        <v>14232043</v>
      </c>
      <c r="Q217" s="214" t="s">
        <v>516</v>
      </c>
      <c r="R217" s="214" t="s">
        <v>820</v>
      </c>
      <c r="S217" s="214" t="s">
        <v>818</v>
      </c>
      <c r="T217" s="214" t="s">
        <v>1158</v>
      </c>
    </row>
    <row r="218" spans="2:20" x14ac:dyDescent="0.2">
      <c r="B218" s="214">
        <v>214</v>
      </c>
      <c r="C218" s="250" t="s">
        <v>519</v>
      </c>
      <c r="D218" s="250" t="s">
        <v>518</v>
      </c>
      <c r="E218" s="239">
        <v>12939471</v>
      </c>
      <c r="F218" s="239">
        <v>0</v>
      </c>
      <c r="G218" s="239">
        <v>667662</v>
      </c>
      <c r="H218" s="239">
        <v>98815</v>
      </c>
      <c r="I218" s="239">
        <v>0</v>
      </c>
      <c r="J218" s="239">
        <v>98815</v>
      </c>
      <c r="K218" s="239">
        <v>0</v>
      </c>
      <c r="L218" s="239">
        <v>0</v>
      </c>
      <c r="M218" s="239">
        <v>159159</v>
      </c>
      <c r="N218" s="239">
        <v>159159</v>
      </c>
      <c r="O218" s="239">
        <v>0</v>
      </c>
      <c r="P218" s="239">
        <v>12013835</v>
      </c>
      <c r="Q218" s="214" t="s">
        <v>518</v>
      </c>
      <c r="R218" s="214" t="s">
        <v>755</v>
      </c>
      <c r="S218" s="214" t="s">
        <v>753</v>
      </c>
      <c r="T218" s="214" t="s">
        <v>1158</v>
      </c>
    </row>
    <row r="219" spans="2:20" x14ac:dyDescent="0.2">
      <c r="B219" s="214">
        <v>215</v>
      </c>
      <c r="C219" s="250" t="s">
        <v>521</v>
      </c>
      <c r="D219" s="250" t="s">
        <v>520</v>
      </c>
      <c r="E219" s="239">
        <v>16344554</v>
      </c>
      <c r="F219" s="239">
        <v>972546</v>
      </c>
      <c r="G219" s="239">
        <v>0</v>
      </c>
      <c r="H219" s="239">
        <v>146049</v>
      </c>
      <c r="I219" s="239">
        <v>0</v>
      </c>
      <c r="J219" s="239">
        <v>146049</v>
      </c>
      <c r="K219" s="239">
        <v>0</v>
      </c>
      <c r="L219" s="239">
        <v>0</v>
      </c>
      <c r="M219" s="239">
        <v>0</v>
      </c>
      <c r="N219" s="239">
        <v>0</v>
      </c>
      <c r="O219" s="239">
        <v>0</v>
      </c>
      <c r="P219" s="239">
        <v>17171051</v>
      </c>
      <c r="Q219" s="214" t="s">
        <v>520</v>
      </c>
      <c r="R219" s="214" t="s">
        <v>807</v>
      </c>
      <c r="S219" s="214" t="s">
        <v>805</v>
      </c>
      <c r="T219" s="214" t="s">
        <v>1158</v>
      </c>
    </row>
    <row r="220" spans="2:20" x14ac:dyDescent="0.2">
      <c r="B220" s="214">
        <v>216</v>
      </c>
      <c r="C220" s="250" t="s">
        <v>523</v>
      </c>
      <c r="D220" s="250" t="s">
        <v>522</v>
      </c>
      <c r="E220" s="239">
        <v>74202846</v>
      </c>
      <c r="F220" s="239">
        <v>0</v>
      </c>
      <c r="G220" s="239">
        <v>4639835</v>
      </c>
      <c r="H220" s="239">
        <v>302614</v>
      </c>
      <c r="I220" s="239">
        <v>0</v>
      </c>
      <c r="J220" s="239">
        <v>302614</v>
      </c>
      <c r="K220" s="239">
        <v>0</v>
      </c>
      <c r="L220" s="239">
        <v>252181</v>
      </c>
      <c r="M220" s="239">
        <v>190327</v>
      </c>
      <c r="N220" s="239">
        <v>190327</v>
      </c>
      <c r="O220" s="239">
        <v>0</v>
      </c>
      <c r="P220" s="239">
        <v>68817889</v>
      </c>
      <c r="Q220" s="214" t="s">
        <v>522</v>
      </c>
      <c r="R220" s="214" t="s">
        <v>766</v>
      </c>
      <c r="S220" s="214" t="s">
        <v>863</v>
      </c>
      <c r="T220" s="214" t="s">
        <v>1160</v>
      </c>
    </row>
    <row r="221" spans="2:20" x14ac:dyDescent="0.2">
      <c r="B221" s="214">
        <v>217</v>
      </c>
      <c r="C221" s="250" t="s">
        <v>525</v>
      </c>
      <c r="D221" s="250" t="s">
        <v>524</v>
      </c>
      <c r="E221" s="239">
        <v>45384272</v>
      </c>
      <c r="F221" s="239">
        <v>0</v>
      </c>
      <c r="G221" s="239">
        <v>2306018</v>
      </c>
      <c r="H221" s="239">
        <v>135863</v>
      </c>
      <c r="I221" s="239">
        <v>0</v>
      </c>
      <c r="J221" s="239">
        <v>135863</v>
      </c>
      <c r="K221" s="239">
        <v>0</v>
      </c>
      <c r="L221" s="239">
        <v>0</v>
      </c>
      <c r="M221" s="239">
        <v>0</v>
      </c>
      <c r="N221" s="239">
        <v>0</v>
      </c>
      <c r="O221" s="239">
        <v>0</v>
      </c>
      <c r="P221" s="239">
        <v>42942391</v>
      </c>
      <c r="Q221" s="214" t="s">
        <v>524</v>
      </c>
      <c r="R221" s="214" t="s">
        <v>811</v>
      </c>
      <c r="S221" s="214" t="s">
        <v>761</v>
      </c>
      <c r="T221" s="214" t="s">
        <v>1158</v>
      </c>
    </row>
    <row r="222" spans="2:20" x14ac:dyDescent="0.2">
      <c r="B222" s="214">
        <v>218</v>
      </c>
      <c r="C222" s="250" t="s">
        <v>527</v>
      </c>
      <c r="D222" s="250" t="s">
        <v>526</v>
      </c>
      <c r="E222" s="239">
        <v>42697205</v>
      </c>
      <c r="F222" s="239">
        <v>1864660</v>
      </c>
      <c r="G222" s="239">
        <v>0</v>
      </c>
      <c r="H222" s="239">
        <v>131332</v>
      </c>
      <c r="I222" s="239">
        <v>0</v>
      </c>
      <c r="J222" s="239">
        <v>131332</v>
      </c>
      <c r="K222" s="239">
        <v>0</v>
      </c>
      <c r="L222" s="239">
        <v>116349</v>
      </c>
      <c r="M222" s="239">
        <v>0</v>
      </c>
      <c r="N222" s="239">
        <v>0</v>
      </c>
      <c r="O222" s="239">
        <v>0</v>
      </c>
      <c r="P222" s="239">
        <v>44314184</v>
      </c>
      <c r="Q222" s="214" t="s">
        <v>526</v>
      </c>
      <c r="R222" s="214" t="s">
        <v>770</v>
      </c>
      <c r="S222" s="214" t="s">
        <v>761</v>
      </c>
      <c r="T222" s="214" t="s">
        <v>1158</v>
      </c>
    </row>
    <row r="223" spans="2:20" x14ac:dyDescent="0.2">
      <c r="B223" s="214">
        <v>219</v>
      </c>
      <c r="C223" s="250" t="s">
        <v>529</v>
      </c>
      <c r="D223" s="250" t="s">
        <v>528</v>
      </c>
      <c r="E223" s="239">
        <v>26470236</v>
      </c>
      <c r="F223" s="239">
        <v>0</v>
      </c>
      <c r="G223" s="239">
        <v>2065226</v>
      </c>
      <c r="H223" s="239">
        <v>111888</v>
      </c>
      <c r="I223" s="239">
        <v>0</v>
      </c>
      <c r="J223" s="239">
        <v>111888</v>
      </c>
      <c r="K223" s="239">
        <v>0</v>
      </c>
      <c r="L223" s="239">
        <v>0</v>
      </c>
      <c r="M223" s="239">
        <v>186983</v>
      </c>
      <c r="N223" s="239">
        <v>186983</v>
      </c>
      <c r="O223" s="239">
        <v>0</v>
      </c>
      <c r="P223" s="239">
        <v>24106139</v>
      </c>
      <c r="Q223" s="214" t="s">
        <v>528</v>
      </c>
      <c r="R223" s="214" t="s">
        <v>872</v>
      </c>
      <c r="S223" s="214" t="s">
        <v>870</v>
      </c>
      <c r="T223" s="214" t="s">
        <v>1158</v>
      </c>
    </row>
    <row r="224" spans="2:20" x14ac:dyDescent="0.2">
      <c r="B224" s="214">
        <v>220</v>
      </c>
      <c r="C224" s="250" t="s">
        <v>531</v>
      </c>
      <c r="D224" s="250" t="s">
        <v>530</v>
      </c>
      <c r="E224" s="239">
        <v>46558485</v>
      </c>
      <c r="F224" s="239">
        <v>399045</v>
      </c>
      <c r="G224" s="239">
        <v>0</v>
      </c>
      <c r="H224" s="239">
        <v>120627</v>
      </c>
      <c r="I224" s="239">
        <v>0</v>
      </c>
      <c r="J224" s="239">
        <v>120627</v>
      </c>
      <c r="K224" s="239">
        <v>0</v>
      </c>
      <c r="L224" s="239">
        <v>0</v>
      </c>
      <c r="M224" s="239">
        <v>0</v>
      </c>
      <c r="N224" s="239">
        <v>0</v>
      </c>
      <c r="O224" s="239">
        <v>0</v>
      </c>
      <c r="P224" s="239">
        <v>46836903</v>
      </c>
      <c r="Q224" s="214" t="s">
        <v>530</v>
      </c>
      <c r="R224" s="214" t="s">
        <v>777</v>
      </c>
      <c r="S224" s="214" t="s">
        <v>775</v>
      </c>
      <c r="T224" s="214" t="s">
        <v>1158</v>
      </c>
    </row>
    <row r="225" spans="1:20" x14ac:dyDescent="0.2">
      <c r="B225" s="214">
        <v>221</v>
      </c>
      <c r="C225" s="250" t="s">
        <v>533</v>
      </c>
      <c r="D225" s="250" t="s">
        <v>532</v>
      </c>
      <c r="E225" s="239">
        <v>9991604</v>
      </c>
      <c r="F225" s="239">
        <v>665888</v>
      </c>
      <c r="G225" s="239">
        <v>0</v>
      </c>
      <c r="H225" s="239">
        <v>58754</v>
      </c>
      <c r="I225" s="239">
        <v>0</v>
      </c>
      <c r="J225" s="239">
        <v>58754</v>
      </c>
      <c r="K225" s="239">
        <v>0</v>
      </c>
      <c r="L225" s="239">
        <v>0</v>
      </c>
      <c r="M225" s="239">
        <v>78972</v>
      </c>
      <c r="N225" s="239">
        <v>78972</v>
      </c>
      <c r="O225" s="239">
        <v>0</v>
      </c>
      <c r="P225" s="239">
        <v>10519766</v>
      </c>
      <c r="Q225" s="214" t="s">
        <v>869</v>
      </c>
      <c r="R225" s="214" t="s">
        <v>746</v>
      </c>
      <c r="S225" s="214" t="s">
        <v>867</v>
      </c>
      <c r="T225" s="214" t="s">
        <v>746</v>
      </c>
    </row>
    <row r="226" spans="1:20" x14ac:dyDescent="0.2">
      <c r="B226" s="214">
        <v>222</v>
      </c>
      <c r="C226" s="250" t="s">
        <v>535</v>
      </c>
      <c r="D226" s="250" t="s">
        <v>534</v>
      </c>
      <c r="E226" s="239">
        <v>15136176</v>
      </c>
      <c r="F226" s="239">
        <v>1061404</v>
      </c>
      <c r="G226" s="239">
        <v>0</v>
      </c>
      <c r="H226" s="239">
        <v>110030</v>
      </c>
      <c r="I226" s="239">
        <v>0</v>
      </c>
      <c r="J226" s="239">
        <v>110030</v>
      </c>
      <c r="K226" s="239">
        <v>0</v>
      </c>
      <c r="L226" s="239">
        <v>0</v>
      </c>
      <c r="M226" s="239">
        <v>35545</v>
      </c>
      <c r="N226" s="239">
        <v>35545</v>
      </c>
      <c r="O226" s="239">
        <v>0</v>
      </c>
      <c r="P226" s="239">
        <v>16052005</v>
      </c>
      <c r="Q226" s="214" t="s">
        <v>534</v>
      </c>
      <c r="R226" s="214" t="s">
        <v>865</v>
      </c>
      <c r="S226" s="214" t="s">
        <v>744</v>
      </c>
      <c r="T226" s="214" t="s">
        <v>1158</v>
      </c>
    </row>
    <row r="227" spans="1:20" x14ac:dyDescent="0.2">
      <c r="B227" s="214">
        <v>223</v>
      </c>
      <c r="C227" s="250" t="s">
        <v>537</v>
      </c>
      <c r="D227" s="250" t="s">
        <v>536</v>
      </c>
      <c r="E227" s="239">
        <v>92407127</v>
      </c>
      <c r="F227" s="239">
        <v>0</v>
      </c>
      <c r="G227" s="239">
        <v>5871498</v>
      </c>
      <c r="H227" s="239">
        <v>449977</v>
      </c>
      <c r="I227" s="239">
        <v>0</v>
      </c>
      <c r="J227" s="239">
        <v>449977</v>
      </c>
      <c r="K227" s="239">
        <v>0</v>
      </c>
      <c r="L227" s="239">
        <v>0</v>
      </c>
      <c r="M227" s="239">
        <v>0</v>
      </c>
      <c r="N227" s="239">
        <v>0</v>
      </c>
      <c r="O227" s="239">
        <v>0</v>
      </c>
      <c r="P227" s="239">
        <v>86085652</v>
      </c>
      <c r="Q227" s="214" t="s">
        <v>536</v>
      </c>
      <c r="R227" s="214" t="s">
        <v>766</v>
      </c>
      <c r="S227" s="214" t="s">
        <v>781</v>
      </c>
      <c r="T227" s="214" t="s">
        <v>1160</v>
      </c>
    </row>
    <row r="228" spans="1:20" x14ac:dyDescent="0.2">
      <c r="B228" s="214">
        <v>224</v>
      </c>
      <c r="C228" s="250" t="s">
        <v>539</v>
      </c>
      <c r="D228" s="250" t="s">
        <v>538</v>
      </c>
      <c r="E228" s="239">
        <v>92874601</v>
      </c>
      <c r="F228" s="239">
        <v>0</v>
      </c>
      <c r="G228" s="239">
        <v>3536377</v>
      </c>
      <c r="H228" s="239">
        <v>443826</v>
      </c>
      <c r="I228" s="239">
        <v>0</v>
      </c>
      <c r="J228" s="239">
        <v>443826</v>
      </c>
      <c r="K228" s="239">
        <v>0</v>
      </c>
      <c r="L228" s="239">
        <v>0</v>
      </c>
      <c r="M228" s="239">
        <v>0</v>
      </c>
      <c r="N228" s="239">
        <v>0</v>
      </c>
      <c r="O228" s="239">
        <v>0</v>
      </c>
      <c r="P228" s="239">
        <v>88894398</v>
      </c>
      <c r="Q228" s="214" t="s">
        <v>538</v>
      </c>
      <c r="R228" s="214" t="s">
        <v>766</v>
      </c>
      <c r="S228" s="214" t="s">
        <v>764</v>
      </c>
      <c r="T228" s="214" t="s">
        <v>1160</v>
      </c>
    </row>
    <row r="229" spans="1:20" x14ac:dyDescent="0.2">
      <c r="B229" s="214">
        <v>225</v>
      </c>
      <c r="C229" s="250" t="s">
        <v>541</v>
      </c>
      <c r="D229" s="250" t="s">
        <v>540</v>
      </c>
      <c r="E229" s="239">
        <v>33069440.710000001</v>
      </c>
      <c r="F229" s="239">
        <v>2688444</v>
      </c>
      <c r="G229" s="239">
        <v>0</v>
      </c>
      <c r="H229" s="239">
        <v>259507</v>
      </c>
      <c r="I229" s="239">
        <v>0</v>
      </c>
      <c r="J229" s="239">
        <v>259507</v>
      </c>
      <c r="K229" s="239">
        <v>0</v>
      </c>
      <c r="L229" s="239">
        <v>0</v>
      </c>
      <c r="M229" s="239">
        <v>0</v>
      </c>
      <c r="N229" s="239">
        <v>0</v>
      </c>
      <c r="O229" s="239">
        <v>0</v>
      </c>
      <c r="P229" s="239">
        <v>35498377.710000001</v>
      </c>
      <c r="Q229" s="214" t="s">
        <v>540</v>
      </c>
      <c r="R229" s="214" t="s">
        <v>865</v>
      </c>
      <c r="S229" s="214" t="s">
        <v>744</v>
      </c>
      <c r="T229" s="214" t="s">
        <v>1158</v>
      </c>
    </row>
    <row r="230" spans="1:20" x14ac:dyDescent="0.2">
      <c r="B230" s="214">
        <v>226</v>
      </c>
      <c r="C230" s="250" t="s">
        <v>543</v>
      </c>
      <c r="D230" s="250" t="s">
        <v>542</v>
      </c>
      <c r="E230" s="239">
        <v>39656241</v>
      </c>
      <c r="F230" s="239">
        <v>0</v>
      </c>
      <c r="G230" s="239">
        <v>641481</v>
      </c>
      <c r="H230" s="239">
        <v>163085</v>
      </c>
      <c r="I230" s="239">
        <v>0</v>
      </c>
      <c r="J230" s="239">
        <v>163085</v>
      </c>
      <c r="K230" s="239">
        <v>0</v>
      </c>
      <c r="L230" s="239">
        <v>0</v>
      </c>
      <c r="M230" s="239">
        <v>461552</v>
      </c>
      <c r="N230" s="239">
        <v>461552</v>
      </c>
      <c r="O230" s="239">
        <v>0</v>
      </c>
      <c r="P230" s="239">
        <v>38390123</v>
      </c>
      <c r="Q230" s="214" t="s">
        <v>542</v>
      </c>
      <c r="R230" s="214" t="s">
        <v>792</v>
      </c>
      <c r="S230" s="214" t="s">
        <v>790</v>
      </c>
      <c r="T230" s="214" t="s">
        <v>1158</v>
      </c>
    </row>
    <row r="231" spans="1:20" x14ac:dyDescent="0.2">
      <c r="B231" s="214">
        <v>227</v>
      </c>
      <c r="C231" s="250" t="s">
        <v>545</v>
      </c>
      <c r="D231" s="250" t="s">
        <v>544</v>
      </c>
      <c r="E231" s="239">
        <v>72706493</v>
      </c>
      <c r="F231" s="239">
        <v>0</v>
      </c>
      <c r="G231" s="239">
        <v>1990385</v>
      </c>
      <c r="H231" s="239">
        <v>321434</v>
      </c>
      <c r="I231" s="239">
        <v>0</v>
      </c>
      <c r="J231" s="239">
        <v>321434</v>
      </c>
      <c r="K231" s="239">
        <v>0</v>
      </c>
      <c r="L231" s="239">
        <v>0</v>
      </c>
      <c r="M231" s="239">
        <v>0</v>
      </c>
      <c r="N231" s="239">
        <v>0</v>
      </c>
      <c r="O231" s="239">
        <v>0</v>
      </c>
      <c r="P231" s="239">
        <v>70394674</v>
      </c>
      <c r="Q231" s="214" t="s">
        <v>544</v>
      </c>
      <c r="R231" s="214" t="s">
        <v>766</v>
      </c>
      <c r="S231" s="214" t="s">
        <v>772</v>
      </c>
      <c r="T231" s="214" t="s">
        <v>1160</v>
      </c>
    </row>
    <row r="232" spans="1:20" x14ac:dyDescent="0.2">
      <c r="B232" s="214">
        <v>228</v>
      </c>
      <c r="C232" s="250" t="s">
        <v>547</v>
      </c>
      <c r="D232" s="250" t="s">
        <v>546</v>
      </c>
      <c r="E232" s="239">
        <v>41797802</v>
      </c>
      <c r="F232" s="239">
        <v>0</v>
      </c>
      <c r="G232" s="239">
        <v>5163415</v>
      </c>
      <c r="H232" s="239">
        <v>112514</v>
      </c>
      <c r="I232" s="239">
        <v>0</v>
      </c>
      <c r="J232" s="239">
        <v>112514</v>
      </c>
      <c r="K232" s="239">
        <v>0</v>
      </c>
      <c r="L232" s="239">
        <v>0</v>
      </c>
      <c r="M232" s="239">
        <v>7596528</v>
      </c>
      <c r="N232" s="239">
        <v>7596528</v>
      </c>
      <c r="O232" s="239">
        <v>0</v>
      </c>
      <c r="P232" s="239">
        <v>28925345</v>
      </c>
      <c r="Q232" s="214" t="s">
        <v>546</v>
      </c>
      <c r="R232" s="214" t="s">
        <v>865</v>
      </c>
      <c r="S232" s="214" t="s">
        <v>744</v>
      </c>
      <c r="T232" s="214" t="s">
        <v>1158</v>
      </c>
    </row>
    <row r="233" spans="1:20" x14ac:dyDescent="0.2">
      <c r="B233" s="214">
        <v>229</v>
      </c>
      <c r="C233" s="250" t="s">
        <v>549</v>
      </c>
      <c r="D233" s="250" t="s">
        <v>548</v>
      </c>
      <c r="E233" s="239">
        <v>34258373</v>
      </c>
      <c r="F233" s="239">
        <v>181881</v>
      </c>
      <c r="G233" s="239">
        <v>0</v>
      </c>
      <c r="H233" s="239">
        <v>163555</v>
      </c>
      <c r="I233" s="239">
        <v>0</v>
      </c>
      <c r="J233" s="239">
        <v>163555</v>
      </c>
      <c r="K233" s="239">
        <v>0</v>
      </c>
      <c r="L233" s="239">
        <v>0</v>
      </c>
      <c r="M233" s="239">
        <v>0</v>
      </c>
      <c r="N233" s="239">
        <v>0</v>
      </c>
      <c r="O233" s="239">
        <v>0</v>
      </c>
      <c r="P233" s="239">
        <v>34276699</v>
      </c>
      <c r="Q233" s="214" t="s">
        <v>548</v>
      </c>
      <c r="R233" s="214" t="s">
        <v>824</v>
      </c>
      <c r="S233" s="214" t="s">
        <v>822</v>
      </c>
      <c r="T233" s="214" t="s">
        <v>1158</v>
      </c>
    </row>
    <row r="234" spans="1:20" x14ac:dyDescent="0.2">
      <c r="B234" s="214">
        <v>230</v>
      </c>
      <c r="C234" s="250" t="s">
        <v>551</v>
      </c>
      <c r="D234" s="250" t="s">
        <v>550</v>
      </c>
      <c r="E234" s="239">
        <v>202470420</v>
      </c>
      <c r="F234" s="239">
        <v>0</v>
      </c>
      <c r="G234" s="239">
        <v>11466418</v>
      </c>
      <c r="H234" s="239">
        <v>765222</v>
      </c>
      <c r="I234" s="239">
        <v>0</v>
      </c>
      <c r="J234" s="239">
        <v>765222</v>
      </c>
      <c r="K234" s="239">
        <v>0</v>
      </c>
      <c r="L234" s="239">
        <v>757817</v>
      </c>
      <c r="M234" s="239">
        <v>1072960</v>
      </c>
      <c r="N234" s="239">
        <v>1072960</v>
      </c>
      <c r="O234" s="239">
        <v>0</v>
      </c>
      <c r="P234" s="239">
        <v>188408003</v>
      </c>
      <c r="Q234" s="214" t="s">
        <v>550</v>
      </c>
      <c r="R234" s="214" t="s">
        <v>766</v>
      </c>
      <c r="S234" s="214" t="s">
        <v>863</v>
      </c>
      <c r="T234" s="214" t="s">
        <v>1160</v>
      </c>
    </row>
    <row r="235" spans="1:20" x14ac:dyDescent="0.2">
      <c r="B235" s="214">
        <v>231</v>
      </c>
      <c r="C235" s="250" t="s">
        <v>553</v>
      </c>
      <c r="D235" s="250" t="s">
        <v>552</v>
      </c>
      <c r="E235" s="239">
        <v>26727959</v>
      </c>
      <c r="F235" s="239">
        <v>0</v>
      </c>
      <c r="G235" s="239">
        <v>620613</v>
      </c>
      <c r="H235" s="239">
        <v>147234</v>
      </c>
      <c r="I235" s="239">
        <v>0</v>
      </c>
      <c r="J235" s="239">
        <v>147234</v>
      </c>
      <c r="K235" s="239">
        <v>0</v>
      </c>
      <c r="L235" s="239">
        <v>0</v>
      </c>
      <c r="M235" s="239">
        <v>0</v>
      </c>
      <c r="N235" s="239">
        <v>0</v>
      </c>
      <c r="O235" s="239">
        <v>0</v>
      </c>
      <c r="P235" s="239">
        <v>25960112</v>
      </c>
      <c r="Q235" s="214" t="s">
        <v>552</v>
      </c>
      <c r="R235" s="214" t="s">
        <v>824</v>
      </c>
      <c r="S235" s="214" t="s">
        <v>822</v>
      </c>
      <c r="T235" s="214" t="s">
        <v>1158</v>
      </c>
    </row>
    <row r="236" spans="1:20" x14ac:dyDescent="0.2">
      <c r="B236" s="214">
        <v>232</v>
      </c>
      <c r="C236" s="250" t="s">
        <v>555</v>
      </c>
      <c r="D236" s="250" t="s">
        <v>554</v>
      </c>
      <c r="E236" s="239">
        <v>74345904</v>
      </c>
      <c r="F236" s="239">
        <v>4031435</v>
      </c>
      <c r="G236" s="239">
        <v>0</v>
      </c>
      <c r="H236" s="239">
        <v>462690</v>
      </c>
      <c r="I236" s="239">
        <v>0</v>
      </c>
      <c r="J236" s="239">
        <v>462690</v>
      </c>
      <c r="K236" s="239">
        <v>0</v>
      </c>
      <c r="L236" s="239">
        <v>0</v>
      </c>
      <c r="M236" s="239">
        <v>533724</v>
      </c>
      <c r="N236" s="239">
        <v>533724</v>
      </c>
      <c r="O236" s="239">
        <v>0</v>
      </c>
      <c r="P236" s="239">
        <v>77380925</v>
      </c>
      <c r="Q236" s="214" t="s">
        <v>554</v>
      </c>
      <c r="R236" s="214" t="s">
        <v>746</v>
      </c>
      <c r="S236" s="214" t="s">
        <v>831</v>
      </c>
      <c r="T236" s="214" t="s">
        <v>746</v>
      </c>
    </row>
    <row r="237" spans="1:20" x14ac:dyDescent="0.2">
      <c r="B237" s="214">
        <v>233</v>
      </c>
      <c r="C237" s="250" t="s">
        <v>557</v>
      </c>
      <c r="D237" s="250" t="s">
        <v>556</v>
      </c>
      <c r="E237" s="239">
        <v>101621390</v>
      </c>
      <c r="F237" s="239">
        <v>0</v>
      </c>
      <c r="G237" s="239">
        <v>1576123</v>
      </c>
      <c r="H237" s="239">
        <v>207734</v>
      </c>
      <c r="I237" s="239">
        <v>0</v>
      </c>
      <c r="J237" s="239">
        <v>207734</v>
      </c>
      <c r="K237" s="239">
        <v>0</v>
      </c>
      <c r="L237" s="239">
        <v>0</v>
      </c>
      <c r="M237" s="239">
        <v>0</v>
      </c>
      <c r="N237" s="239">
        <v>0</v>
      </c>
      <c r="O237" s="239">
        <v>0</v>
      </c>
      <c r="P237" s="239">
        <v>99837533</v>
      </c>
      <c r="Q237" s="214" t="s">
        <v>862</v>
      </c>
      <c r="R237" s="214" t="s">
        <v>746</v>
      </c>
      <c r="S237" s="214" t="s">
        <v>767</v>
      </c>
      <c r="T237" s="214" t="s">
        <v>746</v>
      </c>
    </row>
    <row r="238" spans="1:20" x14ac:dyDescent="0.2">
      <c r="B238" s="214">
        <v>234</v>
      </c>
      <c r="C238" s="250" t="s">
        <v>559</v>
      </c>
      <c r="D238" s="250" t="s">
        <v>558</v>
      </c>
      <c r="E238" s="239">
        <v>112762278</v>
      </c>
      <c r="F238" s="239">
        <v>0</v>
      </c>
      <c r="G238" s="239">
        <v>6501453</v>
      </c>
      <c r="H238" s="239">
        <v>246543</v>
      </c>
      <c r="I238" s="239">
        <v>0</v>
      </c>
      <c r="J238" s="239">
        <v>246543</v>
      </c>
      <c r="K238" s="239">
        <v>0</v>
      </c>
      <c r="L238" s="239">
        <v>0</v>
      </c>
      <c r="M238" s="239">
        <v>0</v>
      </c>
      <c r="N238" s="239">
        <v>0</v>
      </c>
      <c r="O238" s="239">
        <v>0</v>
      </c>
      <c r="P238" s="239">
        <v>106014282</v>
      </c>
      <c r="Q238" s="214" t="s">
        <v>558</v>
      </c>
      <c r="R238" s="214" t="s">
        <v>766</v>
      </c>
      <c r="S238" s="214" t="s">
        <v>764</v>
      </c>
      <c r="T238" s="214" t="s">
        <v>1160</v>
      </c>
    </row>
    <row r="239" spans="1:20" x14ac:dyDescent="0.2">
      <c r="B239" s="214">
        <v>235</v>
      </c>
      <c r="C239" s="250" t="s">
        <v>561</v>
      </c>
      <c r="D239" s="250" t="s">
        <v>560</v>
      </c>
      <c r="E239" s="239">
        <v>33092022</v>
      </c>
      <c r="F239" s="239">
        <v>90072</v>
      </c>
      <c r="G239" s="239">
        <v>0</v>
      </c>
      <c r="H239" s="239">
        <v>95679</v>
      </c>
      <c r="I239" s="239">
        <v>0</v>
      </c>
      <c r="J239" s="239">
        <v>95679</v>
      </c>
      <c r="K239" s="239">
        <v>0</v>
      </c>
      <c r="L239" s="239">
        <v>0</v>
      </c>
      <c r="M239" s="239">
        <v>0</v>
      </c>
      <c r="N239" s="239">
        <v>0</v>
      </c>
      <c r="O239" s="239">
        <v>0</v>
      </c>
      <c r="P239" s="239">
        <v>33086415</v>
      </c>
      <c r="Q239" s="214" t="s">
        <v>560</v>
      </c>
      <c r="R239" s="214" t="s">
        <v>759</v>
      </c>
      <c r="S239" s="214" t="s">
        <v>757</v>
      </c>
      <c r="T239" s="214" t="s">
        <v>1158</v>
      </c>
    </row>
    <row r="240" spans="1:20" x14ac:dyDescent="0.2">
      <c r="A240" s="215" t="s">
        <v>1667</v>
      </c>
      <c r="B240" s="214">
        <v>236</v>
      </c>
      <c r="C240" s="250" t="s">
        <v>563</v>
      </c>
      <c r="D240" s="250" t="s">
        <v>562</v>
      </c>
      <c r="E240" s="239">
        <v>79799525</v>
      </c>
      <c r="F240" s="239">
        <v>0</v>
      </c>
      <c r="G240" s="239">
        <v>323273</v>
      </c>
      <c r="H240" s="239">
        <v>229729</v>
      </c>
      <c r="I240" s="239">
        <v>0</v>
      </c>
      <c r="J240" s="239">
        <v>229729</v>
      </c>
      <c r="K240" s="239">
        <v>0</v>
      </c>
      <c r="L240" s="239">
        <v>560807</v>
      </c>
      <c r="M240" s="239">
        <v>981382</v>
      </c>
      <c r="N240" s="239">
        <v>981382</v>
      </c>
      <c r="O240" s="239">
        <v>0</v>
      </c>
      <c r="P240" s="239">
        <v>77704334</v>
      </c>
      <c r="Q240" s="214" t="s">
        <v>562</v>
      </c>
      <c r="R240" s="214" t="s">
        <v>860</v>
      </c>
      <c r="S240" s="214" t="s">
        <v>858</v>
      </c>
      <c r="T240" s="214" t="s">
        <v>1158</v>
      </c>
    </row>
    <row r="241" spans="2:20" x14ac:dyDescent="0.2">
      <c r="B241" s="214">
        <v>237</v>
      </c>
      <c r="C241" s="250" t="s">
        <v>565</v>
      </c>
      <c r="D241" s="250" t="s">
        <v>564</v>
      </c>
      <c r="E241" s="239">
        <v>24739688</v>
      </c>
      <c r="F241" s="239">
        <v>590262</v>
      </c>
      <c r="G241" s="239">
        <v>0</v>
      </c>
      <c r="H241" s="239">
        <v>90800</v>
      </c>
      <c r="I241" s="239">
        <v>0</v>
      </c>
      <c r="J241" s="239">
        <v>90800</v>
      </c>
      <c r="K241" s="239">
        <v>0</v>
      </c>
      <c r="L241" s="239">
        <v>0</v>
      </c>
      <c r="M241" s="239">
        <v>0</v>
      </c>
      <c r="N241" s="239">
        <v>0</v>
      </c>
      <c r="O241" s="239">
        <v>0</v>
      </c>
      <c r="P241" s="239">
        <v>25239150</v>
      </c>
      <c r="Q241" s="214" t="s">
        <v>564</v>
      </c>
      <c r="R241" s="214" t="s">
        <v>856</v>
      </c>
      <c r="S241" s="214" t="s">
        <v>854</v>
      </c>
      <c r="T241" s="214" t="s">
        <v>1158</v>
      </c>
    </row>
    <row r="242" spans="2:20" x14ac:dyDescent="0.2">
      <c r="B242" s="214">
        <v>238</v>
      </c>
      <c r="C242" s="250" t="s">
        <v>567</v>
      </c>
      <c r="D242" s="250" t="s">
        <v>566</v>
      </c>
      <c r="E242" s="239">
        <v>143852550</v>
      </c>
      <c r="F242" s="239">
        <v>0</v>
      </c>
      <c r="G242" s="239">
        <v>7075317</v>
      </c>
      <c r="H242" s="239">
        <v>333796</v>
      </c>
      <c r="I242" s="239">
        <v>0</v>
      </c>
      <c r="J242" s="239">
        <v>333796</v>
      </c>
      <c r="K242" s="239">
        <v>0</v>
      </c>
      <c r="L242" s="239">
        <v>9162958</v>
      </c>
      <c r="M242" s="239">
        <v>556346</v>
      </c>
      <c r="N242" s="239">
        <v>556346</v>
      </c>
      <c r="O242" s="239">
        <v>0</v>
      </c>
      <c r="P242" s="239">
        <v>126724133</v>
      </c>
      <c r="Q242" s="214" t="s">
        <v>853</v>
      </c>
      <c r="R242" s="214" t="s">
        <v>746</v>
      </c>
      <c r="S242" s="214" t="s">
        <v>851</v>
      </c>
      <c r="T242" s="214" t="s">
        <v>746</v>
      </c>
    </row>
    <row r="243" spans="2:20" x14ac:dyDescent="0.2">
      <c r="B243" s="214">
        <v>239</v>
      </c>
      <c r="C243" s="250" t="s">
        <v>569</v>
      </c>
      <c r="D243" s="250" t="s">
        <v>568</v>
      </c>
      <c r="E243" s="239">
        <v>27368250</v>
      </c>
      <c r="F243" s="239">
        <v>0</v>
      </c>
      <c r="G243" s="239">
        <v>485573</v>
      </c>
      <c r="H243" s="239">
        <v>205674</v>
      </c>
      <c r="I243" s="239">
        <v>0</v>
      </c>
      <c r="J243" s="239">
        <v>205674</v>
      </c>
      <c r="K243" s="239">
        <v>0</v>
      </c>
      <c r="L243" s="239">
        <v>0</v>
      </c>
      <c r="M243" s="239">
        <v>0</v>
      </c>
      <c r="N243" s="239">
        <v>0</v>
      </c>
      <c r="O243" s="239">
        <v>0</v>
      </c>
      <c r="P243" s="239">
        <v>26677003</v>
      </c>
      <c r="Q243" s="214" t="s">
        <v>568</v>
      </c>
      <c r="R243" s="214" t="s">
        <v>798</v>
      </c>
      <c r="S243" s="214" t="s">
        <v>790</v>
      </c>
      <c r="T243" s="214" t="s">
        <v>1158</v>
      </c>
    </row>
    <row r="244" spans="2:20" x14ac:dyDescent="0.2">
      <c r="B244" s="214">
        <v>240</v>
      </c>
      <c r="C244" s="250" t="s">
        <v>571</v>
      </c>
      <c r="D244" s="250" t="s">
        <v>570</v>
      </c>
      <c r="E244" s="239">
        <v>26694407</v>
      </c>
      <c r="F244" s="239">
        <v>0</v>
      </c>
      <c r="G244" s="239">
        <v>2424448</v>
      </c>
      <c r="H244" s="239">
        <v>106913</v>
      </c>
      <c r="I244" s="239">
        <v>0</v>
      </c>
      <c r="J244" s="239">
        <v>106913</v>
      </c>
      <c r="K244" s="239">
        <v>0</v>
      </c>
      <c r="L244" s="239">
        <v>0</v>
      </c>
      <c r="M244" s="239">
        <v>311957</v>
      </c>
      <c r="N244" s="239">
        <v>261183</v>
      </c>
      <c r="O244" s="239">
        <v>50774</v>
      </c>
      <c r="P244" s="239">
        <v>23851089</v>
      </c>
      <c r="Q244" s="214" t="s">
        <v>570</v>
      </c>
      <c r="R244" s="214" t="s">
        <v>796</v>
      </c>
      <c r="S244" s="214" t="s">
        <v>761</v>
      </c>
      <c r="T244" s="214" t="s">
        <v>1158</v>
      </c>
    </row>
    <row r="245" spans="2:20" x14ac:dyDescent="0.2">
      <c r="B245" s="214">
        <v>241</v>
      </c>
      <c r="C245" s="250" t="s">
        <v>573</v>
      </c>
      <c r="D245" s="250" t="s">
        <v>572</v>
      </c>
      <c r="E245" s="239">
        <v>40056152</v>
      </c>
      <c r="F245" s="239">
        <v>0</v>
      </c>
      <c r="G245" s="239">
        <v>165054</v>
      </c>
      <c r="H245" s="239">
        <v>177446</v>
      </c>
      <c r="I245" s="239">
        <v>0</v>
      </c>
      <c r="J245" s="239">
        <v>177446</v>
      </c>
      <c r="K245" s="239">
        <v>0</v>
      </c>
      <c r="L245" s="239">
        <v>0</v>
      </c>
      <c r="M245" s="239">
        <v>5905</v>
      </c>
      <c r="N245" s="239">
        <v>5905</v>
      </c>
      <c r="O245" s="239">
        <v>0</v>
      </c>
      <c r="P245" s="239">
        <v>39707747</v>
      </c>
      <c r="Q245" s="214" t="s">
        <v>572</v>
      </c>
      <c r="R245" s="214" t="s">
        <v>796</v>
      </c>
      <c r="S245" s="214" t="s">
        <v>761</v>
      </c>
      <c r="T245" s="214" t="s">
        <v>1158</v>
      </c>
    </row>
    <row r="246" spans="2:20" x14ac:dyDescent="0.2">
      <c r="B246" s="214">
        <v>242</v>
      </c>
      <c r="C246" s="250" t="s">
        <v>575</v>
      </c>
      <c r="D246" s="250" t="s">
        <v>574</v>
      </c>
      <c r="E246" s="239">
        <v>40224026</v>
      </c>
      <c r="F246" s="239">
        <v>1350521</v>
      </c>
      <c r="G246" s="239">
        <v>0</v>
      </c>
      <c r="H246" s="239">
        <v>300847</v>
      </c>
      <c r="I246" s="239">
        <v>0</v>
      </c>
      <c r="J246" s="239">
        <v>300847</v>
      </c>
      <c r="K246" s="239">
        <v>0</v>
      </c>
      <c r="L246" s="239">
        <v>0</v>
      </c>
      <c r="M246" s="239">
        <v>0</v>
      </c>
      <c r="N246" s="239">
        <v>0</v>
      </c>
      <c r="O246" s="239">
        <v>0</v>
      </c>
      <c r="P246" s="239">
        <v>41273700</v>
      </c>
      <c r="Q246" s="214" t="s">
        <v>574</v>
      </c>
      <c r="R246" s="214" t="s">
        <v>849</v>
      </c>
      <c r="S246" s="214" t="s">
        <v>761</v>
      </c>
      <c r="T246" s="214" t="s">
        <v>1158</v>
      </c>
    </row>
    <row r="247" spans="2:20" x14ac:dyDescent="0.2">
      <c r="B247" s="214">
        <v>243</v>
      </c>
      <c r="C247" s="250" t="s">
        <v>577</v>
      </c>
      <c r="D247" s="250" t="s">
        <v>576</v>
      </c>
      <c r="E247" s="239">
        <v>28754226</v>
      </c>
      <c r="F247" s="239">
        <v>0</v>
      </c>
      <c r="G247" s="239">
        <v>159703</v>
      </c>
      <c r="H247" s="239">
        <v>162366</v>
      </c>
      <c r="I247" s="239">
        <v>0</v>
      </c>
      <c r="J247" s="239">
        <v>162366</v>
      </c>
      <c r="K247" s="239">
        <v>0</v>
      </c>
      <c r="L247" s="239">
        <v>0</v>
      </c>
      <c r="M247" s="239">
        <v>156880</v>
      </c>
      <c r="N247" s="239">
        <v>156880</v>
      </c>
      <c r="O247" s="239">
        <v>0</v>
      </c>
      <c r="P247" s="239">
        <v>28275277</v>
      </c>
      <c r="Q247" s="214" t="s">
        <v>576</v>
      </c>
      <c r="R247" s="214" t="s">
        <v>847</v>
      </c>
      <c r="S247" s="214" t="s">
        <v>761</v>
      </c>
      <c r="T247" s="214" t="s">
        <v>1158</v>
      </c>
    </row>
    <row r="248" spans="2:20" x14ac:dyDescent="0.2">
      <c r="B248" s="214">
        <v>244</v>
      </c>
      <c r="C248" s="250" t="s">
        <v>579</v>
      </c>
      <c r="D248" s="250" t="s">
        <v>578</v>
      </c>
      <c r="E248" s="239">
        <v>23159898</v>
      </c>
      <c r="F248" s="239">
        <v>238625</v>
      </c>
      <c r="G248" s="239">
        <v>0</v>
      </c>
      <c r="H248" s="239">
        <v>107996</v>
      </c>
      <c r="I248" s="239">
        <v>0</v>
      </c>
      <c r="J248" s="239">
        <v>107996</v>
      </c>
      <c r="K248" s="239">
        <v>0</v>
      </c>
      <c r="L248" s="239">
        <v>0</v>
      </c>
      <c r="M248" s="239">
        <v>340967</v>
      </c>
      <c r="N248" s="239">
        <v>340967</v>
      </c>
      <c r="O248" s="239">
        <v>0</v>
      </c>
      <c r="P248" s="239">
        <v>22949560</v>
      </c>
      <c r="Q248" s="214" t="s">
        <v>578</v>
      </c>
      <c r="R248" s="214" t="s">
        <v>803</v>
      </c>
      <c r="S248" s="214" t="s">
        <v>761</v>
      </c>
      <c r="T248" s="214" t="s">
        <v>1158</v>
      </c>
    </row>
    <row r="249" spans="2:20" x14ac:dyDescent="0.2">
      <c r="B249" s="214">
        <v>245</v>
      </c>
      <c r="C249" s="250" t="s">
        <v>581</v>
      </c>
      <c r="D249" s="250" t="s">
        <v>580</v>
      </c>
      <c r="E249" s="239">
        <v>40783815</v>
      </c>
      <c r="F249" s="239">
        <v>1131800</v>
      </c>
      <c r="G249" s="239">
        <v>0</v>
      </c>
      <c r="H249" s="239">
        <v>183863</v>
      </c>
      <c r="I249" s="239">
        <v>0</v>
      </c>
      <c r="J249" s="239">
        <v>183863</v>
      </c>
      <c r="K249" s="239">
        <v>0</v>
      </c>
      <c r="L249" s="239">
        <v>48442</v>
      </c>
      <c r="M249" s="239">
        <v>90098</v>
      </c>
      <c r="N249" s="239">
        <v>90098</v>
      </c>
      <c r="O249" s="239">
        <v>0</v>
      </c>
      <c r="P249" s="239">
        <v>41593212</v>
      </c>
      <c r="Q249" s="214" t="s">
        <v>580</v>
      </c>
      <c r="R249" s="214" t="s">
        <v>794</v>
      </c>
      <c r="S249" s="214" t="s">
        <v>761</v>
      </c>
      <c r="T249" s="214" t="s">
        <v>1158</v>
      </c>
    </row>
    <row r="250" spans="2:20" x14ac:dyDescent="0.2">
      <c r="B250" s="214">
        <v>246</v>
      </c>
      <c r="C250" s="250" t="s">
        <v>583</v>
      </c>
      <c r="D250" s="250" t="s">
        <v>582</v>
      </c>
      <c r="E250" s="239">
        <v>36303776</v>
      </c>
      <c r="F250" s="239">
        <v>0</v>
      </c>
      <c r="G250" s="239">
        <v>2989736</v>
      </c>
      <c r="H250" s="239">
        <v>124370</v>
      </c>
      <c r="I250" s="239">
        <v>0</v>
      </c>
      <c r="J250" s="239">
        <v>124370</v>
      </c>
      <c r="K250" s="239">
        <v>0</v>
      </c>
      <c r="L250" s="239">
        <v>0</v>
      </c>
      <c r="M250" s="239">
        <v>9302</v>
      </c>
      <c r="N250" s="239">
        <v>9302</v>
      </c>
      <c r="O250" s="239">
        <v>0</v>
      </c>
      <c r="P250" s="239">
        <v>33180368</v>
      </c>
      <c r="Q250" s="214" t="s">
        <v>582</v>
      </c>
      <c r="R250" s="214" t="s">
        <v>755</v>
      </c>
      <c r="S250" s="214" t="s">
        <v>753</v>
      </c>
      <c r="T250" s="214" t="s">
        <v>1158</v>
      </c>
    </row>
    <row r="251" spans="2:20" x14ac:dyDescent="0.2">
      <c r="B251" s="214">
        <v>247</v>
      </c>
      <c r="C251" s="250" t="s">
        <v>585</v>
      </c>
      <c r="D251" s="250" t="s">
        <v>584</v>
      </c>
      <c r="E251" s="239">
        <v>41162225</v>
      </c>
      <c r="F251" s="239">
        <v>0</v>
      </c>
      <c r="G251" s="239">
        <v>1543093</v>
      </c>
      <c r="H251" s="239">
        <v>223868</v>
      </c>
      <c r="I251" s="239">
        <v>0</v>
      </c>
      <c r="J251" s="239">
        <v>223868</v>
      </c>
      <c r="K251" s="239">
        <v>0</v>
      </c>
      <c r="L251" s="239">
        <v>0</v>
      </c>
      <c r="M251" s="239">
        <v>521513</v>
      </c>
      <c r="N251" s="239">
        <v>521513</v>
      </c>
      <c r="O251" s="239">
        <v>0</v>
      </c>
      <c r="P251" s="239">
        <v>38873751</v>
      </c>
      <c r="Q251" s="214" t="s">
        <v>584</v>
      </c>
      <c r="R251" s="214" t="s">
        <v>792</v>
      </c>
      <c r="S251" s="214" t="s">
        <v>790</v>
      </c>
      <c r="T251" s="214" t="s">
        <v>1158</v>
      </c>
    </row>
    <row r="252" spans="2:20" x14ac:dyDescent="0.2">
      <c r="B252" s="214">
        <v>248</v>
      </c>
      <c r="C252" s="250" t="s">
        <v>587</v>
      </c>
      <c r="D252" s="250" t="s">
        <v>586</v>
      </c>
      <c r="E252" s="239">
        <v>25012389</v>
      </c>
      <c r="F252" s="239">
        <v>77942</v>
      </c>
      <c r="G252" s="239">
        <v>0</v>
      </c>
      <c r="H252" s="239">
        <v>104320</v>
      </c>
      <c r="I252" s="239">
        <v>0</v>
      </c>
      <c r="J252" s="239">
        <v>104320</v>
      </c>
      <c r="K252" s="239">
        <v>0</v>
      </c>
      <c r="L252" s="239">
        <v>2367446</v>
      </c>
      <c r="M252" s="239">
        <v>227784</v>
      </c>
      <c r="N252" s="239">
        <v>42172</v>
      </c>
      <c r="O252" s="239">
        <v>185612</v>
      </c>
      <c r="P252" s="239">
        <v>22390781</v>
      </c>
      <c r="Q252" s="214" t="s">
        <v>586</v>
      </c>
      <c r="R252" s="214" t="s">
        <v>836</v>
      </c>
      <c r="S252" s="214" t="s">
        <v>834</v>
      </c>
      <c r="T252" s="214" t="s">
        <v>1158</v>
      </c>
    </row>
    <row r="253" spans="2:20" x14ac:dyDescent="0.2">
      <c r="B253" s="214">
        <v>249</v>
      </c>
      <c r="C253" s="250" t="s">
        <v>589</v>
      </c>
      <c r="D253" s="250" t="s">
        <v>588</v>
      </c>
      <c r="E253" s="239">
        <v>29544471</v>
      </c>
      <c r="F253" s="239">
        <v>0</v>
      </c>
      <c r="G253" s="239">
        <v>1975298</v>
      </c>
      <c r="H253" s="239">
        <v>150198</v>
      </c>
      <c r="I253" s="239">
        <v>0</v>
      </c>
      <c r="J253" s="239">
        <v>150198</v>
      </c>
      <c r="K253" s="239">
        <v>0</v>
      </c>
      <c r="L253" s="239">
        <v>0</v>
      </c>
      <c r="M253" s="239">
        <v>0</v>
      </c>
      <c r="N253" s="239">
        <v>0</v>
      </c>
      <c r="O253" s="239">
        <v>0</v>
      </c>
      <c r="P253" s="239">
        <v>27418975</v>
      </c>
      <c r="Q253" s="214" t="s">
        <v>588</v>
      </c>
      <c r="R253" s="214" t="s">
        <v>766</v>
      </c>
      <c r="S253" s="214" t="s">
        <v>839</v>
      </c>
      <c r="T253" s="214" t="s">
        <v>1160</v>
      </c>
    </row>
    <row r="254" spans="2:20" x14ac:dyDescent="0.2">
      <c r="B254" s="214">
        <v>250</v>
      </c>
      <c r="C254" s="250" t="s">
        <v>591</v>
      </c>
      <c r="D254" s="250" t="s">
        <v>590</v>
      </c>
      <c r="E254" s="239">
        <v>103220018</v>
      </c>
      <c r="F254" s="239">
        <v>0</v>
      </c>
      <c r="G254" s="239">
        <v>3018386</v>
      </c>
      <c r="H254" s="239">
        <v>310662</v>
      </c>
      <c r="I254" s="239">
        <v>0</v>
      </c>
      <c r="J254" s="239">
        <v>310662</v>
      </c>
      <c r="K254" s="239">
        <v>0</v>
      </c>
      <c r="L254" s="239">
        <v>0</v>
      </c>
      <c r="M254" s="239">
        <v>0</v>
      </c>
      <c r="N254" s="239">
        <v>0</v>
      </c>
      <c r="O254" s="239">
        <v>0</v>
      </c>
      <c r="P254" s="239">
        <v>99890970</v>
      </c>
      <c r="Q254" s="214" t="s">
        <v>846</v>
      </c>
      <c r="R254" s="214" t="s">
        <v>746</v>
      </c>
      <c r="S254" s="214" t="s">
        <v>775</v>
      </c>
      <c r="T254" s="214" t="s">
        <v>746</v>
      </c>
    </row>
    <row r="255" spans="2:20" x14ac:dyDescent="0.2">
      <c r="B255" s="214">
        <v>251</v>
      </c>
      <c r="C255" s="250" t="s">
        <v>593</v>
      </c>
      <c r="D255" s="250" t="s">
        <v>592</v>
      </c>
      <c r="E255" s="239">
        <v>43537157.229999997</v>
      </c>
      <c r="F255" s="239">
        <v>0</v>
      </c>
      <c r="G255" s="239">
        <v>1985298</v>
      </c>
      <c r="H255" s="239">
        <v>234382</v>
      </c>
      <c r="I255" s="239">
        <v>0</v>
      </c>
      <c r="J255" s="239">
        <v>234382</v>
      </c>
      <c r="K255" s="239">
        <v>0</v>
      </c>
      <c r="L255" s="239">
        <v>0</v>
      </c>
      <c r="M255" s="239">
        <v>0</v>
      </c>
      <c r="N255" s="239">
        <v>0</v>
      </c>
      <c r="O255" s="239">
        <v>0</v>
      </c>
      <c r="P255" s="239">
        <v>41317477.229999997</v>
      </c>
      <c r="Q255" s="214" t="s">
        <v>845</v>
      </c>
      <c r="R255" s="214" t="s">
        <v>746</v>
      </c>
      <c r="S255" s="214" t="s">
        <v>818</v>
      </c>
      <c r="T255" s="214" t="s">
        <v>746</v>
      </c>
    </row>
    <row r="256" spans="2:20" x14ac:dyDescent="0.2">
      <c r="B256" s="214">
        <v>252</v>
      </c>
      <c r="C256" s="250" t="s">
        <v>595</v>
      </c>
      <c r="D256" s="250" t="s">
        <v>594</v>
      </c>
      <c r="E256" s="239">
        <v>279873870</v>
      </c>
      <c r="F256" s="239">
        <v>25870574</v>
      </c>
      <c r="G256" s="239">
        <v>0</v>
      </c>
      <c r="H256" s="239">
        <v>720423</v>
      </c>
      <c r="I256" s="239">
        <v>0</v>
      </c>
      <c r="J256" s="239">
        <v>720423</v>
      </c>
      <c r="K256" s="239">
        <v>0</v>
      </c>
      <c r="L256" s="239">
        <v>0</v>
      </c>
      <c r="M256" s="239">
        <v>0</v>
      </c>
      <c r="N256" s="239">
        <v>0</v>
      </c>
      <c r="O256" s="239">
        <v>0</v>
      </c>
      <c r="P256" s="239">
        <v>305024021</v>
      </c>
      <c r="Q256" s="214" t="s">
        <v>594</v>
      </c>
      <c r="R256" s="214" t="s">
        <v>788</v>
      </c>
      <c r="S256" s="214" t="s">
        <v>747</v>
      </c>
      <c r="T256" s="214" t="s">
        <v>1161</v>
      </c>
    </row>
    <row r="257" spans="1:20" x14ac:dyDescent="0.2">
      <c r="A257" s="215" t="s">
        <v>1668</v>
      </c>
      <c r="B257" s="214">
        <v>253</v>
      </c>
      <c r="C257" s="250" t="s">
        <v>597</v>
      </c>
      <c r="D257" s="250" t="s">
        <v>596</v>
      </c>
      <c r="E257" s="239">
        <v>43108165</v>
      </c>
      <c r="F257" s="239">
        <v>616695</v>
      </c>
      <c r="G257" s="239">
        <v>0</v>
      </c>
      <c r="H257" s="239">
        <v>128748</v>
      </c>
      <c r="I257" s="239">
        <v>0</v>
      </c>
      <c r="J257" s="239">
        <v>128748</v>
      </c>
      <c r="K257" s="239">
        <v>0</v>
      </c>
      <c r="L257" s="239">
        <v>0</v>
      </c>
      <c r="M257" s="239">
        <v>0</v>
      </c>
      <c r="N257" s="239">
        <v>0</v>
      </c>
      <c r="O257" s="239">
        <v>0</v>
      </c>
      <c r="P257" s="239">
        <v>43596112</v>
      </c>
      <c r="Q257" s="214" t="s">
        <v>596</v>
      </c>
      <c r="R257" s="214" t="s">
        <v>770</v>
      </c>
      <c r="S257" s="214" t="s">
        <v>761</v>
      </c>
      <c r="T257" s="214" t="s">
        <v>1158</v>
      </c>
    </row>
    <row r="258" spans="1:20" x14ac:dyDescent="0.2">
      <c r="B258" s="214">
        <v>254</v>
      </c>
      <c r="C258" s="250" t="s">
        <v>599</v>
      </c>
      <c r="D258" s="250" t="s">
        <v>598</v>
      </c>
      <c r="E258" s="239">
        <v>62606443</v>
      </c>
      <c r="F258" s="239">
        <v>0</v>
      </c>
      <c r="G258" s="239">
        <v>2052815</v>
      </c>
      <c r="H258" s="239">
        <v>188622</v>
      </c>
      <c r="I258" s="239">
        <v>0</v>
      </c>
      <c r="J258" s="239">
        <v>188622</v>
      </c>
      <c r="K258" s="239">
        <v>0</v>
      </c>
      <c r="L258" s="239">
        <v>4941</v>
      </c>
      <c r="M258" s="239">
        <v>0</v>
      </c>
      <c r="N258" s="239">
        <v>0</v>
      </c>
      <c r="O258" s="239">
        <v>0</v>
      </c>
      <c r="P258" s="239">
        <v>60360065</v>
      </c>
      <c r="Q258" s="214" t="s">
        <v>598</v>
      </c>
      <c r="R258" s="214" t="s">
        <v>801</v>
      </c>
      <c r="S258" s="214" t="s">
        <v>761</v>
      </c>
      <c r="T258" s="214" t="s">
        <v>1158</v>
      </c>
    </row>
    <row r="259" spans="1:20" x14ac:dyDescent="0.2">
      <c r="B259" s="214">
        <v>255</v>
      </c>
      <c r="C259" s="250" t="s">
        <v>601</v>
      </c>
      <c r="D259" s="250" t="s">
        <v>600</v>
      </c>
      <c r="E259" s="239">
        <v>44934277</v>
      </c>
      <c r="F259" s="239">
        <v>0</v>
      </c>
      <c r="G259" s="239">
        <v>1154909</v>
      </c>
      <c r="H259" s="239">
        <v>158330</v>
      </c>
      <c r="I259" s="239">
        <v>0</v>
      </c>
      <c r="J259" s="239">
        <v>158330</v>
      </c>
      <c r="K259" s="239">
        <v>0</v>
      </c>
      <c r="L259" s="239">
        <v>0</v>
      </c>
      <c r="M259" s="239">
        <v>252599</v>
      </c>
      <c r="N259" s="239">
        <v>252599</v>
      </c>
      <c r="O259" s="239">
        <v>0</v>
      </c>
      <c r="P259" s="239">
        <v>43368439</v>
      </c>
      <c r="Q259" s="214" t="s">
        <v>600</v>
      </c>
      <c r="R259" s="214" t="s">
        <v>809</v>
      </c>
      <c r="S259" s="214" t="s">
        <v>761</v>
      </c>
      <c r="T259" s="214" t="s">
        <v>1158</v>
      </c>
    </row>
    <row r="260" spans="1:20" x14ac:dyDescent="0.2">
      <c r="B260" s="214">
        <v>256</v>
      </c>
      <c r="C260" s="250" t="s">
        <v>603</v>
      </c>
      <c r="D260" s="250" t="s">
        <v>602</v>
      </c>
      <c r="E260" s="239">
        <v>48616887</v>
      </c>
      <c r="F260" s="239">
        <v>0</v>
      </c>
      <c r="G260" s="239">
        <v>2619190</v>
      </c>
      <c r="H260" s="239">
        <v>190546</v>
      </c>
      <c r="I260" s="239">
        <v>0</v>
      </c>
      <c r="J260" s="239">
        <v>190546</v>
      </c>
      <c r="K260" s="239">
        <v>0</v>
      </c>
      <c r="L260" s="239">
        <v>0</v>
      </c>
      <c r="M260" s="239">
        <v>0</v>
      </c>
      <c r="N260" s="239">
        <v>0</v>
      </c>
      <c r="O260" s="239">
        <v>0</v>
      </c>
      <c r="P260" s="239">
        <v>45807151</v>
      </c>
      <c r="Q260" s="214" t="s">
        <v>602</v>
      </c>
      <c r="R260" s="214" t="s">
        <v>766</v>
      </c>
      <c r="S260" s="214" t="s">
        <v>772</v>
      </c>
      <c r="T260" s="214" t="s">
        <v>1160</v>
      </c>
    </row>
    <row r="261" spans="1:20" x14ac:dyDescent="0.2">
      <c r="B261" s="214">
        <v>257</v>
      </c>
      <c r="C261" s="250" t="s">
        <v>605</v>
      </c>
      <c r="D261" s="250" t="s">
        <v>604</v>
      </c>
      <c r="E261" s="239">
        <v>47364543</v>
      </c>
      <c r="F261" s="239">
        <v>0</v>
      </c>
      <c r="G261" s="239">
        <v>516024</v>
      </c>
      <c r="H261" s="239">
        <v>167690</v>
      </c>
      <c r="I261" s="239">
        <v>0</v>
      </c>
      <c r="J261" s="239">
        <v>167690</v>
      </c>
      <c r="K261" s="239">
        <v>0</v>
      </c>
      <c r="L261" s="239">
        <v>0</v>
      </c>
      <c r="M261" s="239">
        <v>0</v>
      </c>
      <c r="N261" s="239">
        <v>0</v>
      </c>
      <c r="O261" s="239">
        <v>0</v>
      </c>
      <c r="P261" s="239">
        <v>46680829</v>
      </c>
      <c r="Q261" s="214" t="s">
        <v>604</v>
      </c>
      <c r="R261" s="214" t="s">
        <v>836</v>
      </c>
      <c r="S261" s="214" t="s">
        <v>834</v>
      </c>
      <c r="T261" s="214" t="s">
        <v>1158</v>
      </c>
    </row>
    <row r="262" spans="1:20" x14ac:dyDescent="0.2">
      <c r="B262" s="214">
        <v>258</v>
      </c>
      <c r="C262" s="250" t="s">
        <v>607</v>
      </c>
      <c r="D262" s="250" t="s">
        <v>606</v>
      </c>
      <c r="E262" s="239">
        <v>17776623</v>
      </c>
      <c r="F262" s="239">
        <v>1161832</v>
      </c>
      <c r="G262" s="239">
        <v>0</v>
      </c>
      <c r="H262" s="239">
        <v>115457</v>
      </c>
      <c r="I262" s="239">
        <v>0</v>
      </c>
      <c r="J262" s="239">
        <v>115457</v>
      </c>
      <c r="K262" s="239">
        <v>0</v>
      </c>
      <c r="L262" s="239">
        <v>0</v>
      </c>
      <c r="M262" s="239">
        <v>0</v>
      </c>
      <c r="N262" s="239">
        <v>0</v>
      </c>
      <c r="O262" s="239">
        <v>0</v>
      </c>
      <c r="P262" s="239">
        <v>18822998</v>
      </c>
      <c r="Q262" s="214" t="s">
        <v>606</v>
      </c>
      <c r="R262" s="214" t="s">
        <v>836</v>
      </c>
      <c r="S262" s="214" t="s">
        <v>834</v>
      </c>
      <c r="T262" s="214" t="s">
        <v>1158</v>
      </c>
    </row>
    <row r="263" spans="1:20" x14ac:dyDescent="0.2">
      <c r="B263" s="214">
        <v>259</v>
      </c>
      <c r="C263" s="250" t="s">
        <v>609</v>
      </c>
      <c r="D263" s="250" t="s">
        <v>608</v>
      </c>
      <c r="E263" s="239">
        <v>46281686</v>
      </c>
      <c r="F263" s="239">
        <v>0</v>
      </c>
      <c r="G263" s="239">
        <v>3086458</v>
      </c>
      <c r="H263" s="239">
        <v>109538</v>
      </c>
      <c r="I263" s="239">
        <v>0</v>
      </c>
      <c r="J263" s="239">
        <v>109538</v>
      </c>
      <c r="K263" s="239">
        <v>0</v>
      </c>
      <c r="L263" s="239">
        <v>0</v>
      </c>
      <c r="M263" s="239">
        <v>0</v>
      </c>
      <c r="N263" s="239">
        <v>0</v>
      </c>
      <c r="O263" s="239">
        <v>0</v>
      </c>
      <c r="P263" s="239">
        <v>43085690</v>
      </c>
      <c r="Q263" s="214" t="s">
        <v>608</v>
      </c>
      <c r="R263" s="214" t="s">
        <v>801</v>
      </c>
      <c r="S263" s="214" t="s">
        <v>761</v>
      </c>
      <c r="T263" s="214" t="s">
        <v>1158</v>
      </c>
    </row>
    <row r="264" spans="1:20" x14ac:dyDescent="0.2">
      <c r="B264" s="214">
        <v>260</v>
      </c>
      <c r="C264" s="250" t="s">
        <v>611</v>
      </c>
      <c r="D264" s="250" t="s">
        <v>610</v>
      </c>
      <c r="E264" s="239">
        <v>87665288.969999999</v>
      </c>
      <c r="F264" s="239">
        <v>0</v>
      </c>
      <c r="G264" s="239">
        <v>8331804</v>
      </c>
      <c r="H264" s="239">
        <v>428357</v>
      </c>
      <c r="I264" s="239">
        <v>0</v>
      </c>
      <c r="J264" s="239">
        <v>428357</v>
      </c>
      <c r="K264" s="239">
        <v>0</v>
      </c>
      <c r="L264" s="239">
        <v>0</v>
      </c>
      <c r="M264" s="239">
        <v>0</v>
      </c>
      <c r="N264" s="239">
        <v>0</v>
      </c>
      <c r="O264" s="239">
        <v>0</v>
      </c>
      <c r="P264" s="239">
        <v>78905127.969999999</v>
      </c>
      <c r="Q264" s="214" t="s">
        <v>610</v>
      </c>
      <c r="R264" s="214" t="s">
        <v>766</v>
      </c>
      <c r="S264" s="214" t="s">
        <v>781</v>
      </c>
      <c r="T264" s="214" t="s">
        <v>1160</v>
      </c>
    </row>
    <row r="265" spans="1:20" x14ac:dyDescent="0.2">
      <c r="B265" s="214">
        <v>261</v>
      </c>
      <c r="C265" s="250" t="s">
        <v>613</v>
      </c>
      <c r="D265" s="250" t="s">
        <v>612</v>
      </c>
      <c r="E265" s="239">
        <v>81406262</v>
      </c>
      <c r="F265" s="239">
        <v>0</v>
      </c>
      <c r="G265" s="239">
        <v>5555790</v>
      </c>
      <c r="H265" s="239">
        <v>241804</v>
      </c>
      <c r="I265" s="239">
        <v>0</v>
      </c>
      <c r="J265" s="239">
        <v>241804</v>
      </c>
      <c r="K265" s="239">
        <v>0</v>
      </c>
      <c r="L265" s="239">
        <v>154687</v>
      </c>
      <c r="M265" s="239">
        <v>116586</v>
      </c>
      <c r="N265" s="239">
        <v>116586</v>
      </c>
      <c r="O265" s="239">
        <v>0</v>
      </c>
      <c r="P265" s="239">
        <v>75337395</v>
      </c>
      <c r="Q265" s="214" t="s">
        <v>844</v>
      </c>
      <c r="R265" s="214" t="s">
        <v>746</v>
      </c>
      <c r="S265" s="214" t="s">
        <v>842</v>
      </c>
      <c r="T265" s="214" t="s">
        <v>746</v>
      </c>
    </row>
    <row r="266" spans="1:20" x14ac:dyDescent="0.2">
      <c r="B266" s="214">
        <v>262</v>
      </c>
      <c r="C266" s="250" t="s">
        <v>615</v>
      </c>
      <c r="D266" s="250" t="s">
        <v>614</v>
      </c>
      <c r="E266" s="239">
        <v>88241046</v>
      </c>
      <c r="F266" s="239">
        <v>0</v>
      </c>
      <c r="G266" s="239">
        <v>1164769</v>
      </c>
      <c r="H266" s="239">
        <v>361940</v>
      </c>
      <c r="I266" s="239">
        <v>0</v>
      </c>
      <c r="J266" s="239">
        <v>361940</v>
      </c>
      <c r="K266" s="239">
        <v>0</v>
      </c>
      <c r="L266" s="239">
        <v>466642</v>
      </c>
      <c r="M266" s="239">
        <v>0</v>
      </c>
      <c r="N266" s="239">
        <v>0</v>
      </c>
      <c r="O266" s="239">
        <v>0</v>
      </c>
      <c r="P266" s="239">
        <v>86247695</v>
      </c>
      <c r="Q266" s="214" t="s">
        <v>841</v>
      </c>
      <c r="R266" s="214" t="s">
        <v>746</v>
      </c>
      <c r="S266" s="214" t="s">
        <v>834</v>
      </c>
      <c r="T266" s="214" t="s">
        <v>746</v>
      </c>
    </row>
    <row r="267" spans="1:20" x14ac:dyDescent="0.2">
      <c r="B267" s="214">
        <v>263</v>
      </c>
      <c r="C267" s="250" t="s">
        <v>617</v>
      </c>
      <c r="D267" s="250" t="s">
        <v>616</v>
      </c>
      <c r="E267" s="239">
        <v>52668027</v>
      </c>
      <c r="F267" s="239">
        <v>0</v>
      </c>
      <c r="G267" s="239">
        <v>731161</v>
      </c>
      <c r="H267" s="239">
        <v>214845</v>
      </c>
      <c r="I267" s="239">
        <v>0</v>
      </c>
      <c r="J267" s="239">
        <v>214845</v>
      </c>
      <c r="K267" s="239">
        <v>0</v>
      </c>
      <c r="L267" s="239">
        <v>0</v>
      </c>
      <c r="M267" s="239">
        <v>32846</v>
      </c>
      <c r="N267" s="239">
        <v>32846</v>
      </c>
      <c r="O267" s="239">
        <v>0</v>
      </c>
      <c r="P267" s="239">
        <v>51689175</v>
      </c>
      <c r="Q267" s="214" t="s">
        <v>616</v>
      </c>
      <c r="R267" s="214" t="s">
        <v>811</v>
      </c>
      <c r="S267" s="214" t="s">
        <v>761</v>
      </c>
      <c r="T267" s="214" t="s">
        <v>1158</v>
      </c>
    </row>
    <row r="268" spans="1:20" x14ac:dyDescent="0.2">
      <c r="B268" s="214">
        <v>264</v>
      </c>
      <c r="C268" s="250" t="s">
        <v>619</v>
      </c>
      <c r="D268" s="250" t="s">
        <v>618</v>
      </c>
      <c r="E268" s="239">
        <v>26732000</v>
      </c>
      <c r="F268" s="239">
        <v>247874</v>
      </c>
      <c r="G268" s="239">
        <v>0</v>
      </c>
      <c r="H268" s="239">
        <v>158662</v>
      </c>
      <c r="I268" s="239">
        <v>0</v>
      </c>
      <c r="J268" s="239">
        <v>158662</v>
      </c>
      <c r="K268" s="239">
        <v>0</v>
      </c>
      <c r="L268" s="239">
        <v>0</v>
      </c>
      <c r="M268" s="239">
        <v>107748</v>
      </c>
      <c r="N268" s="239">
        <v>107748</v>
      </c>
      <c r="O268" s="239">
        <v>0</v>
      </c>
      <c r="P268" s="239">
        <v>26713464</v>
      </c>
      <c r="Q268" s="214" t="s">
        <v>618</v>
      </c>
      <c r="R268" s="214" t="s">
        <v>829</v>
      </c>
      <c r="S268" s="214" t="s">
        <v>761</v>
      </c>
      <c r="T268" s="214" t="s">
        <v>1158</v>
      </c>
    </row>
    <row r="269" spans="1:20" x14ac:dyDescent="0.2">
      <c r="B269" s="214">
        <v>265</v>
      </c>
      <c r="C269" s="250" t="s">
        <v>621</v>
      </c>
      <c r="D269" s="250" t="s">
        <v>620</v>
      </c>
      <c r="E269" s="239">
        <v>68194524</v>
      </c>
      <c r="F269" s="239">
        <v>0</v>
      </c>
      <c r="G269" s="239">
        <v>7364064</v>
      </c>
      <c r="H269" s="239">
        <v>269565</v>
      </c>
      <c r="I269" s="239">
        <v>0</v>
      </c>
      <c r="J269" s="239">
        <v>269565</v>
      </c>
      <c r="K269" s="239">
        <v>0</v>
      </c>
      <c r="L269" s="239">
        <v>0</v>
      </c>
      <c r="M269" s="239">
        <v>149175</v>
      </c>
      <c r="N269" s="239">
        <v>149175</v>
      </c>
      <c r="O269" s="239">
        <v>0</v>
      </c>
      <c r="P269" s="239">
        <v>60411720</v>
      </c>
      <c r="Q269" s="214" t="s">
        <v>620</v>
      </c>
      <c r="R269" s="214" t="s">
        <v>809</v>
      </c>
      <c r="S269" s="214" t="s">
        <v>761</v>
      </c>
      <c r="T269" s="214" t="s">
        <v>1158</v>
      </c>
    </row>
    <row r="270" spans="1:20" x14ac:dyDescent="0.2">
      <c r="B270" s="214">
        <v>266</v>
      </c>
      <c r="C270" s="250" t="s">
        <v>623</v>
      </c>
      <c r="D270" s="250" t="s">
        <v>622</v>
      </c>
      <c r="E270" s="239">
        <v>89173655</v>
      </c>
      <c r="F270" s="239">
        <v>0</v>
      </c>
      <c r="G270" s="239">
        <v>3619122</v>
      </c>
      <c r="H270" s="239">
        <v>341354</v>
      </c>
      <c r="I270" s="239">
        <v>0</v>
      </c>
      <c r="J270" s="239">
        <v>341354</v>
      </c>
      <c r="K270" s="239">
        <v>0</v>
      </c>
      <c r="L270" s="239">
        <v>707511</v>
      </c>
      <c r="M270" s="239">
        <v>0</v>
      </c>
      <c r="N270" s="239">
        <v>0</v>
      </c>
      <c r="O270" s="239">
        <v>0</v>
      </c>
      <c r="P270" s="239">
        <v>84505668</v>
      </c>
      <c r="Q270" s="214" t="s">
        <v>622</v>
      </c>
      <c r="R270" s="214" t="s">
        <v>766</v>
      </c>
      <c r="S270" s="214" t="s">
        <v>839</v>
      </c>
      <c r="T270" s="214" t="s">
        <v>1160</v>
      </c>
    </row>
    <row r="271" spans="1:20" x14ac:dyDescent="0.2">
      <c r="B271" s="214">
        <v>267</v>
      </c>
      <c r="C271" s="250" t="s">
        <v>625</v>
      </c>
      <c r="D271" s="250" t="s">
        <v>624</v>
      </c>
      <c r="E271" s="239">
        <v>34002442</v>
      </c>
      <c r="F271" s="239">
        <v>0</v>
      </c>
      <c r="G271" s="239">
        <v>1076175</v>
      </c>
      <c r="H271" s="239">
        <v>123229</v>
      </c>
      <c r="I271" s="239">
        <v>0</v>
      </c>
      <c r="J271" s="239">
        <v>123229</v>
      </c>
      <c r="K271" s="239">
        <v>0</v>
      </c>
      <c r="L271" s="239">
        <v>0</v>
      </c>
      <c r="M271" s="239">
        <v>0</v>
      </c>
      <c r="N271" s="239">
        <v>0</v>
      </c>
      <c r="O271" s="239">
        <v>0</v>
      </c>
      <c r="P271" s="239">
        <v>32803038</v>
      </c>
      <c r="Q271" s="214" t="s">
        <v>624</v>
      </c>
      <c r="R271" s="214" t="s">
        <v>770</v>
      </c>
      <c r="S271" s="214" t="s">
        <v>761</v>
      </c>
      <c r="T271" s="214" t="s">
        <v>1158</v>
      </c>
    </row>
    <row r="272" spans="1:20" x14ac:dyDescent="0.2">
      <c r="B272" s="214">
        <v>268</v>
      </c>
      <c r="C272" s="250" t="s">
        <v>627</v>
      </c>
      <c r="D272" s="250" t="s">
        <v>626</v>
      </c>
      <c r="E272" s="239">
        <v>48259353</v>
      </c>
      <c r="F272" s="239">
        <v>470065</v>
      </c>
      <c r="G272" s="239">
        <v>0</v>
      </c>
      <c r="H272" s="239">
        <v>193376</v>
      </c>
      <c r="I272" s="239">
        <v>0</v>
      </c>
      <c r="J272" s="239">
        <v>193376</v>
      </c>
      <c r="K272" s="239">
        <v>0</v>
      </c>
      <c r="L272" s="239">
        <v>0</v>
      </c>
      <c r="M272" s="239">
        <v>0</v>
      </c>
      <c r="N272" s="239">
        <v>0</v>
      </c>
      <c r="O272" s="239">
        <v>0</v>
      </c>
      <c r="P272" s="239">
        <v>48536042</v>
      </c>
      <c r="Q272" s="214" t="s">
        <v>626</v>
      </c>
      <c r="R272" s="214" t="s">
        <v>788</v>
      </c>
      <c r="S272" s="214" t="s">
        <v>747</v>
      </c>
      <c r="T272" s="214" t="s">
        <v>1159</v>
      </c>
    </row>
    <row r="273" spans="2:20" x14ac:dyDescent="0.2">
      <c r="B273" s="214">
        <v>269</v>
      </c>
      <c r="C273" s="250" t="s">
        <v>629</v>
      </c>
      <c r="D273" s="250" t="s">
        <v>628</v>
      </c>
      <c r="E273" s="239">
        <v>45820431</v>
      </c>
      <c r="F273" s="239">
        <v>0</v>
      </c>
      <c r="G273" s="239">
        <v>34776</v>
      </c>
      <c r="H273" s="239">
        <v>182037</v>
      </c>
      <c r="I273" s="239">
        <v>0</v>
      </c>
      <c r="J273" s="239">
        <v>182037</v>
      </c>
      <c r="K273" s="239">
        <v>0</v>
      </c>
      <c r="L273" s="239">
        <v>0</v>
      </c>
      <c r="M273" s="239">
        <v>1237802</v>
      </c>
      <c r="N273" s="239">
        <v>416317</v>
      </c>
      <c r="O273" s="239">
        <v>821485</v>
      </c>
      <c r="P273" s="239">
        <v>44365816</v>
      </c>
      <c r="Q273" s="214" t="s">
        <v>628</v>
      </c>
      <c r="R273" s="214" t="s">
        <v>824</v>
      </c>
      <c r="S273" s="214" t="s">
        <v>822</v>
      </c>
      <c r="T273" s="214" t="s">
        <v>1158</v>
      </c>
    </row>
    <row r="274" spans="2:20" x14ac:dyDescent="0.2">
      <c r="B274" s="214">
        <v>270</v>
      </c>
      <c r="C274" s="250" t="s">
        <v>631</v>
      </c>
      <c r="D274" s="250" t="s">
        <v>630</v>
      </c>
      <c r="E274" s="239">
        <v>108256322</v>
      </c>
      <c r="F274" s="239">
        <v>0</v>
      </c>
      <c r="G274" s="239">
        <v>7739540</v>
      </c>
      <c r="H274" s="239">
        <v>265619</v>
      </c>
      <c r="I274" s="239">
        <v>0</v>
      </c>
      <c r="J274" s="239">
        <v>265619</v>
      </c>
      <c r="K274" s="239">
        <v>0</v>
      </c>
      <c r="L274" s="239">
        <v>0</v>
      </c>
      <c r="M274" s="239">
        <v>558182</v>
      </c>
      <c r="N274" s="239">
        <v>558182</v>
      </c>
      <c r="O274" s="239">
        <v>0</v>
      </c>
      <c r="P274" s="239">
        <v>99692981</v>
      </c>
      <c r="Q274" s="214" t="s">
        <v>838</v>
      </c>
      <c r="R274" s="214" t="s">
        <v>746</v>
      </c>
      <c r="S274" s="214" t="s">
        <v>779</v>
      </c>
      <c r="T274" s="214" t="s">
        <v>746</v>
      </c>
    </row>
    <row r="275" spans="2:20" x14ac:dyDescent="0.2">
      <c r="B275" s="214">
        <v>271</v>
      </c>
      <c r="C275" s="250" t="s">
        <v>633</v>
      </c>
      <c r="D275" s="250" t="s">
        <v>632</v>
      </c>
      <c r="E275" s="239">
        <v>56723000</v>
      </c>
      <c r="F275" s="239">
        <v>0</v>
      </c>
      <c r="G275" s="239">
        <v>3184001</v>
      </c>
      <c r="H275" s="239">
        <v>291392</v>
      </c>
      <c r="I275" s="239">
        <v>0</v>
      </c>
      <c r="J275" s="239">
        <v>291392</v>
      </c>
      <c r="K275" s="239">
        <v>0</v>
      </c>
      <c r="L275" s="239">
        <v>0</v>
      </c>
      <c r="M275" s="239">
        <v>0</v>
      </c>
      <c r="N275" s="239">
        <v>0</v>
      </c>
      <c r="O275" s="239">
        <v>0</v>
      </c>
      <c r="P275" s="239">
        <v>53247607</v>
      </c>
      <c r="Q275" s="214" t="s">
        <v>632</v>
      </c>
      <c r="R275" s="214" t="s">
        <v>766</v>
      </c>
      <c r="S275" s="214" t="s">
        <v>781</v>
      </c>
      <c r="T275" s="214" t="s">
        <v>1160</v>
      </c>
    </row>
    <row r="276" spans="2:20" x14ac:dyDescent="0.2">
      <c r="B276" s="214">
        <v>272</v>
      </c>
      <c r="C276" s="250" t="s">
        <v>635</v>
      </c>
      <c r="D276" s="250" t="s">
        <v>634</v>
      </c>
      <c r="E276" s="239">
        <v>35368332</v>
      </c>
      <c r="F276" s="239">
        <v>0</v>
      </c>
      <c r="G276" s="239">
        <v>1420712</v>
      </c>
      <c r="H276" s="239">
        <v>91080</v>
      </c>
      <c r="I276" s="239">
        <v>0</v>
      </c>
      <c r="J276" s="239">
        <v>91080</v>
      </c>
      <c r="K276" s="239">
        <v>0</v>
      </c>
      <c r="L276" s="239">
        <v>0</v>
      </c>
      <c r="M276" s="239">
        <v>0</v>
      </c>
      <c r="N276" s="239">
        <v>0</v>
      </c>
      <c r="O276" s="239">
        <v>0</v>
      </c>
      <c r="P276" s="239">
        <v>33856540</v>
      </c>
      <c r="Q276" s="214" t="s">
        <v>634</v>
      </c>
      <c r="R276" s="214" t="s">
        <v>836</v>
      </c>
      <c r="S276" s="214" t="s">
        <v>834</v>
      </c>
      <c r="T276" s="214" t="s">
        <v>1158</v>
      </c>
    </row>
    <row r="277" spans="2:20" x14ac:dyDescent="0.2">
      <c r="B277" s="214">
        <v>273</v>
      </c>
      <c r="C277" s="250" t="s">
        <v>637</v>
      </c>
      <c r="D277" s="250" t="s">
        <v>636</v>
      </c>
      <c r="E277" s="239">
        <v>18135700</v>
      </c>
      <c r="F277" s="239">
        <v>1493286</v>
      </c>
      <c r="G277" s="239">
        <v>0</v>
      </c>
      <c r="H277" s="239">
        <v>125069</v>
      </c>
      <c r="I277" s="239">
        <v>0</v>
      </c>
      <c r="J277" s="239">
        <v>125069</v>
      </c>
      <c r="K277" s="239">
        <v>0</v>
      </c>
      <c r="L277" s="239">
        <v>0</v>
      </c>
      <c r="M277" s="239">
        <v>0</v>
      </c>
      <c r="N277" s="239">
        <v>0</v>
      </c>
      <c r="O277" s="239">
        <v>0</v>
      </c>
      <c r="P277" s="239">
        <v>19503917</v>
      </c>
      <c r="Q277" s="214" t="s">
        <v>636</v>
      </c>
      <c r="R277" s="214" t="s">
        <v>770</v>
      </c>
      <c r="S277" s="214" t="s">
        <v>761</v>
      </c>
      <c r="T277" s="214" t="s">
        <v>1158</v>
      </c>
    </row>
    <row r="278" spans="2:20" x14ac:dyDescent="0.2">
      <c r="B278" s="214">
        <v>274</v>
      </c>
      <c r="C278" s="250" t="s">
        <v>639</v>
      </c>
      <c r="D278" s="250" t="s">
        <v>638</v>
      </c>
      <c r="E278" s="239">
        <v>38277532</v>
      </c>
      <c r="F278" s="239">
        <v>0</v>
      </c>
      <c r="G278" s="239">
        <v>2414467</v>
      </c>
      <c r="H278" s="239">
        <v>168758</v>
      </c>
      <c r="I278" s="239">
        <v>0</v>
      </c>
      <c r="J278" s="239">
        <v>168758</v>
      </c>
      <c r="K278" s="239">
        <v>0</v>
      </c>
      <c r="L278" s="239">
        <v>0</v>
      </c>
      <c r="M278" s="239">
        <v>355595</v>
      </c>
      <c r="N278" s="239">
        <v>355595</v>
      </c>
      <c r="O278" s="239">
        <v>0</v>
      </c>
      <c r="P278" s="239">
        <v>35338712</v>
      </c>
      <c r="Q278" s="214" t="s">
        <v>638</v>
      </c>
      <c r="R278" s="214" t="s">
        <v>792</v>
      </c>
      <c r="S278" s="214" t="s">
        <v>790</v>
      </c>
      <c r="T278" s="214" t="s">
        <v>1158</v>
      </c>
    </row>
    <row r="279" spans="2:20" x14ac:dyDescent="0.2">
      <c r="B279" s="214">
        <v>275</v>
      </c>
      <c r="C279" s="250" t="s">
        <v>641</v>
      </c>
      <c r="D279" s="250" t="s">
        <v>640</v>
      </c>
      <c r="E279" s="239">
        <v>28625180</v>
      </c>
      <c r="F279" s="239">
        <v>0</v>
      </c>
      <c r="G279" s="239">
        <v>519102</v>
      </c>
      <c r="H279" s="239">
        <v>189507</v>
      </c>
      <c r="I279" s="239">
        <v>0</v>
      </c>
      <c r="J279" s="239">
        <v>189507</v>
      </c>
      <c r="K279" s="239">
        <v>0</v>
      </c>
      <c r="L279" s="239">
        <v>0</v>
      </c>
      <c r="M279" s="239">
        <v>73316</v>
      </c>
      <c r="N279" s="239">
        <v>73316</v>
      </c>
      <c r="O279" s="239">
        <v>0</v>
      </c>
      <c r="P279" s="239">
        <v>27843255</v>
      </c>
      <c r="Q279" s="214" t="s">
        <v>640</v>
      </c>
      <c r="R279" s="214" t="s">
        <v>798</v>
      </c>
      <c r="S279" s="214" t="s">
        <v>790</v>
      </c>
      <c r="T279" s="214" t="s">
        <v>1158</v>
      </c>
    </row>
    <row r="280" spans="2:20" x14ac:dyDescent="0.2">
      <c r="B280" s="214">
        <v>276</v>
      </c>
      <c r="C280" s="250" t="s">
        <v>643</v>
      </c>
      <c r="D280" s="250" t="s">
        <v>642</v>
      </c>
      <c r="E280" s="239">
        <v>70172000</v>
      </c>
      <c r="F280" s="239">
        <v>0</v>
      </c>
      <c r="G280" s="239">
        <v>797431</v>
      </c>
      <c r="H280" s="239">
        <v>216826</v>
      </c>
      <c r="I280" s="239">
        <v>0</v>
      </c>
      <c r="J280" s="239">
        <v>216826</v>
      </c>
      <c r="K280" s="239">
        <v>0</v>
      </c>
      <c r="L280" s="239">
        <v>0</v>
      </c>
      <c r="M280" s="239">
        <v>90964</v>
      </c>
      <c r="N280" s="239">
        <v>90964</v>
      </c>
      <c r="O280" s="239">
        <v>0</v>
      </c>
      <c r="P280" s="239">
        <v>69066779</v>
      </c>
      <c r="Q280" s="214" t="s">
        <v>833</v>
      </c>
      <c r="R280" s="214" t="s">
        <v>746</v>
      </c>
      <c r="S280" s="214" t="s">
        <v>831</v>
      </c>
      <c r="T280" s="214" t="s">
        <v>746</v>
      </c>
    </row>
    <row r="281" spans="2:20" x14ac:dyDescent="0.2">
      <c r="B281" s="214">
        <v>277</v>
      </c>
      <c r="C281" s="250" t="s">
        <v>645</v>
      </c>
      <c r="D281" s="250" t="s">
        <v>644</v>
      </c>
      <c r="E281" s="239">
        <v>26157535</v>
      </c>
      <c r="F281" s="239">
        <v>489025</v>
      </c>
      <c r="G281" s="239">
        <v>0</v>
      </c>
      <c r="H281" s="239">
        <v>290060</v>
      </c>
      <c r="I281" s="239">
        <v>0</v>
      </c>
      <c r="J281" s="239">
        <v>290060</v>
      </c>
      <c r="K281" s="239">
        <v>0</v>
      </c>
      <c r="L281" s="239">
        <v>0</v>
      </c>
      <c r="M281" s="239">
        <v>288644</v>
      </c>
      <c r="N281" s="239">
        <v>288644</v>
      </c>
      <c r="O281" s="239">
        <v>0</v>
      </c>
      <c r="P281" s="239">
        <v>26067856</v>
      </c>
      <c r="Q281" s="214" t="s">
        <v>644</v>
      </c>
      <c r="R281" s="214" t="s">
        <v>820</v>
      </c>
      <c r="S281" s="214" t="s">
        <v>818</v>
      </c>
      <c r="T281" s="214" t="s">
        <v>1158</v>
      </c>
    </row>
    <row r="282" spans="2:20" x14ac:dyDescent="0.2">
      <c r="B282" s="214">
        <v>278</v>
      </c>
      <c r="C282" s="250" t="s">
        <v>647</v>
      </c>
      <c r="D282" s="250" t="s">
        <v>646</v>
      </c>
      <c r="E282" s="239">
        <v>55635507</v>
      </c>
      <c r="F282" s="239">
        <v>0</v>
      </c>
      <c r="G282" s="239">
        <v>207134</v>
      </c>
      <c r="H282" s="239">
        <v>188253</v>
      </c>
      <c r="I282" s="239">
        <v>0</v>
      </c>
      <c r="J282" s="239">
        <v>188253</v>
      </c>
      <c r="K282" s="239">
        <v>0</v>
      </c>
      <c r="L282" s="239">
        <v>0</v>
      </c>
      <c r="M282" s="239">
        <v>675417</v>
      </c>
      <c r="N282" s="239">
        <v>675417</v>
      </c>
      <c r="O282" s="239">
        <v>0</v>
      </c>
      <c r="P282" s="239">
        <v>54564703</v>
      </c>
      <c r="Q282" s="214" t="s">
        <v>646</v>
      </c>
      <c r="R282" s="214" t="s">
        <v>777</v>
      </c>
      <c r="S282" s="214" t="s">
        <v>775</v>
      </c>
      <c r="T282" s="214" t="s">
        <v>1158</v>
      </c>
    </row>
    <row r="283" spans="2:20" x14ac:dyDescent="0.2">
      <c r="B283" s="214">
        <v>279</v>
      </c>
      <c r="C283" s="250" t="s">
        <v>649</v>
      </c>
      <c r="D283" s="250" t="s">
        <v>648</v>
      </c>
      <c r="E283" s="239">
        <v>35060721</v>
      </c>
      <c r="F283" s="239">
        <v>586456</v>
      </c>
      <c r="G283" s="239">
        <v>0</v>
      </c>
      <c r="H283" s="239">
        <v>123791</v>
      </c>
      <c r="I283" s="239">
        <v>0</v>
      </c>
      <c r="J283" s="239">
        <v>123791</v>
      </c>
      <c r="K283" s="239">
        <v>0</v>
      </c>
      <c r="L283" s="239">
        <v>0</v>
      </c>
      <c r="M283" s="239">
        <v>479699</v>
      </c>
      <c r="N283" s="239">
        <v>288581</v>
      </c>
      <c r="O283" s="239">
        <v>191118</v>
      </c>
      <c r="P283" s="239">
        <v>35043687</v>
      </c>
      <c r="Q283" s="214" t="s">
        <v>648</v>
      </c>
      <c r="R283" s="214" t="s">
        <v>829</v>
      </c>
      <c r="S283" s="214" t="s">
        <v>761</v>
      </c>
      <c r="T283" s="214" t="s">
        <v>1158</v>
      </c>
    </row>
    <row r="284" spans="2:20" x14ac:dyDescent="0.2">
      <c r="B284" s="214">
        <v>280</v>
      </c>
      <c r="C284" s="250" t="s">
        <v>651</v>
      </c>
      <c r="D284" s="250" t="s">
        <v>650</v>
      </c>
      <c r="E284" s="239">
        <v>31932084</v>
      </c>
      <c r="F284" s="239">
        <v>0</v>
      </c>
      <c r="G284" s="239">
        <v>360674</v>
      </c>
      <c r="H284" s="239">
        <v>191748</v>
      </c>
      <c r="I284" s="239">
        <v>0</v>
      </c>
      <c r="J284" s="239">
        <v>191748</v>
      </c>
      <c r="K284" s="239">
        <v>0</v>
      </c>
      <c r="L284" s="239">
        <v>0</v>
      </c>
      <c r="M284" s="239">
        <v>0</v>
      </c>
      <c r="N284" s="239">
        <v>0</v>
      </c>
      <c r="O284" s="239">
        <v>0</v>
      </c>
      <c r="P284" s="239">
        <v>31379662</v>
      </c>
      <c r="Q284" s="214" t="s">
        <v>650</v>
      </c>
      <c r="R284" s="214" t="s">
        <v>824</v>
      </c>
      <c r="S284" s="214" t="s">
        <v>822</v>
      </c>
      <c r="T284" s="214" t="s">
        <v>1158</v>
      </c>
    </row>
    <row r="285" spans="2:20" x14ac:dyDescent="0.2">
      <c r="B285" s="214">
        <v>281</v>
      </c>
      <c r="C285" s="250" t="s">
        <v>653</v>
      </c>
      <c r="D285" s="250" t="s">
        <v>652</v>
      </c>
      <c r="E285" s="239">
        <v>24984721</v>
      </c>
      <c r="F285" s="239">
        <v>0</v>
      </c>
      <c r="G285" s="239">
        <v>210856</v>
      </c>
      <c r="H285" s="239">
        <v>92778</v>
      </c>
      <c r="I285" s="239">
        <v>0</v>
      </c>
      <c r="J285" s="239">
        <v>92778</v>
      </c>
      <c r="K285" s="239">
        <v>0</v>
      </c>
      <c r="L285" s="239">
        <v>0</v>
      </c>
      <c r="M285" s="239">
        <v>0</v>
      </c>
      <c r="N285" s="239">
        <v>0</v>
      </c>
      <c r="O285" s="239">
        <v>0</v>
      </c>
      <c r="P285" s="239">
        <v>24681087</v>
      </c>
      <c r="Q285" s="214" t="s">
        <v>652</v>
      </c>
      <c r="R285" s="214" t="s">
        <v>801</v>
      </c>
      <c r="S285" s="214" t="s">
        <v>761</v>
      </c>
      <c r="T285" s="214" t="s">
        <v>1158</v>
      </c>
    </row>
    <row r="286" spans="2:20" x14ac:dyDescent="0.2">
      <c r="B286" s="214">
        <v>282</v>
      </c>
      <c r="C286" s="250" t="s">
        <v>655</v>
      </c>
      <c r="D286" s="250" t="s">
        <v>654</v>
      </c>
      <c r="E286" s="239">
        <v>110263177</v>
      </c>
      <c r="F286" s="239">
        <v>0</v>
      </c>
      <c r="G286" s="239">
        <v>4529696</v>
      </c>
      <c r="H286" s="239">
        <v>229558</v>
      </c>
      <c r="I286" s="239">
        <v>0</v>
      </c>
      <c r="J286" s="239">
        <v>229558</v>
      </c>
      <c r="K286" s="239">
        <v>0</v>
      </c>
      <c r="L286" s="239">
        <v>0</v>
      </c>
      <c r="M286" s="239">
        <v>0</v>
      </c>
      <c r="N286" s="239">
        <v>0</v>
      </c>
      <c r="O286" s="239">
        <v>0</v>
      </c>
      <c r="P286" s="239">
        <v>105503923</v>
      </c>
      <c r="Q286" s="214" t="s">
        <v>828</v>
      </c>
      <c r="R286" s="214" t="s">
        <v>746</v>
      </c>
      <c r="S286" s="214" t="s">
        <v>818</v>
      </c>
      <c r="T286" s="214" t="s">
        <v>746</v>
      </c>
    </row>
    <row r="287" spans="2:20" x14ac:dyDescent="0.2">
      <c r="B287" s="214">
        <v>283</v>
      </c>
      <c r="C287" s="250" t="s">
        <v>657</v>
      </c>
      <c r="D287" s="250" t="s">
        <v>656</v>
      </c>
      <c r="E287" s="239">
        <v>54552946</v>
      </c>
      <c r="F287" s="239">
        <v>0</v>
      </c>
      <c r="G287" s="239">
        <v>290382</v>
      </c>
      <c r="H287" s="239">
        <v>162575</v>
      </c>
      <c r="I287" s="239">
        <v>0</v>
      </c>
      <c r="J287" s="239">
        <v>162575</v>
      </c>
      <c r="K287" s="239">
        <v>0</v>
      </c>
      <c r="L287" s="239">
        <v>0</v>
      </c>
      <c r="M287" s="239">
        <v>0</v>
      </c>
      <c r="N287" s="239">
        <v>0</v>
      </c>
      <c r="O287" s="239">
        <v>0</v>
      </c>
      <c r="P287" s="239">
        <v>54099989</v>
      </c>
      <c r="Q287" s="214" t="s">
        <v>827</v>
      </c>
      <c r="R287" s="214" t="s">
        <v>824</v>
      </c>
      <c r="S287" s="214" t="s">
        <v>822</v>
      </c>
      <c r="T287" s="214" t="s">
        <v>1158</v>
      </c>
    </row>
    <row r="288" spans="2:20" x14ac:dyDescent="0.2">
      <c r="B288" s="214">
        <v>284</v>
      </c>
      <c r="C288" s="250" t="s">
        <v>659</v>
      </c>
      <c r="D288" s="250" t="s">
        <v>658</v>
      </c>
      <c r="E288" s="239">
        <v>33792644</v>
      </c>
      <c r="F288" s="239">
        <v>0</v>
      </c>
      <c r="G288" s="239">
        <v>3599604</v>
      </c>
      <c r="H288" s="239">
        <v>195813</v>
      </c>
      <c r="I288" s="239">
        <v>0</v>
      </c>
      <c r="J288" s="239">
        <v>195813</v>
      </c>
      <c r="K288" s="239">
        <v>0</v>
      </c>
      <c r="L288" s="239">
        <v>0</v>
      </c>
      <c r="M288" s="239">
        <v>0</v>
      </c>
      <c r="N288" s="239">
        <v>0</v>
      </c>
      <c r="O288" s="239">
        <v>0</v>
      </c>
      <c r="P288" s="239">
        <v>29997227</v>
      </c>
      <c r="Q288" s="214" t="s">
        <v>826</v>
      </c>
      <c r="R288" s="214" t="s">
        <v>746</v>
      </c>
      <c r="S288" s="214" t="s">
        <v>790</v>
      </c>
      <c r="T288" s="214" t="s">
        <v>746</v>
      </c>
    </row>
    <row r="289" spans="2:20" x14ac:dyDescent="0.2">
      <c r="B289" s="214">
        <v>285</v>
      </c>
      <c r="C289" s="250" t="s">
        <v>661</v>
      </c>
      <c r="D289" s="250" t="s">
        <v>660</v>
      </c>
      <c r="E289" s="239">
        <v>11427386</v>
      </c>
      <c r="F289" s="239">
        <v>621282</v>
      </c>
      <c r="G289" s="239">
        <v>0</v>
      </c>
      <c r="H289" s="239">
        <v>132592</v>
      </c>
      <c r="I289" s="239">
        <v>0</v>
      </c>
      <c r="J289" s="239">
        <v>132592</v>
      </c>
      <c r="K289" s="239">
        <v>0</v>
      </c>
      <c r="L289" s="239">
        <v>0</v>
      </c>
      <c r="M289" s="239">
        <v>802736</v>
      </c>
      <c r="N289" s="239">
        <v>802736</v>
      </c>
      <c r="O289" s="239">
        <v>0</v>
      </c>
      <c r="P289" s="239">
        <v>11113340</v>
      </c>
      <c r="Q289" s="214" t="s">
        <v>660</v>
      </c>
      <c r="R289" s="214" t="s">
        <v>798</v>
      </c>
      <c r="S289" s="214" t="s">
        <v>790</v>
      </c>
      <c r="T289" s="214" t="s">
        <v>1158</v>
      </c>
    </row>
    <row r="290" spans="2:20" x14ac:dyDescent="0.2">
      <c r="B290" s="214">
        <v>286</v>
      </c>
      <c r="C290" s="250" t="s">
        <v>663</v>
      </c>
      <c r="D290" s="250" t="s">
        <v>662</v>
      </c>
      <c r="E290" s="239">
        <v>401516465</v>
      </c>
      <c r="F290" s="239">
        <v>23460578</v>
      </c>
      <c r="G290" s="239">
        <v>0</v>
      </c>
      <c r="H290" s="239">
        <v>1016741</v>
      </c>
      <c r="I290" s="239">
        <v>0</v>
      </c>
      <c r="J290" s="239">
        <v>1016741</v>
      </c>
      <c r="K290" s="239">
        <v>0</v>
      </c>
      <c r="L290" s="239">
        <v>0</v>
      </c>
      <c r="M290" s="239">
        <v>0</v>
      </c>
      <c r="N290" s="239">
        <v>0</v>
      </c>
      <c r="O290" s="239">
        <v>0</v>
      </c>
      <c r="P290" s="239">
        <v>423960302</v>
      </c>
      <c r="Q290" s="214" t="s">
        <v>662</v>
      </c>
      <c r="R290" s="214" t="s">
        <v>788</v>
      </c>
      <c r="S290" s="214" t="s">
        <v>747</v>
      </c>
      <c r="T290" s="214" t="s">
        <v>1161</v>
      </c>
    </row>
    <row r="291" spans="2:20" x14ac:dyDescent="0.2">
      <c r="B291" s="214">
        <v>287</v>
      </c>
      <c r="C291" s="250" t="s">
        <v>665</v>
      </c>
      <c r="D291" s="250" t="s">
        <v>664</v>
      </c>
      <c r="E291" s="239">
        <v>162666790</v>
      </c>
      <c r="F291" s="239">
        <v>0</v>
      </c>
      <c r="G291" s="239">
        <v>8770348</v>
      </c>
      <c r="H291" s="239">
        <v>442753</v>
      </c>
      <c r="I291" s="239">
        <v>0</v>
      </c>
      <c r="J291" s="239">
        <v>442753</v>
      </c>
      <c r="K291" s="239">
        <v>0</v>
      </c>
      <c r="L291" s="239">
        <v>0</v>
      </c>
      <c r="M291" s="239">
        <v>82347</v>
      </c>
      <c r="N291" s="239">
        <v>82347</v>
      </c>
      <c r="O291" s="239">
        <v>0</v>
      </c>
      <c r="P291" s="239">
        <v>153371342</v>
      </c>
      <c r="Q291" s="214" t="s">
        <v>664</v>
      </c>
      <c r="R291" s="214" t="s">
        <v>766</v>
      </c>
      <c r="S291" s="214" t="s">
        <v>781</v>
      </c>
      <c r="T291" s="214" t="s">
        <v>1160</v>
      </c>
    </row>
    <row r="292" spans="2:20" x14ac:dyDescent="0.2">
      <c r="B292" s="214">
        <v>288</v>
      </c>
      <c r="C292" s="250" t="s">
        <v>667</v>
      </c>
      <c r="D292" s="250" t="s">
        <v>666</v>
      </c>
      <c r="E292" s="239">
        <v>53695619.93</v>
      </c>
      <c r="F292" s="239">
        <v>0</v>
      </c>
      <c r="G292" s="239">
        <v>824628</v>
      </c>
      <c r="H292" s="239">
        <v>172841</v>
      </c>
      <c r="I292" s="239">
        <v>0</v>
      </c>
      <c r="J292" s="239">
        <v>172841</v>
      </c>
      <c r="K292" s="239">
        <v>0</v>
      </c>
      <c r="L292" s="239">
        <v>0</v>
      </c>
      <c r="M292" s="239">
        <v>108925</v>
      </c>
      <c r="N292" s="239">
        <v>108925</v>
      </c>
      <c r="O292" s="239">
        <v>0</v>
      </c>
      <c r="P292" s="239">
        <v>52589225.93</v>
      </c>
      <c r="Q292" s="214" t="s">
        <v>666</v>
      </c>
      <c r="R292" s="214" t="s">
        <v>824</v>
      </c>
      <c r="S292" s="214" t="s">
        <v>822</v>
      </c>
      <c r="T292" s="214" t="s">
        <v>1158</v>
      </c>
    </row>
    <row r="293" spans="2:20" x14ac:dyDescent="0.2">
      <c r="B293" s="214">
        <v>289</v>
      </c>
      <c r="C293" s="250" t="s">
        <v>669</v>
      </c>
      <c r="D293" s="250" t="s">
        <v>668</v>
      </c>
      <c r="E293" s="239">
        <v>40723283</v>
      </c>
      <c r="F293" s="239">
        <v>0</v>
      </c>
      <c r="G293" s="239">
        <v>850587</v>
      </c>
      <c r="H293" s="239">
        <v>138766</v>
      </c>
      <c r="I293" s="239">
        <v>0</v>
      </c>
      <c r="J293" s="239">
        <v>138766</v>
      </c>
      <c r="K293" s="239">
        <v>0</v>
      </c>
      <c r="L293" s="239">
        <v>0</v>
      </c>
      <c r="M293" s="239">
        <v>136903</v>
      </c>
      <c r="N293" s="239">
        <v>136903</v>
      </c>
      <c r="O293" s="239">
        <v>0</v>
      </c>
      <c r="P293" s="239">
        <v>39597027</v>
      </c>
      <c r="Q293" s="214" t="s">
        <v>668</v>
      </c>
      <c r="R293" s="214" t="s">
        <v>820</v>
      </c>
      <c r="S293" s="214" t="s">
        <v>818</v>
      </c>
      <c r="T293" s="214" t="s">
        <v>1158</v>
      </c>
    </row>
    <row r="294" spans="2:20" x14ac:dyDescent="0.2">
      <c r="B294" s="214">
        <v>290</v>
      </c>
      <c r="C294" s="250" t="s">
        <v>671</v>
      </c>
      <c r="D294" s="250" t="s">
        <v>670</v>
      </c>
      <c r="E294" s="239">
        <v>54916731</v>
      </c>
      <c r="F294" s="239">
        <v>0</v>
      </c>
      <c r="G294" s="239">
        <v>4132029</v>
      </c>
      <c r="H294" s="239">
        <v>179515</v>
      </c>
      <c r="I294" s="239">
        <v>0</v>
      </c>
      <c r="J294" s="239">
        <v>179515</v>
      </c>
      <c r="K294" s="239">
        <v>0</v>
      </c>
      <c r="L294" s="239">
        <v>1401495</v>
      </c>
      <c r="M294" s="239">
        <v>236429</v>
      </c>
      <c r="N294" s="239">
        <v>236429</v>
      </c>
      <c r="O294" s="239">
        <v>0</v>
      </c>
      <c r="P294" s="239">
        <v>48967263</v>
      </c>
      <c r="Q294" s="214" t="s">
        <v>670</v>
      </c>
      <c r="R294" s="214" t="s">
        <v>794</v>
      </c>
      <c r="S294" s="214" t="s">
        <v>761</v>
      </c>
      <c r="T294" s="214" t="s">
        <v>1158</v>
      </c>
    </row>
    <row r="295" spans="2:20" x14ac:dyDescent="0.2">
      <c r="B295" s="214">
        <v>291</v>
      </c>
      <c r="C295" s="250" t="s">
        <v>673</v>
      </c>
      <c r="D295" s="250" t="s">
        <v>672</v>
      </c>
      <c r="E295" s="239">
        <v>120986147</v>
      </c>
      <c r="F295" s="239">
        <v>0</v>
      </c>
      <c r="G295" s="239">
        <v>5262338</v>
      </c>
      <c r="H295" s="239">
        <v>451332</v>
      </c>
      <c r="I295" s="239">
        <v>0</v>
      </c>
      <c r="J295" s="239">
        <v>451332</v>
      </c>
      <c r="K295" s="239">
        <v>0</v>
      </c>
      <c r="L295" s="239">
        <v>7986</v>
      </c>
      <c r="M295" s="239">
        <v>489187</v>
      </c>
      <c r="N295" s="239">
        <v>489187</v>
      </c>
      <c r="O295" s="239">
        <v>0</v>
      </c>
      <c r="P295" s="239">
        <v>114775304</v>
      </c>
      <c r="Q295" s="214" t="s">
        <v>672</v>
      </c>
      <c r="R295" s="214" t="s">
        <v>766</v>
      </c>
      <c r="S295" s="214" t="s">
        <v>816</v>
      </c>
      <c r="T295" s="214" t="s">
        <v>1160</v>
      </c>
    </row>
    <row r="296" spans="2:20" x14ac:dyDescent="0.2">
      <c r="B296" s="214">
        <v>292</v>
      </c>
      <c r="C296" s="250" t="s">
        <v>675</v>
      </c>
      <c r="D296" s="250" t="s">
        <v>674</v>
      </c>
      <c r="E296" s="239">
        <v>68996298</v>
      </c>
      <c r="F296" s="239">
        <v>1454391</v>
      </c>
      <c r="G296" s="239">
        <v>0</v>
      </c>
      <c r="H296" s="239">
        <v>337320</v>
      </c>
      <c r="I296" s="239">
        <v>0</v>
      </c>
      <c r="J296" s="239">
        <v>337320</v>
      </c>
      <c r="K296" s="239">
        <v>0</v>
      </c>
      <c r="L296" s="239">
        <v>17341</v>
      </c>
      <c r="M296" s="239">
        <v>0</v>
      </c>
      <c r="N296" s="239">
        <v>0</v>
      </c>
      <c r="O296" s="239">
        <v>0</v>
      </c>
      <c r="P296" s="239">
        <v>70096028</v>
      </c>
      <c r="Q296" s="214" t="s">
        <v>674</v>
      </c>
      <c r="R296" s="214" t="s">
        <v>766</v>
      </c>
      <c r="S296" s="214" t="s">
        <v>764</v>
      </c>
      <c r="T296" s="214" t="s">
        <v>1160</v>
      </c>
    </row>
    <row r="297" spans="2:20" x14ac:dyDescent="0.2">
      <c r="B297" s="214">
        <v>293</v>
      </c>
      <c r="C297" s="250" t="s">
        <v>677</v>
      </c>
      <c r="D297" s="250" t="s">
        <v>676</v>
      </c>
      <c r="E297" s="239">
        <v>59006639</v>
      </c>
      <c r="F297" s="239">
        <v>7998676</v>
      </c>
      <c r="G297" s="239">
        <v>0</v>
      </c>
      <c r="H297" s="239">
        <v>294648</v>
      </c>
      <c r="I297" s="239">
        <v>0</v>
      </c>
      <c r="J297" s="239">
        <v>294648</v>
      </c>
      <c r="K297" s="239">
        <v>0</v>
      </c>
      <c r="L297" s="239">
        <v>0</v>
      </c>
      <c r="M297" s="239">
        <v>0</v>
      </c>
      <c r="N297" s="239">
        <v>0</v>
      </c>
      <c r="O297" s="239">
        <v>0</v>
      </c>
      <c r="P297" s="239">
        <v>66710667</v>
      </c>
      <c r="Q297" s="214" t="s">
        <v>676</v>
      </c>
      <c r="R297" s="214" t="s">
        <v>788</v>
      </c>
      <c r="S297" s="214" t="s">
        <v>747</v>
      </c>
      <c r="T297" s="214" t="s">
        <v>1159</v>
      </c>
    </row>
    <row r="298" spans="2:20" x14ac:dyDescent="0.2">
      <c r="B298" s="214">
        <v>294</v>
      </c>
      <c r="C298" s="250" t="s">
        <v>679</v>
      </c>
      <c r="D298" s="250" t="s">
        <v>678</v>
      </c>
      <c r="E298" s="239">
        <v>105169528</v>
      </c>
      <c r="F298" s="239">
        <v>7035377</v>
      </c>
      <c r="G298" s="239">
        <v>0</v>
      </c>
      <c r="H298" s="239">
        <v>462945</v>
      </c>
      <c r="I298" s="239">
        <v>0</v>
      </c>
      <c r="J298" s="239">
        <v>462945</v>
      </c>
      <c r="K298" s="239">
        <v>0</v>
      </c>
      <c r="L298" s="239">
        <v>0</v>
      </c>
      <c r="M298" s="239">
        <v>0</v>
      </c>
      <c r="N298" s="239">
        <v>0</v>
      </c>
      <c r="O298" s="239">
        <v>0</v>
      </c>
      <c r="P298" s="239">
        <v>111741960</v>
      </c>
      <c r="Q298" s="214" t="s">
        <v>678</v>
      </c>
      <c r="R298" s="214" t="s">
        <v>788</v>
      </c>
      <c r="S298" s="214" t="s">
        <v>747</v>
      </c>
      <c r="T298" s="214" t="s">
        <v>1161</v>
      </c>
    </row>
    <row r="299" spans="2:20" x14ac:dyDescent="0.2">
      <c r="B299" s="214">
        <v>295</v>
      </c>
      <c r="C299" s="250" t="s">
        <v>681</v>
      </c>
      <c r="D299" s="250" t="s">
        <v>680</v>
      </c>
      <c r="E299" s="239">
        <v>102003067</v>
      </c>
      <c r="F299" s="239">
        <v>0</v>
      </c>
      <c r="G299" s="239">
        <v>9899202</v>
      </c>
      <c r="H299" s="239">
        <v>294932</v>
      </c>
      <c r="I299" s="239">
        <v>0</v>
      </c>
      <c r="J299" s="239">
        <v>294932</v>
      </c>
      <c r="K299" s="239">
        <v>0</v>
      </c>
      <c r="L299" s="239">
        <v>0</v>
      </c>
      <c r="M299" s="239">
        <v>0</v>
      </c>
      <c r="N299" s="239">
        <v>0</v>
      </c>
      <c r="O299" s="239">
        <v>0</v>
      </c>
      <c r="P299" s="239">
        <v>91808933</v>
      </c>
      <c r="Q299" s="214" t="s">
        <v>815</v>
      </c>
      <c r="R299" s="214" t="s">
        <v>746</v>
      </c>
      <c r="S299" s="214" t="s">
        <v>813</v>
      </c>
      <c r="T299" s="214" t="s">
        <v>746</v>
      </c>
    </row>
    <row r="300" spans="2:20" x14ac:dyDescent="0.2">
      <c r="B300" s="214">
        <v>296</v>
      </c>
      <c r="C300" s="250" t="s">
        <v>683</v>
      </c>
      <c r="D300" s="250" t="s">
        <v>682</v>
      </c>
      <c r="E300" s="239">
        <v>68708707</v>
      </c>
      <c r="F300" s="239">
        <v>0</v>
      </c>
      <c r="G300" s="239">
        <v>1247544</v>
      </c>
      <c r="H300" s="239">
        <v>209611</v>
      </c>
      <c r="I300" s="239">
        <v>0</v>
      </c>
      <c r="J300" s="239">
        <v>209611</v>
      </c>
      <c r="K300" s="239">
        <v>0</v>
      </c>
      <c r="L300" s="239">
        <v>0</v>
      </c>
      <c r="M300" s="239">
        <v>31852</v>
      </c>
      <c r="N300" s="239">
        <v>31852</v>
      </c>
      <c r="O300" s="239">
        <v>0</v>
      </c>
      <c r="P300" s="239">
        <v>67219700</v>
      </c>
      <c r="Q300" s="214" t="s">
        <v>682</v>
      </c>
      <c r="R300" s="214" t="s">
        <v>811</v>
      </c>
      <c r="S300" s="214" t="s">
        <v>761</v>
      </c>
      <c r="T300" s="214" t="s">
        <v>1158</v>
      </c>
    </row>
    <row r="301" spans="2:20" x14ac:dyDescent="0.2">
      <c r="B301" s="214">
        <v>297</v>
      </c>
      <c r="C301" s="250" t="s">
        <v>685</v>
      </c>
      <c r="D301" s="250" t="s">
        <v>684</v>
      </c>
      <c r="E301" s="239">
        <v>57447121</v>
      </c>
      <c r="F301" s="239">
        <v>0</v>
      </c>
      <c r="G301" s="239">
        <v>4826018</v>
      </c>
      <c r="H301" s="239">
        <v>166600</v>
      </c>
      <c r="I301" s="239">
        <v>0</v>
      </c>
      <c r="J301" s="239">
        <v>166600</v>
      </c>
      <c r="K301" s="239">
        <v>0</v>
      </c>
      <c r="L301" s="239">
        <v>0</v>
      </c>
      <c r="M301" s="239">
        <v>0</v>
      </c>
      <c r="N301" s="239">
        <v>0</v>
      </c>
      <c r="O301" s="239">
        <v>0</v>
      </c>
      <c r="P301" s="239">
        <v>52454503</v>
      </c>
      <c r="Q301" s="214" t="s">
        <v>684</v>
      </c>
      <c r="R301" s="214" t="s">
        <v>801</v>
      </c>
      <c r="S301" s="214" t="s">
        <v>761</v>
      </c>
      <c r="T301" s="214" t="s">
        <v>1158</v>
      </c>
    </row>
    <row r="302" spans="2:20" x14ac:dyDescent="0.2">
      <c r="B302" s="214">
        <v>298</v>
      </c>
      <c r="C302" s="250" t="s">
        <v>687</v>
      </c>
      <c r="D302" s="250" t="s">
        <v>686</v>
      </c>
      <c r="E302" s="239">
        <v>23978268</v>
      </c>
      <c r="F302" s="239">
        <v>536068</v>
      </c>
      <c r="G302" s="239">
        <v>0</v>
      </c>
      <c r="H302" s="239">
        <v>202129</v>
      </c>
      <c r="I302" s="239">
        <v>0</v>
      </c>
      <c r="J302" s="239">
        <v>202129</v>
      </c>
      <c r="K302" s="239">
        <v>0</v>
      </c>
      <c r="L302" s="239">
        <v>211256</v>
      </c>
      <c r="M302" s="239">
        <v>252068</v>
      </c>
      <c r="N302" s="239">
        <v>252068</v>
      </c>
      <c r="O302" s="239">
        <v>0</v>
      </c>
      <c r="P302" s="239">
        <v>23848883</v>
      </c>
      <c r="Q302" s="214" t="s">
        <v>686</v>
      </c>
      <c r="R302" s="214" t="s">
        <v>809</v>
      </c>
      <c r="S302" s="214" t="s">
        <v>761</v>
      </c>
      <c r="T302" s="214" t="s">
        <v>1158</v>
      </c>
    </row>
    <row r="303" spans="2:20" x14ac:dyDescent="0.2">
      <c r="B303" s="214">
        <v>299</v>
      </c>
      <c r="C303" s="250" t="s">
        <v>689</v>
      </c>
      <c r="D303" s="250" t="s">
        <v>688</v>
      </c>
      <c r="E303" s="239">
        <v>33042611</v>
      </c>
      <c r="F303" s="239">
        <v>1847089</v>
      </c>
      <c r="G303" s="239">
        <v>0</v>
      </c>
      <c r="H303" s="239">
        <v>177540</v>
      </c>
      <c r="I303" s="239">
        <v>0</v>
      </c>
      <c r="J303" s="239">
        <v>177540</v>
      </c>
      <c r="K303" s="239">
        <v>0</v>
      </c>
      <c r="L303" s="239">
        <v>0</v>
      </c>
      <c r="M303" s="239">
        <v>0</v>
      </c>
      <c r="N303" s="239">
        <v>0</v>
      </c>
      <c r="O303" s="239">
        <v>0</v>
      </c>
      <c r="P303" s="239">
        <v>34712160</v>
      </c>
      <c r="Q303" s="214" t="s">
        <v>688</v>
      </c>
      <c r="R303" s="214" t="s">
        <v>770</v>
      </c>
      <c r="S303" s="214" t="s">
        <v>761</v>
      </c>
      <c r="T303" s="214" t="s">
        <v>1158</v>
      </c>
    </row>
    <row r="304" spans="2:20" x14ac:dyDescent="0.2">
      <c r="B304" s="214">
        <v>300</v>
      </c>
      <c r="C304" s="250" t="s">
        <v>691</v>
      </c>
      <c r="D304" s="250" t="s">
        <v>690</v>
      </c>
      <c r="E304" s="239">
        <v>26275058</v>
      </c>
      <c r="F304" s="239">
        <v>1265796</v>
      </c>
      <c r="G304" s="239">
        <v>0</v>
      </c>
      <c r="H304" s="239">
        <v>214771</v>
      </c>
      <c r="I304" s="239">
        <v>0</v>
      </c>
      <c r="J304" s="239">
        <v>214771</v>
      </c>
      <c r="K304" s="239">
        <v>0</v>
      </c>
      <c r="L304" s="239">
        <v>0</v>
      </c>
      <c r="M304" s="239">
        <v>269375</v>
      </c>
      <c r="N304" s="239">
        <v>269375</v>
      </c>
      <c r="O304" s="239">
        <v>0</v>
      </c>
      <c r="P304" s="239">
        <v>27056708</v>
      </c>
      <c r="Q304" s="214" t="s">
        <v>690</v>
      </c>
      <c r="R304" s="214" t="s">
        <v>807</v>
      </c>
      <c r="S304" s="214" t="s">
        <v>805</v>
      </c>
      <c r="T304" s="214" t="s">
        <v>1158</v>
      </c>
    </row>
    <row r="305" spans="2:20" x14ac:dyDescent="0.2">
      <c r="B305" s="214">
        <v>301</v>
      </c>
      <c r="C305" s="250" t="s">
        <v>693</v>
      </c>
      <c r="D305" s="250" t="s">
        <v>692</v>
      </c>
      <c r="E305" s="239">
        <v>27058059</v>
      </c>
      <c r="F305" s="239">
        <v>0</v>
      </c>
      <c r="G305" s="239">
        <v>1433957</v>
      </c>
      <c r="H305" s="239">
        <v>109064</v>
      </c>
      <c r="I305" s="239">
        <v>0</v>
      </c>
      <c r="J305" s="239">
        <v>109064</v>
      </c>
      <c r="K305" s="239">
        <v>0</v>
      </c>
      <c r="L305" s="239">
        <v>0</v>
      </c>
      <c r="M305" s="239">
        <v>82103</v>
      </c>
      <c r="N305" s="239">
        <v>82103</v>
      </c>
      <c r="O305" s="239">
        <v>0</v>
      </c>
      <c r="P305" s="239">
        <v>25432935</v>
      </c>
      <c r="Q305" s="214" t="s">
        <v>692</v>
      </c>
      <c r="R305" s="214" t="s">
        <v>803</v>
      </c>
      <c r="S305" s="214" t="s">
        <v>761</v>
      </c>
      <c r="T305" s="214" t="s">
        <v>1158</v>
      </c>
    </row>
    <row r="306" spans="2:20" x14ac:dyDescent="0.2">
      <c r="B306" s="214">
        <v>302</v>
      </c>
      <c r="C306" s="250" t="s">
        <v>695</v>
      </c>
      <c r="D306" s="250" t="s">
        <v>694</v>
      </c>
      <c r="E306" s="239">
        <v>55102606</v>
      </c>
      <c r="F306" s="239">
        <v>0</v>
      </c>
      <c r="G306" s="239">
        <v>1000088</v>
      </c>
      <c r="H306" s="239">
        <v>152235</v>
      </c>
      <c r="I306" s="239">
        <v>0</v>
      </c>
      <c r="J306" s="239">
        <v>152235</v>
      </c>
      <c r="K306" s="239">
        <v>0</v>
      </c>
      <c r="L306" s="239">
        <v>0</v>
      </c>
      <c r="M306" s="239">
        <v>0</v>
      </c>
      <c r="N306" s="239">
        <v>0</v>
      </c>
      <c r="O306" s="239">
        <v>0</v>
      </c>
      <c r="P306" s="239">
        <v>53950283</v>
      </c>
      <c r="Q306" s="214" t="s">
        <v>694</v>
      </c>
      <c r="R306" s="214" t="s">
        <v>801</v>
      </c>
      <c r="S306" s="214" t="s">
        <v>761</v>
      </c>
      <c r="T306" s="214" t="s">
        <v>1158</v>
      </c>
    </row>
    <row r="307" spans="2:20" x14ac:dyDescent="0.2">
      <c r="B307" s="214">
        <v>303</v>
      </c>
      <c r="C307" s="250" t="s">
        <v>697</v>
      </c>
      <c r="D307" s="250" t="s">
        <v>696</v>
      </c>
      <c r="E307" s="239">
        <v>82993293</v>
      </c>
      <c r="F307" s="239">
        <v>0</v>
      </c>
      <c r="G307" s="239">
        <v>2096469</v>
      </c>
      <c r="H307" s="239">
        <v>257198</v>
      </c>
      <c r="I307" s="239">
        <v>0</v>
      </c>
      <c r="J307" s="239">
        <v>257198</v>
      </c>
      <c r="K307" s="239">
        <v>0</v>
      </c>
      <c r="L307" s="239">
        <v>0</v>
      </c>
      <c r="M307" s="239">
        <v>0</v>
      </c>
      <c r="N307" s="239">
        <v>0</v>
      </c>
      <c r="O307" s="239">
        <v>0</v>
      </c>
      <c r="P307" s="239">
        <v>80639626</v>
      </c>
      <c r="Q307" s="214" t="s">
        <v>800</v>
      </c>
      <c r="R307" s="214" t="s">
        <v>746</v>
      </c>
      <c r="S307" s="214" t="s">
        <v>767</v>
      </c>
      <c r="T307" s="214" t="s">
        <v>746</v>
      </c>
    </row>
    <row r="308" spans="2:20" x14ac:dyDescent="0.2">
      <c r="B308" s="214">
        <v>304</v>
      </c>
      <c r="C308" s="250" t="s">
        <v>699</v>
      </c>
      <c r="D308" s="250" t="s">
        <v>698</v>
      </c>
      <c r="E308" s="239">
        <v>9699795</v>
      </c>
      <c r="F308" s="239">
        <v>416304</v>
      </c>
      <c r="G308" s="239">
        <v>0</v>
      </c>
      <c r="H308" s="239">
        <v>83792</v>
      </c>
      <c r="I308" s="239">
        <v>0</v>
      </c>
      <c r="J308" s="239">
        <v>83792</v>
      </c>
      <c r="K308" s="239">
        <v>0</v>
      </c>
      <c r="L308" s="239">
        <v>0</v>
      </c>
      <c r="M308" s="239">
        <v>0</v>
      </c>
      <c r="N308" s="239">
        <v>0</v>
      </c>
      <c r="O308" s="239">
        <v>0</v>
      </c>
      <c r="P308" s="239">
        <v>10032307</v>
      </c>
      <c r="Q308" s="214" t="s">
        <v>698</v>
      </c>
      <c r="R308" s="214" t="s">
        <v>798</v>
      </c>
      <c r="S308" s="214" t="s">
        <v>790</v>
      </c>
      <c r="T308" s="214" t="s">
        <v>1158</v>
      </c>
    </row>
    <row r="309" spans="2:20" x14ac:dyDescent="0.2">
      <c r="B309" s="214">
        <v>305</v>
      </c>
      <c r="C309" s="250" t="s">
        <v>701</v>
      </c>
      <c r="D309" s="250" t="s">
        <v>700</v>
      </c>
      <c r="E309" s="239">
        <v>25291192</v>
      </c>
      <c r="F309" s="239">
        <v>1653132</v>
      </c>
      <c r="G309" s="239">
        <v>0</v>
      </c>
      <c r="H309" s="239">
        <v>211340</v>
      </c>
      <c r="I309" s="239">
        <v>0</v>
      </c>
      <c r="J309" s="239">
        <v>211340</v>
      </c>
      <c r="K309" s="239">
        <v>0</v>
      </c>
      <c r="L309" s="239">
        <v>0</v>
      </c>
      <c r="M309" s="239">
        <v>273870</v>
      </c>
      <c r="N309" s="239">
        <v>271174</v>
      </c>
      <c r="O309" s="239">
        <v>2696</v>
      </c>
      <c r="P309" s="239">
        <v>26459114</v>
      </c>
      <c r="Q309" s="214" t="s">
        <v>700</v>
      </c>
      <c r="R309" s="214" t="s">
        <v>785</v>
      </c>
      <c r="S309" s="214" t="s">
        <v>783</v>
      </c>
      <c r="T309" s="214" t="s">
        <v>1158</v>
      </c>
    </row>
    <row r="310" spans="2:20" x14ac:dyDescent="0.2">
      <c r="B310" s="214">
        <v>306</v>
      </c>
      <c r="C310" s="250" t="s">
        <v>703</v>
      </c>
      <c r="D310" s="250" t="s">
        <v>702</v>
      </c>
      <c r="E310" s="239">
        <v>31058241</v>
      </c>
      <c r="F310" s="239">
        <v>0</v>
      </c>
      <c r="G310" s="239">
        <v>2135665</v>
      </c>
      <c r="H310" s="239">
        <v>128797</v>
      </c>
      <c r="I310" s="239">
        <v>0</v>
      </c>
      <c r="J310" s="239">
        <v>128797</v>
      </c>
      <c r="K310" s="239">
        <v>0</v>
      </c>
      <c r="L310" s="239">
        <v>0</v>
      </c>
      <c r="M310" s="239">
        <v>0</v>
      </c>
      <c r="N310" s="239">
        <v>0</v>
      </c>
      <c r="O310" s="239">
        <v>0</v>
      </c>
      <c r="P310" s="239">
        <v>28793779</v>
      </c>
      <c r="Q310" s="214" t="s">
        <v>702</v>
      </c>
      <c r="R310" s="214" t="s">
        <v>755</v>
      </c>
      <c r="S310" s="214" t="s">
        <v>753</v>
      </c>
      <c r="T310" s="214" t="s">
        <v>1158</v>
      </c>
    </row>
    <row r="311" spans="2:20" x14ac:dyDescent="0.2">
      <c r="B311" s="214">
        <v>307</v>
      </c>
      <c r="C311" s="250" t="s">
        <v>705</v>
      </c>
      <c r="D311" s="250" t="s">
        <v>704</v>
      </c>
      <c r="E311" s="239">
        <v>15945678</v>
      </c>
      <c r="F311" s="239">
        <v>607685</v>
      </c>
      <c r="G311" s="239">
        <v>0</v>
      </c>
      <c r="H311" s="239">
        <v>104972</v>
      </c>
      <c r="I311" s="239">
        <v>0</v>
      </c>
      <c r="J311" s="239">
        <v>104972</v>
      </c>
      <c r="K311" s="239">
        <v>0</v>
      </c>
      <c r="L311" s="239">
        <v>0</v>
      </c>
      <c r="M311" s="239">
        <v>52320</v>
      </c>
      <c r="N311" s="239">
        <v>52320</v>
      </c>
      <c r="O311" s="239">
        <v>0</v>
      </c>
      <c r="P311" s="239">
        <v>16396071</v>
      </c>
      <c r="Q311" s="214" t="s">
        <v>704</v>
      </c>
      <c r="R311" s="214" t="s">
        <v>796</v>
      </c>
      <c r="S311" s="214" t="s">
        <v>761</v>
      </c>
      <c r="T311" s="214" t="s">
        <v>1158</v>
      </c>
    </row>
    <row r="312" spans="2:20" x14ac:dyDescent="0.2">
      <c r="B312" s="214">
        <v>308</v>
      </c>
      <c r="C312" s="250" t="s">
        <v>707</v>
      </c>
      <c r="D312" s="250" t="s">
        <v>706</v>
      </c>
      <c r="E312" s="239">
        <v>34890196</v>
      </c>
      <c r="F312" s="239">
        <v>2011730</v>
      </c>
      <c r="G312" s="239">
        <v>0</v>
      </c>
      <c r="H312" s="239">
        <v>163845</v>
      </c>
      <c r="I312" s="239">
        <v>0</v>
      </c>
      <c r="J312" s="239">
        <v>163845</v>
      </c>
      <c r="K312" s="239">
        <v>0</v>
      </c>
      <c r="L312" s="239">
        <v>0</v>
      </c>
      <c r="M312" s="239">
        <v>239063</v>
      </c>
      <c r="N312" s="239">
        <v>239063</v>
      </c>
      <c r="O312" s="239">
        <v>0</v>
      </c>
      <c r="P312" s="239">
        <v>36499018</v>
      </c>
      <c r="Q312" s="214" t="s">
        <v>706</v>
      </c>
      <c r="R312" s="214" t="s">
        <v>794</v>
      </c>
      <c r="S312" s="214" t="s">
        <v>761</v>
      </c>
      <c r="T312" s="214" t="s">
        <v>1158</v>
      </c>
    </row>
    <row r="313" spans="2:20" x14ac:dyDescent="0.2">
      <c r="B313" s="214">
        <v>309</v>
      </c>
      <c r="C313" s="250" t="s">
        <v>709</v>
      </c>
      <c r="D313" s="250" t="s">
        <v>708</v>
      </c>
      <c r="E313" s="239">
        <v>13426818</v>
      </c>
      <c r="F313" s="239">
        <v>3513446</v>
      </c>
      <c r="G313" s="239">
        <v>0</v>
      </c>
      <c r="H313" s="239">
        <v>78132</v>
      </c>
      <c r="I313" s="239">
        <v>0</v>
      </c>
      <c r="J313" s="239">
        <v>78132</v>
      </c>
      <c r="K313" s="239">
        <v>0</v>
      </c>
      <c r="L313" s="239">
        <v>0</v>
      </c>
      <c r="M313" s="239">
        <v>29490</v>
      </c>
      <c r="N313" s="239">
        <v>29490</v>
      </c>
      <c r="O313" s="239">
        <v>0</v>
      </c>
      <c r="P313" s="239">
        <v>16832642</v>
      </c>
      <c r="Q313" s="214" t="s">
        <v>708</v>
      </c>
      <c r="R313" s="214" t="s">
        <v>792</v>
      </c>
      <c r="S313" s="214" t="s">
        <v>790</v>
      </c>
      <c r="T313" s="214" t="s">
        <v>1158</v>
      </c>
    </row>
    <row r="314" spans="2:20" x14ac:dyDescent="0.2">
      <c r="B314" s="214">
        <v>310</v>
      </c>
      <c r="C314" s="250" t="s">
        <v>711</v>
      </c>
      <c r="D314" s="250" t="s">
        <v>710</v>
      </c>
      <c r="E314" s="239">
        <v>2025952482</v>
      </c>
      <c r="F314" s="239">
        <v>113086221</v>
      </c>
      <c r="G314" s="239">
        <v>0</v>
      </c>
      <c r="H314" s="239">
        <v>3306395</v>
      </c>
      <c r="I314" s="239">
        <v>0</v>
      </c>
      <c r="J314" s="239">
        <v>3306395</v>
      </c>
      <c r="K314" s="239">
        <v>0</v>
      </c>
      <c r="L314" s="239">
        <v>0</v>
      </c>
      <c r="M314" s="239">
        <v>0</v>
      </c>
      <c r="N314" s="239">
        <v>0</v>
      </c>
      <c r="O314" s="239">
        <v>0</v>
      </c>
      <c r="P314" s="239">
        <v>2135732308</v>
      </c>
      <c r="Q314" s="214" t="s">
        <v>710</v>
      </c>
      <c r="R314" s="214" t="s">
        <v>788</v>
      </c>
      <c r="S314" s="214" t="s">
        <v>747</v>
      </c>
      <c r="T314" s="214" t="s">
        <v>1161</v>
      </c>
    </row>
    <row r="315" spans="2:20" x14ac:dyDescent="0.2">
      <c r="B315" s="214">
        <v>311</v>
      </c>
      <c r="C315" s="250" t="s">
        <v>713</v>
      </c>
      <c r="D315" s="250" t="s">
        <v>712</v>
      </c>
      <c r="E315" s="239">
        <v>14687521</v>
      </c>
      <c r="F315" s="239">
        <v>0</v>
      </c>
      <c r="G315" s="239">
        <v>464157</v>
      </c>
      <c r="H315" s="239">
        <v>106013</v>
      </c>
      <c r="I315" s="239">
        <v>0</v>
      </c>
      <c r="J315" s="239">
        <v>106013</v>
      </c>
      <c r="K315" s="239">
        <v>0</v>
      </c>
      <c r="L315" s="239">
        <v>0</v>
      </c>
      <c r="M315" s="239">
        <v>0</v>
      </c>
      <c r="N315" s="239">
        <v>0</v>
      </c>
      <c r="O315" s="239">
        <v>0</v>
      </c>
      <c r="P315" s="239">
        <v>14117351</v>
      </c>
      <c r="Q315" s="214" t="s">
        <v>787</v>
      </c>
      <c r="R315" s="214" t="s">
        <v>785</v>
      </c>
      <c r="S315" s="214" t="s">
        <v>783</v>
      </c>
      <c r="T315" s="214" t="s">
        <v>1158</v>
      </c>
    </row>
    <row r="316" spans="2:20" x14ac:dyDescent="0.2">
      <c r="B316" s="214">
        <v>312</v>
      </c>
      <c r="C316" s="250" t="s">
        <v>715</v>
      </c>
      <c r="D316" s="250" t="s">
        <v>714</v>
      </c>
      <c r="E316" s="239">
        <v>80400824</v>
      </c>
      <c r="F316" s="239">
        <v>0</v>
      </c>
      <c r="G316" s="239">
        <v>3631196</v>
      </c>
      <c r="H316" s="239">
        <v>379246</v>
      </c>
      <c r="I316" s="239">
        <v>32346</v>
      </c>
      <c r="J316" s="239">
        <v>411592</v>
      </c>
      <c r="K316" s="239">
        <v>0</v>
      </c>
      <c r="L316" s="239">
        <v>0</v>
      </c>
      <c r="M316" s="239">
        <v>0</v>
      </c>
      <c r="N316" s="239">
        <v>0</v>
      </c>
      <c r="O316" s="239">
        <v>0</v>
      </c>
      <c r="P316" s="239">
        <v>76358036</v>
      </c>
      <c r="Q316" s="214" t="s">
        <v>714</v>
      </c>
      <c r="R316" s="214" t="s">
        <v>766</v>
      </c>
      <c r="S316" s="214" t="s">
        <v>781</v>
      </c>
      <c r="T316" s="214" t="s">
        <v>1160</v>
      </c>
    </row>
    <row r="317" spans="2:20" x14ac:dyDescent="0.2">
      <c r="B317" s="214">
        <v>313</v>
      </c>
      <c r="C317" s="250" t="s">
        <v>717</v>
      </c>
      <c r="D317" s="250" t="s">
        <v>716</v>
      </c>
      <c r="E317" s="239">
        <v>146360186</v>
      </c>
      <c r="F317" s="239">
        <v>0</v>
      </c>
      <c r="G317" s="239">
        <v>3234428</v>
      </c>
      <c r="H317" s="239">
        <v>621868</v>
      </c>
      <c r="I317" s="239">
        <v>0</v>
      </c>
      <c r="J317" s="239">
        <v>621868</v>
      </c>
      <c r="K317" s="239">
        <v>0</v>
      </c>
      <c r="L317" s="239">
        <v>0</v>
      </c>
      <c r="M317" s="239">
        <v>2371741</v>
      </c>
      <c r="N317" s="239">
        <v>2371741</v>
      </c>
      <c r="O317" s="239">
        <v>0</v>
      </c>
      <c r="P317" s="239">
        <v>140132149</v>
      </c>
      <c r="Q317" s="214" t="s">
        <v>716</v>
      </c>
      <c r="R317" s="214" t="s">
        <v>746</v>
      </c>
      <c r="S317" s="214" t="s">
        <v>779</v>
      </c>
      <c r="T317" s="214" t="s">
        <v>746</v>
      </c>
    </row>
    <row r="318" spans="2:20" x14ac:dyDescent="0.2">
      <c r="B318" s="214">
        <v>314</v>
      </c>
      <c r="C318" s="250" t="s">
        <v>719</v>
      </c>
      <c r="D318" s="250" t="s">
        <v>718</v>
      </c>
      <c r="E318" s="239">
        <v>56056591</v>
      </c>
      <c r="F318" s="239">
        <v>1642298</v>
      </c>
      <c r="G318" s="239">
        <v>0</v>
      </c>
      <c r="H318" s="239">
        <v>198201</v>
      </c>
      <c r="I318" s="239">
        <v>0</v>
      </c>
      <c r="J318" s="239">
        <v>198201</v>
      </c>
      <c r="K318" s="239">
        <v>0</v>
      </c>
      <c r="L318" s="239">
        <v>0</v>
      </c>
      <c r="M318" s="239">
        <v>330056</v>
      </c>
      <c r="N318" s="239">
        <v>330056</v>
      </c>
      <c r="O318" s="239">
        <v>0</v>
      </c>
      <c r="P318" s="239">
        <v>57170632</v>
      </c>
      <c r="Q318" s="214" t="s">
        <v>718</v>
      </c>
      <c r="R318" s="214" t="s">
        <v>777</v>
      </c>
      <c r="S318" s="214" t="s">
        <v>775</v>
      </c>
      <c r="T318" s="214" t="s">
        <v>1158</v>
      </c>
    </row>
    <row r="319" spans="2:20" x14ac:dyDescent="0.2">
      <c r="B319" s="214">
        <v>315</v>
      </c>
      <c r="C319" s="250" t="s">
        <v>721</v>
      </c>
      <c r="D319" s="250" t="s">
        <v>720</v>
      </c>
      <c r="E319" s="239">
        <v>82776482</v>
      </c>
      <c r="F319" s="239">
        <v>1286007</v>
      </c>
      <c r="G319" s="239">
        <v>0</v>
      </c>
      <c r="H319" s="239">
        <v>249199</v>
      </c>
      <c r="I319" s="239">
        <v>0</v>
      </c>
      <c r="J319" s="239">
        <v>249199</v>
      </c>
      <c r="K319" s="239">
        <v>0</v>
      </c>
      <c r="L319" s="239">
        <v>0</v>
      </c>
      <c r="M319" s="239">
        <v>9261</v>
      </c>
      <c r="N319" s="239">
        <v>9261</v>
      </c>
      <c r="O319" s="239">
        <v>0</v>
      </c>
      <c r="P319" s="239">
        <v>83804029</v>
      </c>
      <c r="Q319" s="214" t="s">
        <v>774</v>
      </c>
      <c r="R319" s="214" t="s">
        <v>746</v>
      </c>
      <c r="S319" s="214" t="s">
        <v>767</v>
      </c>
      <c r="T319" s="214" t="s">
        <v>746</v>
      </c>
    </row>
    <row r="320" spans="2:20" x14ac:dyDescent="0.2">
      <c r="B320" s="214">
        <v>316</v>
      </c>
      <c r="C320" s="250" t="s">
        <v>723</v>
      </c>
      <c r="D320" s="250" t="s">
        <v>722</v>
      </c>
      <c r="E320" s="239">
        <v>67739377</v>
      </c>
      <c r="F320" s="239">
        <v>0</v>
      </c>
      <c r="G320" s="239">
        <v>1907123</v>
      </c>
      <c r="H320" s="239">
        <v>334347</v>
      </c>
      <c r="I320" s="239">
        <v>0</v>
      </c>
      <c r="J320" s="239">
        <v>334347</v>
      </c>
      <c r="K320" s="239">
        <v>0</v>
      </c>
      <c r="L320" s="239">
        <v>0</v>
      </c>
      <c r="M320" s="239">
        <v>0</v>
      </c>
      <c r="N320" s="239">
        <v>0</v>
      </c>
      <c r="O320" s="239">
        <v>0</v>
      </c>
      <c r="P320" s="239">
        <v>65497907</v>
      </c>
      <c r="Q320" s="214" t="s">
        <v>722</v>
      </c>
      <c r="R320" s="214" t="s">
        <v>766</v>
      </c>
      <c r="S320" s="214" t="s">
        <v>772</v>
      </c>
      <c r="T320" s="214" t="s">
        <v>1160</v>
      </c>
    </row>
    <row r="321" spans="2:20" x14ac:dyDescent="0.2">
      <c r="B321" s="214">
        <v>317</v>
      </c>
      <c r="C321" s="250" t="s">
        <v>725</v>
      </c>
      <c r="D321" s="250" t="s">
        <v>724</v>
      </c>
      <c r="E321" s="239">
        <v>38893159</v>
      </c>
      <c r="F321" s="239">
        <v>0</v>
      </c>
      <c r="G321" s="239">
        <v>552551</v>
      </c>
      <c r="H321" s="239">
        <v>134878</v>
      </c>
      <c r="I321" s="239">
        <v>0</v>
      </c>
      <c r="J321" s="239">
        <v>134878</v>
      </c>
      <c r="K321" s="239">
        <v>0</v>
      </c>
      <c r="L321" s="239">
        <v>0</v>
      </c>
      <c r="M321" s="239">
        <v>0</v>
      </c>
      <c r="N321" s="239">
        <v>0</v>
      </c>
      <c r="O321" s="239">
        <v>0</v>
      </c>
      <c r="P321" s="239">
        <v>38205730</v>
      </c>
      <c r="Q321" s="214" t="s">
        <v>724</v>
      </c>
      <c r="R321" s="214" t="s">
        <v>770</v>
      </c>
      <c r="S321" s="214" t="s">
        <v>761</v>
      </c>
      <c r="T321" s="214" t="s">
        <v>1158</v>
      </c>
    </row>
    <row r="322" spans="2:20" x14ac:dyDescent="0.2">
      <c r="B322" s="214">
        <v>318</v>
      </c>
      <c r="C322" s="250" t="s">
        <v>727</v>
      </c>
      <c r="D322" s="250" t="s">
        <v>726</v>
      </c>
      <c r="E322" s="239">
        <v>63062440</v>
      </c>
      <c r="F322" s="239">
        <v>6235863</v>
      </c>
      <c r="G322" s="239">
        <v>0</v>
      </c>
      <c r="H322" s="239">
        <v>190537</v>
      </c>
      <c r="I322" s="239">
        <v>0</v>
      </c>
      <c r="J322" s="239">
        <v>190537</v>
      </c>
      <c r="K322" s="239">
        <v>0</v>
      </c>
      <c r="L322" s="239">
        <v>0</v>
      </c>
      <c r="M322" s="239">
        <v>17772</v>
      </c>
      <c r="N322" s="239">
        <v>17772</v>
      </c>
      <c r="O322" s="239">
        <v>0</v>
      </c>
      <c r="P322" s="239">
        <v>69089994</v>
      </c>
      <c r="Q322" s="214" t="s">
        <v>769</v>
      </c>
      <c r="R322" s="214" t="s">
        <v>746</v>
      </c>
      <c r="S322" s="214" t="s">
        <v>767</v>
      </c>
      <c r="T322" s="214" t="s">
        <v>746</v>
      </c>
    </row>
    <row r="323" spans="2:20" x14ac:dyDescent="0.2">
      <c r="B323" s="214">
        <v>319</v>
      </c>
      <c r="C323" s="250" t="s">
        <v>729</v>
      </c>
      <c r="D323" s="250" t="s">
        <v>728</v>
      </c>
      <c r="E323" s="239">
        <v>77506824</v>
      </c>
      <c r="F323" s="239">
        <v>0</v>
      </c>
      <c r="G323" s="239">
        <v>1189129</v>
      </c>
      <c r="H323" s="239">
        <v>337306</v>
      </c>
      <c r="I323" s="239">
        <v>0</v>
      </c>
      <c r="J323" s="239">
        <v>337306</v>
      </c>
      <c r="K323" s="239">
        <v>0</v>
      </c>
      <c r="L323" s="239">
        <v>75436</v>
      </c>
      <c r="M323" s="239">
        <v>14654</v>
      </c>
      <c r="N323" s="239">
        <v>14654</v>
      </c>
      <c r="O323" s="239">
        <v>0</v>
      </c>
      <c r="P323" s="239">
        <v>75890299</v>
      </c>
      <c r="Q323" s="214" t="s">
        <v>728</v>
      </c>
      <c r="R323" s="214" t="s">
        <v>766</v>
      </c>
      <c r="S323" s="214" t="s">
        <v>764</v>
      </c>
      <c r="T323" s="214" t="s">
        <v>1160</v>
      </c>
    </row>
    <row r="324" spans="2:20" x14ac:dyDescent="0.2">
      <c r="B324" s="214">
        <v>320</v>
      </c>
      <c r="C324" s="250" t="s">
        <v>731</v>
      </c>
      <c r="D324" s="250" t="s">
        <v>730</v>
      </c>
      <c r="E324" s="239">
        <v>40306277</v>
      </c>
      <c r="F324" s="239">
        <v>0</v>
      </c>
      <c r="G324" s="239">
        <v>1570915</v>
      </c>
      <c r="H324" s="239">
        <v>133156</v>
      </c>
      <c r="I324" s="239">
        <v>0</v>
      </c>
      <c r="J324" s="239">
        <v>133156</v>
      </c>
      <c r="K324" s="239">
        <v>0</v>
      </c>
      <c r="L324" s="239">
        <v>0</v>
      </c>
      <c r="M324" s="239">
        <v>11918</v>
      </c>
      <c r="N324" s="239">
        <v>11918</v>
      </c>
      <c r="O324" s="239">
        <v>0</v>
      </c>
      <c r="P324" s="239">
        <v>38590288</v>
      </c>
      <c r="Q324" s="214" t="s">
        <v>730</v>
      </c>
      <c r="R324" s="214" t="s">
        <v>751</v>
      </c>
      <c r="S324" s="214" t="s">
        <v>749</v>
      </c>
      <c r="T324" s="214" t="s">
        <v>1158</v>
      </c>
    </row>
    <row r="325" spans="2:20" x14ac:dyDescent="0.2">
      <c r="B325" s="214">
        <v>321</v>
      </c>
      <c r="C325" s="250" t="s">
        <v>733</v>
      </c>
      <c r="D325" s="250" t="s">
        <v>732</v>
      </c>
      <c r="E325" s="239">
        <v>31235070</v>
      </c>
      <c r="F325" s="239">
        <v>0</v>
      </c>
      <c r="G325" s="239">
        <v>225517</v>
      </c>
      <c r="H325" s="239">
        <v>128590</v>
      </c>
      <c r="I325" s="239">
        <v>0</v>
      </c>
      <c r="J325" s="239">
        <v>128590</v>
      </c>
      <c r="K325" s="239">
        <v>0</v>
      </c>
      <c r="L325" s="239">
        <v>0</v>
      </c>
      <c r="M325" s="239">
        <v>0</v>
      </c>
      <c r="N325" s="239">
        <v>0</v>
      </c>
      <c r="O325" s="239">
        <v>0</v>
      </c>
      <c r="P325" s="239">
        <v>30880963</v>
      </c>
      <c r="Q325" s="214" t="s">
        <v>732</v>
      </c>
      <c r="R325" s="214" t="s">
        <v>762</v>
      </c>
      <c r="S325" s="214" t="s">
        <v>761</v>
      </c>
      <c r="T325" s="214" t="s">
        <v>1158</v>
      </c>
    </row>
    <row r="326" spans="2:20" x14ac:dyDescent="0.2">
      <c r="B326" s="214">
        <v>322</v>
      </c>
      <c r="C326" s="250" t="s">
        <v>735</v>
      </c>
      <c r="D326" s="250" t="s">
        <v>734</v>
      </c>
      <c r="E326" s="239">
        <v>39883780</v>
      </c>
      <c r="F326" s="239">
        <v>0</v>
      </c>
      <c r="G326" s="239">
        <v>638895</v>
      </c>
      <c r="H326" s="239">
        <v>185069</v>
      </c>
      <c r="I326" s="239">
        <v>0</v>
      </c>
      <c r="J326" s="239">
        <v>185069</v>
      </c>
      <c r="K326" s="239">
        <v>0</v>
      </c>
      <c r="L326" s="239">
        <v>0</v>
      </c>
      <c r="M326" s="239">
        <v>403905.12479199999</v>
      </c>
      <c r="N326" s="239">
        <v>218081.12999999998</v>
      </c>
      <c r="O326" s="239">
        <v>185823.99479200001</v>
      </c>
      <c r="P326" s="239">
        <v>38655910.875207998</v>
      </c>
      <c r="Q326" s="214" t="s">
        <v>734</v>
      </c>
      <c r="R326" s="214" t="s">
        <v>751</v>
      </c>
      <c r="S326" s="214" t="s">
        <v>749</v>
      </c>
      <c r="T326" s="214" t="s">
        <v>1158</v>
      </c>
    </row>
    <row r="327" spans="2:20" x14ac:dyDescent="0.2">
      <c r="B327" s="214">
        <v>323</v>
      </c>
      <c r="C327" s="250" t="s">
        <v>737</v>
      </c>
      <c r="D327" s="250" t="s">
        <v>736</v>
      </c>
      <c r="E327" s="239">
        <v>69186115</v>
      </c>
      <c r="F327" s="239">
        <v>0</v>
      </c>
      <c r="G327" s="239">
        <v>1349610</v>
      </c>
      <c r="H327" s="239">
        <v>234376</v>
      </c>
      <c r="I327" s="239">
        <v>0</v>
      </c>
      <c r="J327" s="239">
        <v>234376</v>
      </c>
      <c r="K327" s="239">
        <v>0</v>
      </c>
      <c r="L327" s="239">
        <v>0</v>
      </c>
      <c r="M327" s="239">
        <v>0</v>
      </c>
      <c r="N327" s="239">
        <v>0</v>
      </c>
      <c r="O327" s="239">
        <v>0</v>
      </c>
      <c r="P327" s="239">
        <v>67602129</v>
      </c>
      <c r="Q327" s="214" t="s">
        <v>736</v>
      </c>
      <c r="R327" s="214" t="s">
        <v>759</v>
      </c>
      <c r="S327" s="214" t="s">
        <v>757</v>
      </c>
      <c r="T327" s="214" t="s">
        <v>1158</v>
      </c>
    </row>
    <row r="328" spans="2:20" x14ac:dyDescent="0.2">
      <c r="B328" s="214">
        <v>324</v>
      </c>
      <c r="C328" s="250" t="s">
        <v>739</v>
      </c>
      <c r="D328" s="250" t="s">
        <v>738</v>
      </c>
      <c r="E328" s="239">
        <v>24969036</v>
      </c>
      <c r="F328" s="239">
        <v>0</v>
      </c>
      <c r="G328" s="239">
        <v>1561870</v>
      </c>
      <c r="H328" s="239">
        <v>149805</v>
      </c>
      <c r="I328" s="239">
        <v>0</v>
      </c>
      <c r="J328" s="239">
        <v>149805</v>
      </c>
      <c r="K328" s="239">
        <v>0</v>
      </c>
      <c r="L328" s="239">
        <v>267997</v>
      </c>
      <c r="M328" s="239">
        <v>0</v>
      </c>
      <c r="N328" s="239">
        <v>0</v>
      </c>
      <c r="O328" s="239">
        <v>0</v>
      </c>
      <c r="P328" s="239">
        <v>22989364</v>
      </c>
      <c r="Q328" s="214" t="s">
        <v>738</v>
      </c>
      <c r="R328" s="214" t="s">
        <v>755</v>
      </c>
      <c r="S328" s="214" t="s">
        <v>753</v>
      </c>
      <c r="T328" s="214" t="s">
        <v>1158</v>
      </c>
    </row>
    <row r="329" spans="2:20" x14ac:dyDescent="0.2">
      <c r="B329" s="214">
        <v>325</v>
      </c>
      <c r="C329" s="250" t="s">
        <v>741</v>
      </c>
      <c r="D329" s="250" t="s">
        <v>740</v>
      </c>
      <c r="E329" s="239">
        <v>28083794</v>
      </c>
      <c r="F329" s="239">
        <v>0</v>
      </c>
      <c r="G329" s="239">
        <v>1035360</v>
      </c>
      <c r="H329" s="239">
        <v>130713</v>
      </c>
      <c r="I329" s="239">
        <v>0</v>
      </c>
      <c r="J329" s="239">
        <v>130713</v>
      </c>
      <c r="K329" s="239">
        <v>0</v>
      </c>
      <c r="L329" s="239">
        <v>0</v>
      </c>
      <c r="M329" s="239">
        <v>10920</v>
      </c>
      <c r="N329" s="239">
        <v>10920</v>
      </c>
      <c r="O329" s="239">
        <v>0</v>
      </c>
      <c r="P329" s="239">
        <v>26906801</v>
      </c>
      <c r="Q329" s="214" t="s">
        <v>740</v>
      </c>
      <c r="R329" s="214" t="s">
        <v>751</v>
      </c>
      <c r="S329" s="214" t="s">
        <v>749</v>
      </c>
      <c r="T329" s="214" t="s">
        <v>1158</v>
      </c>
    </row>
    <row r="330" spans="2:20" x14ac:dyDescent="0.2">
      <c r="B330" s="214">
        <v>326</v>
      </c>
      <c r="C330" s="250" t="s">
        <v>743</v>
      </c>
      <c r="D330" s="250" t="s">
        <v>742</v>
      </c>
      <c r="E330" s="239">
        <v>102404971</v>
      </c>
      <c r="F330" s="239">
        <v>0</v>
      </c>
      <c r="G330" s="239">
        <v>2617939</v>
      </c>
      <c r="H330" s="239">
        <v>291989</v>
      </c>
      <c r="I330" s="239">
        <v>0</v>
      </c>
      <c r="J330" s="239">
        <v>291989</v>
      </c>
      <c r="K330" s="239">
        <v>0</v>
      </c>
      <c r="L330" s="239">
        <v>523678</v>
      </c>
      <c r="M330" s="239">
        <v>0</v>
      </c>
      <c r="N330" s="239">
        <v>0</v>
      </c>
      <c r="O330" s="239">
        <v>0</v>
      </c>
      <c r="P330" s="239">
        <v>98971365</v>
      </c>
      <c r="Q330" s="214" t="s">
        <v>748</v>
      </c>
      <c r="R330" s="214" t="s">
        <v>746</v>
      </c>
      <c r="S330" s="214" t="s">
        <v>744</v>
      </c>
      <c r="T330" s="214" t="s">
        <v>746</v>
      </c>
    </row>
    <row r="331" spans="2:20" x14ac:dyDescent="0.2">
      <c r="B331" s="214">
        <v>327</v>
      </c>
      <c r="C331" s="250" t="s">
        <v>1150</v>
      </c>
      <c r="D331" s="250" t="s">
        <v>1142</v>
      </c>
      <c r="E331" s="239">
        <v>23970819764.75811</v>
      </c>
      <c r="F331" s="239">
        <v>572348924</v>
      </c>
      <c r="G331" s="239">
        <v>581255468</v>
      </c>
      <c r="H331" s="239">
        <v>84000003</v>
      </c>
      <c r="I331" s="239">
        <v>57346</v>
      </c>
      <c r="J331" s="239">
        <v>84057349</v>
      </c>
      <c r="K331" s="239">
        <v>11267000</v>
      </c>
      <c r="L331" s="239">
        <v>40459428</v>
      </c>
      <c r="M331" s="239">
        <v>61039634.804792002</v>
      </c>
      <c r="N331" s="239">
        <v>58223551.130000003</v>
      </c>
      <c r="O331" s="239">
        <v>2816083.6747920001</v>
      </c>
      <c r="P331" s="239">
        <v>23765089808.95332</v>
      </c>
      <c r="Q331" s="215" t="s">
        <v>1177</v>
      </c>
      <c r="R331" s="215" t="s">
        <v>1177</v>
      </c>
      <c r="S331" s="215" t="s">
        <v>1177</v>
      </c>
      <c r="T331" s="215" t="s">
        <v>1177</v>
      </c>
    </row>
    <row r="332" spans="2:20" x14ac:dyDescent="0.2">
      <c r="E332" s="239"/>
      <c r="F332" s="239"/>
      <c r="G332" s="239"/>
      <c r="H332" s="239"/>
      <c r="I332" s="239"/>
      <c r="J332" s="239"/>
      <c r="K332" s="239"/>
      <c r="L332" s="239"/>
      <c r="M332" s="239"/>
      <c r="N332" s="239"/>
      <c r="O332" s="239"/>
      <c r="P332" s="23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J332"/>
  <sheetViews>
    <sheetView workbookViewId="0"/>
  </sheetViews>
  <sheetFormatPr defaultRowHeight="12.75" x14ac:dyDescent="0.2"/>
  <cols>
    <col min="1" max="1" width="4.28515625" style="214" customWidth="1"/>
    <col min="2" max="2" width="8.42578125" customWidth="1"/>
    <col min="3" max="3" width="27.7109375" customWidth="1"/>
    <col min="4" max="4" width="14.140625" style="625" customWidth="1"/>
    <col min="5" max="5" width="11.7109375" style="625" customWidth="1"/>
    <col min="6" max="6" width="14.42578125" style="625" customWidth="1"/>
    <col min="7" max="7" width="10" style="625" customWidth="1"/>
    <col min="8" max="8" width="9.42578125" style="625" bestFit="1" customWidth="1"/>
    <col min="9" max="9" width="9.7109375" style="625" bestFit="1" customWidth="1"/>
    <col min="10" max="10" width="12" style="625" customWidth="1"/>
    <col min="11" max="11" width="9.42578125" style="625" bestFit="1" customWidth="1"/>
    <col min="12" max="12" width="11.5703125" style="625" customWidth="1"/>
    <col min="13" max="13" width="14.5703125" style="625" customWidth="1"/>
    <col min="14" max="14" width="9.42578125" style="625" bestFit="1" customWidth="1"/>
    <col min="15" max="15" width="11" style="625" customWidth="1"/>
    <col min="16" max="16" width="11.42578125" style="625" customWidth="1"/>
    <col min="17" max="17" width="9.42578125" style="625" bestFit="1" customWidth="1"/>
    <col min="18" max="18" width="13.85546875" style="625" customWidth="1"/>
    <col min="19" max="19" width="14" style="625" customWidth="1"/>
    <col min="20" max="20" width="9.42578125" style="625" bestFit="1" customWidth="1"/>
    <col min="21" max="21" width="11.28515625" style="625" customWidth="1"/>
    <col min="22" max="22" width="13.42578125" style="625" customWidth="1"/>
    <col min="23" max="23" width="9.7109375" style="625" bestFit="1" customWidth="1"/>
    <col min="24" max="24" width="13.28515625" style="625" customWidth="1"/>
    <col min="25" max="25" width="14.140625" style="625" customWidth="1"/>
    <col min="26" max="26" width="11.5703125" style="625" customWidth="1"/>
    <col min="27" max="27" width="13.85546875" style="625" bestFit="1" customWidth="1"/>
    <col min="28" max="29" width="11.28515625" style="625" customWidth="1"/>
    <col min="30" max="30" width="10.7109375" style="625" customWidth="1"/>
    <col min="31" max="31" width="10.140625" style="625" bestFit="1" customWidth="1"/>
    <col min="32" max="32" width="9.42578125" style="625" bestFit="1" customWidth="1"/>
    <col min="33" max="33" width="13" style="625" customWidth="1"/>
    <col min="34" max="34" width="9.42578125" style="625" bestFit="1" customWidth="1"/>
    <col min="35" max="35" width="11.140625" style="625" customWidth="1"/>
    <col min="36" max="36" width="10.85546875" style="625" customWidth="1"/>
    <col min="37" max="43" width="12" style="625" customWidth="1"/>
    <col min="44" max="44" width="21.42578125" style="625" customWidth="1"/>
    <col min="45" max="45" width="18.42578125" style="625" customWidth="1"/>
    <col min="46" max="46" width="12" style="625" customWidth="1"/>
    <col min="47" max="50" width="13.85546875" style="625" customWidth="1"/>
    <col min="51" max="51" width="13.7109375" style="625" customWidth="1"/>
    <col min="52" max="54" width="13.85546875" style="625" customWidth="1"/>
    <col min="55" max="55" width="17.5703125" style="625" customWidth="1"/>
    <col min="56" max="56" width="14.5703125" style="625" customWidth="1"/>
    <col min="57" max="57" width="33.140625" style="214" customWidth="1"/>
    <col min="58" max="58" width="27.28515625" style="214" customWidth="1"/>
    <col min="59" max="59" width="30.42578125" style="214" customWidth="1"/>
    <col min="60" max="60" width="28.140625" style="214" customWidth="1"/>
    <col min="61" max="61" width="27.85546875" style="214" customWidth="1"/>
    <col min="62" max="16384" width="9.140625" style="214"/>
  </cols>
  <sheetData>
    <row r="1" spans="2:62" s="601" customFormat="1" ht="41.25" customHeight="1" x14ac:dyDescent="0.2">
      <c r="B1" s="626"/>
      <c r="C1" s="603"/>
      <c r="D1" s="1054" t="s">
        <v>1066</v>
      </c>
      <c r="E1" s="1054"/>
      <c r="F1" s="1054"/>
      <c r="G1" s="1054" t="s">
        <v>1067</v>
      </c>
      <c r="H1" s="1054"/>
      <c r="I1" s="1054"/>
      <c r="J1" s="1054" t="s">
        <v>1068</v>
      </c>
      <c r="K1" s="1054"/>
      <c r="L1" s="1054"/>
      <c r="M1" s="1054" t="s">
        <v>1069</v>
      </c>
      <c r="N1" s="1054"/>
      <c r="O1" s="1054"/>
      <c r="P1" s="1054" t="s">
        <v>1070</v>
      </c>
      <c r="Q1" s="1054"/>
      <c r="R1" s="1054"/>
      <c r="S1" s="1054" t="s">
        <v>1071</v>
      </c>
      <c r="T1" s="1054"/>
      <c r="U1" s="1054"/>
      <c r="V1" s="1054" t="s">
        <v>1072</v>
      </c>
      <c r="W1" s="1054"/>
      <c r="X1" s="1054"/>
      <c r="Y1" s="1054" t="s">
        <v>1073</v>
      </c>
      <c r="Z1" s="1054"/>
      <c r="AA1" s="1054"/>
      <c r="AB1" s="1054" t="s">
        <v>1073</v>
      </c>
      <c r="AC1" s="1054"/>
      <c r="AD1" s="1054" t="s">
        <v>1074</v>
      </c>
      <c r="AE1" s="1054"/>
      <c r="AF1" s="1054"/>
      <c r="AG1" s="1054" t="s">
        <v>1075</v>
      </c>
      <c r="AH1" s="1054"/>
      <c r="AI1" s="1054" t="s">
        <v>1076</v>
      </c>
      <c r="AJ1" s="1054"/>
      <c r="AK1" s="630" t="s">
        <v>1077</v>
      </c>
      <c r="AL1" s="1055" t="s">
        <v>1480</v>
      </c>
      <c r="AM1" s="1056"/>
      <c r="AN1" s="1057"/>
      <c r="AO1" s="1055" t="s">
        <v>1481</v>
      </c>
      <c r="AP1" s="1056"/>
      <c r="AQ1" s="1057"/>
      <c r="AR1" s="1055" t="s">
        <v>1483</v>
      </c>
      <c r="AS1" s="1056"/>
      <c r="AT1" s="1055" t="s">
        <v>1484</v>
      </c>
      <c r="AU1" s="1056"/>
      <c r="AV1" s="1055" t="s">
        <v>1485</v>
      </c>
      <c r="AW1" s="1056"/>
      <c r="AX1" s="1055" t="s">
        <v>1486</v>
      </c>
      <c r="AY1" s="1056"/>
      <c r="AZ1" s="1055" t="s">
        <v>1482</v>
      </c>
      <c r="BA1" s="1056"/>
      <c r="BB1" s="1057"/>
      <c r="BC1" s="605" t="s">
        <v>1078</v>
      </c>
      <c r="BD1" s="605" t="s">
        <v>1079</v>
      </c>
    </row>
    <row r="2" spans="2:62" x14ac:dyDescent="0.2">
      <c r="B2" s="214"/>
      <c r="C2" s="214" t="s">
        <v>1049</v>
      </c>
      <c r="D2" s="625">
        <v>1</v>
      </c>
      <c r="G2" s="625">
        <v>2</v>
      </c>
      <c r="J2" s="625">
        <v>3</v>
      </c>
      <c r="M2" s="625">
        <v>4</v>
      </c>
      <c r="P2" s="625">
        <v>5</v>
      </c>
      <c r="S2" s="625">
        <v>6</v>
      </c>
      <c r="V2" s="625">
        <v>7</v>
      </c>
      <c r="Y2" s="625">
        <v>8</v>
      </c>
      <c r="AB2" s="625">
        <v>9</v>
      </c>
      <c r="AD2" s="625">
        <v>10</v>
      </c>
      <c r="AG2" s="625">
        <v>11</v>
      </c>
      <c r="AI2" s="625">
        <v>12</v>
      </c>
      <c r="AK2" s="625">
        <v>13</v>
      </c>
      <c r="AL2" s="625">
        <v>14</v>
      </c>
      <c r="AO2" s="625">
        <v>15</v>
      </c>
      <c r="AR2" s="625">
        <v>16</v>
      </c>
      <c r="AT2" s="625">
        <v>17</v>
      </c>
      <c r="AV2" s="625">
        <v>18</v>
      </c>
      <c r="AX2" s="625">
        <v>19</v>
      </c>
      <c r="AZ2" s="625">
        <v>20</v>
      </c>
      <c r="BC2" s="625">
        <v>21</v>
      </c>
      <c r="BD2" s="625">
        <v>22</v>
      </c>
    </row>
    <row r="3" spans="2:62" x14ac:dyDescent="0.2">
      <c r="B3" s="214"/>
      <c r="C3" s="214" t="s">
        <v>1062</v>
      </c>
      <c r="D3" s="625">
        <v>1</v>
      </c>
      <c r="E3" s="625">
        <v>2</v>
      </c>
      <c r="F3" s="625">
        <v>3</v>
      </c>
      <c r="G3" s="625">
        <v>1</v>
      </c>
      <c r="H3" s="625">
        <v>2</v>
      </c>
      <c r="I3" s="625">
        <v>3</v>
      </c>
      <c r="J3" s="625">
        <v>1</v>
      </c>
      <c r="K3" s="625">
        <v>2</v>
      </c>
      <c r="L3" s="625">
        <v>3</v>
      </c>
      <c r="M3" s="625">
        <v>1</v>
      </c>
      <c r="N3" s="625">
        <v>2</v>
      </c>
      <c r="O3" s="625">
        <v>3</v>
      </c>
      <c r="P3" s="625">
        <v>1</v>
      </c>
      <c r="Q3" s="625">
        <v>2</v>
      </c>
      <c r="R3" s="625">
        <v>3</v>
      </c>
      <c r="S3" s="625">
        <v>1</v>
      </c>
      <c r="T3" s="625">
        <v>2</v>
      </c>
      <c r="U3" s="625">
        <v>3</v>
      </c>
      <c r="V3" s="625">
        <v>1</v>
      </c>
      <c r="W3" s="625">
        <v>2</v>
      </c>
      <c r="X3" s="625">
        <v>3</v>
      </c>
      <c r="Y3" s="625">
        <v>1</v>
      </c>
      <c r="Z3" s="625">
        <v>2</v>
      </c>
      <c r="AA3" s="625">
        <v>3</v>
      </c>
      <c r="AB3" s="625">
        <v>2</v>
      </c>
      <c r="AC3" s="625">
        <v>3</v>
      </c>
      <c r="AD3" s="625">
        <v>1</v>
      </c>
      <c r="AE3" s="625">
        <v>2</v>
      </c>
      <c r="AF3" s="625">
        <v>3</v>
      </c>
      <c r="AG3" s="625">
        <v>2</v>
      </c>
      <c r="AH3" s="625">
        <v>3</v>
      </c>
      <c r="AI3" s="625">
        <v>2</v>
      </c>
      <c r="AJ3" s="625">
        <v>3</v>
      </c>
      <c r="AK3" s="625">
        <v>3</v>
      </c>
      <c r="AL3" s="625">
        <v>1</v>
      </c>
      <c r="AM3" s="625">
        <v>2</v>
      </c>
      <c r="AN3" s="625">
        <v>3</v>
      </c>
      <c r="AO3" s="625">
        <v>1</v>
      </c>
      <c r="AP3" s="625">
        <v>2</v>
      </c>
      <c r="AQ3" s="625">
        <v>3</v>
      </c>
      <c r="AR3" s="625">
        <v>1</v>
      </c>
      <c r="AS3" s="625">
        <v>3</v>
      </c>
      <c r="AT3" s="625">
        <v>1</v>
      </c>
      <c r="AU3" s="625">
        <v>3</v>
      </c>
      <c r="AV3" s="625">
        <v>1</v>
      </c>
      <c r="AW3" s="625">
        <v>3</v>
      </c>
      <c r="AX3" s="625">
        <v>1</v>
      </c>
      <c r="AY3" s="625">
        <v>3</v>
      </c>
      <c r="AZ3" s="625">
        <v>1</v>
      </c>
      <c r="BA3" s="625">
        <v>2</v>
      </c>
      <c r="BB3" s="625">
        <v>3</v>
      </c>
      <c r="BC3" s="625">
        <v>3</v>
      </c>
      <c r="BD3" s="625">
        <v>3</v>
      </c>
    </row>
    <row r="4" spans="2:62" s="626" customFormat="1" x14ac:dyDescent="0.2">
      <c r="B4" s="626" t="s">
        <v>1063</v>
      </c>
      <c r="C4" s="626" t="s">
        <v>1064</v>
      </c>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6" t="s">
        <v>21</v>
      </c>
      <c r="BF4" s="626" t="s">
        <v>1144</v>
      </c>
      <c r="BG4" s="626" t="s">
        <v>1145</v>
      </c>
      <c r="BH4" s="626" t="s">
        <v>1146</v>
      </c>
      <c r="BI4" s="626" t="s">
        <v>1147</v>
      </c>
      <c r="BJ4" s="626" t="s">
        <v>1157</v>
      </c>
    </row>
    <row r="5" spans="2:62" x14ac:dyDescent="0.2">
      <c r="B5" s="602" t="s">
        <v>93</v>
      </c>
      <c r="C5" s="602" t="s">
        <v>92</v>
      </c>
      <c r="D5" s="239">
        <v>18210444</v>
      </c>
      <c r="E5" s="239">
        <v>0</v>
      </c>
      <c r="F5" s="239">
        <v>18210444</v>
      </c>
      <c r="G5" s="239">
        <v>0</v>
      </c>
      <c r="H5" s="239">
        <v>0</v>
      </c>
      <c r="I5" s="239">
        <v>0</v>
      </c>
      <c r="J5" s="239">
        <v>-87105</v>
      </c>
      <c r="K5" s="239">
        <v>0</v>
      </c>
      <c r="L5" s="239">
        <v>-87105</v>
      </c>
      <c r="M5" s="239">
        <v>0</v>
      </c>
      <c r="N5" s="239">
        <v>0</v>
      </c>
      <c r="O5" s="239">
        <v>0</v>
      </c>
      <c r="P5" s="239">
        <v>-97759</v>
      </c>
      <c r="Q5" s="239">
        <v>0</v>
      </c>
      <c r="R5" s="239">
        <v>-97759</v>
      </c>
      <c r="S5" s="239">
        <v>443239</v>
      </c>
      <c r="T5" s="239">
        <v>0</v>
      </c>
      <c r="U5" s="239">
        <v>443239</v>
      </c>
      <c r="V5" s="239">
        <v>358461</v>
      </c>
      <c r="W5" s="239">
        <v>0</v>
      </c>
      <c r="X5" s="239">
        <v>358461</v>
      </c>
      <c r="Y5" s="239">
        <v>18914385</v>
      </c>
      <c r="Z5" s="239">
        <v>0</v>
      </c>
      <c r="AA5" s="239">
        <v>18914385</v>
      </c>
      <c r="AB5" s="239">
        <v>0</v>
      </c>
      <c r="AC5" s="239">
        <v>0</v>
      </c>
      <c r="AD5" s="239">
        <v>0</v>
      </c>
      <c r="AE5" s="239">
        <v>0</v>
      </c>
      <c r="AF5" s="239">
        <v>0</v>
      </c>
      <c r="AG5" s="239">
        <v>0</v>
      </c>
      <c r="AH5" s="239">
        <v>0</v>
      </c>
      <c r="AI5" s="239">
        <v>0</v>
      </c>
      <c r="AJ5" s="239">
        <v>0</v>
      </c>
      <c r="AK5" s="239">
        <v>0</v>
      </c>
      <c r="AL5" s="239">
        <v>0</v>
      </c>
      <c r="AM5" s="239">
        <v>0</v>
      </c>
      <c r="AN5" s="239">
        <v>0</v>
      </c>
      <c r="AO5" s="239">
        <v>0</v>
      </c>
      <c r="AP5" s="239">
        <v>0</v>
      </c>
      <c r="AQ5" s="239">
        <v>0</v>
      </c>
      <c r="AR5" s="239">
        <v>0</v>
      </c>
      <c r="AS5" s="239">
        <v>0</v>
      </c>
      <c r="AT5" s="239">
        <v>0</v>
      </c>
      <c r="AU5" s="239">
        <v>0</v>
      </c>
      <c r="AV5" s="239">
        <v>0</v>
      </c>
      <c r="AW5" s="239">
        <v>0</v>
      </c>
      <c r="AX5" s="239">
        <v>0</v>
      </c>
      <c r="AY5" s="239">
        <v>0</v>
      </c>
      <c r="AZ5" s="239">
        <v>0</v>
      </c>
      <c r="BA5" s="239">
        <v>0</v>
      </c>
      <c r="BB5" s="239">
        <v>0</v>
      </c>
      <c r="BC5" s="239">
        <v>27784</v>
      </c>
      <c r="BD5" s="239">
        <v>-279919</v>
      </c>
      <c r="BE5" s="214" t="s">
        <v>92</v>
      </c>
      <c r="BF5" s="214" t="s">
        <v>762</v>
      </c>
      <c r="BG5" s="214" t="s">
        <v>761</v>
      </c>
      <c r="BH5" s="214" t="s">
        <v>1010</v>
      </c>
      <c r="BI5" s="214" t="s">
        <v>1010</v>
      </c>
      <c r="BJ5" s="214" t="s">
        <v>1158</v>
      </c>
    </row>
    <row r="6" spans="2:62" x14ac:dyDescent="0.2">
      <c r="B6" s="602" t="s">
        <v>95</v>
      </c>
      <c r="C6" s="602" t="s">
        <v>94</v>
      </c>
      <c r="D6" s="239">
        <v>27745421</v>
      </c>
      <c r="E6" s="239">
        <v>0</v>
      </c>
      <c r="F6" s="239">
        <v>27745421</v>
      </c>
      <c r="G6" s="239">
        <v>0</v>
      </c>
      <c r="H6" s="239">
        <v>0</v>
      </c>
      <c r="I6" s="239">
        <v>0</v>
      </c>
      <c r="J6" s="239">
        <v>-213675</v>
      </c>
      <c r="K6" s="239">
        <v>0</v>
      </c>
      <c r="L6" s="239">
        <v>-213675</v>
      </c>
      <c r="M6" s="239">
        <v>0</v>
      </c>
      <c r="N6" s="239">
        <v>0</v>
      </c>
      <c r="O6" s="239">
        <v>0</v>
      </c>
      <c r="P6" s="239">
        <v>-237878</v>
      </c>
      <c r="Q6" s="239">
        <v>0</v>
      </c>
      <c r="R6" s="239">
        <v>-237878</v>
      </c>
      <c r="S6" s="239">
        <v>540541</v>
      </c>
      <c r="T6" s="239">
        <v>0</v>
      </c>
      <c r="U6" s="239">
        <v>540541</v>
      </c>
      <c r="V6" s="239">
        <v>-1084442</v>
      </c>
      <c r="W6" s="239">
        <v>0</v>
      </c>
      <c r="X6" s="239">
        <v>-1084442</v>
      </c>
      <c r="Y6" s="239">
        <v>26963642</v>
      </c>
      <c r="Z6" s="239">
        <v>0</v>
      </c>
      <c r="AA6" s="239">
        <v>26963642</v>
      </c>
      <c r="AB6" s="239">
        <v>0</v>
      </c>
      <c r="AC6" s="239">
        <v>0</v>
      </c>
      <c r="AD6" s="239">
        <v>514443</v>
      </c>
      <c r="AE6" s="239">
        <v>0</v>
      </c>
      <c r="AF6" s="239">
        <v>514443</v>
      </c>
      <c r="AG6" s="239">
        <v>0</v>
      </c>
      <c r="AH6" s="239">
        <v>0</v>
      </c>
      <c r="AI6" s="239">
        <v>0</v>
      </c>
      <c r="AJ6" s="239">
        <v>0</v>
      </c>
      <c r="AK6" s="239">
        <v>0</v>
      </c>
      <c r="AL6" s="239">
        <v>0</v>
      </c>
      <c r="AM6" s="239">
        <v>0</v>
      </c>
      <c r="AN6" s="239">
        <v>0</v>
      </c>
      <c r="AO6" s="239">
        <v>0</v>
      </c>
      <c r="AP6" s="239">
        <v>0</v>
      </c>
      <c r="AQ6" s="239">
        <v>0</v>
      </c>
      <c r="AR6" s="239">
        <v>0</v>
      </c>
      <c r="AS6" s="239">
        <v>0</v>
      </c>
      <c r="AT6" s="239">
        <v>0</v>
      </c>
      <c r="AU6" s="239">
        <v>0</v>
      </c>
      <c r="AV6" s="239">
        <v>0</v>
      </c>
      <c r="AW6" s="239">
        <v>0</v>
      </c>
      <c r="AX6" s="239">
        <v>0</v>
      </c>
      <c r="AY6" s="239">
        <v>0</v>
      </c>
      <c r="AZ6" s="239">
        <v>0</v>
      </c>
      <c r="BA6" s="239">
        <v>0</v>
      </c>
      <c r="BB6" s="239">
        <v>0</v>
      </c>
      <c r="BC6" s="239">
        <v>977765</v>
      </c>
      <c r="BD6" s="239">
        <v>-338750</v>
      </c>
      <c r="BE6" s="214" t="s">
        <v>94</v>
      </c>
      <c r="BF6" s="214" t="s">
        <v>849</v>
      </c>
      <c r="BG6" s="214" t="s">
        <v>761</v>
      </c>
      <c r="BH6" s="214" t="s">
        <v>1010</v>
      </c>
      <c r="BI6" s="214" t="s">
        <v>1010</v>
      </c>
      <c r="BJ6" s="214" t="s">
        <v>1158</v>
      </c>
    </row>
    <row r="7" spans="2:62" x14ac:dyDescent="0.2">
      <c r="B7" s="602" t="s">
        <v>97</v>
      </c>
      <c r="C7" s="602" t="s">
        <v>96</v>
      </c>
      <c r="D7" s="239">
        <v>30612261</v>
      </c>
      <c r="E7" s="239">
        <v>0</v>
      </c>
      <c r="F7" s="239">
        <v>30612261</v>
      </c>
      <c r="G7" s="239">
        <v>0</v>
      </c>
      <c r="H7" s="239">
        <v>0</v>
      </c>
      <c r="I7" s="239">
        <v>0</v>
      </c>
      <c r="J7" s="239">
        <v>-144462</v>
      </c>
      <c r="K7" s="239">
        <v>0</v>
      </c>
      <c r="L7" s="239">
        <v>-144462</v>
      </c>
      <c r="M7" s="239">
        <v>0</v>
      </c>
      <c r="N7" s="239">
        <v>0</v>
      </c>
      <c r="O7" s="239">
        <v>0</v>
      </c>
      <c r="P7" s="239">
        <v>-275818</v>
      </c>
      <c r="Q7" s="239">
        <v>0</v>
      </c>
      <c r="R7" s="239">
        <v>-275818</v>
      </c>
      <c r="S7" s="239">
        <v>371551</v>
      </c>
      <c r="T7" s="239">
        <v>0</v>
      </c>
      <c r="U7" s="239">
        <v>371551</v>
      </c>
      <c r="V7" s="239">
        <v>-1721551</v>
      </c>
      <c r="W7" s="239">
        <v>0</v>
      </c>
      <c r="X7" s="239">
        <v>-1721551</v>
      </c>
      <c r="Y7" s="239">
        <v>28986443</v>
      </c>
      <c r="Z7" s="239">
        <v>0</v>
      </c>
      <c r="AA7" s="239">
        <v>28986443</v>
      </c>
      <c r="AB7" s="239">
        <v>0</v>
      </c>
      <c r="AC7" s="239">
        <v>0</v>
      </c>
      <c r="AD7" s="239">
        <v>10820</v>
      </c>
      <c r="AE7" s="239">
        <v>0</v>
      </c>
      <c r="AF7" s="239">
        <v>10820</v>
      </c>
      <c r="AG7" s="239">
        <v>0</v>
      </c>
      <c r="AH7" s="239">
        <v>0</v>
      </c>
      <c r="AI7" s="239">
        <v>0</v>
      </c>
      <c r="AJ7" s="239">
        <v>0</v>
      </c>
      <c r="AK7" s="239">
        <v>0</v>
      </c>
      <c r="AL7" s="239">
        <v>0</v>
      </c>
      <c r="AM7" s="239">
        <v>0</v>
      </c>
      <c r="AN7" s="239">
        <v>0</v>
      </c>
      <c r="AO7" s="239">
        <v>0</v>
      </c>
      <c r="AP7" s="239">
        <v>0</v>
      </c>
      <c r="AQ7" s="239">
        <v>0</v>
      </c>
      <c r="AR7" s="239">
        <v>0</v>
      </c>
      <c r="AS7" s="239">
        <v>0</v>
      </c>
      <c r="AT7" s="239">
        <v>0</v>
      </c>
      <c r="AU7" s="239">
        <v>0</v>
      </c>
      <c r="AV7" s="239">
        <v>0</v>
      </c>
      <c r="AW7" s="239">
        <v>0</v>
      </c>
      <c r="AX7" s="239">
        <v>0</v>
      </c>
      <c r="AY7" s="239">
        <v>0</v>
      </c>
      <c r="AZ7" s="239">
        <v>0</v>
      </c>
      <c r="BA7" s="239">
        <v>0</v>
      </c>
      <c r="BB7" s="239">
        <v>0</v>
      </c>
      <c r="BC7" s="239">
        <v>501220</v>
      </c>
      <c r="BD7" s="239">
        <v>-1435540</v>
      </c>
      <c r="BE7" s="214" t="s">
        <v>96</v>
      </c>
      <c r="BF7" s="214" t="s">
        <v>856</v>
      </c>
      <c r="BG7" s="214" t="s">
        <v>854</v>
      </c>
      <c r="BH7" s="214" t="s">
        <v>1010</v>
      </c>
      <c r="BI7" s="214" t="s">
        <v>1010</v>
      </c>
      <c r="BJ7" s="214" t="s">
        <v>1158</v>
      </c>
    </row>
    <row r="8" spans="2:62" x14ac:dyDescent="0.2">
      <c r="B8" s="602" t="s">
        <v>99</v>
      </c>
      <c r="C8" s="602" t="s">
        <v>98</v>
      </c>
      <c r="D8" s="239">
        <v>34622198</v>
      </c>
      <c r="E8" s="239">
        <v>0</v>
      </c>
      <c r="F8" s="239">
        <v>34622198</v>
      </c>
      <c r="G8" s="239">
        <v>0</v>
      </c>
      <c r="H8" s="239">
        <v>0</v>
      </c>
      <c r="I8" s="239">
        <v>0</v>
      </c>
      <c r="J8" s="239">
        <v>-146427</v>
      </c>
      <c r="K8" s="239">
        <v>0</v>
      </c>
      <c r="L8" s="239">
        <v>-146427</v>
      </c>
      <c r="M8" s="239">
        <v>0</v>
      </c>
      <c r="N8" s="239">
        <v>0</v>
      </c>
      <c r="O8" s="239">
        <v>0</v>
      </c>
      <c r="P8" s="239">
        <v>-212427</v>
      </c>
      <c r="Q8" s="239">
        <v>0</v>
      </c>
      <c r="R8" s="239">
        <v>-212427</v>
      </c>
      <c r="S8" s="239">
        <v>2128118</v>
      </c>
      <c r="T8" s="239">
        <v>0</v>
      </c>
      <c r="U8" s="239">
        <v>2128118</v>
      </c>
      <c r="V8" s="239">
        <v>-1387118</v>
      </c>
      <c r="W8" s="239">
        <v>0</v>
      </c>
      <c r="X8" s="239">
        <v>-1387118</v>
      </c>
      <c r="Y8" s="239">
        <v>35150771</v>
      </c>
      <c r="Z8" s="239">
        <v>0</v>
      </c>
      <c r="AA8" s="239">
        <v>35150771</v>
      </c>
      <c r="AB8" s="239">
        <v>0</v>
      </c>
      <c r="AC8" s="239">
        <v>0</v>
      </c>
      <c r="AD8" s="239">
        <v>0</v>
      </c>
      <c r="AE8" s="239">
        <v>0</v>
      </c>
      <c r="AF8" s="239">
        <v>0</v>
      </c>
      <c r="AG8" s="239">
        <v>0</v>
      </c>
      <c r="AH8" s="239">
        <v>0</v>
      </c>
      <c r="AI8" s="239">
        <v>0</v>
      </c>
      <c r="AJ8" s="239">
        <v>0</v>
      </c>
      <c r="AK8" s="239">
        <v>0</v>
      </c>
      <c r="AL8" s="239">
        <v>0</v>
      </c>
      <c r="AM8" s="239">
        <v>0</v>
      </c>
      <c r="AN8" s="239">
        <v>0</v>
      </c>
      <c r="AO8" s="239">
        <v>0</v>
      </c>
      <c r="AP8" s="239">
        <v>0</v>
      </c>
      <c r="AQ8" s="239">
        <v>0</v>
      </c>
      <c r="AR8" s="239">
        <v>0</v>
      </c>
      <c r="AS8" s="239">
        <v>0</v>
      </c>
      <c r="AT8" s="239">
        <v>0</v>
      </c>
      <c r="AU8" s="239">
        <v>0</v>
      </c>
      <c r="AV8" s="239">
        <v>0</v>
      </c>
      <c r="AW8" s="239">
        <v>0</v>
      </c>
      <c r="AX8" s="239">
        <v>0</v>
      </c>
      <c r="AY8" s="239">
        <v>0</v>
      </c>
      <c r="AZ8" s="239">
        <v>0</v>
      </c>
      <c r="BA8" s="239">
        <v>0</v>
      </c>
      <c r="BB8" s="239">
        <v>0</v>
      </c>
      <c r="BC8" s="239">
        <v>828561</v>
      </c>
      <c r="BD8" s="239">
        <v>-624441</v>
      </c>
      <c r="BE8" s="214" t="s">
        <v>98</v>
      </c>
      <c r="BF8" s="214" t="s">
        <v>762</v>
      </c>
      <c r="BG8" s="214" t="s">
        <v>761</v>
      </c>
      <c r="BH8" s="214" t="s">
        <v>1010</v>
      </c>
      <c r="BI8" s="214" t="s">
        <v>1010</v>
      </c>
      <c r="BJ8" s="214" t="s">
        <v>1158</v>
      </c>
    </row>
    <row r="9" spans="2:62" x14ac:dyDescent="0.2">
      <c r="B9" s="602" t="s">
        <v>101</v>
      </c>
      <c r="C9" s="602" t="s">
        <v>100</v>
      </c>
      <c r="D9" s="239">
        <v>34333011</v>
      </c>
      <c r="E9" s="239">
        <v>0</v>
      </c>
      <c r="F9" s="239">
        <v>34333011</v>
      </c>
      <c r="G9" s="239">
        <v>0</v>
      </c>
      <c r="H9" s="239">
        <v>0</v>
      </c>
      <c r="I9" s="239">
        <v>0</v>
      </c>
      <c r="J9" s="239">
        <v>-256648</v>
      </c>
      <c r="K9" s="239">
        <v>0</v>
      </c>
      <c r="L9" s="239">
        <v>-256648</v>
      </c>
      <c r="M9" s="239">
        <v>0</v>
      </c>
      <c r="N9" s="239">
        <v>0</v>
      </c>
      <c r="O9" s="239">
        <v>0</v>
      </c>
      <c r="P9" s="239">
        <v>-114311</v>
      </c>
      <c r="Q9" s="239">
        <v>0</v>
      </c>
      <c r="R9" s="239">
        <v>-114311</v>
      </c>
      <c r="S9" s="239">
        <v>2110841</v>
      </c>
      <c r="T9" s="239">
        <v>0</v>
      </c>
      <c r="U9" s="239">
        <v>2110841</v>
      </c>
      <c r="V9" s="239">
        <v>-2224989</v>
      </c>
      <c r="W9" s="239">
        <v>0</v>
      </c>
      <c r="X9" s="239">
        <v>-2224989</v>
      </c>
      <c r="Y9" s="239">
        <v>34104552</v>
      </c>
      <c r="Z9" s="239">
        <v>0</v>
      </c>
      <c r="AA9" s="239">
        <v>34104552</v>
      </c>
      <c r="AB9" s="239">
        <v>0</v>
      </c>
      <c r="AC9" s="239">
        <v>0</v>
      </c>
      <c r="AD9" s="239">
        <v>0</v>
      </c>
      <c r="AE9" s="239">
        <v>0</v>
      </c>
      <c r="AF9" s="239">
        <v>0</v>
      </c>
      <c r="AG9" s="239">
        <v>0</v>
      </c>
      <c r="AH9" s="239">
        <v>0</v>
      </c>
      <c r="AI9" s="239">
        <v>0</v>
      </c>
      <c r="AJ9" s="239">
        <v>0</v>
      </c>
      <c r="AK9" s="239">
        <v>0</v>
      </c>
      <c r="AL9" s="239">
        <v>0</v>
      </c>
      <c r="AM9" s="239">
        <v>0</v>
      </c>
      <c r="AN9" s="239">
        <v>0</v>
      </c>
      <c r="AO9" s="239">
        <v>0</v>
      </c>
      <c r="AP9" s="239">
        <v>0</v>
      </c>
      <c r="AQ9" s="239">
        <v>0</v>
      </c>
      <c r="AR9" s="239">
        <v>0</v>
      </c>
      <c r="AS9" s="239">
        <v>0</v>
      </c>
      <c r="AT9" s="239">
        <v>0</v>
      </c>
      <c r="AU9" s="239">
        <v>0</v>
      </c>
      <c r="AV9" s="239">
        <v>0</v>
      </c>
      <c r="AW9" s="239">
        <v>0</v>
      </c>
      <c r="AX9" s="239">
        <v>0</v>
      </c>
      <c r="AY9" s="239">
        <v>0</v>
      </c>
      <c r="AZ9" s="239">
        <v>0</v>
      </c>
      <c r="BA9" s="239">
        <v>0</v>
      </c>
      <c r="BB9" s="239">
        <v>0</v>
      </c>
      <c r="BC9" s="239">
        <v>1094239</v>
      </c>
      <c r="BD9" s="239">
        <v>-708290</v>
      </c>
      <c r="BE9" s="214" t="s">
        <v>100</v>
      </c>
      <c r="BF9" s="214" t="s">
        <v>872</v>
      </c>
      <c r="BG9" s="214" t="s">
        <v>870</v>
      </c>
      <c r="BH9" s="214" t="s">
        <v>1010</v>
      </c>
      <c r="BI9" s="214" t="s">
        <v>1010</v>
      </c>
      <c r="BJ9" s="214" t="s">
        <v>1158</v>
      </c>
    </row>
    <row r="10" spans="2:62" x14ac:dyDescent="0.2">
      <c r="B10" s="602" t="s">
        <v>103</v>
      </c>
      <c r="C10" s="602" t="s">
        <v>102</v>
      </c>
      <c r="D10" s="239">
        <v>49179739</v>
      </c>
      <c r="E10" s="239">
        <v>0</v>
      </c>
      <c r="F10" s="239">
        <v>49179739</v>
      </c>
      <c r="G10" s="239">
        <v>0</v>
      </c>
      <c r="H10" s="239">
        <v>0</v>
      </c>
      <c r="I10" s="239">
        <v>0</v>
      </c>
      <c r="J10" s="239">
        <v>-157939</v>
      </c>
      <c r="K10" s="239">
        <v>0</v>
      </c>
      <c r="L10" s="239">
        <v>-157939</v>
      </c>
      <c r="M10" s="239">
        <v>0</v>
      </c>
      <c r="N10" s="239">
        <v>0</v>
      </c>
      <c r="O10" s="239">
        <v>0</v>
      </c>
      <c r="P10" s="239">
        <v>-147699</v>
      </c>
      <c r="Q10" s="239">
        <v>0</v>
      </c>
      <c r="R10" s="239">
        <v>-147699</v>
      </c>
      <c r="S10" s="239">
        <v>1077889</v>
      </c>
      <c r="T10" s="239">
        <v>0</v>
      </c>
      <c r="U10" s="239">
        <v>1077889</v>
      </c>
      <c r="V10" s="239">
        <v>-1604109</v>
      </c>
      <c r="W10" s="239">
        <v>0</v>
      </c>
      <c r="X10" s="239">
        <v>-1604109</v>
      </c>
      <c r="Y10" s="239">
        <v>48505820</v>
      </c>
      <c r="Z10" s="239">
        <v>0</v>
      </c>
      <c r="AA10" s="239">
        <v>48505820</v>
      </c>
      <c r="AB10" s="239">
        <v>0</v>
      </c>
      <c r="AC10" s="239">
        <v>0</v>
      </c>
      <c r="AD10" s="239">
        <v>100531</v>
      </c>
      <c r="AE10" s="239">
        <v>0</v>
      </c>
      <c r="AF10" s="239">
        <v>100531</v>
      </c>
      <c r="AG10" s="239">
        <v>0</v>
      </c>
      <c r="AH10" s="239">
        <v>0</v>
      </c>
      <c r="AI10" s="239">
        <v>0</v>
      </c>
      <c r="AJ10" s="239">
        <v>0</v>
      </c>
      <c r="AK10" s="239">
        <v>0</v>
      </c>
      <c r="AL10" s="239">
        <v>0</v>
      </c>
      <c r="AM10" s="239">
        <v>0</v>
      </c>
      <c r="AN10" s="239">
        <v>0</v>
      </c>
      <c r="AO10" s="239">
        <v>0</v>
      </c>
      <c r="AP10" s="239">
        <v>0</v>
      </c>
      <c r="AQ10" s="239">
        <v>0</v>
      </c>
      <c r="AR10" s="239">
        <v>0</v>
      </c>
      <c r="AS10" s="239">
        <v>0</v>
      </c>
      <c r="AT10" s="239">
        <v>0</v>
      </c>
      <c r="AU10" s="239">
        <v>0</v>
      </c>
      <c r="AV10" s="239">
        <v>0</v>
      </c>
      <c r="AW10" s="239">
        <v>0</v>
      </c>
      <c r="AX10" s="239">
        <v>0</v>
      </c>
      <c r="AY10" s="239">
        <v>0</v>
      </c>
      <c r="AZ10" s="239">
        <v>0</v>
      </c>
      <c r="BA10" s="239">
        <v>0</v>
      </c>
      <c r="BB10" s="239">
        <v>0</v>
      </c>
      <c r="BC10" s="239">
        <v>806326</v>
      </c>
      <c r="BD10" s="239">
        <v>-901074</v>
      </c>
      <c r="BE10" s="214" t="s">
        <v>102</v>
      </c>
      <c r="BF10" s="214" t="s">
        <v>824</v>
      </c>
      <c r="BG10" s="214" t="s">
        <v>822</v>
      </c>
      <c r="BH10" s="214" t="s">
        <v>1010</v>
      </c>
      <c r="BI10" s="214" t="s">
        <v>1010</v>
      </c>
      <c r="BJ10" s="214" t="s">
        <v>1158</v>
      </c>
    </row>
    <row r="11" spans="2:62" x14ac:dyDescent="0.2">
      <c r="B11" s="602" t="s">
        <v>105</v>
      </c>
      <c r="C11" s="602" t="s">
        <v>104</v>
      </c>
      <c r="D11" s="239">
        <v>53579707</v>
      </c>
      <c r="E11" s="239">
        <v>311517</v>
      </c>
      <c r="F11" s="239">
        <v>53891224</v>
      </c>
      <c r="G11" s="239">
        <v>0</v>
      </c>
      <c r="H11" s="239">
        <v>0</v>
      </c>
      <c r="I11" s="239">
        <v>0</v>
      </c>
      <c r="J11" s="239">
        <v>0</v>
      </c>
      <c r="K11" s="239">
        <v>0</v>
      </c>
      <c r="L11" s="239">
        <v>0</v>
      </c>
      <c r="M11" s="239">
        <v>-90578</v>
      </c>
      <c r="N11" s="239">
        <v>0</v>
      </c>
      <c r="O11" s="239">
        <v>-90578</v>
      </c>
      <c r="P11" s="239">
        <v>-95855</v>
      </c>
      <c r="Q11" s="239">
        <v>0</v>
      </c>
      <c r="R11" s="239">
        <v>-95855</v>
      </c>
      <c r="S11" s="239">
        <v>372305</v>
      </c>
      <c r="T11" s="239">
        <v>0</v>
      </c>
      <c r="U11" s="239">
        <v>372305</v>
      </c>
      <c r="V11" s="239">
        <v>-2533708</v>
      </c>
      <c r="W11" s="239">
        <v>0</v>
      </c>
      <c r="X11" s="239">
        <v>-2533708</v>
      </c>
      <c r="Y11" s="239">
        <v>51231871</v>
      </c>
      <c r="Z11" s="239">
        <v>311517</v>
      </c>
      <c r="AA11" s="239">
        <v>51543388</v>
      </c>
      <c r="AB11" s="239">
        <v>311517</v>
      </c>
      <c r="AC11" s="239">
        <v>311517</v>
      </c>
      <c r="AD11" s="239">
        <v>220340</v>
      </c>
      <c r="AE11" s="239">
        <v>0</v>
      </c>
      <c r="AF11" s="239">
        <v>220340</v>
      </c>
      <c r="AG11" s="239">
        <v>-4163</v>
      </c>
      <c r="AH11" s="239">
        <v>-4163</v>
      </c>
      <c r="AI11" s="239">
        <v>24915</v>
      </c>
      <c r="AJ11" s="239">
        <v>24915</v>
      </c>
      <c r="AK11" s="239">
        <v>282439</v>
      </c>
      <c r="AL11" s="239">
        <v>0</v>
      </c>
      <c r="AM11" s="239">
        <v>0</v>
      </c>
      <c r="AN11" s="239">
        <v>0</v>
      </c>
      <c r="AO11" s="239">
        <v>0</v>
      </c>
      <c r="AP11" s="239">
        <v>60602</v>
      </c>
      <c r="AQ11" s="239">
        <v>60602</v>
      </c>
      <c r="AR11" s="239">
        <v>0</v>
      </c>
      <c r="AS11" s="239">
        <v>0</v>
      </c>
      <c r="AT11" s="239">
        <v>0</v>
      </c>
      <c r="AU11" s="239">
        <v>0</v>
      </c>
      <c r="AV11" s="239">
        <v>0</v>
      </c>
      <c r="AW11" s="239">
        <v>0</v>
      </c>
      <c r="AX11" s="239">
        <v>0</v>
      </c>
      <c r="AY11" s="239">
        <v>0</v>
      </c>
      <c r="AZ11" s="239">
        <v>0</v>
      </c>
      <c r="BA11" s="239">
        <v>60602</v>
      </c>
      <c r="BB11" s="239">
        <v>60602</v>
      </c>
      <c r="BC11" s="239">
        <v>207557</v>
      </c>
      <c r="BD11" s="239">
        <v>-1724734</v>
      </c>
      <c r="BE11" s="214" t="s">
        <v>104</v>
      </c>
      <c r="BF11" s="214" t="s">
        <v>759</v>
      </c>
      <c r="BG11" s="214" t="s">
        <v>757</v>
      </c>
      <c r="BH11" s="214" t="s">
        <v>1010</v>
      </c>
      <c r="BI11" s="214" t="s">
        <v>1010</v>
      </c>
      <c r="BJ11" s="214" t="s">
        <v>1158</v>
      </c>
    </row>
    <row r="12" spans="2:62" x14ac:dyDescent="0.2">
      <c r="B12" s="602" t="s">
        <v>107</v>
      </c>
      <c r="C12" s="602" t="s">
        <v>106</v>
      </c>
      <c r="D12" s="239">
        <v>22963283</v>
      </c>
      <c r="E12" s="239">
        <v>0</v>
      </c>
      <c r="F12" s="239">
        <v>22963283</v>
      </c>
      <c r="G12" s="239">
        <v>0</v>
      </c>
      <c r="H12" s="239">
        <v>0</v>
      </c>
      <c r="I12" s="239">
        <v>0</v>
      </c>
      <c r="J12" s="239">
        <v>-122446</v>
      </c>
      <c r="K12" s="239">
        <v>0</v>
      </c>
      <c r="L12" s="239">
        <v>-122446</v>
      </c>
      <c r="M12" s="239">
        <v>0</v>
      </c>
      <c r="N12" s="239">
        <v>0</v>
      </c>
      <c r="O12" s="239">
        <v>0</v>
      </c>
      <c r="P12" s="239">
        <v>-129000</v>
      </c>
      <c r="Q12" s="239">
        <v>0</v>
      </c>
      <c r="R12" s="239">
        <v>-129000</v>
      </c>
      <c r="S12" s="239">
        <v>607168</v>
      </c>
      <c r="T12" s="239">
        <v>0</v>
      </c>
      <c r="U12" s="239">
        <v>607168</v>
      </c>
      <c r="V12" s="239">
        <v>-1564194</v>
      </c>
      <c r="W12" s="239">
        <v>0</v>
      </c>
      <c r="X12" s="239">
        <v>-1564194</v>
      </c>
      <c r="Y12" s="239">
        <v>21877257</v>
      </c>
      <c r="Z12" s="239">
        <v>0</v>
      </c>
      <c r="AA12" s="239">
        <v>21877257</v>
      </c>
      <c r="AB12" s="239">
        <v>0</v>
      </c>
      <c r="AC12" s="239">
        <v>0</v>
      </c>
      <c r="AD12" s="239">
        <v>26379</v>
      </c>
      <c r="AE12" s="239">
        <v>0</v>
      </c>
      <c r="AF12" s="239">
        <v>26379</v>
      </c>
      <c r="AG12" s="239">
        <v>0</v>
      </c>
      <c r="AH12" s="239">
        <v>0</v>
      </c>
      <c r="AI12" s="239">
        <v>0</v>
      </c>
      <c r="AJ12" s="239">
        <v>0</v>
      </c>
      <c r="AK12" s="239">
        <v>0</v>
      </c>
      <c r="AL12" s="239">
        <v>0</v>
      </c>
      <c r="AM12" s="239">
        <v>0</v>
      </c>
      <c r="AN12" s="239">
        <v>0</v>
      </c>
      <c r="AO12" s="239">
        <v>0</v>
      </c>
      <c r="AP12" s="239">
        <v>0</v>
      </c>
      <c r="AQ12" s="239">
        <v>0</v>
      </c>
      <c r="AR12" s="239">
        <v>0</v>
      </c>
      <c r="AS12" s="239">
        <v>0</v>
      </c>
      <c r="AT12" s="239">
        <v>0</v>
      </c>
      <c r="AU12" s="239">
        <v>0</v>
      </c>
      <c r="AV12" s="239">
        <v>0</v>
      </c>
      <c r="AW12" s="239">
        <v>0</v>
      </c>
      <c r="AX12" s="239">
        <v>0</v>
      </c>
      <c r="AY12" s="239">
        <v>0</v>
      </c>
      <c r="AZ12" s="239">
        <v>0</v>
      </c>
      <c r="BA12" s="239">
        <v>0</v>
      </c>
      <c r="BB12" s="239">
        <v>0</v>
      </c>
      <c r="BC12" s="239">
        <v>336342</v>
      </c>
      <c r="BD12" s="239">
        <v>-285247</v>
      </c>
      <c r="BE12" s="214" t="s">
        <v>106</v>
      </c>
      <c r="BF12" s="214" t="s">
        <v>809</v>
      </c>
      <c r="BG12" s="214" t="s">
        <v>761</v>
      </c>
      <c r="BH12" s="214" t="s">
        <v>1010</v>
      </c>
      <c r="BI12" s="214" t="s">
        <v>1010</v>
      </c>
      <c r="BJ12" s="214" t="s">
        <v>1158</v>
      </c>
    </row>
    <row r="13" spans="2:62" x14ac:dyDescent="0.2">
      <c r="B13" s="602" t="s">
        <v>109</v>
      </c>
      <c r="C13" s="602" t="s">
        <v>108</v>
      </c>
      <c r="D13" s="239">
        <v>60607513</v>
      </c>
      <c r="E13" s="239">
        <v>0</v>
      </c>
      <c r="F13" s="239">
        <v>60607513</v>
      </c>
      <c r="G13" s="239">
        <v>0</v>
      </c>
      <c r="H13" s="239">
        <v>0</v>
      </c>
      <c r="I13" s="239">
        <v>0</v>
      </c>
      <c r="J13" s="239">
        <v>0</v>
      </c>
      <c r="K13" s="239">
        <v>0</v>
      </c>
      <c r="L13" s="239">
        <v>0</v>
      </c>
      <c r="M13" s="239">
        <v>-3007</v>
      </c>
      <c r="N13" s="239">
        <v>0</v>
      </c>
      <c r="O13" s="239">
        <v>-3007</v>
      </c>
      <c r="P13" s="239">
        <v>-1488554</v>
      </c>
      <c r="Q13" s="239">
        <v>0</v>
      </c>
      <c r="R13" s="239">
        <v>-1488554</v>
      </c>
      <c r="S13" s="239">
        <v>0</v>
      </c>
      <c r="T13" s="239">
        <v>0</v>
      </c>
      <c r="U13" s="239">
        <v>0</v>
      </c>
      <c r="V13" s="239">
        <v>-1896069</v>
      </c>
      <c r="W13" s="239">
        <v>0</v>
      </c>
      <c r="X13" s="239">
        <v>-1896069</v>
      </c>
      <c r="Y13" s="239">
        <v>57219883</v>
      </c>
      <c r="Z13" s="239">
        <v>0</v>
      </c>
      <c r="AA13" s="239">
        <v>57219883</v>
      </c>
      <c r="AB13" s="239">
        <v>0</v>
      </c>
      <c r="AC13" s="239">
        <v>0</v>
      </c>
      <c r="AD13" s="239">
        <v>0</v>
      </c>
      <c r="AE13" s="239">
        <v>0</v>
      </c>
      <c r="AF13" s="239">
        <v>0</v>
      </c>
      <c r="AG13" s="239">
        <v>0</v>
      </c>
      <c r="AH13" s="239">
        <v>0</v>
      </c>
      <c r="AI13" s="239">
        <v>0</v>
      </c>
      <c r="AJ13" s="239">
        <v>0</v>
      </c>
      <c r="AK13" s="239">
        <v>0</v>
      </c>
      <c r="AL13" s="239">
        <v>0</v>
      </c>
      <c r="AM13" s="239">
        <v>0</v>
      </c>
      <c r="AN13" s="239">
        <v>0</v>
      </c>
      <c r="AO13" s="239">
        <v>0</v>
      </c>
      <c r="AP13" s="239">
        <v>0</v>
      </c>
      <c r="AQ13" s="239">
        <v>0</v>
      </c>
      <c r="AR13" s="239">
        <v>0</v>
      </c>
      <c r="AS13" s="239">
        <v>0</v>
      </c>
      <c r="AT13" s="239">
        <v>0</v>
      </c>
      <c r="AU13" s="239">
        <v>0</v>
      </c>
      <c r="AV13" s="239">
        <v>0</v>
      </c>
      <c r="AW13" s="239">
        <v>0</v>
      </c>
      <c r="AX13" s="239">
        <v>0</v>
      </c>
      <c r="AY13" s="239">
        <v>0</v>
      </c>
      <c r="AZ13" s="239">
        <v>0</v>
      </c>
      <c r="BA13" s="239">
        <v>0</v>
      </c>
      <c r="BB13" s="239">
        <v>0</v>
      </c>
      <c r="BC13" s="239">
        <v>7835737</v>
      </c>
      <c r="BD13" s="239">
        <v>-1665240</v>
      </c>
      <c r="BE13" s="214" t="s">
        <v>925</v>
      </c>
      <c r="BF13" s="214" t="s">
        <v>788</v>
      </c>
      <c r="BG13" s="214" t="s">
        <v>747</v>
      </c>
      <c r="BH13" s="214" t="s">
        <v>1010</v>
      </c>
      <c r="BI13" s="214" t="s">
        <v>1010</v>
      </c>
      <c r="BJ13" s="214" t="s">
        <v>1159</v>
      </c>
    </row>
    <row r="14" spans="2:62" x14ac:dyDescent="0.2">
      <c r="B14" s="602" t="s">
        <v>111</v>
      </c>
      <c r="C14" s="602" t="s">
        <v>110</v>
      </c>
      <c r="D14" s="239">
        <v>111664543</v>
      </c>
      <c r="E14" s="239">
        <v>0</v>
      </c>
      <c r="F14" s="239">
        <v>111664543</v>
      </c>
      <c r="G14" s="239">
        <v>0</v>
      </c>
      <c r="H14" s="239">
        <v>0</v>
      </c>
      <c r="I14" s="239">
        <v>0</v>
      </c>
      <c r="J14" s="239">
        <v>-2363669</v>
      </c>
      <c r="K14" s="239">
        <v>0</v>
      </c>
      <c r="L14" s="239">
        <v>-2363669</v>
      </c>
      <c r="M14" s="239">
        <v>0</v>
      </c>
      <c r="N14" s="239">
        <v>0</v>
      </c>
      <c r="O14" s="239">
        <v>0</v>
      </c>
      <c r="P14" s="239">
        <v>-2682661</v>
      </c>
      <c r="Q14" s="239">
        <v>0</v>
      </c>
      <c r="R14" s="239">
        <v>-2682661</v>
      </c>
      <c r="S14" s="239">
        <v>0</v>
      </c>
      <c r="T14" s="239">
        <v>0</v>
      </c>
      <c r="U14" s="239">
        <v>0</v>
      </c>
      <c r="V14" s="239">
        <v>-2959278</v>
      </c>
      <c r="W14" s="239">
        <v>0</v>
      </c>
      <c r="X14" s="239">
        <v>-2959278</v>
      </c>
      <c r="Y14" s="239">
        <v>106022604</v>
      </c>
      <c r="Z14" s="239">
        <v>0</v>
      </c>
      <c r="AA14" s="239">
        <v>106022604</v>
      </c>
      <c r="AB14" s="239">
        <v>0</v>
      </c>
      <c r="AC14" s="239">
        <v>0</v>
      </c>
      <c r="AD14" s="239">
        <v>0</v>
      </c>
      <c r="AE14" s="239">
        <v>0</v>
      </c>
      <c r="AF14" s="239">
        <v>0</v>
      </c>
      <c r="AG14" s="239">
        <v>0</v>
      </c>
      <c r="AH14" s="239">
        <v>0</v>
      </c>
      <c r="AI14" s="239">
        <v>0</v>
      </c>
      <c r="AJ14" s="239">
        <v>0</v>
      </c>
      <c r="AK14" s="239">
        <v>0</v>
      </c>
      <c r="AL14" s="239">
        <v>0</v>
      </c>
      <c r="AM14" s="239">
        <v>0</v>
      </c>
      <c r="AN14" s="239">
        <v>0</v>
      </c>
      <c r="AO14" s="239">
        <v>0</v>
      </c>
      <c r="AP14" s="239">
        <v>0</v>
      </c>
      <c r="AQ14" s="239">
        <v>0</v>
      </c>
      <c r="AR14" s="239">
        <v>0</v>
      </c>
      <c r="AS14" s="239">
        <v>0</v>
      </c>
      <c r="AT14" s="239">
        <v>0</v>
      </c>
      <c r="AU14" s="239">
        <v>0</v>
      </c>
      <c r="AV14" s="239">
        <v>0</v>
      </c>
      <c r="AW14" s="239">
        <v>0</v>
      </c>
      <c r="AX14" s="239">
        <v>0</v>
      </c>
      <c r="AY14" s="239">
        <v>0</v>
      </c>
      <c r="AZ14" s="239">
        <v>0</v>
      </c>
      <c r="BA14" s="239">
        <v>0</v>
      </c>
      <c r="BB14" s="239">
        <v>0</v>
      </c>
      <c r="BC14" s="239">
        <v>10187199</v>
      </c>
      <c r="BD14" s="239">
        <v>-6901952</v>
      </c>
      <c r="BE14" s="214" t="s">
        <v>110</v>
      </c>
      <c r="BF14" s="214" t="s">
        <v>788</v>
      </c>
      <c r="BG14" s="214" t="s">
        <v>747</v>
      </c>
      <c r="BH14" s="214" t="s">
        <v>1010</v>
      </c>
      <c r="BI14" s="214" t="s">
        <v>1010</v>
      </c>
      <c r="BJ14" s="214" t="s">
        <v>1159</v>
      </c>
    </row>
    <row r="15" spans="2:62" x14ac:dyDescent="0.2">
      <c r="B15" s="602" t="s">
        <v>113</v>
      </c>
      <c r="C15" s="602" t="s">
        <v>112</v>
      </c>
      <c r="D15" s="239">
        <v>52111403</v>
      </c>
      <c r="E15" s="239">
        <v>601276</v>
      </c>
      <c r="F15" s="239">
        <v>52712679</v>
      </c>
      <c r="G15" s="239">
        <v>0</v>
      </c>
      <c r="H15" s="239">
        <v>0</v>
      </c>
      <c r="I15" s="239">
        <v>0</v>
      </c>
      <c r="J15" s="239">
        <v>-824058</v>
      </c>
      <c r="K15" s="239">
        <v>0</v>
      </c>
      <c r="L15" s="239">
        <v>-824058</v>
      </c>
      <c r="M15" s="239">
        <v>0</v>
      </c>
      <c r="N15" s="239">
        <v>0</v>
      </c>
      <c r="O15" s="239">
        <v>0</v>
      </c>
      <c r="P15" s="239">
        <v>-928216</v>
      </c>
      <c r="Q15" s="239">
        <v>0</v>
      </c>
      <c r="R15" s="239">
        <v>-928216</v>
      </c>
      <c r="S15" s="239">
        <v>1135874</v>
      </c>
      <c r="T15" s="239">
        <v>0</v>
      </c>
      <c r="U15" s="239">
        <v>1135874</v>
      </c>
      <c r="V15" s="239">
        <v>-3930965</v>
      </c>
      <c r="W15" s="239">
        <v>0</v>
      </c>
      <c r="X15" s="239">
        <v>-3930965</v>
      </c>
      <c r="Y15" s="239">
        <v>48388096</v>
      </c>
      <c r="Z15" s="239">
        <v>601276</v>
      </c>
      <c r="AA15" s="239">
        <v>48989372</v>
      </c>
      <c r="AB15" s="239">
        <v>601276</v>
      </c>
      <c r="AC15" s="239">
        <v>601276</v>
      </c>
      <c r="AD15" s="239">
        <v>48371</v>
      </c>
      <c r="AE15" s="239">
        <v>0</v>
      </c>
      <c r="AF15" s="239">
        <v>48371</v>
      </c>
      <c r="AG15" s="239">
        <v>-607</v>
      </c>
      <c r="AH15" s="239">
        <v>-607</v>
      </c>
      <c r="AI15" s="239">
        <v>88251</v>
      </c>
      <c r="AJ15" s="239">
        <v>88251</v>
      </c>
      <c r="AK15" s="239">
        <v>512418</v>
      </c>
      <c r="AL15" s="239">
        <v>0</v>
      </c>
      <c r="AM15" s="239">
        <v>0</v>
      </c>
      <c r="AN15" s="239">
        <v>0</v>
      </c>
      <c r="AO15" s="239">
        <v>0</v>
      </c>
      <c r="AP15" s="239">
        <v>313159</v>
      </c>
      <c r="AQ15" s="239">
        <v>313159</v>
      </c>
      <c r="AR15" s="239">
        <v>0</v>
      </c>
      <c r="AS15" s="239">
        <v>0</v>
      </c>
      <c r="AT15" s="239">
        <v>0</v>
      </c>
      <c r="AU15" s="239">
        <v>0</v>
      </c>
      <c r="AV15" s="239">
        <v>0</v>
      </c>
      <c r="AW15" s="239">
        <v>0</v>
      </c>
      <c r="AX15" s="239">
        <v>0</v>
      </c>
      <c r="AY15" s="239">
        <v>0</v>
      </c>
      <c r="AZ15" s="239">
        <v>0</v>
      </c>
      <c r="BA15" s="239">
        <v>313159</v>
      </c>
      <c r="BB15" s="239">
        <v>313159</v>
      </c>
      <c r="BC15" s="239">
        <v>1216477</v>
      </c>
      <c r="BD15" s="239">
        <v>-1024847</v>
      </c>
      <c r="BE15" s="214" t="s">
        <v>112</v>
      </c>
      <c r="BF15" s="214" t="s">
        <v>766</v>
      </c>
      <c r="BG15" s="214" t="s">
        <v>863</v>
      </c>
      <c r="BH15" s="214" t="s">
        <v>1012</v>
      </c>
      <c r="BI15" s="214" t="s">
        <v>1010</v>
      </c>
      <c r="BJ15" s="214" t="s">
        <v>1160</v>
      </c>
    </row>
    <row r="16" spans="2:62" x14ac:dyDescent="0.2">
      <c r="B16" s="602" t="s">
        <v>115</v>
      </c>
      <c r="C16" s="602" t="s">
        <v>114</v>
      </c>
      <c r="D16" s="239">
        <v>23368408</v>
      </c>
      <c r="E16" s="239">
        <v>0</v>
      </c>
      <c r="F16" s="239">
        <v>23368408</v>
      </c>
      <c r="G16" s="239">
        <v>0</v>
      </c>
      <c r="H16" s="239">
        <v>0</v>
      </c>
      <c r="I16" s="239">
        <v>0</v>
      </c>
      <c r="J16" s="239">
        <v>-89196</v>
      </c>
      <c r="K16" s="239">
        <v>0</v>
      </c>
      <c r="L16" s="239">
        <v>-89196</v>
      </c>
      <c r="M16" s="239">
        <v>0</v>
      </c>
      <c r="N16" s="239">
        <v>0</v>
      </c>
      <c r="O16" s="239">
        <v>0</v>
      </c>
      <c r="P16" s="239">
        <v>-156556</v>
      </c>
      <c r="Q16" s="239">
        <v>0</v>
      </c>
      <c r="R16" s="239">
        <v>-156556</v>
      </c>
      <c r="S16" s="239">
        <v>47044</v>
      </c>
      <c r="T16" s="239">
        <v>0</v>
      </c>
      <c r="U16" s="239">
        <v>47044</v>
      </c>
      <c r="V16" s="239">
        <v>-98336</v>
      </c>
      <c r="W16" s="239">
        <v>0</v>
      </c>
      <c r="X16" s="239">
        <v>-98336</v>
      </c>
      <c r="Y16" s="239">
        <v>23160560</v>
      </c>
      <c r="Z16" s="239">
        <v>0</v>
      </c>
      <c r="AA16" s="239">
        <v>23160560</v>
      </c>
      <c r="AB16" s="239">
        <v>0</v>
      </c>
      <c r="AC16" s="239">
        <v>0</v>
      </c>
      <c r="AD16" s="239">
        <v>206988</v>
      </c>
      <c r="AE16" s="239">
        <v>0</v>
      </c>
      <c r="AF16" s="239">
        <v>206988</v>
      </c>
      <c r="AG16" s="239">
        <v>0</v>
      </c>
      <c r="AH16" s="239">
        <v>0</v>
      </c>
      <c r="AI16" s="239">
        <v>0</v>
      </c>
      <c r="AJ16" s="239">
        <v>0</v>
      </c>
      <c r="AK16" s="239">
        <v>0</v>
      </c>
      <c r="AL16" s="239">
        <v>0</v>
      </c>
      <c r="AM16" s="239">
        <v>0</v>
      </c>
      <c r="AN16" s="239">
        <v>0</v>
      </c>
      <c r="AO16" s="239">
        <v>0</v>
      </c>
      <c r="AP16" s="239">
        <v>0</v>
      </c>
      <c r="AQ16" s="239">
        <v>0</v>
      </c>
      <c r="AR16" s="239">
        <v>0</v>
      </c>
      <c r="AS16" s="239">
        <v>0</v>
      </c>
      <c r="AT16" s="239">
        <v>0</v>
      </c>
      <c r="AU16" s="239">
        <v>0</v>
      </c>
      <c r="AV16" s="239">
        <v>0</v>
      </c>
      <c r="AW16" s="239">
        <v>0</v>
      </c>
      <c r="AX16" s="239">
        <v>0</v>
      </c>
      <c r="AY16" s="239">
        <v>0</v>
      </c>
      <c r="AZ16" s="239">
        <v>0</v>
      </c>
      <c r="BA16" s="239">
        <v>0</v>
      </c>
      <c r="BB16" s="239">
        <v>0</v>
      </c>
      <c r="BC16" s="239">
        <v>1445250</v>
      </c>
      <c r="BD16" s="239">
        <v>-927101</v>
      </c>
      <c r="BE16" s="214" t="s">
        <v>114</v>
      </c>
      <c r="BF16" s="214" t="s">
        <v>849</v>
      </c>
      <c r="BG16" s="214" t="s">
        <v>761</v>
      </c>
      <c r="BH16" s="214" t="s">
        <v>1010</v>
      </c>
      <c r="BI16" s="214" t="s">
        <v>1010</v>
      </c>
      <c r="BJ16" s="214" t="s">
        <v>1158</v>
      </c>
    </row>
    <row r="17" spans="2:62" x14ac:dyDescent="0.2">
      <c r="B17" s="602" t="s">
        <v>117</v>
      </c>
      <c r="C17" s="602" t="s">
        <v>116</v>
      </c>
      <c r="D17" s="239">
        <v>80800253</v>
      </c>
      <c r="E17" s="239">
        <v>0</v>
      </c>
      <c r="F17" s="239">
        <v>80800253</v>
      </c>
      <c r="G17" s="239">
        <v>0</v>
      </c>
      <c r="H17" s="239">
        <v>0</v>
      </c>
      <c r="I17" s="239">
        <v>0</v>
      </c>
      <c r="J17" s="239">
        <v>-1059626</v>
      </c>
      <c r="K17" s="239">
        <v>0</v>
      </c>
      <c r="L17" s="239">
        <v>-1059626</v>
      </c>
      <c r="M17" s="239">
        <v>0</v>
      </c>
      <c r="N17" s="239">
        <v>0</v>
      </c>
      <c r="O17" s="239">
        <v>0</v>
      </c>
      <c r="P17" s="239">
        <v>-521126</v>
      </c>
      <c r="Q17" s="239">
        <v>0</v>
      </c>
      <c r="R17" s="239">
        <v>-521126</v>
      </c>
      <c r="S17" s="239">
        <v>2851876</v>
      </c>
      <c r="T17" s="239">
        <v>0</v>
      </c>
      <c r="U17" s="239">
        <v>2851876</v>
      </c>
      <c r="V17" s="239">
        <v>-2876876</v>
      </c>
      <c r="W17" s="239">
        <v>0</v>
      </c>
      <c r="X17" s="239">
        <v>-2876876</v>
      </c>
      <c r="Y17" s="239">
        <v>80254127</v>
      </c>
      <c r="Z17" s="239">
        <v>0</v>
      </c>
      <c r="AA17" s="239">
        <v>80254127</v>
      </c>
      <c r="AB17" s="239">
        <v>0</v>
      </c>
      <c r="AC17" s="239">
        <v>0</v>
      </c>
      <c r="AD17" s="239">
        <v>354</v>
      </c>
      <c r="AE17" s="239">
        <v>0</v>
      </c>
      <c r="AF17" s="239">
        <v>354</v>
      </c>
      <c r="AG17" s="239">
        <v>0</v>
      </c>
      <c r="AH17" s="239">
        <v>0</v>
      </c>
      <c r="AI17" s="239">
        <v>0</v>
      </c>
      <c r="AJ17" s="239">
        <v>0</v>
      </c>
      <c r="AK17" s="239">
        <v>0</v>
      </c>
      <c r="AL17" s="239">
        <v>0</v>
      </c>
      <c r="AM17" s="239">
        <v>0</v>
      </c>
      <c r="AN17" s="239">
        <v>0</v>
      </c>
      <c r="AO17" s="239">
        <v>0</v>
      </c>
      <c r="AP17" s="239">
        <v>0</v>
      </c>
      <c r="AQ17" s="239">
        <v>0</v>
      </c>
      <c r="AR17" s="239">
        <v>0</v>
      </c>
      <c r="AS17" s="239">
        <v>0</v>
      </c>
      <c r="AT17" s="239">
        <v>0</v>
      </c>
      <c r="AU17" s="239">
        <v>0</v>
      </c>
      <c r="AV17" s="239">
        <v>0</v>
      </c>
      <c r="AW17" s="239">
        <v>0</v>
      </c>
      <c r="AX17" s="239">
        <v>0</v>
      </c>
      <c r="AY17" s="239">
        <v>0</v>
      </c>
      <c r="AZ17" s="239">
        <v>0</v>
      </c>
      <c r="BA17" s="239">
        <v>0</v>
      </c>
      <c r="BB17" s="239">
        <v>0</v>
      </c>
      <c r="BC17" s="239">
        <v>1568730</v>
      </c>
      <c r="BD17" s="239">
        <v>-1136194</v>
      </c>
      <c r="BE17" s="214" t="s">
        <v>116</v>
      </c>
      <c r="BF17" s="214" t="s">
        <v>820</v>
      </c>
      <c r="BG17" s="214" t="s">
        <v>818</v>
      </c>
      <c r="BH17" s="214" t="s">
        <v>1010</v>
      </c>
      <c r="BI17" s="214" t="s">
        <v>1010</v>
      </c>
      <c r="BJ17" s="214" t="s">
        <v>1158</v>
      </c>
    </row>
    <row r="18" spans="2:62" x14ac:dyDescent="0.2">
      <c r="B18" s="602" t="s">
        <v>119</v>
      </c>
      <c r="C18" s="602" t="s">
        <v>118</v>
      </c>
      <c r="D18" s="239">
        <v>74715597</v>
      </c>
      <c r="E18" s="239">
        <v>1895027</v>
      </c>
      <c r="F18" s="239">
        <v>76610624</v>
      </c>
      <c r="G18" s="239">
        <v>0</v>
      </c>
      <c r="H18" s="239">
        <v>0</v>
      </c>
      <c r="I18" s="239">
        <v>0</v>
      </c>
      <c r="J18" s="239">
        <v>-329869</v>
      </c>
      <c r="K18" s="239">
        <v>0</v>
      </c>
      <c r="L18" s="239">
        <v>-329869</v>
      </c>
      <c r="M18" s="239">
        <v>0</v>
      </c>
      <c r="N18" s="239">
        <v>0</v>
      </c>
      <c r="O18" s="239">
        <v>0</v>
      </c>
      <c r="P18" s="239">
        <v>-244869</v>
      </c>
      <c r="Q18" s="239">
        <v>-25000</v>
      </c>
      <c r="R18" s="239">
        <v>-269869</v>
      </c>
      <c r="S18" s="239">
        <v>1441956</v>
      </c>
      <c r="T18" s="239">
        <v>0</v>
      </c>
      <c r="U18" s="239">
        <v>1441956</v>
      </c>
      <c r="V18" s="239">
        <v>-3202956</v>
      </c>
      <c r="W18" s="239">
        <v>-89000</v>
      </c>
      <c r="X18" s="239">
        <v>-3291956</v>
      </c>
      <c r="Y18" s="239">
        <v>72709728</v>
      </c>
      <c r="Z18" s="239">
        <v>1781027</v>
      </c>
      <c r="AA18" s="239">
        <v>74490755</v>
      </c>
      <c r="AB18" s="239">
        <v>1781027</v>
      </c>
      <c r="AC18" s="239">
        <v>1781027</v>
      </c>
      <c r="AD18" s="239">
        <v>302693</v>
      </c>
      <c r="AE18" s="239">
        <v>0</v>
      </c>
      <c r="AF18" s="239">
        <v>302693</v>
      </c>
      <c r="AG18" s="239">
        <v>-45887</v>
      </c>
      <c r="AH18" s="239">
        <v>-45887</v>
      </c>
      <c r="AI18" s="239">
        <v>2131596</v>
      </c>
      <c r="AJ18" s="239">
        <v>2131596</v>
      </c>
      <c r="AK18" s="239">
        <v>0</v>
      </c>
      <c r="AL18" s="239">
        <v>0</v>
      </c>
      <c r="AM18" s="239">
        <v>0</v>
      </c>
      <c r="AN18" s="239">
        <v>0</v>
      </c>
      <c r="AO18" s="239">
        <v>0</v>
      </c>
      <c r="AP18" s="239">
        <v>83634</v>
      </c>
      <c r="AQ18" s="239">
        <v>83634</v>
      </c>
      <c r="AR18" s="239">
        <v>0</v>
      </c>
      <c r="AS18" s="239">
        <v>0</v>
      </c>
      <c r="AT18" s="239">
        <v>0</v>
      </c>
      <c r="AU18" s="239">
        <v>0</v>
      </c>
      <c r="AV18" s="239">
        <v>0</v>
      </c>
      <c r="AW18" s="239">
        <v>0</v>
      </c>
      <c r="AX18" s="239">
        <v>0</v>
      </c>
      <c r="AY18" s="239">
        <v>0</v>
      </c>
      <c r="AZ18" s="239">
        <v>0</v>
      </c>
      <c r="BA18" s="239">
        <v>83634</v>
      </c>
      <c r="BB18" s="239">
        <v>83634</v>
      </c>
      <c r="BC18" s="239">
        <v>1558725</v>
      </c>
      <c r="BD18" s="239">
        <v>-2625462</v>
      </c>
      <c r="BE18" s="214" t="s">
        <v>118</v>
      </c>
      <c r="BF18" s="214" t="s">
        <v>777</v>
      </c>
      <c r="BG18" s="214" t="s">
        <v>775</v>
      </c>
      <c r="BH18" s="214" t="s">
        <v>1010</v>
      </c>
      <c r="BI18" s="214" t="s">
        <v>1010</v>
      </c>
      <c r="BJ18" s="214" t="s">
        <v>1158</v>
      </c>
    </row>
    <row r="19" spans="2:62" x14ac:dyDescent="0.2">
      <c r="B19" s="602" t="s">
        <v>121</v>
      </c>
      <c r="C19" s="602" t="s">
        <v>120</v>
      </c>
      <c r="D19" s="239">
        <v>47684391</v>
      </c>
      <c r="E19" s="239">
        <v>0</v>
      </c>
      <c r="F19" s="239">
        <v>47684391</v>
      </c>
      <c r="G19" s="239">
        <v>0</v>
      </c>
      <c r="H19" s="239">
        <v>0</v>
      </c>
      <c r="I19" s="239">
        <v>0</v>
      </c>
      <c r="J19" s="239">
        <v>-28812</v>
      </c>
      <c r="K19" s="239">
        <v>0</v>
      </c>
      <c r="L19" s="239">
        <v>-28812</v>
      </c>
      <c r="M19" s="239">
        <v>0</v>
      </c>
      <c r="N19" s="239">
        <v>0</v>
      </c>
      <c r="O19" s="239">
        <v>0</v>
      </c>
      <c r="P19" s="239">
        <v>-569740</v>
      </c>
      <c r="Q19" s="239">
        <v>0</v>
      </c>
      <c r="R19" s="239">
        <v>-569740</v>
      </c>
      <c r="S19" s="239">
        <v>5375564</v>
      </c>
      <c r="T19" s="239">
        <v>0</v>
      </c>
      <c r="U19" s="239">
        <v>5375564</v>
      </c>
      <c r="V19" s="239">
        <v>-353935</v>
      </c>
      <c r="W19" s="239">
        <v>0</v>
      </c>
      <c r="X19" s="239">
        <v>-353935</v>
      </c>
      <c r="Y19" s="239">
        <v>52136280</v>
      </c>
      <c r="Z19" s="239">
        <v>0</v>
      </c>
      <c r="AA19" s="239">
        <v>52136280</v>
      </c>
      <c r="AB19" s="239">
        <v>0</v>
      </c>
      <c r="AC19" s="239">
        <v>0</v>
      </c>
      <c r="AD19" s="239">
        <v>550121</v>
      </c>
      <c r="AE19" s="239">
        <v>0</v>
      </c>
      <c r="AF19" s="239">
        <v>550121</v>
      </c>
      <c r="AG19" s="239">
        <v>0</v>
      </c>
      <c r="AH19" s="239">
        <v>0</v>
      </c>
      <c r="AI19" s="239">
        <v>0</v>
      </c>
      <c r="AJ19" s="239">
        <v>0</v>
      </c>
      <c r="AK19" s="239">
        <v>0</v>
      </c>
      <c r="AL19" s="239">
        <v>0</v>
      </c>
      <c r="AM19" s="239">
        <v>0</v>
      </c>
      <c r="AN19" s="239">
        <v>0</v>
      </c>
      <c r="AO19" s="239">
        <v>0</v>
      </c>
      <c r="AP19" s="239">
        <v>0</v>
      </c>
      <c r="AQ19" s="239">
        <v>0</v>
      </c>
      <c r="AR19" s="239">
        <v>0</v>
      </c>
      <c r="AS19" s="239">
        <v>0</v>
      </c>
      <c r="AT19" s="239">
        <v>0</v>
      </c>
      <c r="AU19" s="239">
        <v>0</v>
      </c>
      <c r="AV19" s="239">
        <v>0</v>
      </c>
      <c r="AW19" s="239">
        <v>0</v>
      </c>
      <c r="AX19" s="239">
        <v>0</v>
      </c>
      <c r="AY19" s="239">
        <v>0</v>
      </c>
      <c r="AZ19" s="239">
        <v>0</v>
      </c>
      <c r="BA19" s="239">
        <v>0</v>
      </c>
      <c r="BB19" s="239">
        <v>0</v>
      </c>
      <c r="BC19" s="239">
        <v>3414812</v>
      </c>
      <c r="BD19" s="239">
        <v>-1482520</v>
      </c>
      <c r="BE19" s="214" t="s">
        <v>120</v>
      </c>
      <c r="BF19" s="214" t="s">
        <v>872</v>
      </c>
      <c r="BG19" s="214" t="s">
        <v>870</v>
      </c>
      <c r="BH19" s="214" t="s">
        <v>1010</v>
      </c>
      <c r="BI19" s="214" t="s">
        <v>1010</v>
      </c>
      <c r="BJ19" s="214" t="s">
        <v>1158</v>
      </c>
    </row>
    <row r="20" spans="2:62" x14ac:dyDescent="0.2">
      <c r="B20" s="602" t="s">
        <v>123</v>
      </c>
      <c r="C20" s="602" t="s">
        <v>122</v>
      </c>
      <c r="D20" s="239">
        <v>60060421</v>
      </c>
      <c r="E20" s="239">
        <v>5881973</v>
      </c>
      <c r="F20" s="239">
        <v>65942394</v>
      </c>
      <c r="G20" s="239">
        <v>0</v>
      </c>
      <c r="H20" s="239">
        <v>0</v>
      </c>
      <c r="I20" s="239">
        <v>0</v>
      </c>
      <c r="J20" s="239">
        <v>-290405</v>
      </c>
      <c r="K20" s="239">
        <v>-1170</v>
      </c>
      <c r="L20" s="239">
        <v>-291575</v>
      </c>
      <c r="M20" s="239">
        <v>0</v>
      </c>
      <c r="N20" s="239">
        <v>0</v>
      </c>
      <c r="O20" s="239">
        <v>0</v>
      </c>
      <c r="P20" s="239">
        <v>-239441</v>
      </c>
      <c r="Q20" s="239">
        <v>5702</v>
      </c>
      <c r="R20" s="239">
        <v>-233739</v>
      </c>
      <c r="S20" s="239">
        <v>1395932</v>
      </c>
      <c r="T20" s="239">
        <v>34738</v>
      </c>
      <c r="U20" s="239">
        <v>1430670</v>
      </c>
      <c r="V20" s="239">
        <v>-2116669</v>
      </c>
      <c r="W20" s="239">
        <v>-320159</v>
      </c>
      <c r="X20" s="239">
        <v>-2436828</v>
      </c>
      <c r="Y20" s="239">
        <v>59100243</v>
      </c>
      <c r="Z20" s="239">
        <v>5602254</v>
      </c>
      <c r="AA20" s="239">
        <v>64702497</v>
      </c>
      <c r="AB20" s="239">
        <v>5602254</v>
      </c>
      <c r="AC20" s="239">
        <v>5602254</v>
      </c>
      <c r="AD20" s="239">
        <v>22696</v>
      </c>
      <c r="AE20" s="239">
        <v>0</v>
      </c>
      <c r="AF20" s="239">
        <v>22696</v>
      </c>
      <c r="AG20" s="239">
        <v>-44048</v>
      </c>
      <c r="AH20" s="239">
        <v>-44048</v>
      </c>
      <c r="AI20" s="239">
        <v>5203731</v>
      </c>
      <c r="AJ20" s="239">
        <v>5203731</v>
      </c>
      <c r="AK20" s="239">
        <v>354475</v>
      </c>
      <c r="AL20" s="239">
        <v>0</v>
      </c>
      <c r="AM20" s="239">
        <v>0</v>
      </c>
      <c r="AN20" s="239">
        <v>0</v>
      </c>
      <c r="AO20" s="239">
        <v>0</v>
      </c>
      <c r="AP20" s="239">
        <v>0</v>
      </c>
      <c r="AQ20" s="239">
        <v>0</v>
      </c>
      <c r="AR20" s="239">
        <v>0</v>
      </c>
      <c r="AS20" s="239">
        <v>0</v>
      </c>
      <c r="AT20" s="239">
        <v>0</v>
      </c>
      <c r="AU20" s="239">
        <v>0</v>
      </c>
      <c r="AV20" s="239">
        <v>0</v>
      </c>
      <c r="AW20" s="239">
        <v>0</v>
      </c>
      <c r="AX20" s="239">
        <v>0</v>
      </c>
      <c r="AY20" s="239">
        <v>0</v>
      </c>
      <c r="AZ20" s="239">
        <v>0</v>
      </c>
      <c r="BA20" s="239">
        <v>0</v>
      </c>
      <c r="BB20" s="239">
        <v>0</v>
      </c>
      <c r="BC20" s="239">
        <v>1532801</v>
      </c>
      <c r="BD20" s="239">
        <v>-2088120</v>
      </c>
      <c r="BE20" s="214" t="s">
        <v>924</v>
      </c>
      <c r="BF20" s="214" t="s">
        <v>746</v>
      </c>
      <c r="BG20" s="214" t="s">
        <v>851</v>
      </c>
      <c r="BH20" s="214" t="s">
        <v>1013</v>
      </c>
      <c r="BI20" s="214" t="s">
        <v>1010</v>
      </c>
      <c r="BJ20" s="214" t="s">
        <v>746</v>
      </c>
    </row>
    <row r="21" spans="2:62" x14ac:dyDescent="0.2">
      <c r="B21" s="602" t="s">
        <v>125</v>
      </c>
      <c r="C21" s="602" t="s">
        <v>124</v>
      </c>
      <c r="D21" s="239">
        <v>64781989</v>
      </c>
      <c r="E21" s="239">
        <v>0</v>
      </c>
      <c r="F21" s="239">
        <v>64781989</v>
      </c>
      <c r="G21" s="239">
        <v>0</v>
      </c>
      <c r="H21" s="239">
        <v>0</v>
      </c>
      <c r="I21" s="239">
        <v>0</v>
      </c>
      <c r="J21" s="239">
        <v>-156998</v>
      </c>
      <c r="K21" s="239">
        <v>0</v>
      </c>
      <c r="L21" s="239">
        <v>-156998</v>
      </c>
      <c r="M21" s="239">
        <v>0</v>
      </c>
      <c r="N21" s="239">
        <v>0</v>
      </c>
      <c r="O21" s="239">
        <v>0</v>
      </c>
      <c r="P21" s="239">
        <v>185000</v>
      </c>
      <c r="Q21" s="239">
        <v>0</v>
      </c>
      <c r="R21" s="239">
        <v>185000</v>
      </c>
      <c r="S21" s="239">
        <v>2827031</v>
      </c>
      <c r="T21" s="239">
        <v>0</v>
      </c>
      <c r="U21" s="239">
        <v>2827031</v>
      </c>
      <c r="V21" s="239">
        <v>-4925916</v>
      </c>
      <c r="W21" s="239">
        <v>0</v>
      </c>
      <c r="X21" s="239">
        <v>-4925916</v>
      </c>
      <c r="Y21" s="239">
        <v>62868104</v>
      </c>
      <c r="Z21" s="239">
        <v>0</v>
      </c>
      <c r="AA21" s="239">
        <v>62868104</v>
      </c>
      <c r="AB21" s="239">
        <v>0</v>
      </c>
      <c r="AC21" s="239">
        <v>0</v>
      </c>
      <c r="AD21" s="239">
        <v>572520</v>
      </c>
      <c r="AE21" s="239">
        <v>0</v>
      </c>
      <c r="AF21" s="239">
        <v>572520</v>
      </c>
      <c r="AG21" s="239">
        <v>0</v>
      </c>
      <c r="AH21" s="239">
        <v>0</v>
      </c>
      <c r="AI21" s="239">
        <v>0</v>
      </c>
      <c r="AJ21" s="239">
        <v>0</v>
      </c>
      <c r="AK21" s="239">
        <v>0</v>
      </c>
      <c r="AL21" s="239">
        <v>0</v>
      </c>
      <c r="AM21" s="239">
        <v>0</v>
      </c>
      <c r="AN21" s="239">
        <v>0</v>
      </c>
      <c r="AO21" s="239">
        <v>0</v>
      </c>
      <c r="AP21" s="239">
        <v>0</v>
      </c>
      <c r="AQ21" s="239">
        <v>0</v>
      </c>
      <c r="AR21" s="239">
        <v>0</v>
      </c>
      <c r="AS21" s="239">
        <v>0</v>
      </c>
      <c r="AT21" s="239">
        <v>0</v>
      </c>
      <c r="AU21" s="239">
        <v>0</v>
      </c>
      <c r="AV21" s="239">
        <v>0</v>
      </c>
      <c r="AW21" s="239">
        <v>0</v>
      </c>
      <c r="AX21" s="239">
        <v>0</v>
      </c>
      <c r="AY21" s="239">
        <v>0</v>
      </c>
      <c r="AZ21" s="239">
        <v>0</v>
      </c>
      <c r="BA21" s="239">
        <v>0</v>
      </c>
      <c r="BB21" s="239">
        <v>0</v>
      </c>
      <c r="BC21" s="239">
        <v>2718410</v>
      </c>
      <c r="BD21" s="239">
        <v>-1027940</v>
      </c>
      <c r="BE21" s="214" t="s">
        <v>124</v>
      </c>
      <c r="BF21" s="214" t="s">
        <v>746</v>
      </c>
      <c r="BG21" s="214" t="s">
        <v>896</v>
      </c>
      <c r="BH21" s="214" t="s">
        <v>1010</v>
      </c>
      <c r="BI21" s="214" t="s">
        <v>1010</v>
      </c>
      <c r="BJ21" s="214" t="s">
        <v>746</v>
      </c>
    </row>
    <row r="22" spans="2:62" x14ac:dyDescent="0.2">
      <c r="B22" s="602" t="s">
        <v>127</v>
      </c>
      <c r="C22" s="602" t="s">
        <v>126</v>
      </c>
      <c r="D22" s="239">
        <v>72311802</v>
      </c>
      <c r="E22" s="239">
        <v>0</v>
      </c>
      <c r="F22" s="239">
        <v>72311802</v>
      </c>
      <c r="G22" s="239">
        <v>-2361</v>
      </c>
      <c r="H22" s="239">
        <v>0</v>
      </c>
      <c r="I22" s="239">
        <v>-2361</v>
      </c>
      <c r="J22" s="239">
        <v>0</v>
      </c>
      <c r="K22" s="239">
        <v>0</v>
      </c>
      <c r="L22" s="239">
        <v>0</v>
      </c>
      <c r="M22" s="239">
        <v>-435937</v>
      </c>
      <c r="N22" s="239">
        <v>0</v>
      </c>
      <c r="O22" s="239">
        <v>-435937</v>
      </c>
      <c r="P22" s="239">
        <v>212000</v>
      </c>
      <c r="Q22" s="239">
        <v>0</v>
      </c>
      <c r="R22" s="239">
        <v>212000</v>
      </c>
      <c r="S22" s="239">
        <v>0</v>
      </c>
      <c r="T22" s="239">
        <v>0</v>
      </c>
      <c r="U22" s="239">
        <v>0</v>
      </c>
      <c r="V22" s="239">
        <v>1028845</v>
      </c>
      <c r="W22" s="239">
        <v>0</v>
      </c>
      <c r="X22" s="239">
        <v>1028845</v>
      </c>
      <c r="Y22" s="239">
        <v>73114349</v>
      </c>
      <c r="Z22" s="239">
        <v>0</v>
      </c>
      <c r="AA22" s="239">
        <v>73114349</v>
      </c>
      <c r="AB22" s="239">
        <v>0</v>
      </c>
      <c r="AC22" s="239">
        <v>0</v>
      </c>
      <c r="AD22" s="239">
        <v>0</v>
      </c>
      <c r="AE22" s="239">
        <v>0</v>
      </c>
      <c r="AF22" s="239">
        <v>0</v>
      </c>
      <c r="AG22" s="239">
        <v>0</v>
      </c>
      <c r="AH22" s="239">
        <v>0</v>
      </c>
      <c r="AI22" s="239">
        <v>0</v>
      </c>
      <c r="AJ22" s="239">
        <v>0</v>
      </c>
      <c r="AK22" s="239">
        <v>0</v>
      </c>
      <c r="AL22" s="239">
        <v>0</v>
      </c>
      <c r="AM22" s="239">
        <v>0</v>
      </c>
      <c r="AN22" s="239">
        <v>0</v>
      </c>
      <c r="AO22" s="239">
        <v>0</v>
      </c>
      <c r="AP22" s="239">
        <v>0</v>
      </c>
      <c r="AQ22" s="239">
        <v>0</v>
      </c>
      <c r="AR22" s="239">
        <v>0</v>
      </c>
      <c r="AS22" s="239">
        <v>0</v>
      </c>
      <c r="AT22" s="239">
        <v>0</v>
      </c>
      <c r="AU22" s="239">
        <v>0</v>
      </c>
      <c r="AV22" s="239">
        <v>0</v>
      </c>
      <c r="AW22" s="239">
        <v>0</v>
      </c>
      <c r="AX22" s="239">
        <v>0</v>
      </c>
      <c r="AY22" s="239">
        <v>0</v>
      </c>
      <c r="AZ22" s="239">
        <v>0</v>
      </c>
      <c r="BA22" s="239">
        <v>0</v>
      </c>
      <c r="BB22" s="239">
        <v>0</v>
      </c>
      <c r="BC22" s="239">
        <v>1799319</v>
      </c>
      <c r="BD22" s="239">
        <v>-2294880</v>
      </c>
      <c r="BE22" s="214" t="s">
        <v>126</v>
      </c>
      <c r="BF22" s="214" t="s">
        <v>788</v>
      </c>
      <c r="BG22" s="214" t="s">
        <v>747</v>
      </c>
      <c r="BH22" s="214" t="s">
        <v>1010</v>
      </c>
      <c r="BI22" s="214" t="s">
        <v>1010</v>
      </c>
      <c r="BJ22" s="214" t="s">
        <v>1159</v>
      </c>
    </row>
    <row r="23" spans="2:62" x14ac:dyDescent="0.2">
      <c r="B23" s="602" t="s">
        <v>129</v>
      </c>
      <c r="C23" s="602" t="s">
        <v>128</v>
      </c>
      <c r="D23" s="239">
        <v>413709462</v>
      </c>
      <c r="E23" s="239">
        <v>11088483</v>
      </c>
      <c r="F23" s="239">
        <v>424797945</v>
      </c>
      <c r="G23" s="239">
        <v>0</v>
      </c>
      <c r="H23" s="239">
        <v>0</v>
      </c>
      <c r="I23" s="239">
        <v>0</v>
      </c>
      <c r="J23" s="239">
        <v>-9229003</v>
      </c>
      <c r="K23" s="239">
        <v>0</v>
      </c>
      <c r="L23" s="239">
        <v>-9229003</v>
      </c>
      <c r="M23" s="239">
        <v>0</v>
      </c>
      <c r="N23" s="239">
        <v>0</v>
      </c>
      <c r="O23" s="239">
        <v>0</v>
      </c>
      <c r="P23" s="239">
        <v>-9037615</v>
      </c>
      <c r="Q23" s="239">
        <v>-52903</v>
      </c>
      <c r="R23" s="239">
        <v>-9090518</v>
      </c>
      <c r="S23" s="239">
        <v>26525379</v>
      </c>
      <c r="T23" s="239">
        <v>2530413</v>
      </c>
      <c r="U23" s="239">
        <v>29055792</v>
      </c>
      <c r="V23" s="239">
        <v>-9381409</v>
      </c>
      <c r="W23" s="239">
        <v>-2556927</v>
      </c>
      <c r="X23" s="239">
        <v>-11938336</v>
      </c>
      <c r="Y23" s="239">
        <v>421815817</v>
      </c>
      <c r="Z23" s="239">
        <v>11009066</v>
      </c>
      <c r="AA23" s="239">
        <v>432824883</v>
      </c>
      <c r="AB23" s="239">
        <v>11009066</v>
      </c>
      <c r="AC23" s="239">
        <v>11009066</v>
      </c>
      <c r="AD23" s="239">
        <v>0</v>
      </c>
      <c r="AE23" s="239">
        <v>0</v>
      </c>
      <c r="AF23" s="239">
        <v>0</v>
      </c>
      <c r="AG23" s="239">
        <v>-204434</v>
      </c>
      <c r="AH23" s="239">
        <v>-204434</v>
      </c>
      <c r="AI23" s="239">
        <v>10769281</v>
      </c>
      <c r="AJ23" s="239">
        <v>10769281</v>
      </c>
      <c r="AK23" s="239">
        <v>35351</v>
      </c>
      <c r="AL23" s="239">
        <v>0</v>
      </c>
      <c r="AM23" s="239">
        <v>631960</v>
      </c>
      <c r="AN23" s="239">
        <v>631960</v>
      </c>
      <c r="AO23" s="239">
        <v>0</v>
      </c>
      <c r="AP23" s="239">
        <v>0</v>
      </c>
      <c r="AQ23" s="239">
        <v>0</v>
      </c>
      <c r="AR23" s="239">
        <v>0</v>
      </c>
      <c r="AS23" s="239">
        <v>0</v>
      </c>
      <c r="AT23" s="239">
        <v>0</v>
      </c>
      <c r="AU23" s="239">
        <v>0</v>
      </c>
      <c r="AV23" s="239">
        <v>0</v>
      </c>
      <c r="AW23" s="239">
        <v>0</v>
      </c>
      <c r="AX23" s="239">
        <v>0</v>
      </c>
      <c r="AY23" s="239">
        <v>0</v>
      </c>
      <c r="AZ23" s="239">
        <v>0</v>
      </c>
      <c r="BA23" s="239">
        <v>0</v>
      </c>
      <c r="BB23" s="239">
        <v>0</v>
      </c>
      <c r="BC23" s="239">
        <v>99039925</v>
      </c>
      <c r="BD23" s="239">
        <v>-24798707</v>
      </c>
      <c r="BE23" s="214" t="s">
        <v>128</v>
      </c>
      <c r="BF23" s="214" t="s">
        <v>766</v>
      </c>
      <c r="BG23" s="214" t="s">
        <v>764</v>
      </c>
      <c r="BH23" s="214" t="s">
        <v>1014</v>
      </c>
      <c r="BI23" s="214" t="s">
        <v>1010</v>
      </c>
      <c r="BJ23" s="214" t="s">
        <v>1160</v>
      </c>
    </row>
    <row r="24" spans="2:62" x14ac:dyDescent="0.2">
      <c r="B24" s="602" t="s">
        <v>131</v>
      </c>
      <c r="C24" s="602" t="s">
        <v>130</v>
      </c>
      <c r="D24" s="239">
        <v>41910014</v>
      </c>
      <c r="E24" s="239">
        <v>0</v>
      </c>
      <c r="F24" s="239">
        <v>41910014</v>
      </c>
      <c r="G24" s="239">
        <v>0</v>
      </c>
      <c r="H24" s="239">
        <v>0</v>
      </c>
      <c r="I24" s="239">
        <v>0</v>
      </c>
      <c r="J24" s="239">
        <v>0</v>
      </c>
      <c r="K24" s="239">
        <v>0</v>
      </c>
      <c r="L24" s="239">
        <v>0</v>
      </c>
      <c r="M24" s="239">
        <v>-52618</v>
      </c>
      <c r="N24" s="239">
        <v>0</v>
      </c>
      <c r="O24" s="239">
        <v>-52618</v>
      </c>
      <c r="P24" s="239">
        <v>16290</v>
      </c>
      <c r="Q24" s="239">
        <v>0</v>
      </c>
      <c r="R24" s="239">
        <v>16290</v>
      </c>
      <c r="S24" s="239">
        <v>2825664</v>
      </c>
      <c r="T24" s="239">
        <v>0</v>
      </c>
      <c r="U24" s="239">
        <v>2825664</v>
      </c>
      <c r="V24" s="239">
        <v>-3312549</v>
      </c>
      <c r="W24" s="239">
        <v>0</v>
      </c>
      <c r="X24" s="239">
        <v>-3312549</v>
      </c>
      <c r="Y24" s="239">
        <v>41386801</v>
      </c>
      <c r="Z24" s="239">
        <v>0</v>
      </c>
      <c r="AA24" s="239">
        <v>41386801</v>
      </c>
      <c r="AB24" s="239">
        <v>0</v>
      </c>
      <c r="AC24" s="239">
        <v>0</v>
      </c>
      <c r="AD24" s="239">
        <v>0</v>
      </c>
      <c r="AE24" s="239">
        <v>0</v>
      </c>
      <c r="AF24" s="239">
        <v>0</v>
      </c>
      <c r="AG24" s="239">
        <v>0</v>
      </c>
      <c r="AH24" s="239">
        <v>0</v>
      </c>
      <c r="AI24" s="239">
        <v>0</v>
      </c>
      <c r="AJ24" s="239">
        <v>0</v>
      </c>
      <c r="AK24" s="239">
        <v>0</v>
      </c>
      <c r="AL24" s="239">
        <v>0</v>
      </c>
      <c r="AM24" s="239">
        <v>0</v>
      </c>
      <c r="AN24" s="239">
        <v>0</v>
      </c>
      <c r="AO24" s="239">
        <v>0</v>
      </c>
      <c r="AP24" s="239">
        <v>0</v>
      </c>
      <c r="AQ24" s="239">
        <v>0</v>
      </c>
      <c r="AR24" s="239">
        <v>0</v>
      </c>
      <c r="AS24" s="239">
        <v>0</v>
      </c>
      <c r="AT24" s="239">
        <v>0</v>
      </c>
      <c r="AU24" s="239">
        <v>0</v>
      </c>
      <c r="AV24" s="239">
        <v>0</v>
      </c>
      <c r="AW24" s="239">
        <v>0</v>
      </c>
      <c r="AX24" s="239">
        <v>0</v>
      </c>
      <c r="AY24" s="239">
        <v>0</v>
      </c>
      <c r="AZ24" s="239">
        <v>0</v>
      </c>
      <c r="BA24" s="239">
        <v>0</v>
      </c>
      <c r="BB24" s="239">
        <v>0</v>
      </c>
      <c r="BC24" s="239">
        <v>907180</v>
      </c>
      <c r="BD24" s="239">
        <v>-1186828</v>
      </c>
      <c r="BE24" s="214" t="s">
        <v>130</v>
      </c>
      <c r="BF24" s="214" t="s">
        <v>882</v>
      </c>
      <c r="BG24" s="214" t="s">
        <v>867</v>
      </c>
      <c r="BH24" s="214" t="s">
        <v>1010</v>
      </c>
      <c r="BI24" s="214" t="s">
        <v>1010</v>
      </c>
      <c r="BJ24" s="214" t="s">
        <v>1158</v>
      </c>
    </row>
    <row r="25" spans="2:62" x14ac:dyDescent="0.2">
      <c r="B25" s="602" t="s">
        <v>133</v>
      </c>
      <c r="C25" s="602" t="s">
        <v>132</v>
      </c>
      <c r="D25" s="239">
        <v>44879938</v>
      </c>
      <c r="E25" s="239">
        <v>0</v>
      </c>
      <c r="F25" s="239">
        <v>44879938</v>
      </c>
      <c r="G25" s="239">
        <v>0</v>
      </c>
      <c r="H25" s="239">
        <v>0</v>
      </c>
      <c r="I25" s="239">
        <v>0</v>
      </c>
      <c r="J25" s="239">
        <v>-387901</v>
      </c>
      <c r="K25" s="239">
        <v>0</v>
      </c>
      <c r="L25" s="239">
        <v>-387901</v>
      </c>
      <c r="M25" s="239">
        <v>0</v>
      </c>
      <c r="N25" s="239">
        <v>0</v>
      </c>
      <c r="O25" s="239">
        <v>0</v>
      </c>
      <c r="P25" s="239">
        <v>-162901</v>
      </c>
      <c r="Q25" s="239">
        <v>0</v>
      </c>
      <c r="R25" s="239">
        <v>-162901</v>
      </c>
      <c r="S25" s="239">
        <v>2374000</v>
      </c>
      <c r="T25" s="239">
        <v>0</v>
      </c>
      <c r="U25" s="239">
        <v>2374000</v>
      </c>
      <c r="V25" s="239">
        <v>518200</v>
      </c>
      <c r="W25" s="239">
        <v>0</v>
      </c>
      <c r="X25" s="239">
        <v>518200</v>
      </c>
      <c r="Y25" s="239">
        <v>47609237</v>
      </c>
      <c r="Z25" s="239">
        <v>0</v>
      </c>
      <c r="AA25" s="239">
        <v>47609237</v>
      </c>
      <c r="AB25" s="239">
        <v>0</v>
      </c>
      <c r="AC25" s="239">
        <v>0</v>
      </c>
      <c r="AD25" s="239">
        <v>0</v>
      </c>
      <c r="AE25" s="239">
        <v>0</v>
      </c>
      <c r="AF25" s="239">
        <v>0</v>
      </c>
      <c r="AG25" s="239">
        <v>0</v>
      </c>
      <c r="AH25" s="239">
        <v>0</v>
      </c>
      <c r="AI25" s="239">
        <v>0</v>
      </c>
      <c r="AJ25" s="239">
        <v>0</v>
      </c>
      <c r="AK25" s="239">
        <v>0</v>
      </c>
      <c r="AL25" s="239">
        <v>0</v>
      </c>
      <c r="AM25" s="239">
        <v>0</v>
      </c>
      <c r="AN25" s="239">
        <v>0</v>
      </c>
      <c r="AO25" s="239">
        <v>0</v>
      </c>
      <c r="AP25" s="239">
        <v>0</v>
      </c>
      <c r="AQ25" s="239">
        <v>0</v>
      </c>
      <c r="AR25" s="239">
        <v>0</v>
      </c>
      <c r="AS25" s="239">
        <v>0</v>
      </c>
      <c r="AT25" s="239">
        <v>0</v>
      </c>
      <c r="AU25" s="239">
        <v>0</v>
      </c>
      <c r="AV25" s="239">
        <v>0</v>
      </c>
      <c r="AW25" s="239">
        <v>0</v>
      </c>
      <c r="AX25" s="239">
        <v>0</v>
      </c>
      <c r="AY25" s="239">
        <v>0</v>
      </c>
      <c r="AZ25" s="239">
        <v>0</v>
      </c>
      <c r="BA25" s="239">
        <v>0</v>
      </c>
      <c r="BB25" s="239">
        <v>0</v>
      </c>
      <c r="BC25" s="239">
        <v>2781842</v>
      </c>
      <c r="BD25" s="239">
        <v>-372013</v>
      </c>
      <c r="BE25" s="214" t="s">
        <v>923</v>
      </c>
      <c r="BF25" s="214" t="s">
        <v>746</v>
      </c>
      <c r="BG25" s="214" t="s">
        <v>753</v>
      </c>
      <c r="BH25" s="214" t="s">
        <v>1010</v>
      </c>
      <c r="BI25" s="214" t="s">
        <v>1010</v>
      </c>
      <c r="BJ25" s="214" t="s">
        <v>746</v>
      </c>
    </row>
    <row r="26" spans="2:62" x14ac:dyDescent="0.2">
      <c r="B26" s="602" t="s">
        <v>135</v>
      </c>
      <c r="C26" s="602" t="s">
        <v>134</v>
      </c>
      <c r="D26" s="239">
        <v>44111290</v>
      </c>
      <c r="E26" s="239">
        <v>2218904</v>
      </c>
      <c r="F26" s="239">
        <v>46330194</v>
      </c>
      <c r="G26" s="239">
        <v>0</v>
      </c>
      <c r="H26" s="239">
        <v>0</v>
      </c>
      <c r="I26" s="239">
        <v>0</v>
      </c>
      <c r="J26" s="239">
        <v>-999952</v>
      </c>
      <c r="K26" s="239">
        <v>-50300</v>
      </c>
      <c r="L26" s="239">
        <v>-1050252</v>
      </c>
      <c r="M26" s="239">
        <v>0</v>
      </c>
      <c r="N26" s="239">
        <v>0</v>
      </c>
      <c r="O26" s="239">
        <v>0</v>
      </c>
      <c r="P26" s="239">
        <v>-1252020</v>
      </c>
      <c r="Q26" s="239">
        <v>-62980</v>
      </c>
      <c r="R26" s="239">
        <v>-1315000</v>
      </c>
      <c r="S26" s="239">
        <v>3348390</v>
      </c>
      <c r="T26" s="239">
        <v>168432</v>
      </c>
      <c r="U26" s="239">
        <v>3516822</v>
      </c>
      <c r="V26" s="239">
        <v>-5427008</v>
      </c>
      <c r="W26" s="239">
        <v>-272992</v>
      </c>
      <c r="X26" s="239">
        <v>-5700000</v>
      </c>
      <c r="Y26" s="239">
        <v>40780652</v>
      </c>
      <c r="Z26" s="239">
        <v>2051364</v>
      </c>
      <c r="AA26" s="239">
        <v>42832016</v>
      </c>
      <c r="AB26" s="239">
        <v>2051364</v>
      </c>
      <c r="AC26" s="239">
        <v>2051364</v>
      </c>
      <c r="AD26" s="239">
        <v>0</v>
      </c>
      <c r="AE26" s="239">
        <v>0</v>
      </c>
      <c r="AF26" s="239">
        <v>0</v>
      </c>
      <c r="AG26" s="239">
        <v>-164175</v>
      </c>
      <c r="AH26" s="239">
        <v>-164175</v>
      </c>
      <c r="AI26" s="239">
        <v>1503000</v>
      </c>
      <c r="AJ26" s="239">
        <v>1503000</v>
      </c>
      <c r="AK26" s="239">
        <v>384189</v>
      </c>
      <c r="AL26" s="239">
        <v>0</v>
      </c>
      <c r="AM26" s="239">
        <v>0</v>
      </c>
      <c r="AN26" s="239">
        <v>0</v>
      </c>
      <c r="AO26" s="239">
        <v>0</v>
      </c>
      <c r="AP26" s="239">
        <v>207604</v>
      </c>
      <c r="AQ26" s="239">
        <v>207604</v>
      </c>
      <c r="AR26" s="239">
        <v>0</v>
      </c>
      <c r="AS26" s="239">
        <v>0</v>
      </c>
      <c r="AT26" s="239">
        <v>0</v>
      </c>
      <c r="AU26" s="239">
        <v>0</v>
      </c>
      <c r="AV26" s="239">
        <v>0</v>
      </c>
      <c r="AW26" s="239">
        <v>0</v>
      </c>
      <c r="AX26" s="239">
        <v>0</v>
      </c>
      <c r="AY26" s="239">
        <v>0</v>
      </c>
      <c r="AZ26" s="239">
        <v>0</v>
      </c>
      <c r="BA26" s="239">
        <v>207604</v>
      </c>
      <c r="BB26" s="239">
        <v>207604</v>
      </c>
      <c r="BC26" s="239">
        <v>6172818</v>
      </c>
      <c r="BD26" s="239">
        <v>-824749</v>
      </c>
      <c r="BE26" s="214" t="s">
        <v>922</v>
      </c>
      <c r="BF26" s="214" t="s">
        <v>746</v>
      </c>
      <c r="BG26" s="214" t="s">
        <v>753</v>
      </c>
      <c r="BH26" s="214" t="s">
        <v>1010</v>
      </c>
      <c r="BI26" s="214" t="s">
        <v>1010</v>
      </c>
      <c r="BJ26" s="214" t="s">
        <v>746</v>
      </c>
    </row>
    <row r="27" spans="2:62" x14ac:dyDescent="0.2">
      <c r="B27" s="602" t="s">
        <v>137</v>
      </c>
      <c r="C27" s="602" t="s">
        <v>136</v>
      </c>
      <c r="D27" s="239">
        <v>24942920</v>
      </c>
      <c r="E27" s="239">
        <v>0</v>
      </c>
      <c r="F27" s="239">
        <v>24942920</v>
      </c>
      <c r="G27" s="239">
        <v>0</v>
      </c>
      <c r="H27" s="239">
        <v>0</v>
      </c>
      <c r="I27" s="239">
        <v>0</v>
      </c>
      <c r="J27" s="239">
        <v>0</v>
      </c>
      <c r="K27" s="239">
        <v>0</v>
      </c>
      <c r="L27" s="239">
        <v>0</v>
      </c>
      <c r="M27" s="239">
        <v>-52822</v>
      </c>
      <c r="N27" s="239">
        <v>0</v>
      </c>
      <c r="O27" s="239">
        <v>-52822</v>
      </c>
      <c r="P27" s="239">
        <v>-79957</v>
      </c>
      <c r="Q27" s="239">
        <v>0</v>
      </c>
      <c r="R27" s="239">
        <v>-79957</v>
      </c>
      <c r="S27" s="239">
        <v>447064</v>
      </c>
      <c r="T27" s="239">
        <v>0</v>
      </c>
      <c r="U27" s="239">
        <v>447064</v>
      </c>
      <c r="V27" s="239">
        <v>-3471139</v>
      </c>
      <c r="W27" s="239">
        <v>0</v>
      </c>
      <c r="X27" s="239">
        <v>-3471139</v>
      </c>
      <c r="Y27" s="239">
        <v>21786066</v>
      </c>
      <c r="Z27" s="239">
        <v>0</v>
      </c>
      <c r="AA27" s="239">
        <v>21786066</v>
      </c>
      <c r="AB27" s="239">
        <v>0</v>
      </c>
      <c r="AC27" s="239">
        <v>0</v>
      </c>
      <c r="AD27" s="239">
        <v>67866</v>
      </c>
      <c r="AE27" s="239">
        <v>0</v>
      </c>
      <c r="AF27" s="239">
        <v>67866</v>
      </c>
      <c r="AG27" s="239">
        <v>0</v>
      </c>
      <c r="AH27" s="239">
        <v>0</v>
      </c>
      <c r="AI27" s="239">
        <v>0</v>
      </c>
      <c r="AJ27" s="239">
        <v>0</v>
      </c>
      <c r="AK27" s="239">
        <v>0</v>
      </c>
      <c r="AL27" s="239">
        <v>0</v>
      </c>
      <c r="AM27" s="239">
        <v>0</v>
      </c>
      <c r="AN27" s="239">
        <v>0</v>
      </c>
      <c r="AO27" s="239">
        <v>0</v>
      </c>
      <c r="AP27" s="239">
        <v>0</v>
      </c>
      <c r="AQ27" s="239">
        <v>0</v>
      </c>
      <c r="AR27" s="239">
        <v>0</v>
      </c>
      <c r="AS27" s="239">
        <v>0</v>
      </c>
      <c r="AT27" s="239">
        <v>0</v>
      </c>
      <c r="AU27" s="239">
        <v>0</v>
      </c>
      <c r="AV27" s="239">
        <v>0</v>
      </c>
      <c r="AW27" s="239">
        <v>0</v>
      </c>
      <c r="AX27" s="239">
        <v>0</v>
      </c>
      <c r="AY27" s="239">
        <v>0</v>
      </c>
      <c r="AZ27" s="239">
        <v>0</v>
      </c>
      <c r="BA27" s="239">
        <v>0</v>
      </c>
      <c r="BB27" s="239">
        <v>0</v>
      </c>
      <c r="BC27" s="239">
        <v>398173</v>
      </c>
      <c r="BD27" s="239">
        <v>-1126639</v>
      </c>
      <c r="BE27" s="214" t="s">
        <v>136</v>
      </c>
      <c r="BF27" s="214" t="s">
        <v>856</v>
      </c>
      <c r="BG27" s="214" t="s">
        <v>854</v>
      </c>
      <c r="BH27" s="214" t="s">
        <v>1010</v>
      </c>
      <c r="BI27" s="214" t="s">
        <v>1010</v>
      </c>
      <c r="BJ27" s="214" t="s">
        <v>1158</v>
      </c>
    </row>
    <row r="28" spans="2:62" x14ac:dyDescent="0.2">
      <c r="B28" s="602" t="s">
        <v>139</v>
      </c>
      <c r="C28" s="602" t="s">
        <v>138</v>
      </c>
      <c r="D28" s="239">
        <v>87931378</v>
      </c>
      <c r="E28" s="239">
        <v>0</v>
      </c>
      <c r="F28" s="239">
        <v>87931378</v>
      </c>
      <c r="G28" s="239">
        <v>0</v>
      </c>
      <c r="H28" s="239">
        <v>0</v>
      </c>
      <c r="I28" s="239">
        <v>0</v>
      </c>
      <c r="J28" s="239">
        <v>-1346678</v>
      </c>
      <c r="K28" s="239">
        <v>0</v>
      </c>
      <c r="L28" s="239">
        <v>-1346678</v>
      </c>
      <c r="M28" s="239">
        <v>0</v>
      </c>
      <c r="N28" s="239">
        <v>0</v>
      </c>
      <c r="O28" s="239">
        <v>0</v>
      </c>
      <c r="P28" s="239">
        <v>-1755149</v>
      </c>
      <c r="Q28" s="239">
        <v>0</v>
      </c>
      <c r="R28" s="239">
        <v>-1755149</v>
      </c>
      <c r="S28" s="239">
        <v>2675064</v>
      </c>
      <c r="T28" s="239">
        <v>0</v>
      </c>
      <c r="U28" s="239">
        <v>2675064</v>
      </c>
      <c r="V28" s="239">
        <v>-4934335</v>
      </c>
      <c r="W28" s="239">
        <v>0</v>
      </c>
      <c r="X28" s="239">
        <v>-4934335</v>
      </c>
      <c r="Y28" s="239">
        <v>83916958</v>
      </c>
      <c r="Z28" s="239">
        <v>0</v>
      </c>
      <c r="AA28" s="239">
        <v>83916958</v>
      </c>
      <c r="AB28" s="239">
        <v>0</v>
      </c>
      <c r="AC28" s="239">
        <v>0</v>
      </c>
      <c r="AD28" s="239">
        <v>0</v>
      </c>
      <c r="AE28" s="239">
        <v>0</v>
      </c>
      <c r="AF28" s="239">
        <v>0</v>
      </c>
      <c r="AG28" s="239">
        <v>0</v>
      </c>
      <c r="AH28" s="239">
        <v>0</v>
      </c>
      <c r="AI28" s="239">
        <v>0</v>
      </c>
      <c r="AJ28" s="239">
        <v>0</v>
      </c>
      <c r="AK28" s="239">
        <v>0</v>
      </c>
      <c r="AL28" s="239">
        <v>0</v>
      </c>
      <c r="AM28" s="239">
        <v>0</v>
      </c>
      <c r="AN28" s="239">
        <v>0</v>
      </c>
      <c r="AO28" s="239">
        <v>0</v>
      </c>
      <c r="AP28" s="239">
        <v>0</v>
      </c>
      <c r="AQ28" s="239">
        <v>0</v>
      </c>
      <c r="AR28" s="239">
        <v>0</v>
      </c>
      <c r="AS28" s="239">
        <v>0</v>
      </c>
      <c r="AT28" s="239">
        <v>0</v>
      </c>
      <c r="AU28" s="239">
        <v>0</v>
      </c>
      <c r="AV28" s="239">
        <v>0</v>
      </c>
      <c r="AW28" s="239">
        <v>0</v>
      </c>
      <c r="AX28" s="239">
        <v>0</v>
      </c>
      <c r="AY28" s="239">
        <v>0</v>
      </c>
      <c r="AZ28" s="239">
        <v>0</v>
      </c>
      <c r="BA28" s="239">
        <v>0</v>
      </c>
      <c r="BB28" s="239">
        <v>0</v>
      </c>
      <c r="BC28" s="239">
        <v>7725201</v>
      </c>
      <c r="BD28" s="239">
        <v>-2182437</v>
      </c>
      <c r="BE28" s="214" t="s">
        <v>138</v>
      </c>
      <c r="BF28" s="214" t="s">
        <v>766</v>
      </c>
      <c r="BG28" s="214" t="s">
        <v>781</v>
      </c>
      <c r="BH28" s="214" t="s">
        <v>1010</v>
      </c>
      <c r="BI28" s="214" t="s">
        <v>1010</v>
      </c>
      <c r="BJ28" s="214" t="s">
        <v>1160</v>
      </c>
    </row>
    <row r="29" spans="2:62" x14ac:dyDescent="0.2">
      <c r="B29" s="602" t="s">
        <v>141</v>
      </c>
      <c r="C29" s="602" t="s">
        <v>140</v>
      </c>
      <c r="D29" s="239">
        <v>19734024</v>
      </c>
      <c r="E29" s="239">
        <v>0</v>
      </c>
      <c r="F29" s="239">
        <v>19734024</v>
      </c>
      <c r="G29" s="239">
        <v>0</v>
      </c>
      <c r="H29" s="239">
        <v>0</v>
      </c>
      <c r="I29" s="239">
        <v>0</v>
      </c>
      <c r="J29" s="239">
        <v>-200559</v>
      </c>
      <c r="K29" s="239">
        <v>0</v>
      </c>
      <c r="L29" s="239">
        <v>-200559</v>
      </c>
      <c r="M29" s="239">
        <v>0</v>
      </c>
      <c r="N29" s="239">
        <v>0</v>
      </c>
      <c r="O29" s="239">
        <v>0</v>
      </c>
      <c r="P29" s="239">
        <v>-127809</v>
      </c>
      <c r="Q29" s="239">
        <v>0</v>
      </c>
      <c r="R29" s="239">
        <v>-127809</v>
      </c>
      <c r="S29" s="239">
        <v>0</v>
      </c>
      <c r="T29" s="239">
        <v>0</v>
      </c>
      <c r="U29" s="239">
        <v>0</v>
      </c>
      <c r="V29" s="239">
        <v>-927500</v>
      </c>
      <c r="W29" s="239">
        <v>0</v>
      </c>
      <c r="X29" s="239">
        <v>-927500</v>
      </c>
      <c r="Y29" s="239">
        <v>18678715</v>
      </c>
      <c r="Z29" s="239">
        <v>0</v>
      </c>
      <c r="AA29" s="239">
        <v>18678715</v>
      </c>
      <c r="AB29" s="239">
        <v>0</v>
      </c>
      <c r="AC29" s="239">
        <v>0</v>
      </c>
      <c r="AD29" s="239">
        <v>148595</v>
      </c>
      <c r="AE29" s="239">
        <v>0</v>
      </c>
      <c r="AF29" s="239">
        <v>148595</v>
      </c>
      <c r="AG29" s="239">
        <v>0</v>
      </c>
      <c r="AH29" s="239">
        <v>0</v>
      </c>
      <c r="AI29" s="239">
        <v>0</v>
      </c>
      <c r="AJ29" s="239">
        <v>0</v>
      </c>
      <c r="AK29" s="239">
        <v>0</v>
      </c>
      <c r="AL29" s="239">
        <v>0</v>
      </c>
      <c r="AM29" s="239">
        <v>0</v>
      </c>
      <c r="AN29" s="239">
        <v>0</v>
      </c>
      <c r="AO29" s="239">
        <v>0</v>
      </c>
      <c r="AP29" s="239">
        <v>0</v>
      </c>
      <c r="AQ29" s="239">
        <v>0</v>
      </c>
      <c r="AR29" s="239">
        <v>0</v>
      </c>
      <c r="AS29" s="239">
        <v>0</v>
      </c>
      <c r="AT29" s="239">
        <v>0</v>
      </c>
      <c r="AU29" s="239">
        <v>0</v>
      </c>
      <c r="AV29" s="239">
        <v>0</v>
      </c>
      <c r="AW29" s="239">
        <v>0</v>
      </c>
      <c r="AX29" s="239">
        <v>0</v>
      </c>
      <c r="AY29" s="239">
        <v>0</v>
      </c>
      <c r="AZ29" s="239">
        <v>0</v>
      </c>
      <c r="BA29" s="239">
        <v>0</v>
      </c>
      <c r="BB29" s="239">
        <v>0</v>
      </c>
      <c r="BC29" s="239">
        <v>613899</v>
      </c>
      <c r="BD29" s="239">
        <v>-564227</v>
      </c>
      <c r="BE29" s="214" t="s">
        <v>140</v>
      </c>
      <c r="BF29" s="214" t="s">
        <v>796</v>
      </c>
      <c r="BG29" s="214" t="s">
        <v>761</v>
      </c>
      <c r="BH29" s="214" t="s">
        <v>1010</v>
      </c>
      <c r="BI29" s="214" t="s">
        <v>1010</v>
      </c>
      <c r="BJ29" s="214" t="s">
        <v>1158</v>
      </c>
    </row>
    <row r="30" spans="2:62" x14ac:dyDescent="0.2">
      <c r="B30" s="602" t="s">
        <v>143</v>
      </c>
      <c r="C30" s="602" t="s">
        <v>142</v>
      </c>
      <c r="D30" s="239">
        <v>65639297</v>
      </c>
      <c r="E30" s="239">
        <v>0</v>
      </c>
      <c r="F30" s="239">
        <v>65639297</v>
      </c>
      <c r="G30" s="239">
        <v>0</v>
      </c>
      <c r="H30" s="239">
        <v>0</v>
      </c>
      <c r="I30" s="239">
        <v>0</v>
      </c>
      <c r="J30" s="239">
        <v>-586300</v>
      </c>
      <c r="K30" s="239">
        <v>0</v>
      </c>
      <c r="L30" s="239">
        <v>-586300</v>
      </c>
      <c r="M30" s="239">
        <v>0</v>
      </c>
      <c r="N30" s="239">
        <v>0</v>
      </c>
      <c r="O30" s="239">
        <v>0</v>
      </c>
      <c r="P30" s="239">
        <v>-690277</v>
      </c>
      <c r="Q30" s="239">
        <v>0</v>
      </c>
      <c r="R30" s="239">
        <v>-690277</v>
      </c>
      <c r="S30" s="239">
        <v>2443027</v>
      </c>
      <c r="T30" s="239">
        <v>0</v>
      </c>
      <c r="U30" s="239">
        <v>2443027</v>
      </c>
      <c r="V30" s="239">
        <v>-2482663</v>
      </c>
      <c r="W30" s="239">
        <v>0</v>
      </c>
      <c r="X30" s="239">
        <v>-2482663</v>
      </c>
      <c r="Y30" s="239">
        <v>64909384</v>
      </c>
      <c r="Z30" s="239">
        <v>0</v>
      </c>
      <c r="AA30" s="239">
        <v>64909384</v>
      </c>
      <c r="AB30" s="239">
        <v>0</v>
      </c>
      <c r="AC30" s="239">
        <v>0</v>
      </c>
      <c r="AD30" s="239">
        <v>204</v>
      </c>
      <c r="AE30" s="239">
        <v>0</v>
      </c>
      <c r="AF30" s="239">
        <v>204</v>
      </c>
      <c r="AG30" s="239">
        <v>0</v>
      </c>
      <c r="AH30" s="239">
        <v>0</v>
      </c>
      <c r="AI30" s="239">
        <v>0</v>
      </c>
      <c r="AJ30" s="239">
        <v>0</v>
      </c>
      <c r="AK30" s="239">
        <v>0</v>
      </c>
      <c r="AL30" s="239">
        <v>0</v>
      </c>
      <c r="AM30" s="239">
        <v>0</v>
      </c>
      <c r="AN30" s="239">
        <v>0</v>
      </c>
      <c r="AO30" s="239">
        <v>0</v>
      </c>
      <c r="AP30" s="239">
        <v>0</v>
      </c>
      <c r="AQ30" s="239">
        <v>0</v>
      </c>
      <c r="AR30" s="239">
        <v>0</v>
      </c>
      <c r="AS30" s="239">
        <v>0</v>
      </c>
      <c r="AT30" s="239">
        <v>0</v>
      </c>
      <c r="AU30" s="239">
        <v>0</v>
      </c>
      <c r="AV30" s="239">
        <v>0</v>
      </c>
      <c r="AW30" s="239">
        <v>0</v>
      </c>
      <c r="AX30" s="239">
        <v>0</v>
      </c>
      <c r="AY30" s="239">
        <v>0</v>
      </c>
      <c r="AZ30" s="239">
        <v>0</v>
      </c>
      <c r="BA30" s="239">
        <v>0</v>
      </c>
      <c r="BB30" s="239">
        <v>0</v>
      </c>
      <c r="BC30" s="239">
        <v>3601706</v>
      </c>
      <c r="BD30" s="239">
        <v>-459012</v>
      </c>
      <c r="BE30" s="214" t="s">
        <v>921</v>
      </c>
      <c r="BF30" s="214" t="s">
        <v>746</v>
      </c>
      <c r="BG30" s="214" t="s">
        <v>783</v>
      </c>
      <c r="BH30" s="214" t="s">
        <v>1010</v>
      </c>
      <c r="BI30" s="214" t="s">
        <v>1010</v>
      </c>
      <c r="BJ30" s="214" t="s">
        <v>746</v>
      </c>
    </row>
    <row r="31" spans="2:62" x14ac:dyDescent="0.2">
      <c r="B31" s="602" t="s">
        <v>145</v>
      </c>
      <c r="C31" s="602" t="s">
        <v>144</v>
      </c>
      <c r="D31" s="239">
        <v>68847911</v>
      </c>
      <c r="E31" s="239">
        <v>0</v>
      </c>
      <c r="F31" s="239">
        <v>68847911</v>
      </c>
      <c r="G31" s="239">
        <v>0</v>
      </c>
      <c r="H31" s="239">
        <v>0</v>
      </c>
      <c r="I31" s="239">
        <v>0</v>
      </c>
      <c r="J31" s="239">
        <v>0</v>
      </c>
      <c r="K31" s="239">
        <v>0</v>
      </c>
      <c r="L31" s="239">
        <v>0</v>
      </c>
      <c r="M31" s="239">
        <v>-65820</v>
      </c>
      <c r="N31" s="239">
        <v>0</v>
      </c>
      <c r="O31" s="239">
        <v>-65820</v>
      </c>
      <c r="P31" s="239">
        <v>90000</v>
      </c>
      <c r="Q31" s="239">
        <v>0</v>
      </c>
      <c r="R31" s="239">
        <v>90000</v>
      </c>
      <c r="S31" s="239">
        <v>1141787</v>
      </c>
      <c r="T31" s="239">
        <v>0</v>
      </c>
      <c r="U31" s="239">
        <v>1141787</v>
      </c>
      <c r="V31" s="239">
        <v>-4462589</v>
      </c>
      <c r="W31" s="239">
        <v>0</v>
      </c>
      <c r="X31" s="239">
        <v>-4462589</v>
      </c>
      <c r="Y31" s="239">
        <v>65551289</v>
      </c>
      <c r="Z31" s="239">
        <v>0</v>
      </c>
      <c r="AA31" s="239">
        <v>65551289</v>
      </c>
      <c r="AB31" s="239">
        <v>0</v>
      </c>
      <c r="AC31" s="239">
        <v>0</v>
      </c>
      <c r="AD31" s="239">
        <v>0</v>
      </c>
      <c r="AE31" s="239">
        <v>0</v>
      </c>
      <c r="AF31" s="239">
        <v>0</v>
      </c>
      <c r="AG31" s="239">
        <v>0</v>
      </c>
      <c r="AH31" s="239">
        <v>0</v>
      </c>
      <c r="AI31" s="239">
        <v>0</v>
      </c>
      <c r="AJ31" s="239">
        <v>0</v>
      </c>
      <c r="AK31" s="239">
        <v>0</v>
      </c>
      <c r="AL31" s="239">
        <v>0</v>
      </c>
      <c r="AM31" s="239">
        <v>0</v>
      </c>
      <c r="AN31" s="239">
        <v>0</v>
      </c>
      <c r="AO31" s="239">
        <v>0</v>
      </c>
      <c r="AP31" s="239">
        <v>0</v>
      </c>
      <c r="AQ31" s="239">
        <v>0</v>
      </c>
      <c r="AR31" s="239">
        <v>0</v>
      </c>
      <c r="AS31" s="239">
        <v>0</v>
      </c>
      <c r="AT31" s="239">
        <v>0</v>
      </c>
      <c r="AU31" s="239">
        <v>0</v>
      </c>
      <c r="AV31" s="239">
        <v>0</v>
      </c>
      <c r="AW31" s="239">
        <v>0</v>
      </c>
      <c r="AX31" s="239">
        <v>0</v>
      </c>
      <c r="AY31" s="239">
        <v>0</v>
      </c>
      <c r="AZ31" s="239">
        <v>0</v>
      </c>
      <c r="BA31" s="239">
        <v>0</v>
      </c>
      <c r="BB31" s="239">
        <v>0</v>
      </c>
      <c r="BC31" s="239">
        <v>2341354</v>
      </c>
      <c r="BD31" s="239">
        <v>-5025355</v>
      </c>
      <c r="BE31" s="214" t="s">
        <v>920</v>
      </c>
      <c r="BF31" s="214" t="s">
        <v>746</v>
      </c>
      <c r="BG31" s="214" t="s">
        <v>767</v>
      </c>
      <c r="BH31" s="214" t="s">
        <v>1010</v>
      </c>
      <c r="BI31" s="214" t="s">
        <v>1010</v>
      </c>
      <c r="BJ31" s="214" t="s">
        <v>746</v>
      </c>
    </row>
    <row r="32" spans="2:62" x14ac:dyDescent="0.2">
      <c r="B32" s="602" t="s">
        <v>147</v>
      </c>
      <c r="C32" s="602" t="s">
        <v>146</v>
      </c>
      <c r="D32" s="239">
        <v>135636748</v>
      </c>
      <c r="E32" s="239">
        <v>0</v>
      </c>
      <c r="F32" s="239">
        <v>135636748</v>
      </c>
      <c r="G32" s="239">
        <v>-4200</v>
      </c>
      <c r="H32" s="239">
        <v>0</v>
      </c>
      <c r="I32" s="239">
        <v>-4200</v>
      </c>
      <c r="J32" s="239">
        <v>0</v>
      </c>
      <c r="K32" s="239">
        <v>0</v>
      </c>
      <c r="L32" s="239">
        <v>0</v>
      </c>
      <c r="M32" s="239">
        <v>-2826878</v>
      </c>
      <c r="N32" s="239">
        <v>0</v>
      </c>
      <c r="O32" s="239">
        <v>-2826878</v>
      </c>
      <c r="P32" s="239">
        <v>1036650</v>
      </c>
      <c r="Q32" s="239">
        <v>0</v>
      </c>
      <c r="R32" s="239">
        <v>1036650</v>
      </c>
      <c r="S32" s="239">
        <v>4774617</v>
      </c>
      <c r="T32" s="239">
        <v>0</v>
      </c>
      <c r="U32" s="239">
        <v>4774617</v>
      </c>
      <c r="V32" s="239">
        <v>-8240330</v>
      </c>
      <c r="W32" s="239">
        <v>0</v>
      </c>
      <c r="X32" s="239">
        <v>-8240330</v>
      </c>
      <c r="Y32" s="239">
        <v>130376607</v>
      </c>
      <c r="Z32" s="239">
        <v>0</v>
      </c>
      <c r="AA32" s="239">
        <v>130376607</v>
      </c>
      <c r="AB32" s="239">
        <v>0</v>
      </c>
      <c r="AC32" s="239">
        <v>0</v>
      </c>
      <c r="AD32" s="239">
        <v>0</v>
      </c>
      <c r="AE32" s="239">
        <v>0</v>
      </c>
      <c r="AF32" s="239">
        <v>0</v>
      </c>
      <c r="AG32" s="239">
        <v>0</v>
      </c>
      <c r="AH32" s="239">
        <v>0</v>
      </c>
      <c r="AI32" s="239">
        <v>0</v>
      </c>
      <c r="AJ32" s="239">
        <v>0</v>
      </c>
      <c r="AK32" s="239">
        <v>0</v>
      </c>
      <c r="AL32" s="239">
        <v>0</v>
      </c>
      <c r="AM32" s="239">
        <v>0</v>
      </c>
      <c r="AN32" s="239">
        <v>0</v>
      </c>
      <c r="AO32" s="239">
        <v>0</v>
      </c>
      <c r="AP32" s="239">
        <v>0</v>
      </c>
      <c r="AQ32" s="239">
        <v>0</v>
      </c>
      <c r="AR32" s="239">
        <v>0</v>
      </c>
      <c r="AS32" s="239">
        <v>0</v>
      </c>
      <c r="AT32" s="239">
        <v>0</v>
      </c>
      <c r="AU32" s="239">
        <v>0</v>
      </c>
      <c r="AV32" s="239">
        <v>0</v>
      </c>
      <c r="AW32" s="239">
        <v>0</v>
      </c>
      <c r="AX32" s="239">
        <v>0</v>
      </c>
      <c r="AY32" s="239">
        <v>0</v>
      </c>
      <c r="AZ32" s="239">
        <v>0</v>
      </c>
      <c r="BA32" s="239">
        <v>0</v>
      </c>
      <c r="BB32" s="239">
        <v>0</v>
      </c>
      <c r="BC32" s="239">
        <v>7820024</v>
      </c>
      <c r="BD32" s="239">
        <v>-1464312</v>
      </c>
      <c r="BE32" s="214" t="s">
        <v>146</v>
      </c>
      <c r="BF32" s="214" t="s">
        <v>766</v>
      </c>
      <c r="BG32" s="214" t="s">
        <v>816</v>
      </c>
      <c r="BH32" s="214" t="s">
        <v>1010</v>
      </c>
      <c r="BI32" s="214" t="s">
        <v>1010</v>
      </c>
      <c r="BJ32" s="214" t="s">
        <v>1160</v>
      </c>
    </row>
    <row r="33" spans="1:62" x14ac:dyDescent="0.2">
      <c r="B33" s="602" t="s">
        <v>149</v>
      </c>
      <c r="C33" s="602" t="s">
        <v>148</v>
      </c>
      <c r="D33" s="239">
        <v>42059055</v>
      </c>
      <c r="E33" s="239">
        <v>0</v>
      </c>
      <c r="F33" s="239">
        <v>42059055</v>
      </c>
      <c r="G33" s="239">
        <v>0</v>
      </c>
      <c r="H33" s="239">
        <v>0</v>
      </c>
      <c r="I33" s="239">
        <v>0</v>
      </c>
      <c r="J33" s="239">
        <v>-72160</v>
      </c>
      <c r="K33" s="239">
        <v>0</v>
      </c>
      <c r="L33" s="239">
        <v>-72160</v>
      </c>
      <c r="M33" s="239">
        <v>0</v>
      </c>
      <c r="N33" s="239">
        <v>0</v>
      </c>
      <c r="O33" s="239">
        <v>0</v>
      </c>
      <c r="P33" s="239">
        <v>-112334</v>
      </c>
      <c r="Q33" s="239">
        <v>0</v>
      </c>
      <c r="R33" s="239">
        <v>-112334</v>
      </c>
      <c r="S33" s="239">
        <v>450340</v>
      </c>
      <c r="T33" s="239">
        <v>0</v>
      </c>
      <c r="U33" s="239">
        <v>450340</v>
      </c>
      <c r="V33" s="239">
        <v>-794920</v>
      </c>
      <c r="W33" s="239">
        <v>0</v>
      </c>
      <c r="X33" s="239">
        <v>-794920</v>
      </c>
      <c r="Y33" s="239">
        <v>41602141</v>
      </c>
      <c r="Z33" s="239">
        <v>0</v>
      </c>
      <c r="AA33" s="239">
        <v>41602141</v>
      </c>
      <c r="AB33" s="239">
        <v>0</v>
      </c>
      <c r="AC33" s="239">
        <v>0</v>
      </c>
      <c r="AD33" s="239">
        <v>219177</v>
      </c>
      <c r="AE33" s="239">
        <v>0</v>
      </c>
      <c r="AF33" s="239">
        <v>219177</v>
      </c>
      <c r="AG33" s="239">
        <v>0</v>
      </c>
      <c r="AH33" s="239">
        <v>0</v>
      </c>
      <c r="AI33" s="239">
        <v>0</v>
      </c>
      <c r="AJ33" s="239">
        <v>0</v>
      </c>
      <c r="AK33" s="239">
        <v>0</v>
      </c>
      <c r="AL33" s="239">
        <v>0</v>
      </c>
      <c r="AM33" s="239">
        <v>0</v>
      </c>
      <c r="AN33" s="239">
        <v>0</v>
      </c>
      <c r="AO33" s="239">
        <v>0</v>
      </c>
      <c r="AP33" s="239">
        <v>0</v>
      </c>
      <c r="AQ33" s="239">
        <v>0</v>
      </c>
      <c r="AR33" s="239">
        <v>0</v>
      </c>
      <c r="AS33" s="239">
        <v>0</v>
      </c>
      <c r="AT33" s="239">
        <v>0</v>
      </c>
      <c r="AU33" s="239">
        <v>0</v>
      </c>
      <c r="AV33" s="239">
        <v>0</v>
      </c>
      <c r="AW33" s="239">
        <v>0</v>
      </c>
      <c r="AX33" s="239">
        <v>0</v>
      </c>
      <c r="AY33" s="239">
        <v>0</v>
      </c>
      <c r="AZ33" s="239">
        <v>0</v>
      </c>
      <c r="BA33" s="239">
        <v>0</v>
      </c>
      <c r="BB33" s="239">
        <v>0</v>
      </c>
      <c r="BC33" s="239">
        <v>777405</v>
      </c>
      <c r="BD33" s="239">
        <v>-386831</v>
      </c>
      <c r="BE33" s="214" t="s">
        <v>148</v>
      </c>
      <c r="BF33" s="214" t="s">
        <v>820</v>
      </c>
      <c r="BG33" s="214" t="s">
        <v>818</v>
      </c>
      <c r="BH33" s="214" t="s">
        <v>1010</v>
      </c>
      <c r="BI33" s="214" t="s">
        <v>1010</v>
      </c>
      <c r="BJ33" s="214" t="s">
        <v>1158</v>
      </c>
    </row>
    <row r="34" spans="1:62" x14ac:dyDescent="0.2">
      <c r="B34" s="602" t="s">
        <v>151</v>
      </c>
      <c r="C34" s="602" t="s">
        <v>150</v>
      </c>
      <c r="D34" s="239">
        <v>31270989</v>
      </c>
      <c r="E34" s="239">
        <v>0</v>
      </c>
      <c r="F34" s="239">
        <v>31270989</v>
      </c>
      <c r="G34" s="239">
        <v>0</v>
      </c>
      <c r="H34" s="239">
        <v>0</v>
      </c>
      <c r="I34" s="239">
        <v>0</v>
      </c>
      <c r="J34" s="239">
        <v>-171855</v>
      </c>
      <c r="K34" s="239">
        <v>0</v>
      </c>
      <c r="L34" s="239">
        <v>-171855</v>
      </c>
      <c r="M34" s="239">
        <v>0</v>
      </c>
      <c r="N34" s="239">
        <v>0</v>
      </c>
      <c r="O34" s="239">
        <v>0</v>
      </c>
      <c r="P34" s="239">
        <v>-258207</v>
      </c>
      <c r="Q34" s="239">
        <v>0</v>
      </c>
      <c r="R34" s="239">
        <v>-258207</v>
      </c>
      <c r="S34" s="239">
        <v>1370738</v>
      </c>
      <c r="T34" s="239">
        <v>0</v>
      </c>
      <c r="U34" s="239">
        <v>1370738</v>
      </c>
      <c r="V34" s="239">
        <v>-500559</v>
      </c>
      <c r="W34" s="239">
        <v>0</v>
      </c>
      <c r="X34" s="239">
        <v>-500559</v>
      </c>
      <c r="Y34" s="239">
        <v>31882961</v>
      </c>
      <c r="Z34" s="239">
        <v>0</v>
      </c>
      <c r="AA34" s="239">
        <v>31882961</v>
      </c>
      <c r="AB34" s="239">
        <v>0</v>
      </c>
      <c r="AC34" s="239">
        <v>0</v>
      </c>
      <c r="AD34" s="239">
        <v>1217557</v>
      </c>
      <c r="AE34" s="239">
        <v>0</v>
      </c>
      <c r="AF34" s="239">
        <v>1217557</v>
      </c>
      <c r="AG34" s="239">
        <v>0</v>
      </c>
      <c r="AH34" s="239">
        <v>0</v>
      </c>
      <c r="AI34" s="239">
        <v>0</v>
      </c>
      <c r="AJ34" s="239">
        <v>0</v>
      </c>
      <c r="AK34" s="239">
        <v>0</v>
      </c>
      <c r="AL34" s="239">
        <v>0</v>
      </c>
      <c r="AM34" s="239">
        <v>0</v>
      </c>
      <c r="AN34" s="239">
        <v>0</v>
      </c>
      <c r="AO34" s="239">
        <v>0</v>
      </c>
      <c r="AP34" s="239">
        <v>0</v>
      </c>
      <c r="AQ34" s="239">
        <v>0</v>
      </c>
      <c r="AR34" s="239">
        <v>0</v>
      </c>
      <c r="AS34" s="239">
        <v>0</v>
      </c>
      <c r="AT34" s="239">
        <v>0</v>
      </c>
      <c r="AU34" s="239">
        <v>0</v>
      </c>
      <c r="AV34" s="239">
        <v>0</v>
      </c>
      <c r="AW34" s="239">
        <v>0</v>
      </c>
      <c r="AX34" s="239">
        <v>0</v>
      </c>
      <c r="AY34" s="239">
        <v>0</v>
      </c>
      <c r="AZ34" s="239">
        <v>0</v>
      </c>
      <c r="BA34" s="239">
        <v>0</v>
      </c>
      <c r="BB34" s="239">
        <v>0</v>
      </c>
      <c r="BC34" s="239">
        <v>1674412</v>
      </c>
      <c r="BD34" s="239">
        <v>-573315</v>
      </c>
      <c r="BE34" s="214" t="s">
        <v>150</v>
      </c>
      <c r="BF34" s="214" t="s">
        <v>847</v>
      </c>
      <c r="BG34" s="214" t="s">
        <v>761</v>
      </c>
      <c r="BH34" s="214" t="s">
        <v>1010</v>
      </c>
      <c r="BI34" s="214" t="s">
        <v>1010</v>
      </c>
      <c r="BJ34" s="214" t="s">
        <v>1158</v>
      </c>
    </row>
    <row r="35" spans="1:62" x14ac:dyDescent="0.2">
      <c r="B35" s="602" t="s">
        <v>153</v>
      </c>
      <c r="C35" s="602" t="s">
        <v>152</v>
      </c>
      <c r="D35" s="239">
        <v>126301904</v>
      </c>
      <c r="E35" s="239">
        <v>0</v>
      </c>
      <c r="F35" s="239">
        <v>126301904</v>
      </c>
      <c r="G35" s="239">
        <v>0</v>
      </c>
      <c r="H35" s="239">
        <v>0</v>
      </c>
      <c r="I35" s="239">
        <v>0</v>
      </c>
      <c r="J35" s="239">
        <v>-1592019</v>
      </c>
      <c r="K35" s="239">
        <v>0</v>
      </c>
      <c r="L35" s="239">
        <v>-1592019</v>
      </c>
      <c r="M35" s="239">
        <v>0</v>
      </c>
      <c r="N35" s="239">
        <v>0</v>
      </c>
      <c r="O35" s="239">
        <v>0</v>
      </c>
      <c r="P35" s="239">
        <v>-3923545</v>
      </c>
      <c r="Q35" s="239">
        <v>0</v>
      </c>
      <c r="R35" s="239">
        <v>-3923545</v>
      </c>
      <c r="S35" s="239">
        <v>0</v>
      </c>
      <c r="T35" s="239">
        <v>0</v>
      </c>
      <c r="U35" s="239">
        <v>0</v>
      </c>
      <c r="V35" s="239">
        <v>-5137473</v>
      </c>
      <c r="W35" s="239">
        <v>0</v>
      </c>
      <c r="X35" s="239">
        <v>-5137473</v>
      </c>
      <c r="Y35" s="239">
        <v>117240886</v>
      </c>
      <c r="Z35" s="239">
        <v>0</v>
      </c>
      <c r="AA35" s="239">
        <v>117240886</v>
      </c>
      <c r="AB35" s="239">
        <v>0</v>
      </c>
      <c r="AC35" s="239">
        <v>0</v>
      </c>
      <c r="AD35" s="239">
        <v>0</v>
      </c>
      <c r="AE35" s="239">
        <v>0</v>
      </c>
      <c r="AF35" s="239">
        <v>0</v>
      </c>
      <c r="AG35" s="239">
        <v>0</v>
      </c>
      <c r="AH35" s="239">
        <v>0</v>
      </c>
      <c r="AI35" s="239">
        <v>0</v>
      </c>
      <c r="AJ35" s="239">
        <v>0</v>
      </c>
      <c r="AK35" s="239">
        <v>0</v>
      </c>
      <c r="AL35" s="239">
        <v>0</v>
      </c>
      <c r="AM35" s="239">
        <v>0</v>
      </c>
      <c r="AN35" s="239">
        <v>0</v>
      </c>
      <c r="AO35" s="239">
        <v>0</v>
      </c>
      <c r="AP35" s="239">
        <v>0</v>
      </c>
      <c r="AQ35" s="239">
        <v>0</v>
      </c>
      <c r="AR35" s="239">
        <v>0</v>
      </c>
      <c r="AS35" s="239">
        <v>0</v>
      </c>
      <c r="AT35" s="239">
        <v>0</v>
      </c>
      <c r="AU35" s="239">
        <v>0</v>
      </c>
      <c r="AV35" s="239">
        <v>0</v>
      </c>
      <c r="AW35" s="239">
        <v>0</v>
      </c>
      <c r="AX35" s="239">
        <v>0</v>
      </c>
      <c r="AY35" s="239">
        <v>0</v>
      </c>
      <c r="AZ35" s="239">
        <v>0</v>
      </c>
      <c r="BA35" s="239">
        <v>0</v>
      </c>
      <c r="BB35" s="239">
        <v>0</v>
      </c>
      <c r="BC35" s="239">
        <v>8074599</v>
      </c>
      <c r="BD35" s="239">
        <v>-6414474</v>
      </c>
      <c r="BE35" s="214" t="s">
        <v>152</v>
      </c>
      <c r="BF35" s="214" t="s">
        <v>788</v>
      </c>
      <c r="BG35" s="214" t="s">
        <v>747</v>
      </c>
      <c r="BH35" s="214" t="s">
        <v>1010</v>
      </c>
      <c r="BI35" s="214" t="s">
        <v>1010</v>
      </c>
      <c r="BJ35" s="214" t="s">
        <v>1159</v>
      </c>
    </row>
    <row r="36" spans="1:62" x14ac:dyDescent="0.2">
      <c r="B36" s="602" t="s">
        <v>155</v>
      </c>
      <c r="C36" s="602" t="s">
        <v>154</v>
      </c>
      <c r="D36" s="239">
        <v>28096199</v>
      </c>
      <c r="E36" s="239">
        <v>0</v>
      </c>
      <c r="F36" s="239">
        <v>28096199</v>
      </c>
      <c r="G36" s="239">
        <v>0</v>
      </c>
      <c r="H36" s="239">
        <v>0</v>
      </c>
      <c r="I36" s="239">
        <v>0</v>
      </c>
      <c r="J36" s="239">
        <v>0</v>
      </c>
      <c r="K36" s="239">
        <v>0</v>
      </c>
      <c r="L36" s="239">
        <v>0</v>
      </c>
      <c r="M36" s="239">
        <v>-237311</v>
      </c>
      <c r="N36" s="239">
        <v>0</v>
      </c>
      <c r="O36" s="239">
        <v>-237311</v>
      </c>
      <c r="P36" s="239">
        <v>132432</v>
      </c>
      <c r="Q36" s="239">
        <v>0</v>
      </c>
      <c r="R36" s="239">
        <v>132432</v>
      </c>
      <c r="S36" s="239">
        <v>2459578</v>
      </c>
      <c r="T36" s="239">
        <v>0</v>
      </c>
      <c r="U36" s="239">
        <v>2459578</v>
      </c>
      <c r="V36" s="239">
        <v>-1000000</v>
      </c>
      <c r="W36" s="239">
        <v>0</v>
      </c>
      <c r="X36" s="239">
        <v>-1000000</v>
      </c>
      <c r="Y36" s="239">
        <v>29450898</v>
      </c>
      <c r="Z36" s="239">
        <v>0</v>
      </c>
      <c r="AA36" s="239">
        <v>29450898</v>
      </c>
      <c r="AB36" s="239">
        <v>0</v>
      </c>
      <c r="AC36" s="239">
        <v>0</v>
      </c>
      <c r="AD36" s="239">
        <v>0</v>
      </c>
      <c r="AE36" s="239">
        <v>0</v>
      </c>
      <c r="AF36" s="239">
        <v>0</v>
      </c>
      <c r="AG36" s="239">
        <v>0</v>
      </c>
      <c r="AH36" s="239">
        <v>0</v>
      </c>
      <c r="AI36" s="239">
        <v>0</v>
      </c>
      <c r="AJ36" s="239">
        <v>0</v>
      </c>
      <c r="AK36" s="239">
        <v>0</v>
      </c>
      <c r="AL36" s="239">
        <v>0</v>
      </c>
      <c r="AM36" s="239">
        <v>0</v>
      </c>
      <c r="AN36" s="239">
        <v>0</v>
      </c>
      <c r="AO36" s="239">
        <v>0</v>
      </c>
      <c r="AP36" s="239">
        <v>0</v>
      </c>
      <c r="AQ36" s="239">
        <v>0</v>
      </c>
      <c r="AR36" s="239">
        <v>0</v>
      </c>
      <c r="AS36" s="239">
        <v>0</v>
      </c>
      <c r="AT36" s="239">
        <v>0</v>
      </c>
      <c r="AU36" s="239">
        <v>0</v>
      </c>
      <c r="AV36" s="239">
        <v>0</v>
      </c>
      <c r="AW36" s="239">
        <v>0</v>
      </c>
      <c r="AX36" s="239">
        <v>0</v>
      </c>
      <c r="AY36" s="239">
        <v>0</v>
      </c>
      <c r="AZ36" s="239">
        <v>0</v>
      </c>
      <c r="BA36" s="239">
        <v>0</v>
      </c>
      <c r="BB36" s="239">
        <v>0</v>
      </c>
      <c r="BC36" s="239">
        <v>2973896</v>
      </c>
      <c r="BD36" s="239">
        <v>-736950</v>
      </c>
      <c r="BE36" s="214" t="s">
        <v>154</v>
      </c>
      <c r="BF36" s="214" t="s">
        <v>820</v>
      </c>
      <c r="BG36" s="214" t="s">
        <v>818</v>
      </c>
      <c r="BH36" s="214" t="s">
        <v>1010</v>
      </c>
      <c r="BI36" s="214" t="s">
        <v>1010</v>
      </c>
      <c r="BJ36" s="214" t="s">
        <v>1158</v>
      </c>
    </row>
    <row r="37" spans="1:62" x14ac:dyDescent="0.2">
      <c r="B37" s="602" t="s">
        <v>157</v>
      </c>
      <c r="C37" s="602" t="s">
        <v>156</v>
      </c>
      <c r="D37" s="239">
        <v>111831721</v>
      </c>
      <c r="E37" s="239">
        <v>0</v>
      </c>
      <c r="F37" s="239">
        <v>111831721</v>
      </c>
      <c r="G37" s="239">
        <v>0</v>
      </c>
      <c r="H37" s="239">
        <v>0</v>
      </c>
      <c r="I37" s="239">
        <v>0</v>
      </c>
      <c r="J37" s="239">
        <v>-663741</v>
      </c>
      <c r="K37" s="239">
        <v>0</v>
      </c>
      <c r="L37" s="239">
        <v>-663741</v>
      </c>
      <c r="M37" s="239">
        <v>-263287</v>
      </c>
      <c r="N37" s="239">
        <v>0</v>
      </c>
      <c r="O37" s="239">
        <v>-263287</v>
      </c>
      <c r="P37" s="239">
        <v>-811202</v>
      </c>
      <c r="Q37" s="239">
        <v>0</v>
      </c>
      <c r="R37" s="239">
        <v>-811202</v>
      </c>
      <c r="S37" s="239">
        <v>3055061</v>
      </c>
      <c r="T37" s="239">
        <v>0</v>
      </c>
      <c r="U37" s="239">
        <v>3055061</v>
      </c>
      <c r="V37" s="239">
        <v>-6930132</v>
      </c>
      <c r="W37" s="239">
        <v>0</v>
      </c>
      <c r="X37" s="239">
        <v>-6930132</v>
      </c>
      <c r="Y37" s="239">
        <v>106882161</v>
      </c>
      <c r="Z37" s="239">
        <v>0</v>
      </c>
      <c r="AA37" s="239">
        <v>106882161</v>
      </c>
      <c r="AB37" s="239">
        <v>0</v>
      </c>
      <c r="AC37" s="239">
        <v>0</v>
      </c>
      <c r="AD37" s="239">
        <v>0</v>
      </c>
      <c r="AE37" s="239">
        <v>0</v>
      </c>
      <c r="AF37" s="239">
        <v>0</v>
      </c>
      <c r="AG37" s="239">
        <v>0</v>
      </c>
      <c r="AH37" s="239">
        <v>0</v>
      </c>
      <c r="AI37" s="239">
        <v>0</v>
      </c>
      <c r="AJ37" s="239">
        <v>0</v>
      </c>
      <c r="AK37" s="239">
        <v>0</v>
      </c>
      <c r="AL37" s="239">
        <v>0</v>
      </c>
      <c r="AM37" s="239">
        <v>0</v>
      </c>
      <c r="AN37" s="239">
        <v>0</v>
      </c>
      <c r="AO37" s="239">
        <v>0</v>
      </c>
      <c r="AP37" s="239">
        <v>0</v>
      </c>
      <c r="AQ37" s="239">
        <v>0</v>
      </c>
      <c r="AR37" s="239">
        <v>0</v>
      </c>
      <c r="AS37" s="239">
        <v>0</v>
      </c>
      <c r="AT37" s="239">
        <v>0</v>
      </c>
      <c r="AU37" s="239">
        <v>0</v>
      </c>
      <c r="AV37" s="239">
        <v>0</v>
      </c>
      <c r="AW37" s="239">
        <v>0</v>
      </c>
      <c r="AX37" s="239">
        <v>0</v>
      </c>
      <c r="AY37" s="239">
        <v>0</v>
      </c>
      <c r="AZ37" s="239">
        <v>0</v>
      </c>
      <c r="BA37" s="239">
        <v>0</v>
      </c>
      <c r="BB37" s="239">
        <v>0</v>
      </c>
      <c r="BC37" s="239">
        <v>5466296</v>
      </c>
      <c r="BD37" s="239">
        <v>-4162326</v>
      </c>
      <c r="BE37" s="214" t="s">
        <v>919</v>
      </c>
      <c r="BF37" s="214" t="s">
        <v>746</v>
      </c>
      <c r="BG37" s="214" t="s">
        <v>805</v>
      </c>
      <c r="BH37" s="214" t="s">
        <v>1010</v>
      </c>
      <c r="BI37" s="214" t="s">
        <v>1010</v>
      </c>
      <c r="BJ37" s="214" t="s">
        <v>746</v>
      </c>
    </row>
    <row r="38" spans="1:62" x14ac:dyDescent="0.2">
      <c r="B38" s="602" t="s">
        <v>159</v>
      </c>
      <c r="C38" s="602" t="s">
        <v>158</v>
      </c>
      <c r="D38" s="239">
        <v>190661395</v>
      </c>
      <c r="E38" s="239">
        <v>28457118</v>
      </c>
      <c r="F38" s="239">
        <v>219118513</v>
      </c>
      <c r="G38" s="239">
        <v>0</v>
      </c>
      <c r="H38" s="239">
        <v>0</v>
      </c>
      <c r="I38" s="239">
        <v>0</v>
      </c>
      <c r="J38" s="239">
        <v>-871362</v>
      </c>
      <c r="K38" s="239">
        <v>-132500</v>
      </c>
      <c r="L38" s="239">
        <v>-1003862</v>
      </c>
      <c r="M38" s="239">
        <v>0</v>
      </c>
      <c r="N38" s="239">
        <v>0</v>
      </c>
      <c r="O38" s="239">
        <v>0</v>
      </c>
      <c r="P38" s="239">
        <v>-1107836</v>
      </c>
      <c r="Q38" s="239">
        <v>-233841</v>
      </c>
      <c r="R38" s="239">
        <v>-1341677</v>
      </c>
      <c r="S38" s="239">
        <v>5109329</v>
      </c>
      <c r="T38" s="239">
        <v>1150605</v>
      </c>
      <c r="U38" s="239">
        <v>6259934</v>
      </c>
      <c r="V38" s="239">
        <v>-7337703</v>
      </c>
      <c r="W38" s="239">
        <v>-1463475</v>
      </c>
      <c r="X38" s="239">
        <v>-8801178</v>
      </c>
      <c r="Y38" s="239">
        <v>187325185</v>
      </c>
      <c r="Z38" s="239">
        <v>27910407</v>
      </c>
      <c r="AA38" s="239">
        <v>215235592</v>
      </c>
      <c r="AB38" s="239">
        <v>27910407</v>
      </c>
      <c r="AC38" s="239">
        <v>27910407</v>
      </c>
      <c r="AD38" s="239">
        <v>51360</v>
      </c>
      <c r="AE38" s="239">
        <v>153967</v>
      </c>
      <c r="AF38" s="239">
        <v>205327</v>
      </c>
      <c r="AG38" s="239">
        <v>-358808</v>
      </c>
      <c r="AH38" s="239">
        <v>-358808</v>
      </c>
      <c r="AI38" s="239">
        <v>24834735</v>
      </c>
      <c r="AJ38" s="239">
        <v>24834735</v>
      </c>
      <c r="AK38" s="239">
        <v>3240095</v>
      </c>
      <c r="AL38" s="239">
        <v>0</v>
      </c>
      <c r="AM38" s="239">
        <v>1169698</v>
      </c>
      <c r="AN38" s="239">
        <v>1169698</v>
      </c>
      <c r="AO38" s="239">
        <v>0</v>
      </c>
      <c r="AP38" s="239">
        <v>0</v>
      </c>
      <c r="AQ38" s="239">
        <v>0</v>
      </c>
      <c r="AR38" s="239">
        <v>0</v>
      </c>
      <c r="AS38" s="239">
        <v>0</v>
      </c>
      <c r="AT38" s="239">
        <v>0</v>
      </c>
      <c r="AU38" s="239">
        <v>0</v>
      </c>
      <c r="AV38" s="239">
        <v>0</v>
      </c>
      <c r="AW38" s="239">
        <v>0</v>
      </c>
      <c r="AX38" s="239">
        <v>0</v>
      </c>
      <c r="AY38" s="239">
        <v>0</v>
      </c>
      <c r="AZ38" s="239">
        <v>0</v>
      </c>
      <c r="BA38" s="239">
        <v>0</v>
      </c>
      <c r="BB38" s="239">
        <v>0</v>
      </c>
      <c r="BC38" s="239">
        <v>5785973</v>
      </c>
      <c r="BD38" s="239">
        <v>-2993816</v>
      </c>
      <c r="BE38" s="214" t="s">
        <v>918</v>
      </c>
      <c r="BF38" s="214" t="s">
        <v>746</v>
      </c>
      <c r="BG38" s="214" t="s">
        <v>851</v>
      </c>
      <c r="BH38" s="214" t="s">
        <v>1015</v>
      </c>
      <c r="BI38" s="214" t="s">
        <v>1013</v>
      </c>
      <c r="BJ38" s="214" t="s">
        <v>746</v>
      </c>
    </row>
    <row r="39" spans="1:62" x14ac:dyDescent="0.2">
      <c r="B39" s="602" t="s">
        <v>161</v>
      </c>
      <c r="C39" s="602" t="s">
        <v>160</v>
      </c>
      <c r="D39" s="239">
        <v>29156775</v>
      </c>
      <c r="E39" s="239">
        <v>0</v>
      </c>
      <c r="F39" s="239">
        <v>29156775</v>
      </c>
      <c r="G39" s="239">
        <v>0</v>
      </c>
      <c r="H39" s="239">
        <v>0</v>
      </c>
      <c r="I39" s="239">
        <v>0</v>
      </c>
      <c r="J39" s="239">
        <v>-105493</v>
      </c>
      <c r="K39" s="239">
        <v>0</v>
      </c>
      <c r="L39" s="239">
        <v>-105493</v>
      </c>
      <c r="M39" s="239">
        <v>0</v>
      </c>
      <c r="N39" s="239">
        <v>0</v>
      </c>
      <c r="O39" s="239">
        <v>0</v>
      </c>
      <c r="P39" s="239">
        <v>-117572</v>
      </c>
      <c r="Q39" s="239">
        <v>0</v>
      </c>
      <c r="R39" s="239">
        <v>-117572</v>
      </c>
      <c r="S39" s="239">
        <v>1192500</v>
      </c>
      <c r="T39" s="239">
        <v>0</v>
      </c>
      <c r="U39" s="239">
        <v>1192500</v>
      </c>
      <c r="V39" s="239">
        <v>-1292450</v>
      </c>
      <c r="W39" s="239">
        <v>0</v>
      </c>
      <c r="X39" s="239">
        <v>-1292450</v>
      </c>
      <c r="Y39" s="239">
        <v>28939253</v>
      </c>
      <c r="Z39" s="239">
        <v>0</v>
      </c>
      <c r="AA39" s="239">
        <v>28939253</v>
      </c>
      <c r="AB39" s="239">
        <v>0</v>
      </c>
      <c r="AC39" s="239">
        <v>0</v>
      </c>
      <c r="AD39" s="239">
        <v>146976</v>
      </c>
      <c r="AE39" s="239">
        <v>0</v>
      </c>
      <c r="AF39" s="239">
        <v>146976</v>
      </c>
      <c r="AG39" s="239">
        <v>0</v>
      </c>
      <c r="AH39" s="239">
        <v>0</v>
      </c>
      <c r="AI39" s="239">
        <v>0</v>
      </c>
      <c r="AJ39" s="239">
        <v>0</v>
      </c>
      <c r="AK39" s="239">
        <v>0</v>
      </c>
      <c r="AL39" s="239">
        <v>0</v>
      </c>
      <c r="AM39" s="239">
        <v>0</v>
      </c>
      <c r="AN39" s="239">
        <v>0</v>
      </c>
      <c r="AO39" s="239">
        <v>0</v>
      </c>
      <c r="AP39" s="239">
        <v>0</v>
      </c>
      <c r="AQ39" s="239">
        <v>0</v>
      </c>
      <c r="AR39" s="239">
        <v>0</v>
      </c>
      <c r="AS39" s="239">
        <v>0</v>
      </c>
      <c r="AT39" s="239">
        <v>0</v>
      </c>
      <c r="AU39" s="239">
        <v>0</v>
      </c>
      <c r="AV39" s="239">
        <v>0</v>
      </c>
      <c r="AW39" s="239">
        <v>0</v>
      </c>
      <c r="AX39" s="239">
        <v>0</v>
      </c>
      <c r="AY39" s="239">
        <v>0</v>
      </c>
      <c r="AZ39" s="239">
        <v>0</v>
      </c>
      <c r="BA39" s="239">
        <v>0</v>
      </c>
      <c r="BB39" s="239">
        <v>0</v>
      </c>
      <c r="BC39" s="239">
        <v>425186</v>
      </c>
      <c r="BD39" s="239">
        <v>-935826</v>
      </c>
      <c r="BE39" s="214" t="s">
        <v>160</v>
      </c>
      <c r="BF39" s="214" t="s">
        <v>847</v>
      </c>
      <c r="BG39" s="214" t="s">
        <v>761</v>
      </c>
      <c r="BH39" s="214" t="s">
        <v>1010</v>
      </c>
      <c r="BI39" s="214" t="s">
        <v>1010</v>
      </c>
      <c r="BJ39" s="214" t="s">
        <v>1158</v>
      </c>
    </row>
    <row r="40" spans="1:62" x14ac:dyDescent="0.2">
      <c r="B40" s="602" t="s">
        <v>163</v>
      </c>
      <c r="C40" s="602" t="s">
        <v>162</v>
      </c>
      <c r="D40" s="239">
        <v>87007036</v>
      </c>
      <c r="E40" s="239">
        <v>0</v>
      </c>
      <c r="F40" s="239">
        <v>87007036</v>
      </c>
      <c r="G40" s="239">
        <v>0</v>
      </c>
      <c r="H40" s="239">
        <v>0</v>
      </c>
      <c r="I40" s="239">
        <v>0</v>
      </c>
      <c r="J40" s="239">
        <v>-640330</v>
      </c>
      <c r="K40" s="239">
        <v>0</v>
      </c>
      <c r="L40" s="239">
        <v>-640330</v>
      </c>
      <c r="M40" s="239">
        <v>0</v>
      </c>
      <c r="N40" s="239">
        <v>0</v>
      </c>
      <c r="O40" s="239">
        <v>0</v>
      </c>
      <c r="P40" s="239">
        <v>-691630</v>
      </c>
      <c r="Q40" s="239">
        <v>0</v>
      </c>
      <c r="R40" s="239">
        <v>-691630</v>
      </c>
      <c r="S40" s="239">
        <v>3862795</v>
      </c>
      <c r="T40" s="239">
        <v>0</v>
      </c>
      <c r="U40" s="239">
        <v>3862795</v>
      </c>
      <c r="V40" s="239">
        <v>-5867430</v>
      </c>
      <c r="W40" s="239">
        <v>0</v>
      </c>
      <c r="X40" s="239">
        <v>-5867430</v>
      </c>
      <c r="Y40" s="239">
        <v>84310771</v>
      </c>
      <c r="Z40" s="239">
        <v>0</v>
      </c>
      <c r="AA40" s="239">
        <v>84310771</v>
      </c>
      <c r="AB40" s="239">
        <v>0</v>
      </c>
      <c r="AC40" s="239">
        <v>0</v>
      </c>
      <c r="AD40" s="239">
        <v>0</v>
      </c>
      <c r="AE40" s="239">
        <v>0</v>
      </c>
      <c r="AF40" s="239">
        <v>0</v>
      </c>
      <c r="AG40" s="239">
        <v>0</v>
      </c>
      <c r="AH40" s="239">
        <v>0</v>
      </c>
      <c r="AI40" s="239">
        <v>0</v>
      </c>
      <c r="AJ40" s="239">
        <v>0</v>
      </c>
      <c r="AK40" s="239">
        <v>0</v>
      </c>
      <c r="AL40" s="239">
        <v>0</v>
      </c>
      <c r="AM40" s="239">
        <v>0</v>
      </c>
      <c r="AN40" s="239">
        <v>0</v>
      </c>
      <c r="AO40" s="239">
        <v>0</v>
      </c>
      <c r="AP40" s="239">
        <v>0</v>
      </c>
      <c r="AQ40" s="239">
        <v>0</v>
      </c>
      <c r="AR40" s="239">
        <v>0</v>
      </c>
      <c r="AS40" s="239">
        <v>0</v>
      </c>
      <c r="AT40" s="239">
        <v>0</v>
      </c>
      <c r="AU40" s="239">
        <v>0</v>
      </c>
      <c r="AV40" s="239">
        <v>0</v>
      </c>
      <c r="AW40" s="239">
        <v>0</v>
      </c>
      <c r="AX40" s="239">
        <v>0</v>
      </c>
      <c r="AY40" s="239">
        <v>0</v>
      </c>
      <c r="AZ40" s="239">
        <v>0</v>
      </c>
      <c r="BA40" s="239">
        <v>0</v>
      </c>
      <c r="BB40" s="239">
        <v>0</v>
      </c>
      <c r="BC40" s="239">
        <v>2483016</v>
      </c>
      <c r="BD40" s="239">
        <v>-8097387</v>
      </c>
      <c r="BE40" s="214" t="s">
        <v>162</v>
      </c>
      <c r="BF40" s="214" t="s">
        <v>788</v>
      </c>
      <c r="BG40" s="214" t="s">
        <v>747</v>
      </c>
      <c r="BH40" s="214" t="s">
        <v>1010</v>
      </c>
      <c r="BI40" s="214" t="s">
        <v>1010</v>
      </c>
      <c r="BJ40" s="214" t="s">
        <v>1159</v>
      </c>
    </row>
    <row r="41" spans="1:62" x14ac:dyDescent="0.2">
      <c r="B41" s="602" t="s">
        <v>165</v>
      </c>
      <c r="C41" s="602" t="s">
        <v>164</v>
      </c>
      <c r="D41" s="239">
        <v>26847199</v>
      </c>
      <c r="E41" s="239">
        <v>0</v>
      </c>
      <c r="F41" s="239">
        <v>26847199</v>
      </c>
      <c r="G41" s="239">
        <v>0</v>
      </c>
      <c r="H41" s="239">
        <v>0</v>
      </c>
      <c r="I41" s="239">
        <v>0</v>
      </c>
      <c r="J41" s="239">
        <v>-223746</v>
      </c>
      <c r="K41" s="239">
        <v>0</v>
      </c>
      <c r="L41" s="239">
        <v>-223746</v>
      </c>
      <c r="M41" s="239">
        <v>0</v>
      </c>
      <c r="N41" s="239">
        <v>0</v>
      </c>
      <c r="O41" s="239">
        <v>0</v>
      </c>
      <c r="P41" s="239">
        <v>-419715</v>
      </c>
      <c r="Q41" s="239">
        <v>0</v>
      </c>
      <c r="R41" s="239">
        <v>-419715</v>
      </c>
      <c r="S41" s="239">
        <v>1325069</v>
      </c>
      <c r="T41" s="239">
        <v>0</v>
      </c>
      <c r="U41" s="239">
        <v>1325069</v>
      </c>
      <c r="V41" s="239">
        <v>-2676964</v>
      </c>
      <c r="W41" s="239">
        <v>0</v>
      </c>
      <c r="X41" s="239">
        <v>-2676964</v>
      </c>
      <c r="Y41" s="239">
        <v>25075589</v>
      </c>
      <c r="Z41" s="239">
        <v>0</v>
      </c>
      <c r="AA41" s="239">
        <v>25075589</v>
      </c>
      <c r="AB41" s="239">
        <v>0</v>
      </c>
      <c r="AC41" s="239">
        <v>0</v>
      </c>
      <c r="AD41" s="239">
        <v>0</v>
      </c>
      <c r="AE41" s="239">
        <v>0</v>
      </c>
      <c r="AF41" s="239">
        <v>0</v>
      </c>
      <c r="AG41" s="239">
        <v>0</v>
      </c>
      <c r="AH41" s="239">
        <v>0</v>
      </c>
      <c r="AI41" s="239">
        <v>0</v>
      </c>
      <c r="AJ41" s="239">
        <v>0</v>
      </c>
      <c r="AK41" s="239">
        <v>0</v>
      </c>
      <c r="AL41" s="239">
        <v>0</v>
      </c>
      <c r="AM41" s="239">
        <v>0</v>
      </c>
      <c r="AN41" s="239">
        <v>0</v>
      </c>
      <c r="AO41" s="239">
        <v>0</v>
      </c>
      <c r="AP41" s="239">
        <v>0</v>
      </c>
      <c r="AQ41" s="239">
        <v>0</v>
      </c>
      <c r="AR41" s="239">
        <v>0</v>
      </c>
      <c r="AS41" s="239">
        <v>0</v>
      </c>
      <c r="AT41" s="239">
        <v>0</v>
      </c>
      <c r="AU41" s="239">
        <v>0</v>
      </c>
      <c r="AV41" s="239">
        <v>0</v>
      </c>
      <c r="AW41" s="239">
        <v>0</v>
      </c>
      <c r="AX41" s="239">
        <v>0</v>
      </c>
      <c r="AY41" s="239">
        <v>0</v>
      </c>
      <c r="AZ41" s="239">
        <v>0</v>
      </c>
      <c r="BA41" s="239">
        <v>0</v>
      </c>
      <c r="BB41" s="239">
        <v>0</v>
      </c>
      <c r="BC41" s="239">
        <v>3235182</v>
      </c>
      <c r="BD41" s="239">
        <v>-728034</v>
      </c>
      <c r="BE41" s="214" t="s">
        <v>164</v>
      </c>
      <c r="BF41" s="214" t="s">
        <v>751</v>
      </c>
      <c r="BG41" s="214" t="s">
        <v>749</v>
      </c>
      <c r="BH41" s="214" t="s">
        <v>1010</v>
      </c>
      <c r="BI41" s="214" t="s">
        <v>1010</v>
      </c>
      <c r="BJ41" s="214" t="s">
        <v>1158</v>
      </c>
    </row>
    <row r="42" spans="1:62" x14ac:dyDescent="0.2">
      <c r="B42" s="602" t="s">
        <v>167</v>
      </c>
      <c r="C42" s="602" t="s">
        <v>166</v>
      </c>
      <c r="D42" s="239">
        <v>40713072</v>
      </c>
      <c r="E42" s="239">
        <v>0</v>
      </c>
      <c r="F42" s="239">
        <v>40713072</v>
      </c>
      <c r="G42" s="239">
        <v>0</v>
      </c>
      <c r="H42" s="239">
        <v>0</v>
      </c>
      <c r="I42" s="239">
        <v>0</v>
      </c>
      <c r="J42" s="239">
        <v>-570353</v>
      </c>
      <c r="K42" s="239">
        <v>0</v>
      </c>
      <c r="L42" s="239">
        <v>-570353</v>
      </c>
      <c r="M42" s="239">
        <v>0</v>
      </c>
      <c r="N42" s="239">
        <v>0</v>
      </c>
      <c r="O42" s="239">
        <v>0</v>
      </c>
      <c r="P42" s="239">
        <v>-248679</v>
      </c>
      <c r="Q42" s="239">
        <v>0</v>
      </c>
      <c r="R42" s="239">
        <v>-248679</v>
      </c>
      <c r="S42" s="239">
        <v>1724086</v>
      </c>
      <c r="T42" s="239">
        <v>0</v>
      </c>
      <c r="U42" s="239">
        <v>1724086</v>
      </c>
      <c r="V42" s="239">
        <v>-1447281</v>
      </c>
      <c r="W42" s="239">
        <v>0</v>
      </c>
      <c r="X42" s="239">
        <v>-1447281</v>
      </c>
      <c r="Y42" s="239">
        <v>40741198</v>
      </c>
      <c r="Z42" s="239">
        <v>0</v>
      </c>
      <c r="AA42" s="239">
        <v>40741198</v>
      </c>
      <c r="AB42" s="239">
        <v>0</v>
      </c>
      <c r="AC42" s="239">
        <v>0</v>
      </c>
      <c r="AD42" s="239">
        <v>0</v>
      </c>
      <c r="AE42" s="239">
        <v>0</v>
      </c>
      <c r="AF42" s="239">
        <v>0</v>
      </c>
      <c r="AG42" s="239">
        <v>0</v>
      </c>
      <c r="AH42" s="239">
        <v>0</v>
      </c>
      <c r="AI42" s="239">
        <v>0</v>
      </c>
      <c r="AJ42" s="239">
        <v>0</v>
      </c>
      <c r="AK42" s="239">
        <v>0</v>
      </c>
      <c r="AL42" s="239">
        <v>0</v>
      </c>
      <c r="AM42" s="239">
        <v>0</v>
      </c>
      <c r="AN42" s="239">
        <v>0</v>
      </c>
      <c r="AO42" s="239">
        <v>0</v>
      </c>
      <c r="AP42" s="239">
        <v>0</v>
      </c>
      <c r="AQ42" s="239">
        <v>0</v>
      </c>
      <c r="AR42" s="239">
        <v>0</v>
      </c>
      <c r="AS42" s="239">
        <v>0</v>
      </c>
      <c r="AT42" s="239">
        <v>0</v>
      </c>
      <c r="AU42" s="239">
        <v>0</v>
      </c>
      <c r="AV42" s="239">
        <v>0</v>
      </c>
      <c r="AW42" s="239">
        <v>0</v>
      </c>
      <c r="AX42" s="239">
        <v>0</v>
      </c>
      <c r="AY42" s="239">
        <v>0</v>
      </c>
      <c r="AZ42" s="239">
        <v>0</v>
      </c>
      <c r="BA42" s="239">
        <v>0</v>
      </c>
      <c r="BB42" s="239">
        <v>0</v>
      </c>
      <c r="BC42" s="239">
        <v>3092087</v>
      </c>
      <c r="BD42" s="239">
        <v>-671837</v>
      </c>
      <c r="BE42" s="214" t="s">
        <v>166</v>
      </c>
      <c r="BF42" s="214" t="s">
        <v>801</v>
      </c>
      <c r="BG42" s="214" t="s">
        <v>761</v>
      </c>
      <c r="BH42" s="214" t="s">
        <v>1010</v>
      </c>
      <c r="BI42" s="214" t="s">
        <v>1010</v>
      </c>
      <c r="BJ42" s="214" t="s">
        <v>1158</v>
      </c>
    </row>
    <row r="43" spans="1:62" x14ac:dyDescent="0.2">
      <c r="A43" s="215"/>
      <c r="B43" s="602" t="s">
        <v>169</v>
      </c>
      <c r="C43" s="602" t="s">
        <v>168</v>
      </c>
      <c r="D43" s="239">
        <v>24173178</v>
      </c>
      <c r="E43" s="239">
        <v>418651</v>
      </c>
      <c r="F43" s="239">
        <v>24591829</v>
      </c>
      <c r="G43" s="239">
        <v>0</v>
      </c>
      <c r="H43" s="239">
        <v>0</v>
      </c>
      <c r="I43" s="239">
        <v>0</v>
      </c>
      <c r="J43" s="239">
        <v>-143328</v>
      </c>
      <c r="K43" s="239">
        <v>0</v>
      </c>
      <c r="L43" s="239">
        <v>-143328</v>
      </c>
      <c r="M43" s="239">
        <v>0</v>
      </c>
      <c r="N43" s="239">
        <v>0</v>
      </c>
      <c r="O43" s="239">
        <v>0</v>
      </c>
      <c r="P43" s="239">
        <v>-96328</v>
      </c>
      <c r="Q43" s="239">
        <v>0</v>
      </c>
      <c r="R43" s="239">
        <v>-96328</v>
      </c>
      <c r="S43" s="239">
        <v>324742</v>
      </c>
      <c r="T43" s="239">
        <v>0</v>
      </c>
      <c r="U43" s="239">
        <v>324742</v>
      </c>
      <c r="V43" s="239">
        <v>1324084</v>
      </c>
      <c r="W43" s="239">
        <v>0</v>
      </c>
      <c r="X43" s="239">
        <v>1324084</v>
      </c>
      <c r="Y43" s="239">
        <v>25725676</v>
      </c>
      <c r="Z43" s="239">
        <v>418651</v>
      </c>
      <c r="AA43" s="239">
        <v>26144327</v>
      </c>
      <c r="AB43" s="239">
        <v>418651</v>
      </c>
      <c r="AC43" s="239">
        <v>418651</v>
      </c>
      <c r="AD43" s="239">
        <v>0</v>
      </c>
      <c r="AE43" s="239">
        <v>2290.6799999999998</v>
      </c>
      <c r="AF43" s="239">
        <v>2290.6799999999998</v>
      </c>
      <c r="AG43" s="239">
        <v>-21258</v>
      </c>
      <c r="AH43" s="239">
        <v>-21258</v>
      </c>
      <c r="AI43" s="239">
        <v>1182989</v>
      </c>
      <c r="AJ43" s="239">
        <v>1182989</v>
      </c>
      <c r="AK43" s="239">
        <v>0</v>
      </c>
      <c r="AL43" s="239">
        <v>0</v>
      </c>
      <c r="AM43" s="239">
        <v>0</v>
      </c>
      <c r="AN43" s="239">
        <v>0</v>
      </c>
      <c r="AO43" s="239">
        <v>0</v>
      </c>
      <c r="AP43" s="239">
        <v>111652</v>
      </c>
      <c r="AQ43" s="239">
        <v>111652</v>
      </c>
      <c r="AR43" s="239">
        <v>0</v>
      </c>
      <c r="AS43" s="239">
        <v>0</v>
      </c>
      <c r="AT43" s="239">
        <v>0</v>
      </c>
      <c r="AU43" s="239">
        <v>0</v>
      </c>
      <c r="AV43" s="239">
        <v>0</v>
      </c>
      <c r="AW43" s="239">
        <v>0</v>
      </c>
      <c r="AX43" s="239">
        <v>0</v>
      </c>
      <c r="AY43" s="239">
        <v>0</v>
      </c>
      <c r="AZ43" s="239">
        <v>0</v>
      </c>
      <c r="BA43" s="239">
        <v>111652</v>
      </c>
      <c r="BB43" s="239">
        <v>111652</v>
      </c>
      <c r="BC43" s="239">
        <v>902457</v>
      </c>
      <c r="BD43" s="239">
        <v>-653297</v>
      </c>
      <c r="BE43" s="214" t="s">
        <v>168</v>
      </c>
      <c r="BF43" s="214" t="s">
        <v>872</v>
      </c>
      <c r="BG43" s="214" t="s">
        <v>870</v>
      </c>
      <c r="BH43" s="214" t="s">
        <v>1016</v>
      </c>
      <c r="BI43" s="214" t="s">
        <v>1010</v>
      </c>
      <c r="BJ43" s="214" t="s">
        <v>1158</v>
      </c>
    </row>
    <row r="44" spans="1:62" x14ac:dyDescent="0.2">
      <c r="B44" s="602" t="s">
        <v>171</v>
      </c>
      <c r="C44" s="602" t="s">
        <v>170</v>
      </c>
      <c r="D44" s="239">
        <v>27202925</v>
      </c>
      <c r="E44" s="239">
        <v>0</v>
      </c>
      <c r="F44" s="239">
        <v>27202925</v>
      </c>
      <c r="G44" s="239">
        <v>0</v>
      </c>
      <c r="H44" s="239">
        <v>0</v>
      </c>
      <c r="I44" s="239">
        <v>0</v>
      </c>
      <c r="J44" s="239">
        <v>-430886</v>
      </c>
      <c r="K44" s="239">
        <v>0</v>
      </c>
      <c r="L44" s="239">
        <v>-430886</v>
      </c>
      <c r="M44" s="239">
        <v>0</v>
      </c>
      <c r="N44" s="239">
        <v>0</v>
      </c>
      <c r="O44" s="239">
        <v>0</v>
      </c>
      <c r="P44" s="239">
        <v>-492826</v>
      </c>
      <c r="Q44" s="239">
        <v>0</v>
      </c>
      <c r="R44" s="239">
        <v>-492826</v>
      </c>
      <c r="S44" s="239">
        <v>1867677</v>
      </c>
      <c r="T44" s="239">
        <v>0</v>
      </c>
      <c r="U44" s="239">
        <v>1867677</v>
      </c>
      <c r="V44" s="239">
        <v>-1753095</v>
      </c>
      <c r="W44" s="239">
        <v>0</v>
      </c>
      <c r="X44" s="239">
        <v>-1753095</v>
      </c>
      <c r="Y44" s="239">
        <v>26824681</v>
      </c>
      <c r="Z44" s="239">
        <v>0</v>
      </c>
      <c r="AA44" s="239">
        <v>26824681</v>
      </c>
      <c r="AB44" s="239">
        <v>0</v>
      </c>
      <c r="AC44" s="239">
        <v>0</v>
      </c>
      <c r="AD44" s="239">
        <v>234277</v>
      </c>
      <c r="AE44" s="239">
        <v>0</v>
      </c>
      <c r="AF44" s="239">
        <v>234277</v>
      </c>
      <c r="AG44" s="239">
        <v>0</v>
      </c>
      <c r="AH44" s="239">
        <v>0</v>
      </c>
      <c r="AI44" s="239">
        <v>0</v>
      </c>
      <c r="AJ44" s="239">
        <v>0</v>
      </c>
      <c r="AK44" s="239">
        <v>0</v>
      </c>
      <c r="AL44" s="239">
        <v>0</v>
      </c>
      <c r="AM44" s="239">
        <v>0</v>
      </c>
      <c r="AN44" s="239">
        <v>0</v>
      </c>
      <c r="AO44" s="239">
        <v>0</v>
      </c>
      <c r="AP44" s="239">
        <v>0</v>
      </c>
      <c r="AQ44" s="239">
        <v>0</v>
      </c>
      <c r="AR44" s="239">
        <v>0</v>
      </c>
      <c r="AS44" s="239">
        <v>0</v>
      </c>
      <c r="AT44" s="239">
        <v>0</v>
      </c>
      <c r="AU44" s="239">
        <v>0</v>
      </c>
      <c r="AV44" s="239">
        <v>0</v>
      </c>
      <c r="AW44" s="239">
        <v>0</v>
      </c>
      <c r="AX44" s="239">
        <v>0</v>
      </c>
      <c r="AY44" s="239">
        <v>0</v>
      </c>
      <c r="AZ44" s="239">
        <v>0</v>
      </c>
      <c r="BA44" s="239">
        <v>0</v>
      </c>
      <c r="BB44" s="239">
        <v>0</v>
      </c>
      <c r="BC44" s="239">
        <v>1374980</v>
      </c>
      <c r="BD44" s="239">
        <v>-291287</v>
      </c>
      <c r="BE44" s="214" t="s">
        <v>170</v>
      </c>
      <c r="BF44" s="214" t="s">
        <v>755</v>
      </c>
      <c r="BG44" s="214" t="s">
        <v>753</v>
      </c>
      <c r="BH44" s="214" t="s">
        <v>1010</v>
      </c>
      <c r="BI44" s="214" t="s">
        <v>1010</v>
      </c>
      <c r="BJ44" s="214" t="s">
        <v>1158</v>
      </c>
    </row>
    <row r="45" spans="1:62" x14ac:dyDescent="0.2">
      <c r="B45" s="602" t="s">
        <v>173</v>
      </c>
      <c r="C45" s="602" t="s">
        <v>172</v>
      </c>
      <c r="D45" s="239">
        <v>49565052</v>
      </c>
      <c r="E45" s="239">
        <v>0</v>
      </c>
      <c r="F45" s="239">
        <v>49565052</v>
      </c>
      <c r="G45" s="239">
        <v>0</v>
      </c>
      <c r="H45" s="239">
        <v>0</v>
      </c>
      <c r="I45" s="239">
        <v>0</v>
      </c>
      <c r="J45" s="239">
        <v>-311634</v>
      </c>
      <c r="K45" s="239">
        <v>0</v>
      </c>
      <c r="L45" s="239">
        <v>-311634</v>
      </c>
      <c r="M45" s="239">
        <v>0</v>
      </c>
      <c r="N45" s="239">
        <v>0</v>
      </c>
      <c r="O45" s="239">
        <v>0</v>
      </c>
      <c r="P45" s="239">
        <v>-508145</v>
      </c>
      <c r="Q45" s="239">
        <v>0</v>
      </c>
      <c r="R45" s="239">
        <v>-508145</v>
      </c>
      <c r="S45" s="239">
        <v>877377</v>
      </c>
      <c r="T45" s="239">
        <v>0</v>
      </c>
      <c r="U45" s="239">
        <v>877377</v>
      </c>
      <c r="V45" s="239">
        <v>-6356041</v>
      </c>
      <c r="W45" s="239">
        <v>0</v>
      </c>
      <c r="X45" s="239">
        <v>-6356041</v>
      </c>
      <c r="Y45" s="239">
        <v>43578243</v>
      </c>
      <c r="Z45" s="239">
        <v>0</v>
      </c>
      <c r="AA45" s="239">
        <v>43578243</v>
      </c>
      <c r="AB45" s="239">
        <v>0</v>
      </c>
      <c r="AC45" s="239">
        <v>0</v>
      </c>
      <c r="AD45" s="239">
        <v>0</v>
      </c>
      <c r="AE45" s="239">
        <v>0</v>
      </c>
      <c r="AF45" s="239">
        <v>0</v>
      </c>
      <c r="AG45" s="239">
        <v>0</v>
      </c>
      <c r="AH45" s="239">
        <v>0</v>
      </c>
      <c r="AI45" s="239">
        <v>0</v>
      </c>
      <c r="AJ45" s="239">
        <v>0</v>
      </c>
      <c r="AK45" s="239">
        <v>0</v>
      </c>
      <c r="AL45" s="239">
        <v>0</v>
      </c>
      <c r="AM45" s="239">
        <v>0</v>
      </c>
      <c r="AN45" s="239">
        <v>0</v>
      </c>
      <c r="AO45" s="239">
        <v>0</v>
      </c>
      <c r="AP45" s="239">
        <v>0</v>
      </c>
      <c r="AQ45" s="239">
        <v>0</v>
      </c>
      <c r="AR45" s="239">
        <v>0</v>
      </c>
      <c r="AS45" s="239">
        <v>0</v>
      </c>
      <c r="AT45" s="239">
        <v>0</v>
      </c>
      <c r="AU45" s="239">
        <v>0</v>
      </c>
      <c r="AV45" s="239">
        <v>0</v>
      </c>
      <c r="AW45" s="239">
        <v>0</v>
      </c>
      <c r="AX45" s="239">
        <v>0</v>
      </c>
      <c r="AY45" s="239">
        <v>0</v>
      </c>
      <c r="AZ45" s="239">
        <v>0</v>
      </c>
      <c r="BA45" s="239">
        <v>0</v>
      </c>
      <c r="BB45" s="239">
        <v>0</v>
      </c>
      <c r="BC45" s="239">
        <v>7151634</v>
      </c>
      <c r="BD45" s="239">
        <v>-1519351</v>
      </c>
      <c r="BE45" s="214" t="s">
        <v>172</v>
      </c>
      <c r="BF45" s="214" t="s">
        <v>766</v>
      </c>
      <c r="BG45" s="214" t="s">
        <v>781</v>
      </c>
      <c r="BH45" s="214" t="s">
        <v>1010</v>
      </c>
      <c r="BI45" s="214" t="s">
        <v>1010</v>
      </c>
      <c r="BJ45" s="214" t="s">
        <v>1160</v>
      </c>
    </row>
    <row r="46" spans="1:62" x14ac:dyDescent="0.2">
      <c r="B46" s="602" t="s">
        <v>175</v>
      </c>
      <c r="C46" s="602" t="s">
        <v>174</v>
      </c>
      <c r="D46" s="239">
        <v>56191663</v>
      </c>
      <c r="E46" s="239">
        <v>0</v>
      </c>
      <c r="F46" s="239">
        <v>56191663</v>
      </c>
      <c r="G46" s="239">
        <v>-4549</v>
      </c>
      <c r="H46" s="239">
        <v>0</v>
      </c>
      <c r="I46" s="239">
        <v>-4549</v>
      </c>
      <c r="J46" s="239">
        <v>31475</v>
      </c>
      <c r="K46" s="239">
        <v>0</v>
      </c>
      <c r="L46" s="239">
        <v>31475</v>
      </c>
      <c r="M46" s="239">
        <v>0</v>
      </c>
      <c r="N46" s="239">
        <v>0</v>
      </c>
      <c r="O46" s="239">
        <v>0</v>
      </c>
      <c r="P46" s="239">
        <v>-722562</v>
      </c>
      <c r="Q46" s="239">
        <v>0</v>
      </c>
      <c r="R46" s="239">
        <v>-722562</v>
      </c>
      <c r="S46" s="239">
        <v>3665712</v>
      </c>
      <c r="T46" s="239">
        <v>0</v>
      </c>
      <c r="U46" s="239">
        <v>3665712</v>
      </c>
      <c r="V46" s="239">
        <v>-4291911</v>
      </c>
      <c r="W46" s="239">
        <v>0</v>
      </c>
      <c r="X46" s="239">
        <v>-4291911</v>
      </c>
      <c r="Y46" s="239">
        <v>54838353</v>
      </c>
      <c r="Z46" s="239">
        <v>0</v>
      </c>
      <c r="AA46" s="239">
        <v>54838353</v>
      </c>
      <c r="AB46" s="239">
        <v>0</v>
      </c>
      <c r="AC46" s="239">
        <v>0</v>
      </c>
      <c r="AD46" s="239">
        <v>345565</v>
      </c>
      <c r="AE46" s="239">
        <v>0</v>
      </c>
      <c r="AF46" s="239">
        <v>345565</v>
      </c>
      <c r="AG46" s="239">
        <v>0</v>
      </c>
      <c r="AH46" s="239">
        <v>0</v>
      </c>
      <c r="AI46" s="239">
        <v>0</v>
      </c>
      <c r="AJ46" s="239">
        <v>0</v>
      </c>
      <c r="AK46" s="239">
        <v>0</v>
      </c>
      <c r="AL46" s="239">
        <v>0</v>
      </c>
      <c r="AM46" s="239">
        <v>0</v>
      </c>
      <c r="AN46" s="239">
        <v>0</v>
      </c>
      <c r="AO46" s="239">
        <v>0</v>
      </c>
      <c r="AP46" s="239">
        <v>0</v>
      </c>
      <c r="AQ46" s="239">
        <v>0</v>
      </c>
      <c r="AR46" s="239">
        <v>0</v>
      </c>
      <c r="AS46" s="239">
        <v>0</v>
      </c>
      <c r="AT46" s="239">
        <v>0</v>
      </c>
      <c r="AU46" s="239">
        <v>0</v>
      </c>
      <c r="AV46" s="239">
        <v>0</v>
      </c>
      <c r="AW46" s="239">
        <v>0</v>
      </c>
      <c r="AX46" s="239">
        <v>0</v>
      </c>
      <c r="AY46" s="239">
        <v>0</v>
      </c>
      <c r="AZ46" s="239">
        <v>0</v>
      </c>
      <c r="BA46" s="239">
        <v>0</v>
      </c>
      <c r="BB46" s="239">
        <v>0</v>
      </c>
      <c r="BC46" s="239">
        <v>5850334</v>
      </c>
      <c r="BD46" s="239">
        <v>-1951194</v>
      </c>
      <c r="BE46" s="214" t="s">
        <v>174</v>
      </c>
      <c r="BF46" s="214" t="s">
        <v>766</v>
      </c>
      <c r="BG46" s="214" t="s">
        <v>816</v>
      </c>
      <c r="BH46" s="214" t="s">
        <v>1010</v>
      </c>
      <c r="BI46" s="214" t="s">
        <v>1010</v>
      </c>
      <c r="BJ46" s="214" t="s">
        <v>1160</v>
      </c>
    </row>
    <row r="47" spans="1:62" x14ac:dyDescent="0.2">
      <c r="B47" s="602" t="s">
        <v>177</v>
      </c>
      <c r="C47" s="602" t="s">
        <v>176</v>
      </c>
      <c r="D47" s="239">
        <v>104341097</v>
      </c>
      <c r="E47" s="239">
        <v>0</v>
      </c>
      <c r="F47" s="239">
        <v>104341097</v>
      </c>
      <c r="G47" s="239">
        <v>0</v>
      </c>
      <c r="H47" s="239">
        <v>0</v>
      </c>
      <c r="I47" s="239">
        <v>0</v>
      </c>
      <c r="J47" s="239">
        <v>0</v>
      </c>
      <c r="K47" s="239">
        <v>0</v>
      </c>
      <c r="L47" s="239">
        <v>0</v>
      </c>
      <c r="M47" s="239">
        <v>5847</v>
      </c>
      <c r="N47" s="239">
        <v>0</v>
      </c>
      <c r="O47" s="239">
        <v>5847</v>
      </c>
      <c r="P47" s="239">
        <v>-197724</v>
      </c>
      <c r="Q47" s="239">
        <v>0</v>
      </c>
      <c r="R47" s="239">
        <v>-197724</v>
      </c>
      <c r="S47" s="239">
        <v>4421461</v>
      </c>
      <c r="T47" s="239">
        <v>0</v>
      </c>
      <c r="U47" s="239">
        <v>4421461</v>
      </c>
      <c r="V47" s="239">
        <v>-5489911</v>
      </c>
      <c r="W47" s="239">
        <v>0</v>
      </c>
      <c r="X47" s="239">
        <v>-5489911</v>
      </c>
      <c r="Y47" s="239">
        <v>103080770</v>
      </c>
      <c r="Z47" s="239">
        <v>0</v>
      </c>
      <c r="AA47" s="239">
        <v>103080770</v>
      </c>
      <c r="AB47" s="239">
        <v>0</v>
      </c>
      <c r="AC47" s="239">
        <v>0</v>
      </c>
      <c r="AD47" s="239">
        <v>0</v>
      </c>
      <c r="AE47" s="239">
        <v>0</v>
      </c>
      <c r="AF47" s="239">
        <v>0</v>
      </c>
      <c r="AG47" s="239">
        <v>0</v>
      </c>
      <c r="AH47" s="239">
        <v>0</v>
      </c>
      <c r="AI47" s="239">
        <v>0</v>
      </c>
      <c r="AJ47" s="239">
        <v>0</v>
      </c>
      <c r="AK47" s="239">
        <v>0</v>
      </c>
      <c r="AL47" s="239">
        <v>0</v>
      </c>
      <c r="AM47" s="239">
        <v>0</v>
      </c>
      <c r="AN47" s="239">
        <v>0</v>
      </c>
      <c r="AO47" s="239">
        <v>0</v>
      </c>
      <c r="AP47" s="239">
        <v>0</v>
      </c>
      <c r="AQ47" s="239">
        <v>0</v>
      </c>
      <c r="AR47" s="239">
        <v>108591137</v>
      </c>
      <c r="AS47" s="239">
        <v>108591137</v>
      </c>
      <c r="AT47" s="239">
        <v>107856822</v>
      </c>
      <c r="AU47" s="239">
        <v>107856822</v>
      </c>
      <c r="AV47" s="239">
        <v>367158</v>
      </c>
      <c r="AW47" s="239">
        <v>367158</v>
      </c>
      <c r="AX47" s="239">
        <v>0</v>
      </c>
      <c r="AY47" s="239">
        <v>0</v>
      </c>
      <c r="AZ47" s="239">
        <v>367158</v>
      </c>
      <c r="BA47" s="239">
        <v>0</v>
      </c>
      <c r="BB47" s="239">
        <v>367158</v>
      </c>
      <c r="BC47" s="239">
        <v>2830772</v>
      </c>
      <c r="BD47" s="239">
        <v>-2532817</v>
      </c>
      <c r="BE47" s="214" t="s">
        <v>176</v>
      </c>
      <c r="BF47" s="214" t="s">
        <v>860</v>
      </c>
      <c r="BG47" s="214" t="s">
        <v>858</v>
      </c>
      <c r="BH47" s="214" t="s">
        <v>1010</v>
      </c>
      <c r="BI47" s="214" t="s">
        <v>1010</v>
      </c>
      <c r="BJ47" s="214" t="s">
        <v>1158</v>
      </c>
    </row>
    <row r="48" spans="1:62" x14ac:dyDescent="0.2">
      <c r="B48" s="602" t="s">
        <v>179</v>
      </c>
      <c r="C48" s="602" t="s">
        <v>178</v>
      </c>
      <c r="D48" s="239">
        <v>586105624</v>
      </c>
      <c r="E48" s="239">
        <v>0</v>
      </c>
      <c r="F48" s="239">
        <v>586105624</v>
      </c>
      <c r="G48" s="239">
        <v>0</v>
      </c>
      <c r="H48" s="239">
        <v>0</v>
      </c>
      <c r="I48" s="239">
        <v>0</v>
      </c>
      <c r="J48" s="239">
        <v>-2413377</v>
      </c>
      <c r="K48" s="239">
        <v>0</v>
      </c>
      <c r="L48" s="239">
        <v>-2413377</v>
      </c>
      <c r="M48" s="239">
        <v>0</v>
      </c>
      <c r="N48" s="239">
        <v>0</v>
      </c>
      <c r="O48" s="239">
        <v>0</v>
      </c>
      <c r="P48" s="239">
        <v>-2670675</v>
      </c>
      <c r="Q48" s="239">
        <v>0</v>
      </c>
      <c r="R48" s="239">
        <v>-2670675</v>
      </c>
      <c r="S48" s="239">
        <v>29761829</v>
      </c>
      <c r="T48" s="239">
        <v>0</v>
      </c>
      <c r="U48" s="239">
        <v>29761829</v>
      </c>
      <c r="V48" s="239">
        <v>-60673949</v>
      </c>
      <c r="W48" s="239">
        <v>0</v>
      </c>
      <c r="X48" s="239">
        <v>-60673949</v>
      </c>
      <c r="Y48" s="239">
        <v>552522829</v>
      </c>
      <c r="Z48" s="239">
        <v>0</v>
      </c>
      <c r="AA48" s="239">
        <v>552522829</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0</v>
      </c>
      <c r="AR48" s="239">
        <v>0</v>
      </c>
      <c r="AS48" s="239">
        <v>0</v>
      </c>
      <c r="AT48" s="239">
        <v>0</v>
      </c>
      <c r="AU48" s="239">
        <v>0</v>
      </c>
      <c r="AV48" s="239">
        <v>0</v>
      </c>
      <c r="AW48" s="239">
        <v>0</v>
      </c>
      <c r="AX48" s="239">
        <v>0</v>
      </c>
      <c r="AY48" s="239">
        <v>0</v>
      </c>
      <c r="AZ48" s="239">
        <v>0</v>
      </c>
      <c r="BA48" s="239">
        <v>0</v>
      </c>
      <c r="BB48" s="239">
        <v>0</v>
      </c>
      <c r="BC48" s="239">
        <v>11664504</v>
      </c>
      <c r="BD48" s="239">
        <v>-11446331</v>
      </c>
      <c r="BE48" s="214" t="s">
        <v>178</v>
      </c>
      <c r="BF48" s="214" t="s">
        <v>788</v>
      </c>
      <c r="BG48" s="214" t="s">
        <v>747</v>
      </c>
      <c r="BH48" s="214" t="s">
        <v>1010</v>
      </c>
      <c r="BI48" s="214" t="s">
        <v>1010</v>
      </c>
      <c r="BJ48" s="214" t="s">
        <v>1161</v>
      </c>
    </row>
    <row r="49" spans="2:62" x14ac:dyDescent="0.2">
      <c r="B49" s="602" t="s">
        <v>181</v>
      </c>
      <c r="C49" s="602" t="s">
        <v>180</v>
      </c>
      <c r="D49" s="239">
        <v>30468789</v>
      </c>
      <c r="E49" s="239">
        <v>0</v>
      </c>
      <c r="F49" s="239">
        <v>30468789</v>
      </c>
      <c r="G49" s="239">
        <v>0</v>
      </c>
      <c r="H49" s="239">
        <v>0</v>
      </c>
      <c r="I49" s="239">
        <v>0</v>
      </c>
      <c r="J49" s="239">
        <v>-300113</v>
      </c>
      <c r="K49" s="239">
        <v>0</v>
      </c>
      <c r="L49" s="239">
        <v>-300113</v>
      </c>
      <c r="M49" s="239">
        <v>0</v>
      </c>
      <c r="N49" s="239">
        <v>0</v>
      </c>
      <c r="O49" s="239">
        <v>0</v>
      </c>
      <c r="P49" s="239">
        <v>-209256</v>
      </c>
      <c r="Q49" s="239">
        <v>0</v>
      </c>
      <c r="R49" s="239">
        <v>-209256</v>
      </c>
      <c r="S49" s="239">
        <v>2519372</v>
      </c>
      <c r="T49" s="239">
        <v>0</v>
      </c>
      <c r="U49" s="239">
        <v>2519372</v>
      </c>
      <c r="V49" s="239">
        <v>-1406574</v>
      </c>
      <c r="W49" s="239">
        <v>0</v>
      </c>
      <c r="X49" s="239">
        <v>-1406574</v>
      </c>
      <c r="Y49" s="239">
        <v>31372331</v>
      </c>
      <c r="Z49" s="239">
        <v>0</v>
      </c>
      <c r="AA49" s="239">
        <v>31372331</v>
      </c>
      <c r="AB49" s="239">
        <v>0</v>
      </c>
      <c r="AC49" s="239">
        <v>0</v>
      </c>
      <c r="AD49" s="239">
        <v>0</v>
      </c>
      <c r="AE49" s="239">
        <v>0</v>
      </c>
      <c r="AF49" s="239">
        <v>0</v>
      </c>
      <c r="AG49" s="239">
        <v>0</v>
      </c>
      <c r="AH49" s="239">
        <v>0</v>
      </c>
      <c r="AI49" s="239">
        <v>0</v>
      </c>
      <c r="AJ49" s="239">
        <v>0</v>
      </c>
      <c r="AK49" s="239">
        <v>0</v>
      </c>
      <c r="AL49" s="239">
        <v>0</v>
      </c>
      <c r="AM49" s="239">
        <v>0</v>
      </c>
      <c r="AN49" s="239">
        <v>0</v>
      </c>
      <c r="AO49" s="239">
        <v>0</v>
      </c>
      <c r="AP49" s="239">
        <v>0</v>
      </c>
      <c r="AQ49" s="239">
        <v>0</v>
      </c>
      <c r="AR49" s="239">
        <v>0</v>
      </c>
      <c r="AS49" s="239">
        <v>0</v>
      </c>
      <c r="AT49" s="239">
        <v>0</v>
      </c>
      <c r="AU49" s="239">
        <v>0</v>
      </c>
      <c r="AV49" s="239">
        <v>0</v>
      </c>
      <c r="AW49" s="239">
        <v>0</v>
      </c>
      <c r="AX49" s="239">
        <v>0</v>
      </c>
      <c r="AY49" s="239">
        <v>0</v>
      </c>
      <c r="AZ49" s="239">
        <v>0</v>
      </c>
      <c r="BA49" s="239">
        <v>0</v>
      </c>
      <c r="BB49" s="239">
        <v>0</v>
      </c>
      <c r="BC49" s="239">
        <v>1583865</v>
      </c>
      <c r="BD49" s="239">
        <v>-289048</v>
      </c>
      <c r="BE49" s="214" t="s">
        <v>180</v>
      </c>
      <c r="BF49" s="214" t="s">
        <v>836</v>
      </c>
      <c r="BG49" s="214" t="s">
        <v>834</v>
      </c>
      <c r="BH49" s="214" t="s">
        <v>1010</v>
      </c>
      <c r="BI49" s="214" t="s">
        <v>1010</v>
      </c>
      <c r="BJ49" s="214" t="s">
        <v>1158</v>
      </c>
    </row>
    <row r="50" spans="2:62" x14ac:dyDescent="0.2">
      <c r="B50" s="602" t="s">
        <v>183</v>
      </c>
      <c r="C50" s="602" t="s">
        <v>182</v>
      </c>
      <c r="D50" s="239">
        <v>52039783</v>
      </c>
      <c r="E50" s="239">
        <v>0</v>
      </c>
      <c r="F50" s="239">
        <v>52039783</v>
      </c>
      <c r="G50" s="239">
        <v>0</v>
      </c>
      <c r="H50" s="239">
        <v>0</v>
      </c>
      <c r="I50" s="239">
        <v>0</v>
      </c>
      <c r="J50" s="239">
        <v>-134740</v>
      </c>
      <c r="K50" s="239">
        <v>0</v>
      </c>
      <c r="L50" s="239">
        <v>-134740</v>
      </c>
      <c r="M50" s="239">
        <v>0</v>
      </c>
      <c r="N50" s="239">
        <v>0</v>
      </c>
      <c r="O50" s="239">
        <v>0</v>
      </c>
      <c r="P50" s="239">
        <v>-98408</v>
      </c>
      <c r="Q50" s="239">
        <v>0</v>
      </c>
      <c r="R50" s="239">
        <v>-98408</v>
      </c>
      <c r="S50" s="239">
        <v>2259050</v>
      </c>
      <c r="T50" s="239">
        <v>0</v>
      </c>
      <c r="U50" s="239">
        <v>2259050</v>
      </c>
      <c r="V50" s="239">
        <v>-3704642</v>
      </c>
      <c r="W50" s="239">
        <v>0</v>
      </c>
      <c r="X50" s="239">
        <v>-3704642</v>
      </c>
      <c r="Y50" s="239">
        <v>50495783</v>
      </c>
      <c r="Z50" s="239">
        <v>0</v>
      </c>
      <c r="AA50" s="239">
        <v>50495783</v>
      </c>
      <c r="AB50" s="239">
        <v>0</v>
      </c>
      <c r="AC50" s="239">
        <v>0</v>
      </c>
      <c r="AD50" s="239">
        <v>328566</v>
      </c>
      <c r="AE50" s="239">
        <v>0</v>
      </c>
      <c r="AF50" s="239">
        <v>328566</v>
      </c>
      <c r="AG50" s="239">
        <v>0</v>
      </c>
      <c r="AH50" s="239">
        <v>0</v>
      </c>
      <c r="AI50" s="239">
        <v>0</v>
      </c>
      <c r="AJ50" s="239">
        <v>0</v>
      </c>
      <c r="AK50" s="239">
        <v>0</v>
      </c>
      <c r="AL50" s="239">
        <v>0</v>
      </c>
      <c r="AM50" s="239">
        <v>0</v>
      </c>
      <c r="AN50" s="239">
        <v>0</v>
      </c>
      <c r="AO50" s="239">
        <v>0</v>
      </c>
      <c r="AP50" s="239">
        <v>0</v>
      </c>
      <c r="AQ50" s="239">
        <v>0</v>
      </c>
      <c r="AR50" s="239">
        <v>0</v>
      </c>
      <c r="AS50" s="239">
        <v>0</v>
      </c>
      <c r="AT50" s="239">
        <v>0</v>
      </c>
      <c r="AU50" s="239">
        <v>0</v>
      </c>
      <c r="AV50" s="239">
        <v>0</v>
      </c>
      <c r="AW50" s="239">
        <v>0</v>
      </c>
      <c r="AX50" s="239">
        <v>0</v>
      </c>
      <c r="AY50" s="239">
        <v>0</v>
      </c>
      <c r="AZ50" s="239">
        <v>0</v>
      </c>
      <c r="BA50" s="239">
        <v>0</v>
      </c>
      <c r="BB50" s="239">
        <v>0</v>
      </c>
      <c r="BC50" s="239">
        <v>1416247</v>
      </c>
      <c r="BD50" s="239">
        <v>-1123405</v>
      </c>
      <c r="BE50" s="214" t="s">
        <v>182</v>
      </c>
      <c r="BF50" s="214" t="s">
        <v>824</v>
      </c>
      <c r="BG50" s="214" t="s">
        <v>822</v>
      </c>
      <c r="BH50" s="214" t="s">
        <v>1010</v>
      </c>
      <c r="BI50" s="214" t="s">
        <v>1010</v>
      </c>
      <c r="BJ50" s="214" t="s">
        <v>1158</v>
      </c>
    </row>
    <row r="51" spans="2:62" x14ac:dyDescent="0.2">
      <c r="B51" s="602" t="s">
        <v>185</v>
      </c>
      <c r="C51" s="602" t="s">
        <v>184</v>
      </c>
      <c r="D51" s="239">
        <v>42344428</v>
      </c>
      <c r="E51" s="239">
        <v>1475064</v>
      </c>
      <c r="F51" s="239">
        <v>43819492</v>
      </c>
      <c r="G51" s="239">
        <v>0</v>
      </c>
      <c r="H51" s="239">
        <v>0</v>
      </c>
      <c r="I51" s="239">
        <v>0</v>
      </c>
      <c r="J51" s="239">
        <v>-80519</v>
      </c>
      <c r="K51" s="239">
        <v>16</v>
      </c>
      <c r="L51" s="239">
        <v>-80503</v>
      </c>
      <c r="M51" s="239">
        <v>0</v>
      </c>
      <c r="N51" s="239">
        <v>0</v>
      </c>
      <c r="O51" s="239">
        <v>0</v>
      </c>
      <c r="P51" s="239">
        <v>-29835</v>
      </c>
      <c r="Q51" s="239">
        <v>16</v>
      </c>
      <c r="R51" s="239">
        <v>-29819</v>
      </c>
      <c r="S51" s="239">
        <v>1138714</v>
      </c>
      <c r="T51" s="239">
        <v>6298</v>
      </c>
      <c r="U51" s="239">
        <v>1145012</v>
      </c>
      <c r="V51" s="239">
        <v>-1027594</v>
      </c>
      <c r="W51" s="239">
        <v>-40149</v>
      </c>
      <c r="X51" s="239">
        <v>-1067743</v>
      </c>
      <c r="Y51" s="239">
        <v>42425713</v>
      </c>
      <c r="Z51" s="239">
        <v>1441229</v>
      </c>
      <c r="AA51" s="239">
        <v>43866942</v>
      </c>
      <c r="AB51" s="239">
        <v>1441229</v>
      </c>
      <c r="AC51" s="239">
        <v>1441229</v>
      </c>
      <c r="AD51" s="239">
        <v>329167</v>
      </c>
      <c r="AE51" s="239">
        <v>5123</v>
      </c>
      <c r="AF51" s="239">
        <v>334290</v>
      </c>
      <c r="AG51" s="239">
        <v>-17624</v>
      </c>
      <c r="AH51" s="239">
        <v>-17624</v>
      </c>
      <c r="AI51" s="239">
        <v>1627916</v>
      </c>
      <c r="AJ51" s="239">
        <v>1627916</v>
      </c>
      <c r="AK51" s="239">
        <v>0</v>
      </c>
      <c r="AL51" s="239">
        <v>0</v>
      </c>
      <c r="AM51" s="239">
        <v>0</v>
      </c>
      <c r="AN51" s="239">
        <v>0</v>
      </c>
      <c r="AO51" s="239">
        <v>0</v>
      </c>
      <c r="AP51" s="239">
        <v>40825</v>
      </c>
      <c r="AQ51" s="239">
        <v>40825</v>
      </c>
      <c r="AR51" s="239">
        <v>0</v>
      </c>
      <c r="AS51" s="239">
        <v>0</v>
      </c>
      <c r="AT51" s="239">
        <v>0</v>
      </c>
      <c r="AU51" s="239">
        <v>0</v>
      </c>
      <c r="AV51" s="239">
        <v>0</v>
      </c>
      <c r="AW51" s="239">
        <v>0</v>
      </c>
      <c r="AX51" s="239">
        <v>0</v>
      </c>
      <c r="AY51" s="239">
        <v>0</v>
      </c>
      <c r="AZ51" s="239">
        <v>0</v>
      </c>
      <c r="BA51" s="239">
        <v>40825</v>
      </c>
      <c r="BB51" s="239">
        <v>40825</v>
      </c>
      <c r="BC51" s="239">
        <v>2013314</v>
      </c>
      <c r="BD51" s="239">
        <v>-691883</v>
      </c>
      <c r="BE51" s="214" t="s">
        <v>184</v>
      </c>
      <c r="BF51" s="214" t="s">
        <v>849</v>
      </c>
      <c r="BG51" s="214" t="s">
        <v>761</v>
      </c>
      <c r="BH51" s="214" t="s">
        <v>1010</v>
      </c>
      <c r="BI51" s="214" t="s">
        <v>1010</v>
      </c>
      <c r="BJ51" s="214" t="s">
        <v>1158</v>
      </c>
    </row>
    <row r="52" spans="2:62" x14ac:dyDescent="0.2">
      <c r="B52" s="602" t="s">
        <v>187</v>
      </c>
      <c r="C52" s="602" t="s">
        <v>186</v>
      </c>
      <c r="D52" s="239">
        <v>14186896</v>
      </c>
      <c r="E52" s="239">
        <v>0</v>
      </c>
      <c r="F52" s="239">
        <v>14186896</v>
      </c>
      <c r="G52" s="239">
        <v>0</v>
      </c>
      <c r="H52" s="239">
        <v>0</v>
      </c>
      <c r="I52" s="239">
        <v>0</v>
      </c>
      <c r="J52" s="239">
        <v>-52736</v>
      </c>
      <c r="K52" s="239">
        <v>0</v>
      </c>
      <c r="L52" s="239">
        <v>-52736</v>
      </c>
      <c r="M52" s="239">
        <v>0</v>
      </c>
      <c r="N52" s="239">
        <v>0</v>
      </c>
      <c r="O52" s="239">
        <v>0</v>
      </c>
      <c r="P52" s="239">
        <v>-108633</v>
      </c>
      <c r="Q52" s="239">
        <v>0</v>
      </c>
      <c r="R52" s="239">
        <v>-108633</v>
      </c>
      <c r="S52" s="239">
        <v>1053656</v>
      </c>
      <c r="T52" s="239">
        <v>0</v>
      </c>
      <c r="U52" s="239">
        <v>1053656</v>
      </c>
      <c r="V52" s="239">
        <v>-583656</v>
      </c>
      <c r="W52" s="239">
        <v>0</v>
      </c>
      <c r="X52" s="239">
        <v>-583656</v>
      </c>
      <c r="Y52" s="239">
        <v>14548263</v>
      </c>
      <c r="Z52" s="239">
        <v>0</v>
      </c>
      <c r="AA52" s="239">
        <v>14548263</v>
      </c>
      <c r="AB52" s="239">
        <v>0</v>
      </c>
      <c r="AC52" s="239">
        <v>0</v>
      </c>
      <c r="AD52" s="239">
        <v>0</v>
      </c>
      <c r="AE52" s="239">
        <v>0</v>
      </c>
      <c r="AF52" s="239">
        <v>0</v>
      </c>
      <c r="AG52" s="239">
        <v>0</v>
      </c>
      <c r="AH52" s="239">
        <v>0</v>
      </c>
      <c r="AI52" s="239">
        <v>0</v>
      </c>
      <c r="AJ52" s="239">
        <v>0</v>
      </c>
      <c r="AK52" s="239">
        <v>0</v>
      </c>
      <c r="AL52" s="239">
        <v>0</v>
      </c>
      <c r="AM52" s="239">
        <v>0</v>
      </c>
      <c r="AN52" s="239">
        <v>0</v>
      </c>
      <c r="AO52" s="239">
        <v>0</v>
      </c>
      <c r="AP52" s="239">
        <v>0</v>
      </c>
      <c r="AQ52" s="239">
        <v>0</v>
      </c>
      <c r="AR52" s="239">
        <v>0</v>
      </c>
      <c r="AS52" s="239">
        <v>0</v>
      </c>
      <c r="AT52" s="239">
        <v>0</v>
      </c>
      <c r="AU52" s="239">
        <v>0</v>
      </c>
      <c r="AV52" s="239">
        <v>0</v>
      </c>
      <c r="AW52" s="239">
        <v>0</v>
      </c>
      <c r="AX52" s="239">
        <v>0</v>
      </c>
      <c r="AY52" s="239">
        <v>0</v>
      </c>
      <c r="AZ52" s="239">
        <v>0</v>
      </c>
      <c r="BA52" s="239">
        <v>0</v>
      </c>
      <c r="BB52" s="239">
        <v>0</v>
      </c>
      <c r="BC52" s="239">
        <v>312429</v>
      </c>
      <c r="BD52" s="239">
        <v>-413806</v>
      </c>
      <c r="BE52" s="214" t="s">
        <v>186</v>
      </c>
      <c r="BF52" s="214" t="s">
        <v>820</v>
      </c>
      <c r="BG52" s="214" t="s">
        <v>818</v>
      </c>
      <c r="BH52" s="214" t="s">
        <v>1010</v>
      </c>
      <c r="BI52" s="214" t="s">
        <v>1010</v>
      </c>
      <c r="BJ52" s="214" t="s">
        <v>1158</v>
      </c>
    </row>
    <row r="53" spans="2:62" x14ac:dyDescent="0.2">
      <c r="B53" s="602" t="s">
        <v>189</v>
      </c>
      <c r="C53" s="602" t="s">
        <v>188</v>
      </c>
      <c r="D53" s="239">
        <v>85936358</v>
      </c>
      <c r="E53" s="239">
        <v>0</v>
      </c>
      <c r="F53" s="239">
        <v>85936358</v>
      </c>
      <c r="G53" s="239">
        <v>0</v>
      </c>
      <c r="H53" s="239">
        <v>0</v>
      </c>
      <c r="I53" s="239">
        <v>0</v>
      </c>
      <c r="J53" s="239">
        <v>-546016</v>
      </c>
      <c r="K53" s="239">
        <v>0</v>
      </c>
      <c r="L53" s="239">
        <v>-546016</v>
      </c>
      <c r="M53" s="239">
        <v>-263766</v>
      </c>
      <c r="N53" s="239">
        <v>0</v>
      </c>
      <c r="O53" s="239">
        <v>-263766</v>
      </c>
      <c r="P53" s="239">
        <v>-608123</v>
      </c>
      <c r="Q53" s="239">
        <v>0</v>
      </c>
      <c r="R53" s="239">
        <v>-608123</v>
      </c>
      <c r="S53" s="239">
        <v>1688119</v>
      </c>
      <c r="T53" s="239">
        <v>0</v>
      </c>
      <c r="U53" s="239">
        <v>1688119</v>
      </c>
      <c r="V53" s="239">
        <v>-1644023</v>
      </c>
      <c r="W53" s="239">
        <v>0</v>
      </c>
      <c r="X53" s="239">
        <v>-1644023</v>
      </c>
      <c r="Y53" s="239">
        <v>85108565</v>
      </c>
      <c r="Z53" s="239">
        <v>0</v>
      </c>
      <c r="AA53" s="239">
        <v>85108565</v>
      </c>
      <c r="AB53" s="239">
        <v>0</v>
      </c>
      <c r="AC53" s="239">
        <v>0</v>
      </c>
      <c r="AD53" s="239">
        <v>363795</v>
      </c>
      <c r="AE53" s="239">
        <v>0</v>
      </c>
      <c r="AF53" s="239">
        <v>363795</v>
      </c>
      <c r="AG53" s="239">
        <v>0</v>
      </c>
      <c r="AH53" s="239">
        <v>0</v>
      </c>
      <c r="AI53" s="239">
        <v>0</v>
      </c>
      <c r="AJ53" s="239">
        <v>0</v>
      </c>
      <c r="AK53" s="239">
        <v>0</v>
      </c>
      <c r="AL53" s="239">
        <v>0</v>
      </c>
      <c r="AM53" s="239">
        <v>0</v>
      </c>
      <c r="AN53" s="239">
        <v>0</v>
      </c>
      <c r="AO53" s="239">
        <v>0</v>
      </c>
      <c r="AP53" s="239">
        <v>0</v>
      </c>
      <c r="AQ53" s="239">
        <v>0</v>
      </c>
      <c r="AR53" s="239">
        <v>0</v>
      </c>
      <c r="AS53" s="239">
        <v>0</v>
      </c>
      <c r="AT53" s="239">
        <v>0</v>
      </c>
      <c r="AU53" s="239">
        <v>0</v>
      </c>
      <c r="AV53" s="239">
        <v>0</v>
      </c>
      <c r="AW53" s="239">
        <v>0</v>
      </c>
      <c r="AX53" s="239">
        <v>0</v>
      </c>
      <c r="AY53" s="239">
        <v>0</v>
      </c>
      <c r="AZ53" s="239">
        <v>0</v>
      </c>
      <c r="BA53" s="239">
        <v>0</v>
      </c>
      <c r="BB53" s="239">
        <v>0</v>
      </c>
      <c r="BC53" s="239">
        <v>3268122</v>
      </c>
      <c r="BD53" s="239">
        <v>-1220434</v>
      </c>
      <c r="BE53" s="214" t="s">
        <v>188</v>
      </c>
      <c r="BF53" s="214" t="s">
        <v>746</v>
      </c>
      <c r="BG53" s="214" t="s">
        <v>896</v>
      </c>
      <c r="BH53" s="214" t="s">
        <v>1010</v>
      </c>
      <c r="BI53" s="214" t="s">
        <v>1010</v>
      </c>
      <c r="BJ53" s="214" t="s">
        <v>746</v>
      </c>
    </row>
    <row r="54" spans="2:62" x14ac:dyDescent="0.2">
      <c r="B54" s="602" t="s">
        <v>191</v>
      </c>
      <c r="C54" s="602" t="s">
        <v>190</v>
      </c>
      <c r="D54" s="239">
        <v>43676515</v>
      </c>
      <c r="E54" s="239">
        <v>115544</v>
      </c>
      <c r="F54" s="239">
        <v>43792059</v>
      </c>
      <c r="G54" s="239">
        <v>0</v>
      </c>
      <c r="H54" s="239">
        <v>0</v>
      </c>
      <c r="I54" s="239">
        <v>0</v>
      </c>
      <c r="J54" s="239">
        <v>-258380</v>
      </c>
      <c r="K54" s="239">
        <v>0</v>
      </c>
      <c r="L54" s="239">
        <v>-258380</v>
      </c>
      <c r="M54" s="239">
        <v>0</v>
      </c>
      <c r="N54" s="239">
        <v>0</v>
      </c>
      <c r="O54" s="239">
        <v>0</v>
      </c>
      <c r="P54" s="239">
        <v>-353859</v>
      </c>
      <c r="Q54" s="239">
        <v>0</v>
      </c>
      <c r="R54" s="239">
        <v>-353859</v>
      </c>
      <c r="S54" s="239">
        <v>1959291</v>
      </c>
      <c r="T54" s="239">
        <v>0</v>
      </c>
      <c r="U54" s="239">
        <v>1959291</v>
      </c>
      <c r="V54" s="239">
        <v>-1801309</v>
      </c>
      <c r="W54" s="239">
        <v>0</v>
      </c>
      <c r="X54" s="239">
        <v>-1801309</v>
      </c>
      <c r="Y54" s="239">
        <v>43480638</v>
      </c>
      <c r="Z54" s="239">
        <v>115544</v>
      </c>
      <c r="AA54" s="239">
        <v>43596182</v>
      </c>
      <c r="AB54" s="239">
        <v>115544</v>
      </c>
      <c r="AC54" s="239">
        <v>115544</v>
      </c>
      <c r="AD54" s="239">
        <v>191811</v>
      </c>
      <c r="AE54" s="239">
        <v>0</v>
      </c>
      <c r="AF54" s="239">
        <v>191811</v>
      </c>
      <c r="AG54" s="239">
        <v>8996</v>
      </c>
      <c r="AH54" s="239">
        <v>8996</v>
      </c>
      <c r="AI54" s="239">
        <v>119000</v>
      </c>
      <c r="AJ54" s="239">
        <v>119000</v>
      </c>
      <c r="AK54" s="239">
        <v>5540</v>
      </c>
      <c r="AL54" s="239">
        <v>0</v>
      </c>
      <c r="AM54" s="239">
        <v>0</v>
      </c>
      <c r="AN54" s="239">
        <v>0</v>
      </c>
      <c r="AO54" s="239">
        <v>0</v>
      </c>
      <c r="AP54" s="239">
        <v>0</v>
      </c>
      <c r="AQ54" s="239">
        <v>0</v>
      </c>
      <c r="AR54" s="239">
        <v>0</v>
      </c>
      <c r="AS54" s="239">
        <v>0</v>
      </c>
      <c r="AT54" s="239">
        <v>0</v>
      </c>
      <c r="AU54" s="239">
        <v>0</v>
      </c>
      <c r="AV54" s="239">
        <v>0</v>
      </c>
      <c r="AW54" s="239">
        <v>0</v>
      </c>
      <c r="AX54" s="239">
        <v>0</v>
      </c>
      <c r="AY54" s="239">
        <v>0</v>
      </c>
      <c r="AZ54" s="239">
        <v>0</v>
      </c>
      <c r="BA54" s="239">
        <v>0</v>
      </c>
      <c r="BB54" s="239">
        <v>0</v>
      </c>
      <c r="BC54" s="239">
        <v>838537</v>
      </c>
      <c r="BD54" s="239">
        <v>-926541</v>
      </c>
      <c r="BE54" s="214" t="s">
        <v>190</v>
      </c>
      <c r="BF54" s="214" t="s">
        <v>882</v>
      </c>
      <c r="BG54" s="214" t="s">
        <v>867</v>
      </c>
      <c r="BH54" s="214" t="s">
        <v>1010</v>
      </c>
      <c r="BI54" s="214" t="s">
        <v>1010</v>
      </c>
      <c r="BJ54" s="214" t="s">
        <v>1158</v>
      </c>
    </row>
    <row r="55" spans="2:62" x14ac:dyDescent="0.2">
      <c r="B55" s="602" t="s">
        <v>193</v>
      </c>
      <c r="C55" s="602" t="s">
        <v>192</v>
      </c>
      <c r="D55" s="239">
        <v>80224345</v>
      </c>
      <c r="E55" s="239">
        <v>0</v>
      </c>
      <c r="F55" s="239">
        <v>80224345</v>
      </c>
      <c r="G55" s="239">
        <v>0</v>
      </c>
      <c r="H55" s="239">
        <v>0</v>
      </c>
      <c r="I55" s="239">
        <v>0</v>
      </c>
      <c r="J55" s="239">
        <v>0</v>
      </c>
      <c r="K55" s="239">
        <v>0</v>
      </c>
      <c r="L55" s="239">
        <v>0</v>
      </c>
      <c r="M55" s="239">
        <v>-286591</v>
      </c>
      <c r="N55" s="239">
        <v>0</v>
      </c>
      <c r="O55" s="239">
        <v>-286591</v>
      </c>
      <c r="P55" s="239">
        <v>-44440</v>
      </c>
      <c r="Q55" s="239">
        <v>0</v>
      </c>
      <c r="R55" s="239">
        <v>-44440</v>
      </c>
      <c r="S55" s="239">
        <v>2501076</v>
      </c>
      <c r="T55" s="239">
        <v>0</v>
      </c>
      <c r="U55" s="239">
        <v>2501076</v>
      </c>
      <c r="V55" s="239">
        <v>-1235787</v>
      </c>
      <c r="W55" s="239">
        <v>0</v>
      </c>
      <c r="X55" s="239">
        <v>-1235787</v>
      </c>
      <c r="Y55" s="239">
        <v>81158603</v>
      </c>
      <c r="Z55" s="239">
        <v>0</v>
      </c>
      <c r="AA55" s="239">
        <v>81158603</v>
      </c>
      <c r="AB55" s="239">
        <v>0</v>
      </c>
      <c r="AC55" s="239">
        <v>0</v>
      </c>
      <c r="AD55" s="239">
        <v>0</v>
      </c>
      <c r="AE55" s="239">
        <v>0</v>
      </c>
      <c r="AF55" s="239">
        <v>0</v>
      </c>
      <c r="AG55" s="239">
        <v>0</v>
      </c>
      <c r="AH55" s="239">
        <v>0</v>
      </c>
      <c r="AI55" s="239">
        <v>0</v>
      </c>
      <c r="AJ55" s="239">
        <v>0</v>
      </c>
      <c r="AK55" s="239">
        <v>0</v>
      </c>
      <c r="AL55" s="239">
        <v>0</v>
      </c>
      <c r="AM55" s="239">
        <v>0</v>
      </c>
      <c r="AN55" s="239">
        <v>0</v>
      </c>
      <c r="AO55" s="239">
        <v>0</v>
      </c>
      <c r="AP55" s="239">
        <v>0</v>
      </c>
      <c r="AQ55" s="239">
        <v>0</v>
      </c>
      <c r="AR55" s="239">
        <v>0</v>
      </c>
      <c r="AS55" s="239">
        <v>0</v>
      </c>
      <c r="AT55" s="239">
        <v>0</v>
      </c>
      <c r="AU55" s="239">
        <v>0</v>
      </c>
      <c r="AV55" s="239">
        <v>0</v>
      </c>
      <c r="AW55" s="239">
        <v>0</v>
      </c>
      <c r="AX55" s="239">
        <v>0</v>
      </c>
      <c r="AY55" s="239">
        <v>0</v>
      </c>
      <c r="AZ55" s="239">
        <v>0</v>
      </c>
      <c r="BA55" s="239">
        <v>0</v>
      </c>
      <c r="BB55" s="239">
        <v>0</v>
      </c>
      <c r="BC55" s="239">
        <v>2729029</v>
      </c>
      <c r="BD55" s="239">
        <v>-2323431</v>
      </c>
      <c r="BE55" s="214" t="s">
        <v>192</v>
      </c>
      <c r="BF55" s="214" t="s">
        <v>820</v>
      </c>
      <c r="BG55" s="214" t="s">
        <v>818</v>
      </c>
      <c r="BH55" s="214" t="s">
        <v>1010</v>
      </c>
      <c r="BI55" s="214" t="s">
        <v>1010</v>
      </c>
      <c r="BJ55" s="214" t="s">
        <v>1158</v>
      </c>
    </row>
    <row r="56" spans="2:62" x14ac:dyDescent="0.2">
      <c r="B56" s="602" t="s">
        <v>195</v>
      </c>
      <c r="C56" s="602" t="s">
        <v>194</v>
      </c>
      <c r="D56" s="239">
        <v>55581196</v>
      </c>
      <c r="E56" s="239">
        <v>0</v>
      </c>
      <c r="F56" s="239">
        <v>55581196</v>
      </c>
      <c r="G56" s="239">
        <v>0</v>
      </c>
      <c r="H56" s="239">
        <v>0</v>
      </c>
      <c r="I56" s="239">
        <v>0</v>
      </c>
      <c r="J56" s="239">
        <v>-204951</v>
      </c>
      <c r="K56" s="239">
        <v>0</v>
      </c>
      <c r="L56" s="239">
        <v>-204951</v>
      </c>
      <c r="M56" s="239">
        <v>0</v>
      </c>
      <c r="N56" s="239">
        <v>0</v>
      </c>
      <c r="O56" s="239">
        <v>0</v>
      </c>
      <c r="P56" s="239">
        <v>-221081</v>
      </c>
      <c r="Q56" s="239">
        <v>0</v>
      </c>
      <c r="R56" s="239">
        <v>-221081</v>
      </c>
      <c r="S56" s="239">
        <v>1309995</v>
      </c>
      <c r="T56" s="239">
        <v>0</v>
      </c>
      <c r="U56" s="239">
        <v>1309995</v>
      </c>
      <c r="V56" s="239">
        <v>-1625414</v>
      </c>
      <c r="W56" s="239">
        <v>0</v>
      </c>
      <c r="X56" s="239">
        <v>-1625414</v>
      </c>
      <c r="Y56" s="239">
        <v>55044696</v>
      </c>
      <c r="Z56" s="239">
        <v>0</v>
      </c>
      <c r="AA56" s="239">
        <v>55044696</v>
      </c>
      <c r="AB56" s="239">
        <v>0</v>
      </c>
      <c r="AC56" s="239">
        <v>0</v>
      </c>
      <c r="AD56" s="239">
        <v>0</v>
      </c>
      <c r="AE56" s="239">
        <v>0</v>
      </c>
      <c r="AF56" s="239">
        <v>0</v>
      </c>
      <c r="AG56" s="239">
        <v>0</v>
      </c>
      <c r="AH56" s="239">
        <v>0</v>
      </c>
      <c r="AI56" s="239">
        <v>0</v>
      </c>
      <c r="AJ56" s="239">
        <v>0</v>
      </c>
      <c r="AK56" s="239">
        <v>0</v>
      </c>
      <c r="AL56" s="239">
        <v>0</v>
      </c>
      <c r="AM56" s="239">
        <v>0</v>
      </c>
      <c r="AN56" s="239">
        <v>0</v>
      </c>
      <c r="AO56" s="239">
        <v>0</v>
      </c>
      <c r="AP56" s="239">
        <v>0</v>
      </c>
      <c r="AQ56" s="239">
        <v>0</v>
      </c>
      <c r="AR56" s="239">
        <v>0</v>
      </c>
      <c r="AS56" s="239">
        <v>0</v>
      </c>
      <c r="AT56" s="239">
        <v>0</v>
      </c>
      <c r="AU56" s="239">
        <v>0</v>
      </c>
      <c r="AV56" s="239">
        <v>0</v>
      </c>
      <c r="AW56" s="239">
        <v>0</v>
      </c>
      <c r="AX56" s="239">
        <v>0</v>
      </c>
      <c r="AY56" s="239">
        <v>0</v>
      </c>
      <c r="AZ56" s="239">
        <v>0</v>
      </c>
      <c r="BA56" s="239">
        <v>0</v>
      </c>
      <c r="BB56" s="239">
        <v>0</v>
      </c>
      <c r="BC56" s="239">
        <v>1247050</v>
      </c>
      <c r="BD56" s="239">
        <v>-5094822</v>
      </c>
      <c r="BE56" s="214" t="s">
        <v>194</v>
      </c>
      <c r="BF56" s="214" t="s">
        <v>829</v>
      </c>
      <c r="BG56" s="214" t="s">
        <v>761</v>
      </c>
      <c r="BH56" s="214" t="s">
        <v>1010</v>
      </c>
      <c r="BI56" s="214" t="s">
        <v>1010</v>
      </c>
      <c r="BJ56" s="214" t="s">
        <v>1158</v>
      </c>
    </row>
    <row r="57" spans="2:62" x14ac:dyDescent="0.2">
      <c r="B57" s="602" t="s">
        <v>197</v>
      </c>
      <c r="C57" s="602" t="s">
        <v>196</v>
      </c>
      <c r="D57" s="239">
        <v>89402646</v>
      </c>
      <c r="E57" s="239">
        <v>0</v>
      </c>
      <c r="F57" s="239">
        <v>89402646</v>
      </c>
      <c r="G57" s="239">
        <v>0</v>
      </c>
      <c r="H57" s="239">
        <v>0</v>
      </c>
      <c r="I57" s="239">
        <v>0</v>
      </c>
      <c r="J57" s="239">
        <v>0</v>
      </c>
      <c r="K57" s="239">
        <v>0</v>
      </c>
      <c r="L57" s="239">
        <v>0</v>
      </c>
      <c r="M57" s="239">
        <v>-182210</v>
      </c>
      <c r="N57" s="239">
        <v>0</v>
      </c>
      <c r="O57" s="239">
        <v>-182210</v>
      </c>
      <c r="P57" s="239">
        <v>-605117</v>
      </c>
      <c r="Q57" s="239">
        <v>0</v>
      </c>
      <c r="R57" s="239">
        <v>-605117</v>
      </c>
      <c r="S57" s="239">
        <v>1707152</v>
      </c>
      <c r="T57" s="239">
        <v>0</v>
      </c>
      <c r="U57" s="239">
        <v>1707152</v>
      </c>
      <c r="V57" s="239">
        <v>-6419154</v>
      </c>
      <c r="W57" s="239">
        <v>0</v>
      </c>
      <c r="X57" s="239">
        <v>-6419154</v>
      </c>
      <c r="Y57" s="239">
        <v>83903317</v>
      </c>
      <c r="Z57" s="239">
        <v>0</v>
      </c>
      <c r="AA57" s="239">
        <v>83903317</v>
      </c>
      <c r="AB57" s="239">
        <v>0</v>
      </c>
      <c r="AC57" s="239">
        <v>0</v>
      </c>
      <c r="AD57" s="239">
        <v>531235</v>
      </c>
      <c r="AE57" s="239">
        <v>0</v>
      </c>
      <c r="AF57" s="239">
        <v>531235</v>
      </c>
      <c r="AG57" s="239">
        <v>0</v>
      </c>
      <c r="AH57" s="239">
        <v>0</v>
      </c>
      <c r="AI57" s="239">
        <v>0</v>
      </c>
      <c r="AJ57" s="239">
        <v>0</v>
      </c>
      <c r="AK57" s="239">
        <v>0</v>
      </c>
      <c r="AL57" s="239">
        <v>0</v>
      </c>
      <c r="AM57" s="239">
        <v>0</v>
      </c>
      <c r="AN57" s="239">
        <v>0</v>
      </c>
      <c r="AO57" s="239">
        <v>0</v>
      </c>
      <c r="AP57" s="239">
        <v>0</v>
      </c>
      <c r="AQ57" s="239">
        <v>0</v>
      </c>
      <c r="AR57" s="239">
        <v>0</v>
      </c>
      <c r="AS57" s="239">
        <v>0</v>
      </c>
      <c r="AT57" s="239">
        <v>0</v>
      </c>
      <c r="AU57" s="239">
        <v>0</v>
      </c>
      <c r="AV57" s="239">
        <v>0</v>
      </c>
      <c r="AW57" s="239">
        <v>0</v>
      </c>
      <c r="AX57" s="239">
        <v>0</v>
      </c>
      <c r="AY57" s="239">
        <v>0</v>
      </c>
      <c r="AZ57" s="239">
        <v>0</v>
      </c>
      <c r="BA57" s="239">
        <v>0</v>
      </c>
      <c r="BB57" s="239">
        <v>0</v>
      </c>
      <c r="BC57" s="239">
        <v>7275774</v>
      </c>
      <c r="BD57" s="239">
        <v>-4039736</v>
      </c>
      <c r="BE57" s="214" t="s">
        <v>196</v>
      </c>
      <c r="BF57" s="214" t="s">
        <v>794</v>
      </c>
      <c r="BG57" s="214" t="s">
        <v>761</v>
      </c>
      <c r="BH57" s="214" t="s">
        <v>1010</v>
      </c>
      <c r="BI57" s="214" t="s">
        <v>1010</v>
      </c>
      <c r="BJ57" s="214" t="s">
        <v>1158</v>
      </c>
    </row>
    <row r="58" spans="2:62" x14ac:dyDescent="0.2">
      <c r="B58" s="602" t="s">
        <v>199</v>
      </c>
      <c r="C58" s="602" t="s">
        <v>198</v>
      </c>
      <c r="D58" s="239">
        <v>137606185</v>
      </c>
      <c r="E58" s="239">
        <v>2787018</v>
      </c>
      <c r="F58" s="239">
        <v>140393203</v>
      </c>
      <c r="G58" s="239">
        <v>0</v>
      </c>
      <c r="H58" s="239">
        <v>0</v>
      </c>
      <c r="I58" s="239">
        <v>0</v>
      </c>
      <c r="J58" s="239">
        <v>-1799087</v>
      </c>
      <c r="K58" s="239">
        <v>0</v>
      </c>
      <c r="L58" s="239">
        <v>-1799087</v>
      </c>
      <c r="M58" s="239">
        <v>-41557</v>
      </c>
      <c r="N58" s="239">
        <v>0</v>
      </c>
      <c r="O58" s="239">
        <v>-41557</v>
      </c>
      <c r="P58" s="239">
        <v>-1708133</v>
      </c>
      <c r="Q58" s="239">
        <v>0</v>
      </c>
      <c r="R58" s="239">
        <v>-1708133</v>
      </c>
      <c r="S58" s="239">
        <v>5663065</v>
      </c>
      <c r="T58" s="239">
        <v>0</v>
      </c>
      <c r="U58" s="239">
        <v>5663065</v>
      </c>
      <c r="V58" s="239">
        <v>-7190660</v>
      </c>
      <c r="W58" s="239">
        <v>0</v>
      </c>
      <c r="X58" s="239">
        <v>-7190660</v>
      </c>
      <c r="Y58" s="239">
        <v>134328900</v>
      </c>
      <c r="Z58" s="239">
        <v>2787018</v>
      </c>
      <c r="AA58" s="239">
        <v>137115918</v>
      </c>
      <c r="AB58" s="239">
        <v>2787018</v>
      </c>
      <c r="AC58" s="239">
        <v>2787018</v>
      </c>
      <c r="AD58" s="239">
        <v>94085</v>
      </c>
      <c r="AE58" s="239">
        <v>0</v>
      </c>
      <c r="AF58" s="239">
        <v>94085</v>
      </c>
      <c r="AG58" s="239">
        <v>-220844</v>
      </c>
      <c r="AH58" s="239">
        <v>-220844</v>
      </c>
      <c r="AI58" s="239">
        <v>2253425</v>
      </c>
      <c r="AJ58" s="239">
        <v>2253425</v>
      </c>
      <c r="AK58" s="239">
        <v>312749</v>
      </c>
      <c r="AL58" s="239">
        <v>0</v>
      </c>
      <c r="AM58" s="239">
        <v>0</v>
      </c>
      <c r="AN58" s="239">
        <v>0</v>
      </c>
      <c r="AO58" s="239">
        <v>0</v>
      </c>
      <c r="AP58" s="239">
        <v>328128</v>
      </c>
      <c r="AQ58" s="239">
        <v>328128</v>
      </c>
      <c r="AR58" s="239">
        <v>140059163</v>
      </c>
      <c r="AS58" s="239">
        <v>140059163</v>
      </c>
      <c r="AT58" s="239">
        <v>139764080</v>
      </c>
      <c r="AU58" s="239">
        <v>139764080</v>
      </c>
      <c r="AV58" s="239">
        <v>147542</v>
      </c>
      <c r="AW58" s="239">
        <v>147542</v>
      </c>
      <c r="AX58" s="239">
        <v>0</v>
      </c>
      <c r="AY58" s="239">
        <v>0</v>
      </c>
      <c r="AZ58" s="239">
        <v>147542</v>
      </c>
      <c r="BA58" s="239">
        <v>328128</v>
      </c>
      <c r="BB58" s="239">
        <v>475670</v>
      </c>
      <c r="BC58" s="239">
        <v>5199641</v>
      </c>
      <c r="BD58" s="239">
        <v>-1199188</v>
      </c>
      <c r="BE58" s="214" t="s">
        <v>198</v>
      </c>
      <c r="BF58" s="214" t="s">
        <v>746</v>
      </c>
      <c r="BG58" s="214" t="s">
        <v>813</v>
      </c>
      <c r="BH58" s="214" t="s">
        <v>1010</v>
      </c>
      <c r="BI58" s="214" t="s">
        <v>1010</v>
      </c>
      <c r="BJ58" s="214" t="s">
        <v>746</v>
      </c>
    </row>
    <row r="59" spans="2:62" x14ac:dyDescent="0.2">
      <c r="B59" s="602" t="s">
        <v>201</v>
      </c>
      <c r="C59" s="602" t="s">
        <v>917</v>
      </c>
      <c r="D59" s="239">
        <v>156078772</v>
      </c>
      <c r="E59" s="239">
        <v>182092</v>
      </c>
      <c r="F59" s="239">
        <v>156260864</v>
      </c>
      <c r="G59" s="239">
        <v>0</v>
      </c>
      <c r="H59" s="239">
        <v>0</v>
      </c>
      <c r="I59" s="239">
        <v>0</v>
      </c>
      <c r="J59" s="239">
        <v>-1138551</v>
      </c>
      <c r="K59" s="239">
        <v>0</v>
      </c>
      <c r="L59" s="239">
        <v>-1138551</v>
      </c>
      <c r="M59" s="239">
        <v>0</v>
      </c>
      <c r="N59" s="239">
        <v>0</v>
      </c>
      <c r="O59" s="239">
        <v>0</v>
      </c>
      <c r="P59" s="239">
        <v>-1136348</v>
      </c>
      <c r="Q59" s="239">
        <v>0</v>
      </c>
      <c r="R59" s="239">
        <v>-1136348</v>
      </c>
      <c r="S59" s="239">
        <v>5049389</v>
      </c>
      <c r="T59" s="239">
        <v>0</v>
      </c>
      <c r="U59" s="239">
        <v>5049389</v>
      </c>
      <c r="V59" s="239">
        <v>-16766882</v>
      </c>
      <c r="W59" s="239">
        <v>0</v>
      </c>
      <c r="X59" s="239">
        <v>-16766882</v>
      </c>
      <c r="Y59" s="239">
        <v>143224931</v>
      </c>
      <c r="Z59" s="239">
        <v>182092</v>
      </c>
      <c r="AA59" s="239">
        <v>143407023</v>
      </c>
      <c r="AB59" s="239">
        <v>182092</v>
      </c>
      <c r="AC59" s="239">
        <v>182092</v>
      </c>
      <c r="AD59" s="239">
        <v>389640</v>
      </c>
      <c r="AE59" s="239">
        <v>0</v>
      </c>
      <c r="AF59" s="239">
        <v>389640</v>
      </c>
      <c r="AG59" s="239">
        <v>-3156</v>
      </c>
      <c r="AH59" s="239">
        <v>-3156</v>
      </c>
      <c r="AI59" s="239">
        <v>167421</v>
      </c>
      <c r="AJ59" s="239">
        <v>167421</v>
      </c>
      <c r="AK59" s="239">
        <v>11515</v>
      </c>
      <c r="AL59" s="239">
        <v>0</v>
      </c>
      <c r="AM59" s="239">
        <v>0</v>
      </c>
      <c r="AN59" s="239">
        <v>0</v>
      </c>
      <c r="AO59" s="239">
        <v>0</v>
      </c>
      <c r="AP59" s="239">
        <v>106647</v>
      </c>
      <c r="AQ59" s="239">
        <v>106647</v>
      </c>
      <c r="AR59" s="239">
        <v>0</v>
      </c>
      <c r="AS59" s="239">
        <v>0</v>
      </c>
      <c r="AT59" s="239">
        <v>0</v>
      </c>
      <c r="AU59" s="239">
        <v>0</v>
      </c>
      <c r="AV59" s="239">
        <v>0</v>
      </c>
      <c r="AW59" s="239">
        <v>0</v>
      </c>
      <c r="AX59" s="239">
        <v>0</v>
      </c>
      <c r="AY59" s="239">
        <v>0</v>
      </c>
      <c r="AZ59" s="239">
        <v>0</v>
      </c>
      <c r="BA59" s="239">
        <v>106647</v>
      </c>
      <c r="BB59" s="239">
        <v>106647</v>
      </c>
      <c r="BC59" s="239">
        <v>3280678</v>
      </c>
      <c r="BD59" s="239">
        <v>-5371337</v>
      </c>
      <c r="BE59" s="214" t="s">
        <v>917</v>
      </c>
      <c r="BF59" s="214" t="s">
        <v>746</v>
      </c>
      <c r="BG59" s="214" t="s">
        <v>813</v>
      </c>
      <c r="BH59" s="214" t="s">
        <v>1010</v>
      </c>
      <c r="BI59" s="214" t="s">
        <v>1010</v>
      </c>
      <c r="BJ59" s="214" t="s">
        <v>746</v>
      </c>
    </row>
    <row r="60" spans="2:62" x14ac:dyDescent="0.2">
      <c r="B60" s="602" t="s">
        <v>203</v>
      </c>
      <c r="C60" s="602" t="s">
        <v>202</v>
      </c>
      <c r="D60" s="239">
        <v>33576087</v>
      </c>
      <c r="E60" s="239">
        <v>886300</v>
      </c>
      <c r="F60" s="239">
        <v>34462387</v>
      </c>
      <c r="G60" s="239">
        <v>0</v>
      </c>
      <c r="H60" s="239">
        <v>0</v>
      </c>
      <c r="I60" s="239">
        <v>0</v>
      </c>
      <c r="J60" s="239">
        <v>-30086</v>
      </c>
      <c r="K60" s="239">
        <v>0</v>
      </c>
      <c r="L60" s="239">
        <v>-30086</v>
      </c>
      <c r="M60" s="239">
        <v>0</v>
      </c>
      <c r="N60" s="239">
        <v>0</v>
      </c>
      <c r="O60" s="239">
        <v>0</v>
      </c>
      <c r="P60" s="239">
        <v>-8824</v>
      </c>
      <c r="Q60" s="239">
        <v>0</v>
      </c>
      <c r="R60" s="239">
        <v>-8824</v>
      </c>
      <c r="S60" s="239">
        <v>2658360</v>
      </c>
      <c r="T60" s="239">
        <v>0</v>
      </c>
      <c r="U60" s="239">
        <v>2658360</v>
      </c>
      <c r="V60" s="239">
        <v>-1597521</v>
      </c>
      <c r="W60" s="239">
        <v>0</v>
      </c>
      <c r="X60" s="239">
        <v>-1597521</v>
      </c>
      <c r="Y60" s="239">
        <v>34628102</v>
      </c>
      <c r="Z60" s="239">
        <v>886300</v>
      </c>
      <c r="AA60" s="239">
        <v>35514402</v>
      </c>
      <c r="AB60" s="239">
        <v>886300</v>
      </c>
      <c r="AC60" s="239">
        <v>886300</v>
      </c>
      <c r="AD60" s="239">
        <v>54963</v>
      </c>
      <c r="AE60" s="239">
        <v>0</v>
      </c>
      <c r="AF60" s="239">
        <v>54963</v>
      </c>
      <c r="AG60" s="239">
        <v>0</v>
      </c>
      <c r="AH60" s="239">
        <v>0</v>
      </c>
      <c r="AI60" s="239">
        <v>0</v>
      </c>
      <c r="AJ60" s="239">
        <v>0</v>
      </c>
      <c r="AK60" s="239">
        <v>886300</v>
      </c>
      <c r="AL60" s="239">
        <v>0</v>
      </c>
      <c r="AM60" s="239">
        <v>0</v>
      </c>
      <c r="AN60" s="239">
        <v>0</v>
      </c>
      <c r="AO60" s="239">
        <v>0</v>
      </c>
      <c r="AP60" s="239">
        <v>0</v>
      </c>
      <c r="AQ60" s="239">
        <v>0</v>
      </c>
      <c r="AR60" s="239">
        <v>0</v>
      </c>
      <c r="AS60" s="239">
        <v>0</v>
      </c>
      <c r="AT60" s="239">
        <v>0</v>
      </c>
      <c r="AU60" s="239">
        <v>0</v>
      </c>
      <c r="AV60" s="239">
        <v>0</v>
      </c>
      <c r="AW60" s="239">
        <v>0</v>
      </c>
      <c r="AX60" s="239">
        <v>0</v>
      </c>
      <c r="AY60" s="239">
        <v>0</v>
      </c>
      <c r="AZ60" s="239">
        <v>0</v>
      </c>
      <c r="BA60" s="239">
        <v>0</v>
      </c>
      <c r="BB60" s="239">
        <v>0</v>
      </c>
      <c r="BC60" s="239">
        <v>859277</v>
      </c>
      <c r="BD60" s="239">
        <v>-590856</v>
      </c>
      <c r="BE60" s="214" t="s">
        <v>202</v>
      </c>
      <c r="BF60" s="214" t="s">
        <v>856</v>
      </c>
      <c r="BG60" s="214" t="s">
        <v>854</v>
      </c>
      <c r="BH60" s="214" t="s">
        <v>1017</v>
      </c>
      <c r="BI60" s="214" t="s">
        <v>1010</v>
      </c>
      <c r="BJ60" s="214" t="s">
        <v>1158</v>
      </c>
    </row>
    <row r="61" spans="2:62" x14ac:dyDescent="0.2">
      <c r="B61" s="602" t="s">
        <v>205</v>
      </c>
      <c r="C61" s="602" t="s">
        <v>204</v>
      </c>
      <c r="D61" s="239">
        <v>45676748</v>
      </c>
      <c r="E61" s="239">
        <v>0</v>
      </c>
      <c r="F61" s="239">
        <v>45676748</v>
      </c>
      <c r="G61" s="239">
        <v>0</v>
      </c>
      <c r="H61" s="239">
        <v>0</v>
      </c>
      <c r="I61" s="239">
        <v>0</v>
      </c>
      <c r="J61" s="239">
        <v>-276715</v>
      </c>
      <c r="K61" s="239">
        <v>0</v>
      </c>
      <c r="L61" s="239">
        <v>-276715</v>
      </c>
      <c r="M61" s="239">
        <v>0</v>
      </c>
      <c r="N61" s="239">
        <v>0</v>
      </c>
      <c r="O61" s="239">
        <v>0</v>
      </c>
      <c r="P61" s="239">
        <v>-250000</v>
      </c>
      <c r="Q61" s="239">
        <v>0</v>
      </c>
      <c r="R61" s="239">
        <v>-250000</v>
      </c>
      <c r="S61" s="239">
        <v>1307826</v>
      </c>
      <c r="T61" s="239">
        <v>0</v>
      </c>
      <c r="U61" s="239">
        <v>1307826</v>
      </c>
      <c r="V61" s="239">
        <v>-3042664</v>
      </c>
      <c r="W61" s="239">
        <v>0</v>
      </c>
      <c r="X61" s="239">
        <v>-3042664</v>
      </c>
      <c r="Y61" s="239">
        <v>43691910</v>
      </c>
      <c r="Z61" s="239">
        <v>0</v>
      </c>
      <c r="AA61" s="239">
        <v>43691910</v>
      </c>
      <c r="AB61" s="239">
        <v>0</v>
      </c>
      <c r="AC61" s="239">
        <v>0</v>
      </c>
      <c r="AD61" s="239">
        <v>179729</v>
      </c>
      <c r="AE61" s="239">
        <v>0</v>
      </c>
      <c r="AF61" s="239">
        <v>179729</v>
      </c>
      <c r="AG61" s="239">
        <v>0</v>
      </c>
      <c r="AH61" s="239">
        <v>0</v>
      </c>
      <c r="AI61" s="239">
        <v>0</v>
      </c>
      <c r="AJ61" s="239">
        <v>0</v>
      </c>
      <c r="AK61" s="239">
        <v>0</v>
      </c>
      <c r="AL61" s="239">
        <v>0</v>
      </c>
      <c r="AM61" s="239">
        <v>0</v>
      </c>
      <c r="AN61" s="239">
        <v>0</v>
      </c>
      <c r="AO61" s="239">
        <v>0</v>
      </c>
      <c r="AP61" s="239">
        <v>0</v>
      </c>
      <c r="AQ61" s="239">
        <v>0</v>
      </c>
      <c r="AR61" s="239">
        <v>0</v>
      </c>
      <c r="AS61" s="239">
        <v>0</v>
      </c>
      <c r="AT61" s="239">
        <v>0</v>
      </c>
      <c r="AU61" s="239">
        <v>0</v>
      </c>
      <c r="AV61" s="239">
        <v>0</v>
      </c>
      <c r="AW61" s="239">
        <v>0</v>
      </c>
      <c r="AX61" s="239">
        <v>0</v>
      </c>
      <c r="AY61" s="239">
        <v>0</v>
      </c>
      <c r="AZ61" s="239">
        <v>0</v>
      </c>
      <c r="BA61" s="239">
        <v>0</v>
      </c>
      <c r="BB61" s="239">
        <v>0</v>
      </c>
      <c r="BC61" s="239">
        <v>1973809</v>
      </c>
      <c r="BD61" s="239">
        <v>-1654754</v>
      </c>
      <c r="BE61" s="214" t="s">
        <v>204</v>
      </c>
      <c r="BF61" s="214" t="s">
        <v>762</v>
      </c>
      <c r="BG61" s="214" t="s">
        <v>761</v>
      </c>
      <c r="BH61" s="214" t="s">
        <v>1010</v>
      </c>
      <c r="BI61" s="214" t="s">
        <v>1010</v>
      </c>
      <c r="BJ61" s="214" t="s">
        <v>1158</v>
      </c>
    </row>
    <row r="62" spans="2:62" x14ac:dyDescent="0.2">
      <c r="B62" s="602" t="s">
        <v>207</v>
      </c>
      <c r="C62" s="602" t="s">
        <v>206</v>
      </c>
      <c r="D62" s="239">
        <v>20286617</v>
      </c>
      <c r="E62" s="239">
        <v>0</v>
      </c>
      <c r="F62" s="239">
        <v>20286617</v>
      </c>
      <c r="G62" s="239">
        <v>-493</v>
      </c>
      <c r="H62" s="239">
        <v>0</v>
      </c>
      <c r="I62" s="239">
        <v>-493</v>
      </c>
      <c r="J62" s="239">
        <v>-52795</v>
      </c>
      <c r="K62" s="239">
        <v>0</v>
      </c>
      <c r="L62" s="239">
        <v>-52795</v>
      </c>
      <c r="M62" s="239">
        <v>0</v>
      </c>
      <c r="N62" s="239">
        <v>0</v>
      </c>
      <c r="O62" s="239">
        <v>0</v>
      </c>
      <c r="P62" s="239">
        <v>-35050</v>
      </c>
      <c r="Q62" s="239">
        <v>0</v>
      </c>
      <c r="R62" s="239">
        <v>-35050</v>
      </c>
      <c r="S62" s="239">
        <v>318780</v>
      </c>
      <c r="T62" s="239">
        <v>0</v>
      </c>
      <c r="U62" s="239">
        <v>318780</v>
      </c>
      <c r="V62" s="239">
        <v>-617416</v>
      </c>
      <c r="W62" s="239">
        <v>0</v>
      </c>
      <c r="X62" s="239">
        <v>-617416</v>
      </c>
      <c r="Y62" s="239">
        <v>19952438</v>
      </c>
      <c r="Z62" s="239">
        <v>0</v>
      </c>
      <c r="AA62" s="239">
        <v>19952438</v>
      </c>
      <c r="AB62" s="239">
        <v>0</v>
      </c>
      <c r="AC62" s="239">
        <v>0</v>
      </c>
      <c r="AD62" s="239">
        <v>0</v>
      </c>
      <c r="AE62" s="239">
        <v>0</v>
      </c>
      <c r="AF62" s="239">
        <v>0</v>
      </c>
      <c r="AG62" s="239">
        <v>0</v>
      </c>
      <c r="AH62" s="239">
        <v>0</v>
      </c>
      <c r="AI62" s="239">
        <v>0</v>
      </c>
      <c r="AJ62" s="239">
        <v>0</v>
      </c>
      <c r="AK62" s="239">
        <v>0</v>
      </c>
      <c r="AL62" s="239">
        <v>0</v>
      </c>
      <c r="AM62" s="239">
        <v>0</v>
      </c>
      <c r="AN62" s="239">
        <v>0</v>
      </c>
      <c r="AO62" s="239">
        <v>0</v>
      </c>
      <c r="AP62" s="239">
        <v>0</v>
      </c>
      <c r="AQ62" s="239">
        <v>0</v>
      </c>
      <c r="AR62" s="239">
        <v>0</v>
      </c>
      <c r="AS62" s="239">
        <v>0</v>
      </c>
      <c r="AT62" s="239">
        <v>0</v>
      </c>
      <c r="AU62" s="239">
        <v>0</v>
      </c>
      <c r="AV62" s="239">
        <v>0</v>
      </c>
      <c r="AW62" s="239">
        <v>0</v>
      </c>
      <c r="AX62" s="239">
        <v>0</v>
      </c>
      <c r="AY62" s="239">
        <v>0</v>
      </c>
      <c r="AZ62" s="239">
        <v>0</v>
      </c>
      <c r="BA62" s="239">
        <v>0</v>
      </c>
      <c r="BB62" s="239">
        <v>0</v>
      </c>
      <c r="BC62" s="239">
        <v>667499</v>
      </c>
      <c r="BD62" s="239">
        <v>-452382</v>
      </c>
      <c r="BE62" s="214" t="s">
        <v>206</v>
      </c>
      <c r="BF62" s="214" t="s">
        <v>759</v>
      </c>
      <c r="BG62" s="214" t="s">
        <v>757</v>
      </c>
      <c r="BH62" s="214" t="s">
        <v>1010</v>
      </c>
      <c r="BI62" s="214" t="s">
        <v>1010</v>
      </c>
      <c r="BJ62" s="214" t="s">
        <v>1158</v>
      </c>
    </row>
    <row r="63" spans="2:62" x14ac:dyDescent="0.2">
      <c r="B63" s="602" t="s">
        <v>209</v>
      </c>
      <c r="C63" s="602" t="s">
        <v>208</v>
      </c>
      <c r="D63" s="239">
        <v>26863646</v>
      </c>
      <c r="E63" s="239">
        <v>0</v>
      </c>
      <c r="F63" s="239">
        <v>26863646</v>
      </c>
      <c r="G63" s="239">
        <v>0</v>
      </c>
      <c r="H63" s="239">
        <v>0</v>
      </c>
      <c r="I63" s="239">
        <v>0</v>
      </c>
      <c r="J63" s="239">
        <v>-286452</v>
      </c>
      <c r="K63" s="239">
        <v>0</v>
      </c>
      <c r="L63" s="239">
        <v>-286452</v>
      </c>
      <c r="M63" s="239">
        <v>0</v>
      </c>
      <c r="N63" s="239">
        <v>0</v>
      </c>
      <c r="O63" s="239">
        <v>0</v>
      </c>
      <c r="P63" s="239">
        <v>-181047</v>
      </c>
      <c r="Q63" s="239">
        <v>0</v>
      </c>
      <c r="R63" s="239">
        <v>-181047</v>
      </c>
      <c r="S63" s="239">
        <v>803864</v>
      </c>
      <c r="T63" s="239">
        <v>0</v>
      </c>
      <c r="U63" s="239">
        <v>803864</v>
      </c>
      <c r="V63" s="239">
        <v>-1358964</v>
      </c>
      <c r="W63" s="239">
        <v>0</v>
      </c>
      <c r="X63" s="239">
        <v>-1358964</v>
      </c>
      <c r="Y63" s="239">
        <v>26127499</v>
      </c>
      <c r="Z63" s="239">
        <v>0</v>
      </c>
      <c r="AA63" s="239">
        <v>26127499</v>
      </c>
      <c r="AB63" s="239">
        <v>0</v>
      </c>
      <c r="AC63" s="239">
        <v>0</v>
      </c>
      <c r="AD63" s="239">
        <v>0</v>
      </c>
      <c r="AE63" s="239">
        <v>0</v>
      </c>
      <c r="AF63" s="239">
        <v>0</v>
      </c>
      <c r="AG63" s="239">
        <v>0</v>
      </c>
      <c r="AH63" s="239">
        <v>0</v>
      </c>
      <c r="AI63" s="239">
        <v>0</v>
      </c>
      <c r="AJ63" s="239">
        <v>0</v>
      </c>
      <c r="AK63" s="239">
        <v>0</v>
      </c>
      <c r="AL63" s="239">
        <v>0</v>
      </c>
      <c r="AM63" s="239">
        <v>0</v>
      </c>
      <c r="AN63" s="239">
        <v>0</v>
      </c>
      <c r="AO63" s="239">
        <v>0</v>
      </c>
      <c r="AP63" s="239">
        <v>0</v>
      </c>
      <c r="AQ63" s="239">
        <v>0</v>
      </c>
      <c r="AR63" s="239">
        <v>0</v>
      </c>
      <c r="AS63" s="239">
        <v>0</v>
      </c>
      <c r="AT63" s="239">
        <v>0</v>
      </c>
      <c r="AU63" s="239">
        <v>0</v>
      </c>
      <c r="AV63" s="239">
        <v>0</v>
      </c>
      <c r="AW63" s="239">
        <v>0</v>
      </c>
      <c r="AX63" s="239">
        <v>0</v>
      </c>
      <c r="AY63" s="239">
        <v>0</v>
      </c>
      <c r="AZ63" s="239">
        <v>0</v>
      </c>
      <c r="BA63" s="239">
        <v>0</v>
      </c>
      <c r="BB63" s="239">
        <v>0</v>
      </c>
      <c r="BC63" s="239">
        <v>757647</v>
      </c>
      <c r="BD63" s="239">
        <v>-583368</v>
      </c>
      <c r="BE63" s="214" t="s">
        <v>208</v>
      </c>
      <c r="BF63" s="214" t="s">
        <v>755</v>
      </c>
      <c r="BG63" s="214" t="s">
        <v>753</v>
      </c>
      <c r="BH63" s="214" t="s">
        <v>1010</v>
      </c>
      <c r="BI63" s="214" t="s">
        <v>1010</v>
      </c>
      <c r="BJ63" s="214" t="s">
        <v>1158</v>
      </c>
    </row>
    <row r="64" spans="2:62" x14ac:dyDescent="0.2">
      <c r="B64" s="602" t="s">
        <v>211</v>
      </c>
      <c r="C64" s="602" t="s">
        <v>210</v>
      </c>
      <c r="D64" s="239">
        <v>20176207</v>
      </c>
      <c r="E64" s="239">
        <v>0</v>
      </c>
      <c r="F64" s="239">
        <v>20176207</v>
      </c>
      <c r="G64" s="239">
        <v>0</v>
      </c>
      <c r="H64" s="239">
        <v>0</v>
      </c>
      <c r="I64" s="239">
        <v>0</v>
      </c>
      <c r="J64" s="239">
        <v>-68436</v>
      </c>
      <c r="K64" s="239">
        <v>0</v>
      </c>
      <c r="L64" s="239">
        <v>-68436</v>
      </c>
      <c r="M64" s="239">
        <v>0</v>
      </c>
      <c r="N64" s="239">
        <v>0</v>
      </c>
      <c r="O64" s="239">
        <v>0</v>
      </c>
      <c r="P64" s="239">
        <v>-73461</v>
      </c>
      <c r="Q64" s="239">
        <v>0</v>
      </c>
      <c r="R64" s="239">
        <v>-73461</v>
      </c>
      <c r="S64" s="239">
        <v>1069227</v>
      </c>
      <c r="T64" s="239">
        <v>0</v>
      </c>
      <c r="U64" s="239">
        <v>1069227</v>
      </c>
      <c r="V64" s="239">
        <v>-527908</v>
      </c>
      <c r="W64" s="239">
        <v>0</v>
      </c>
      <c r="X64" s="239">
        <v>-527908</v>
      </c>
      <c r="Y64" s="239">
        <v>20644065</v>
      </c>
      <c r="Z64" s="239">
        <v>0</v>
      </c>
      <c r="AA64" s="239">
        <v>20644065</v>
      </c>
      <c r="AB64" s="239">
        <v>0</v>
      </c>
      <c r="AC64" s="239">
        <v>0</v>
      </c>
      <c r="AD64" s="239">
        <v>318272</v>
      </c>
      <c r="AE64" s="239">
        <v>0</v>
      </c>
      <c r="AF64" s="239">
        <v>318272</v>
      </c>
      <c r="AG64" s="239">
        <v>0</v>
      </c>
      <c r="AH64" s="239">
        <v>0</v>
      </c>
      <c r="AI64" s="239">
        <v>0</v>
      </c>
      <c r="AJ64" s="239">
        <v>0</v>
      </c>
      <c r="AK64" s="239">
        <v>0</v>
      </c>
      <c r="AL64" s="239">
        <v>0</v>
      </c>
      <c r="AM64" s="239">
        <v>0</v>
      </c>
      <c r="AN64" s="239">
        <v>0</v>
      </c>
      <c r="AO64" s="239">
        <v>0</v>
      </c>
      <c r="AP64" s="239">
        <v>0</v>
      </c>
      <c r="AQ64" s="239">
        <v>0</v>
      </c>
      <c r="AR64" s="239">
        <v>0</v>
      </c>
      <c r="AS64" s="239">
        <v>0</v>
      </c>
      <c r="AT64" s="239">
        <v>0</v>
      </c>
      <c r="AU64" s="239">
        <v>0</v>
      </c>
      <c r="AV64" s="239">
        <v>0</v>
      </c>
      <c r="AW64" s="239">
        <v>0</v>
      </c>
      <c r="AX64" s="239">
        <v>0</v>
      </c>
      <c r="AY64" s="239">
        <v>0</v>
      </c>
      <c r="AZ64" s="239">
        <v>0</v>
      </c>
      <c r="BA64" s="239">
        <v>0</v>
      </c>
      <c r="BB64" s="239">
        <v>0</v>
      </c>
      <c r="BC64" s="239">
        <v>740150</v>
      </c>
      <c r="BD64" s="239">
        <v>-347586</v>
      </c>
      <c r="BE64" s="214" t="s">
        <v>210</v>
      </c>
      <c r="BF64" s="214" t="s">
        <v>785</v>
      </c>
      <c r="BG64" s="214" t="s">
        <v>783</v>
      </c>
      <c r="BH64" s="214" t="s">
        <v>1010</v>
      </c>
      <c r="BI64" s="214" t="s">
        <v>1010</v>
      </c>
      <c r="BJ64" s="214" t="s">
        <v>1158</v>
      </c>
    </row>
    <row r="65" spans="1:62" x14ac:dyDescent="0.2">
      <c r="B65" s="602" t="s">
        <v>213</v>
      </c>
      <c r="C65" s="602" t="s">
        <v>212</v>
      </c>
      <c r="D65" s="239">
        <v>1038273673</v>
      </c>
      <c r="E65" s="239">
        <v>0</v>
      </c>
      <c r="F65" s="239">
        <v>1038273673</v>
      </c>
      <c r="G65" s="239">
        <v>-19</v>
      </c>
      <c r="H65" s="239">
        <v>0</v>
      </c>
      <c r="I65" s="239">
        <v>-19</v>
      </c>
      <c r="J65" s="239">
        <v>-1221513</v>
      </c>
      <c r="K65" s="239">
        <v>0</v>
      </c>
      <c r="L65" s="239">
        <v>-1221513</v>
      </c>
      <c r="M65" s="239">
        <v>0</v>
      </c>
      <c r="N65" s="239">
        <v>0</v>
      </c>
      <c r="O65" s="239">
        <v>0</v>
      </c>
      <c r="P65" s="239">
        <v>-832004</v>
      </c>
      <c r="Q65" s="239">
        <v>0</v>
      </c>
      <c r="R65" s="239">
        <v>-832004</v>
      </c>
      <c r="S65" s="239">
        <v>84785570</v>
      </c>
      <c r="T65" s="239">
        <v>0</v>
      </c>
      <c r="U65" s="239">
        <v>84785570</v>
      </c>
      <c r="V65" s="239">
        <v>-5599253</v>
      </c>
      <c r="W65" s="239">
        <v>0</v>
      </c>
      <c r="X65" s="239">
        <v>-5599253</v>
      </c>
      <c r="Y65" s="239">
        <v>1116627967</v>
      </c>
      <c r="Z65" s="239">
        <v>0</v>
      </c>
      <c r="AA65" s="239">
        <v>1116627967</v>
      </c>
      <c r="AB65" s="239">
        <v>0</v>
      </c>
      <c r="AC65" s="239">
        <v>0</v>
      </c>
      <c r="AD65" s="239">
        <v>0</v>
      </c>
      <c r="AE65" s="239">
        <v>0</v>
      </c>
      <c r="AF65" s="239">
        <v>0</v>
      </c>
      <c r="AG65" s="239">
        <v>0</v>
      </c>
      <c r="AH65" s="239">
        <v>0</v>
      </c>
      <c r="AI65" s="239">
        <v>0</v>
      </c>
      <c r="AJ65" s="239">
        <v>0</v>
      </c>
      <c r="AK65" s="239">
        <v>0</v>
      </c>
      <c r="AL65" s="239">
        <v>0</v>
      </c>
      <c r="AM65" s="239">
        <v>0</v>
      </c>
      <c r="AN65" s="239">
        <v>0</v>
      </c>
      <c r="AO65" s="239">
        <v>0</v>
      </c>
      <c r="AP65" s="239">
        <v>0</v>
      </c>
      <c r="AQ65" s="239">
        <v>0</v>
      </c>
      <c r="AR65" s="239">
        <v>0</v>
      </c>
      <c r="AS65" s="239">
        <v>0</v>
      </c>
      <c r="AT65" s="239">
        <v>0</v>
      </c>
      <c r="AU65" s="239">
        <v>0</v>
      </c>
      <c r="AV65" s="239">
        <v>0</v>
      </c>
      <c r="AW65" s="239">
        <v>0</v>
      </c>
      <c r="AX65" s="239">
        <v>0</v>
      </c>
      <c r="AY65" s="239">
        <v>0</v>
      </c>
      <c r="AZ65" s="239">
        <v>0</v>
      </c>
      <c r="BA65" s="239">
        <v>0</v>
      </c>
      <c r="BB65" s="239">
        <v>0</v>
      </c>
      <c r="BC65" s="239">
        <v>23460054</v>
      </c>
      <c r="BD65" s="239">
        <v>-96798532</v>
      </c>
      <c r="BE65" s="214" t="s">
        <v>212</v>
      </c>
      <c r="BF65" s="214" t="s">
        <v>915</v>
      </c>
      <c r="BG65" s="214" t="s">
        <v>747</v>
      </c>
      <c r="BH65" s="214" t="s">
        <v>1010</v>
      </c>
      <c r="BI65" s="214" t="s">
        <v>1010</v>
      </c>
      <c r="BJ65" s="214" t="s">
        <v>1161</v>
      </c>
    </row>
    <row r="66" spans="1:62" x14ac:dyDescent="0.2">
      <c r="B66" s="602" t="s">
        <v>215</v>
      </c>
      <c r="C66" s="602" t="s">
        <v>214</v>
      </c>
      <c r="D66" s="239">
        <v>63466332</v>
      </c>
      <c r="E66" s="239">
        <v>0</v>
      </c>
      <c r="F66" s="239">
        <v>63466332</v>
      </c>
      <c r="G66" s="239">
        <v>0</v>
      </c>
      <c r="H66" s="239">
        <v>0</v>
      </c>
      <c r="I66" s="239">
        <v>0</v>
      </c>
      <c r="J66" s="239">
        <v>-487324</v>
      </c>
      <c r="K66" s="239">
        <v>0</v>
      </c>
      <c r="L66" s="239">
        <v>-487324</v>
      </c>
      <c r="M66" s="239">
        <v>0</v>
      </c>
      <c r="N66" s="239">
        <v>0</v>
      </c>
      <c r="O66" s="239">
        <v>0</v>
      </c>
      <c r="P66" s="239">
        <v>-285410</v>
      </c>
      <c r="Q66" s="239">
        <v>0</v>
      </c>
      <c r="R66" s="239">
        <v>-285410</v>
      </c>
      <c r="S66" s="239">
        <v>1831112</v>
      </c>
      <c r="T66" s="239">
        <v>0</v>
      </c>
      <c r="U66" s="239">
        <v>1831112</v>
      </c>
      <c r="V66" s="239">
        <v>-3101074</v>
      </c>
      <c r="W66" s="239">
        <v>0</v>
      </c>
      <c r="X66" s="239">
        <v>-3101074</v>
      </c>
      <c r="Y66" s="239">
        <v>61910960</v>
      </c>
      <c r="Z66" s="239">
        <v>0</v>
      </c>
      <c r="AA66" s="239">
        <v>61910960</v>
      </c>
      <c r="AB66" s="239">
        <v>0</v>
      </c>
      <c r="AC66" s="239">
        <v>0</v>
      </c>
      <c r="AD66" s="239">
        <v>0</v>
      </c>
      <c r="AE66" s="239">
        <v>0</v>
      </c>
      <c r="AF66" s="239">
        <v>0</v>
      </c>
      <c r="AG66" s="239">
        <v>0</v>
      </c>
      <c r="AH66" s="239">
        <v>0</v>
      </c>
      <c r="AI66" s="239">
        <v>0</v>
      </c>
      <c r="AJ66" s="239">
        <v>0</v>
      </c>
      <c r="AK66" s="239">
        <v>0</v>
      </c>
      <c r="AL66" s="239">
        <v>0</v>
      </c>
      <c r="AM66" s="239">
        <v>0</v>
      </c>
      <c r="AN66" s="239">
        <v>0</v>
      </c>
      <c r="AO66" s="239">
        <v>0</v>
      </c>
      <c r="AP66" s="239">
        <v>0</v>
      </c>
      <c r="AQ66" s="239">
        <v>0</v>
      </c>
      <c r="AR66" s="239">
        <v>0</v>
      </c>
      <c r="AS66" s="239">
        <v>0</v>
      </c>
      <c r="AT66" s="239">
        <v>0</v>
      </c>
      <c r="AU66" s="239">
        <v>0</v>
      </c>
      <c r="AV66" s="239">
        <v>0</v>
      </c>
      <c r="AW66" s="239">
        <v>0</v>
      </c>
      <c r="AX66" s="239">
        <v>0</v>
      </c>
      <c r="AY66" s="239">
        <v>0</v>
      </c>
      <c r="AZ66" s="239">
        <v>0</v>
      </c>
      <c r="BA66" s="239">
        <v>0</v>
      </c>
      <c r="BB66" s="239">
        <v>0</v>
      </c>
      <c r="BC66" s="239">
        <v>2466237</v>
      </c>
      <c r="BD66" s="239">
        <v>-1339361</v>
      </c>
      <c r="BE66" s="214" t="s">
        <v>214</v>
      </c>
      <c r="BF66" s="214" t="s">
        <v>820</v>
      </c>
      <c r="BG66" s="214" t="s">
        <v>818</v>
      </c>
      <c r="BH66" s="214" t="s">
        <v>1010</v>
      </c>
      <c r="BI66" s="214" t="s">
        <v>1010</v>
      </c>
      <c r="BJ66" s="214" t="s">
        <v>1158</v>
      </c>
    </row>
    <row r="67" spans="1:62" x14ac:dyDescent="0.2">
      <c r="A67" s="215" t="s">
        <v>1668</v>
      </c>
      <c r="B67" s="602" t="s">
        <v>217</v>
      </c>
      <c r="C67" s="602" t="s">
        <v>216</v>
      </c>
      <c r="D67" s="239">
        <v>40517570</v>
      </c>
      <c r="E67" s="239">
        <v>0</v>
      </c>
      <c r="F67" s="239">
        <v>40517570</v>
      </c>
      <c r="G67" s="239">
        <v>0</v>
      </c>
      <c r="H67" s="239">
        <v>0</v>
      </c>
      <c r="I67" s="239">
        <v>0</v>
      </c>
      <c r="J67" s="239">
        <v>-4932</v>
      </c>
      <c r="K67" s="239">
        <v>0</v>
      </c>
      <c r="L67" s="239">
        <v>-4932</v>
      </c>
      <c r="M67" s="239">
        <v>0</v>
      </c>
      <c r="N67" s="239">
        <v>0</v>
      </c>
      <c r="O67" s="239">
        <v>0</v>
      </c>
      <c r="P67" s="239">
        <v>0</v>
      </c>
      <c r="Q67" s="239">
        <v>0</v>
      </c>
      <c r="R67" s="239">
        <v>0</v>
      </c>
      <c r="S67" s="239">
        <v>825150</v>
      </c>
      <c r="T67" s="239">
        <v>0</v>
      </c>
      <c r="U67" s="239">
        <v>825150</v>
      </c>
      <c r="V67" s="239">
        <v>-5564787</v>
      </c>
      <c r="W67" s="239">
        <v>0</v>
      </c>
      <c r="X67" s="239">
        <v>-5564787</v>
      </c>
      <c r="Y67" s="239">
        <v>35777933</v>
      </c>
      <c r="Z67" s="239">
        <v>0</v>
      </c>
      <c r="AA67" s="239">
        <v>35777933</v>
      </c>
      <c r="AB67" s="239">
        <v>0</v>
      </c>
      <c r="AC67" s="239">
        <v>0</v>
      </c>
      <c r="AD67" s="239">
        <v>36304</v>
      </c>
      <c r="AE67" s="239">
        <v>0</v>
      </c>
      <c r="AF67" s="239">
        <v>36304</v>
      </c>
      <c r="AG67" s="239">
        <v>0</v>
      </c>
      <c r="AH67" s="239">
        <v>0</v>
      </c>
      <c r="AI67" s="239">
        <v>0</v>
      </c>
      <c r="AJ67" s="239">
        <v>0</v>
      </c>
      <c r="AK67" s="239">
        <v>0</v>
      </c>
      <c r="AL67" s="239">
        <v>0</v>
      </c>
      <c r="AM67" s="239">
        <v>0</v>
      </c>
      <c r="AN67" s="239">
        <v>0</v>
      </c>
      <c r="AO67" s="239">
        <v>0</v>
      </c>
      <c r="AP67" s="239">
        <v>0</v>
      </c>
      <c r="AQ67" s="239">
        <v>0</v>
      </c>
      <c r="AR67" s="239">
        <v>0</v>
      </c>
      <c r="AS67" s="239">
        <v>0</v>
      </c>
      <c r="AT67" s="239">
        <v>0</v>
      </c>
      <c r="AU67" s="239">
        <v>0</v>
      </c>
      <c r="AV67" s="239">
        <v>0</v>
      </c>
      <c r="AW67" s="239">
        <v>0</v>
      </c>
      <c r="AX67" s="239">
        <v>0</v>
      </c>
      <c r="AY67" s="239">
        <v>0</v>
      </c>
      <c r="AZ67" s="239">
        <v>0</v>
      </c>
      <c r="BA67" s="239">
        <v>0</v>
      </c>
      <c r="BB67" s="239">
        <v>0</v>
      </c>
      <c r="BC67" s="239">
        <v>1008663</v>
      </c>
      <c r="BD67" s="239">
        <v>-726020</v>
      </c>
      <c r="BE67" s="214" t="s">
        <v>216</v>
      </c>
      <c r="BF67" s="214" t="s">
        <v>849</v>
      </c>
      <c r="BG67" s="214" t="s">
        <v>761</v>
      </c>
      <c r="BH67" s="214" t="s">
        <v>1010</v>
      </c>
      <c r="BI67" s="214" t="s">
        <v>1010</v>
      </c>
      <c r="BJ67" s="214" t="s">
        <v>1158</v>
      </c>
    </row>
    <row r="68" spans="1:62" x14ac:dyDescent="0.2">
      <c r="B68" s="602" t="s">
        <v>219</v>
      </c>
      <c r="C68" s="602" t="s">
        <v>218</v>
      </c>
      <c r="D68" s="239">
        <v>32754642</v>
      </c>
      <c r="E68" s="239">
        <v>0</v>
      </c>
      <c r="F68" s="239">
        <v>32754642</v>
      </c>
      <c r="G68" s="239">
        <v>0</v>
      </c>
      <c r="H68" s="239">
        <v>0</v>
      </c>
      <c r="I68" s="239">
        <v>0</v>
      </c>
      <c r="J68" s="239">
        <v>-4047</v>
      </c>
      <c r="K68" s="239">
        <v>0</v>
      </c>
      <c r="L68" s="239">
        <v>-4047</v>
      </c>
      <c r="M68" s="239">
        <v>0</v>
      </c>
      <c r="N68" s="239">
        <v>0</v>
      </c>
      <c r="O68" s="239">
        <v>0</v>
      </c>
      <c r="P68" s="239">
        <v>-415213</v>
      </c>
      <c r="Q68" s="239">
        <v>0</v>
      </c>
      <c r="R68" s="239">
        <v>-415213</v>
      </c>
      <c r="S68" s="239">
        <v>1487358</v>
      </c>
      <c r="T68" s="239">
        <v>0</v>
      </c>
      <c r="U68" s="239">
        <v>1487358</v>
      </c>
      <c r="V68" s="239">
        <v>-233500</v>
      </c>
      <c r="W68" s="239">
        <v>0</v>
      </c>
      <c r="X68" s="239">
        <v>-233500</v>
      </c>
      <c r="Y68" s="239">
        <v>33593287</v>
      </c>
      <c r="Z68" s="239">
        <v>0</v>
      </c>
      <c r="AA68" s="239">
        <v>33593287</v>
      </c>
      <c r="AB68" s="239">
        <v>0</v>
      </c>
      <c r="AC68" s="239">
        <v>0</v>
      </c>
      <c r="AD68" s="239">
        <v>0</v>
      </c>
      <c r="AE68" s="239">
        <v>0</v>
      </c>
      <c r="AF68" s="239">
        <v>0</v>
      </c>
      <c r="AG68" s="239">
        <v>0</v>
      </c>
      <c r="AH68" s="239">
        <v>0</v>
      </c>
      <c r="AI68" s="239">
        <v>0</v>
      </c>
      <c r="AJ68" s="239">
        <v>0</v>
      </c>
      <c r="AK68" s="239">
        <v>0</v>
      </c>
      <c r="AL68" s="239">
        <v>0</v>
      </c>
      <c r="AM68" s="239">
        <v>0</v>
      </c>
      <c r="AN68" s="239">
        <v>0</v>
      </c>
      <c r="AO68" s="239">
        <v>0</v>
      </c>
      <c r="AP68" s="239">
        <v>0</v>
      </c>
      <c r="AQ68" s="239">
        <v>0</v>
      </c>
      <c r="AR68" s="239">
        <v>0</v>
      </c>
      <c r="AS68" s="239">
        <v>0</v>
      </c>
      <c r="AT68" s="239">
        <v>0</v>
      </c>
      <c r="AU68" s="239">
        <v>0</v>
      </c>
      <c r="AV68" s="239">
        <v>0</v>
      </c>
      <c r="AW68" s="239">
        <v>0</v>
      </c>
      <c r="AX68" s="239">
        <v>0</v>
      </c>
      <c r="AY68" s="239">
        <v>0</v>
      </c>
      <c r="AZ68" s="239">
        <v>0</v>
      </c>
      <c r="BA68" s="239">
        <v>0</v>
      </c>
      <c r="BB68" s="239">
        <v>0</v>
      </c>
      <c r="BC68" s="239">
        <v>3620767</v>
      </c>
      <c r="BD68" s="239">
        <v>-782943</v>
      </c>
      <c r="BE68" s="214" t="s">
        <v>218</v>
      </c>
      <c r="BF68" s="214" t="s">
        <v>803</v>
      </c>
      <c r="BG68" s="214" t="s">
        <v>761</v>
      </c>
      <c r="BH68" s="214" t="s">
        <v>1010</v>
      </c>
      <c r="BI68" s="214" t="s">
        <v>1010</v>
      </c>
      <c r="BJ68" s="214" t="s">
        <v>1158</v>
      </c>
    </row>
    <row r="69" spans="1:62" x14ac:dyDescent="0.2">
      <c r="B69" s="602" t="s">
        <v>221</v>
      </c>
      <c r="C69" s="602" t="s">
        <v>220</v>
      </c>
      <c r="D69" s="239">
        <v>154624002</v>
      </c>
      <c r="E69" s="239">
        <v>737699</v>
      </c>
      <c r="F69" s="239">
        <v>155361701</v>
      </c>
      <c r="G69" s="239">
        <v>0</v>
      </c>
      <c r="H69" s="239">
        <v>0</v>
      </c>
      <c r="I69" s="239">
        <v>0</v>
      </c>
      <c r="J69" s="239">
        <v>-1138846</v>
      </c>
      <c r="K69" s="239">
        <v>0</v>
      </c>
      <c r="L69" s="239">
        <v>-1138846</v>
      </c>
      <c r="M69" s="239">
        <v>0</v>
      </c>
      <c r="N69" s="239">
        <v>0</v>
      </c>
      <c r="O69" s="239">
        <v>0</v>
      </c>
      <c r="P69" s="239">
        <v>-1759683</v>
      </c>
      <c r="Q69" s="239">
        <v>0</v>
      </c>
      <c r="R69" s="239">
        <v>-1759683</v>
      </c>
      <c r="S69" s="239">
        <v>0</v>
      </c>
      <c r="T69" s="239">
        <v>0</v>
      </c>
      <c r="U69" s="239">
        <v>0</v>
      </c>
      <c r="V69" s="239">
        <v>-3633000</v>
      </c>
      <c r="W69" s="239">
        <v>0</v>
      </c>
      <c r="X69" s="239">
        <v>-3633000</v>
      </c>
      <c r="Y69" s="239">
        <v>149231319</v>
      </c>
      <c r="Z69" s="239">
        <v>737699</v>
      </c>
      <c r="AA69" s="239">
        <v>149969018</v>
      </c>
      <c r="AB69" s="239">
        <v>737699</v>
      </c>
      <c r="AC69" s="239">
        <v>737699</v>
      </c>
      <c r="AD69" s="239">
        <v>2361706</v>
      </c>
      <c r="AE69" s="239">
        <v>0</v>
      </c>
      <c r="AF69" s="239">
        <v>2361706</v>
      </c>
      <c r="AG69" s="239">
        <v>8497</v>
      </c>
      <c r="AH69" s="239">
        <v>8497</v>
      </c>
      <c r="AI69" s="239">
        <v>661124</v>
      </c>
      <c r="AJ69" s="239">
        <v>661124</v>
      </c>
      <c r="AK69" s="239">
        <v>125898</v>
      </c>
      <c r="AL69" s="239">
        <v>0</v>
      </c>
      <c r="AM69" s="239">
        <v>270817</v>
      </c>
      <c r="AN69" s="239">
        <v>270817</v>
      </c>
      <c r="AO69" s="239">
        <v>0</v>
      </c>
      <c r="AP69" s="239">
        <v>0</v>
      </c>
      <c r="AQ69" s="239">
        <v>0</v>
      </c>
      <c r="AR69" s="239">
        <v>0</v>
      </c>
      <c r="AS69" s="239">
        <v>0</v>
      </c>
      <c r="AT69" s="239">
        <v>0</v>
      </c>
      <c r="AU69" s="239">
        <v>0</v>
      </c>
      <c r="AV69" s="239">
        <v>0</v>
      </c>
      <c r="AW69" s="239">
        <v>0</v>
      </c>
      <c r="AX69" s="239">
        <v>0</v>
      </c>
      <c r="AY69" s="239">
        <v>0</v>
      </c>
      <c r="AZ69" s="239">
        <v>0</v>
      </c>
      <c r="BA69" s="239">
        <v>0</v>
      </c>
      <c r="BB69" s="239">
        <v>0</v>
      </c>
      <c r="BC69" s="239">
        <v>6782775</v>
      </c>
      <c r="BD69" s="239">
        <v>-3564156</v>
      </c>
      <c r="BE69" s="214" t="s">
        <v>220</v>
      </c>
      <c r="BF69" s="214" t="s">
        <v>746</v>
      </c>
      <c r="BG69" s="214" t="s">
        <v>761</v>
      </c>
      <c r="BH69" s="214" t="s">
        <v>1018</v>
      </c>
      <c r="BI69" s="214" t="s">
        <v>1010</v>
      </c>
      <c r="BJ69" s="214" t="s">
        <v>746</v>
      </c>
    </row>
    <row r="70" spans="1:62" x14ac:dyDescent="0.2">
      <c r="B70" s="602" t="s">
        <v>223</v>
      </c>
      <c r="C70" s="602" t="s">
        <v>222</v>
      </c>
      <c r="D70" s="239">
        <v>30951310</v>
      </c>
      <c r="E70" s="239">
        <v>0</v>
      </c>
      <c r="F70" s="239">
        <v>30951310</v>
      </c>
      <c r="G70" s="239">
        <v>0</v>
      </c>
      <c r="H70" s="239">
        <v>0</v>
      </c>
      <c r="I70" s="239">
        <v>0</v>
      </c>
      <c r="J70" s="239">
        <v>-85347</v>
      </c>
      <c r="K70" s="239">
        <v>0</v>
      </c>
      <c r="L70" s="239">
        <v>-85347</v>
      </c>
      <c r="M70" s="239">
        <v>0</v>
      </c>
      <c r="N70" s="239">
        <v>0</v>
      </c>
      <c r="O70" s="239">
        <v>0</v>
      </c>
      <c r="P70" s="239">
        <v>-230577</v>
      </c>
      <c r="Q70" s="239">
        <v>0</v>
      </c>
      <c r="R70" s="239">
        <v>-230577</v>
      </c>
      <c r="S70" s="239">
        <v>432462</v>
      </c>
      <c r="T70" s="239">
        <v>0</v>
      </c>
      <c r="U70" s="239">
        <v>432462</v>
      </c>
      <c r="V70" s="239">
        <v>-1147721</v>
      </c>
      <c r="W70" s="239">
        <v>0</v>
      </c>
      <c r="X70" s="239">
        <v>-1147721</v>
      </c>
      <c r="Y70" s="239">
        <v>30005474</v>
      </c>
      <c r="Z70" s="239">
        <v>0</v>
      </c>
      <c r="AA70" s="239">
        <v>30005474</v>
      </c>
      <c r="AB70" s="239">
        <v>0</v>
      </c>
      <c r="AC70" s="239">
        <v>0</v>
      </c>
      <c r="AD70" s="239">
        <v>98841</v>
      </c>
      <c r="AE70" s="239">
        <v>0</v>
      </c>
      <c r="AF70" s="239">
        <v>98841</v>
      </c>
      <c r="AG70" s="239">
        <v>0</v>
      </c>
      <c r="AH70" s="239">
        <v>0</v>
      </c>
      <c r="AI70" s="239">
        <v>0</v>
      </c>
      <c r="AJ70" s="239">
        <v>0</v>
      </c>
      <c r="AK70" s="239">
        <v>0</v>
      </c>
      <c r="AL70" s="239">
        <v>0</v>
      </c>
      <c r="AM70" s="239">
        <v>0</v>
      </c>
      <c r="AN70" s="239">
        <v>0</v>
      </c>
      <c r="AO70" s="239">
        <v>0</v>
      </c>
      <c r="AP70" s="239">
        <v>0</v>
      </c>
      <c r="AQ70" s="239">
        <v>0</v>
      </c>
      <c r="AR70" s="239">
        <v>0</v>
      </c>
      <c r="AS70" s="239">
        <v>0</v>
      </c>
      <c r="AT70" s="239">
        <v>0</v>
      </c>
      <c r="AU70" s="239">
        <v>0</v>
      </c>
      <c r="AV70" s="239">
        <v>0</v>
      </c>
      <c r="AW70" s="239">
        <v>0</v>
      </c>
      <c r="AX70" s="239">
        <v>0</v>
      </c>
      <c r="AY70" s="239">
        <v>0</v>
      </c>
      <c r="AZ70" s="239">
        <v>0</v>
      </c>
      <c r="BA70" s="239">
        <v>0</v>
      </c>
      <c r="BB70" s="239">
        <v>0</v>
      </c>
      <c r="BC70" s="239">
        <v>1265995</v>
      </c>
      <c r="BD70" s="239">
        <v>-945494</v>
      </c>
      <c r="BE70" s="214" t="s">
        <v>222</v>
      </c>
      <c r="BF70" s="214" t="s">
        <v>829</v>
      </c>
      <c r="BG70" s="214" t="s">
        <v>761</v>
      </c>
      <c r="BH70" s="214" t="s">
        <v>1010</v>
      </c>
      <c r="BI70" s="214" t="s">
        <v>1010</v>
      </c>
      <c r="BJ70" s="214" t="s">
        <v>1158</v>
      </c>
    </row>
    <row r="71" spans="1:62" x14ac:dyDescent="0.2">
      <c r="B71" s="602" t="s">
        <v>225</v>
      </c>
      <c r="C71" s="602" t="s">
        <v>224</v>
      </c>
      <c r="D71" s="239">
        <v>122275592</v>
      </c>
      <c r="E71" s="239">
        <v>0</v>
      </c>
      <c r="F71" s="239">
        <v>122275592</v>
      </c>
      <c r="G71" s="239">
        <v>0</v>
      </c>
      <c r="H71" s="239">
        <v>0</v>
      </c>
      <c r="I71" s="239">
        <v>0</v>
      </c>
      <c r="J71" s="239">
        <v>-1265281</v>
      </c>
      <c r="K71" s="239">
        <v>0</v>
      </c>
      <c r="L71" s="239">
        <v>-1265281</v>
      </c>
      <c r="M71" s="239">
        <v>0</v>
      </c>
      <c r="N71" s="239">
        <v>0</v>
      </c>
      <c r="O71" s="239">
        <v>0</v>
      </c>
      <c r="P71" s="239">
        <v>-927675</v>
      </c>
      <c r="Q71" s="239">
        <v>0</v>
      </c>
      <c r="R71" s="239">
        <v>-927675</v>
      </c>
      <c r="S71" s="239">
        <v>1633392</v>
      </c>
      <c r="T71" s="239">
        <v>0</v>
      </c>
      <c r="U71" s="239">
        <v>1633392</v>
      </c>
      <c r="V71" s="239">
        <v>-2716981</v>
      </c>
      <c r="W71" s="239">
        <v>0</v>
      </c>
      <c r="X71" s="239">
        <v>-2716981</v>
      </c>
      <c r="Y71" s="239">
        <v>120264328</v>
      </c>
      <c r="Z71" s="239">
        <v>0</v>
      </c>
      <c r="AA71" s="239">
        <v>120264328</v>
      </c>
      <c r="AB71" s="239">
        <v>0</v>
      </c>
      <c r="AC71" s="239">
        <v>0</v>
      </c>
      <c r="AD71" s="239">
        <v>0</v>
      </c>
      <c r="AE71" s="239">
        <v>0</v>
      </c>
      <c r="AF71" s="239">
        <v>0</v>
      </c>
      <c r="AG71" s="239">
        <v>0</v>
      </c>
      <c r="AH71" s="239">
        <v>0</v>
      </c>
      <c r="AI71" s="239">
        <v>0</v>
      </c>
      <c r="AJ71" s="239">
        <v>0</v>
      </c>
      <c r="AK71" s="239">
        <v>0</v>
      </c>
      <c r="AL71" s="239">
        <v>0</v>
      </c>
      <c r="AM71" s="239">
        <v>0</v>
      </c>
      <c r="AN71" s="239">
        <v>0</v>
      </c>
      <c r="AO71" s="239">
        <v>0</v>
      </c>
      <c r="AP71" s="239">
        <v>0</v>
      </c>
      <c r="AQ71" s="239">
        <v>0</v>
      </c>
      <c r="AR71" s="239">
        <v>0</v>
      </c>
      <c r="AS71" s="239">
        <v>0</v>
      </c>
      <c r="AT71" s="239">
        <v>0</v>
      </c>
      <c r="AU71" s="239">
        <v>0</v>
      </c>
      <c r="AV71" s="239">
        <v>0</v>
      </c>
      <c r="AW71" s="239">
        <v>0</v>
      </c>
      <c r="AX71" s="239">
        <v>0</v>
      </c>
      <c r="AY71" s="239">
        <v>0</v>
      </c>
      <c r="AZ71" s="239">
        <v>0</v>
      </c>
      <c r="BA71" s="239">
        <v>0</v>
      </c>
      <c r="BB71" s="239">
        <v>0</v>
      </c>
      <c r="BC71" s="239">
        <v>4510668</v>
      </c>
      <c r="BD71" s="239">
        <v>-2438125</v>
      </c>
      <c r="BE71" s="214" t="s">
        <v>224</v>
      </c>
      <c r="BF71" s="214" t="s">
        <v>766</v>
      </c>
      <c r="BG71" s="214" t="s">
        <v>764</v>
      </c>
      <c r="BH71" s="214" t="s">
        <v>1010</v>
      </c>
      <c r="BI71" s="214" t="s">
        <v>1010</v>
      </c>
      <c r="BJ71" s="214" t="s">
        <v>1160</v>
      </c>
    </row>
    <row r="72" spans="1:62" x14ac:dyDescent="0.2">
      <c r="B72" s="602" t="s">
        <v>227</v>
      </c>
      <c r="C72" s="602" t="s">
        <v>226</v>
      </c>
      <c r="D72" s="239">
        <v>17209967</v>
      </c>
      <c r="E72" s="239">
        <v>0</v>
      </c>
      <c r="F72" s="239">
        <v>17209967</v>
      </c>
      <c r="G72" s="239">
        <v>0</v>
      </c>
      <c r="H72" s="239">
        <v>0</v>
      </c>
      <c r="I72" s="239">
        <v>0</v>
      </c>
      <c r="J72" s="239">
        <v>-46301</v>
      </c>
      <c r="K72" s="239">
        <v>0</v>
      </c>
      <c r="L72" s="239">
        <v>-46301</v>
      </c>
      <c r="M72" s="239">
        <v>0</v>
      </c>
      <c r="N72" s="239">
        <v>0</v>
      </c>
      <c r="O72" s="239">
        <v>0</v>
      </c>
      <c r="P72" s="239">
        <v>-59851</v>
      </c>
      <c r="Q72" s="239">
        <v>0</v>
      </c>
      <c r="R72" s="239">
        <v>-59851</v>
      </c>
      <c r="S72" s="239">
        <v>724427</v>
      </c>
      <c r="T72" s="239">
        <v>0</v>
      </c>
      <c r="U72" s="239">
        <v>724427</v>
      </c>
      <c r="V72" s="239">
        <v>0</v>
      </c>
      <c r="W72" s="239">
        <v>0</v>
      </c>
      <c r="X72" s="239">
        <v>0</v>
      </c>
      <c r="Y72" s="239">
        <v>17874543</v>
      </c>
      <c r="Z72" s="239">
        <v>0</v>
      </c>
      <c r="AA72" s="239">
        <v>17874543</v>
      </c>
      <c r="AB72" s="239">
        <v>0</v>
      </c>
      <c r="AC72" s="239">
        <v>0</v>
      </c>
      <c r="AD72" s="239">
        <v>0</v>
      </c>
      <c r="AE72" s="239">
        <v>0</v>
      </c>
      <c r="AF72" s="239">
        <v>0</v>
      </c>
      <c r="AG72" s="239">
        <v>0</v>
      </c>
      <c r="AH72" s="239">
        <v>0</v>
      </c>
      <c r="AI72" s="239">
        <v>0</v>
      </c>
      <c r="AJ72" s="239">
        <v>0</v>
      </c>
      <c r="AK72" s="239">
        <v>0</v>
      </c>
      <c r="AL72" s="239">
        <v>0</v>
      </c>
      <c r="AM72" s="239">
        <v>0</v>
      </c>
      <c r="AN72" s="239">
        <v>0</v>
      </c>
      <c r="AO72" s="239">
        <v>0</v>
      </c>
      <c r="AP72" s="239">
        <v>0</v>
      </c>
      <c r="AQ72" s="239">
        <v>0</v>
      </c>
      <c r="AR72" s="239">
        <v>0</v>
      </c>
      <c r="AS72" s="239">
        <v>0</v>
      </c>
      <c r="AT72" s="239">
        <v>0</v>
      </c>
      <c r="AU72" s="239">
        <v>0</v>
      </c>
      <c r="AV72" s="239">
        <v>0</v>
      </c>
      <c r="AW72" s="239">
        <v>0</v>
      </c>
      <c r="AX72" s="239">
        <v>0</v>
      </c>
      <c r="AY72" s="239">
        <v>0</v>
      </c>
      <c r="AZ72" s="239">
        <v>0</v>
      </c>
      <c r="BA72" s="239">
        <v>0</v>
      </c>
      <c r="BB72" s="239">
        <v>0</v>
      </c>
      <c r="BC72" s="239">
        <v>406095</v>
      </c>
      <c r="BD72" s="239">
        <v>-64690</v>
      </c>
      <c r="BE72" s="214" t="s">
        <v>226</v>
      </c>
      <c r="BF72" s="214" t="s">
        <v>865</v>
      </c>
      <c r="BG72" s="214" t="s">
        <v>744</v>
      </c>
      <c r="BH72" s="214" t="s">
        <v>1010</v>
      </c>
      <c r="BI72" s="214" t="s">
        <v>1010</v>
      </c>
      <c r="BJ72" s="214" t="s">
        <v>1158</v>
      </c>
    </row>
    <row r="73" spans="1:62" x14ac:dyDescent="0.2">
      <c r="B73" s="602" t="s">
        <v>229</v>
      </c>
      <c r="C73" s="602" t="s">
        <v>228</v>
      </c>
      <c r="D73" s="239">
        <v>118894689</v>
      </c>
      <c r="E73" s="239">
        <v>0</v>
      </c>
      <c r="F73" s="239">
        <v>118894689</v>
      </c>
      <c r="G73" s="239">
        <v>0</v>
      </c>
      <c r="H73" s="239">
        <v>0</v>
      </c>
      <c r="I73" s="239">
        <v>0</v>
      </c>
      <c r="J73" s="239">
        <v>-369503</v>
      </c>
      <c r="K73" s="239">
        <v>0</v>
      </c>
      <c r="L73" s="239">
        <v>-369503</v>
      </c>
      <c r="M73" s="239">
        <v>0</v>
      </c>
      <c r="N73" s="239">
        <v>0</v>
      </c>
      <c r="O73" s="239">
        <v>0</v>
      </c>
      <c r="P73" s="239">
        <v>224078</v>
      </c>
      <c r="Q73" s="239">
        <v>0</v>
      </c>
      <c r="R73" s="239">
        <v>224078</v>
      </c>
      <c r="S73" s="239">
        <v>3226601</v>
      </c>
      <c r="T73" s="239">
        <v>0</v>
      </c>
      <c r="U73" s="239">
        <v>3226601</v>
      </c>
      <c r="V73" s="239">
        <v>-4468335</v>
      </c>
      <c r="W73" s="239">
        <v>0</v>
      </c>
      <c r="X73" s="239">
        <v>-4468335</v>
      </c>
      <c r="Y73" s="239">
        <v>117877033</v>
      </c>
      <c r="Z73" s="239">
        <v>0</v>
      </c>
      <c r="AA73" s="239">
        <v>117877033</v>
      </c>
      <c r="AB73" s="239">
        <v>0</v>
      </c>
      <c r="AC73" s="239">
        <v>0</v>
      </c>
      <c r="AD73" s="239">
        <v>4660</v>
      </c>
      <c r="AE73" s="239">
        <v>0</v>
      </c>
      <c r="AF73" s="239">
        <v>4660</v>
      </c>
      <c r="AG73" s="239">
        <v>0</v>
      </c>
      <c r="AH73" s="239">
        <v>0</v>
      </c>
      <c r="AI73" s="239">
        <v>0</v>
      </c>
      <c r="AJ73" s="239">
        <v>0</v>
      </c>
      <c r="AK73" s="239">
        <v>0</v>
      </c>
      <c r="AL73" s="239">
        <v>0</v>
      </c>
      <c r="AM73" s="239">
        <v>0</v>
      </c>
      <c r="AN73" s="239">
        <v>0</v>
      </c>
      <c r="AO73" s="239">
        <v>0</v>
      </c>
      <c r="AP73" s="239">
        <v>0</v>
      </c>
      <c r="AQ73" s="239">
        <v>0</v>
      </c>
      <c r="AR73" s="239">
        <v>0</v>
      </c>
      <c r="AS73" s="239">
        <v>0</v>
      </c>
      <c r="AT73" s="239">
        <v>0</v>
      </c>
      <c r="AU73" s="239">
        <v>0</v>
      </c>
      <c r="AV73" s="239">
        <v>0</v>
      </c>
      <c r="AW73" s="239">
        <v>0</v>
      </c>
      <c r="AX73" s="239">
        <v>0</v>
      </c>
      <c r="AY73" s="239">
        <v>0</v>
      </c>
      <c r="AZ73" s="239">
        <v>0</v>
      </c>
      <c r="BA73" s="239">
        <v>0</v>
      </c>
      <c r="BB73" s="239">
        <v>0</v>
      </c>
      <c r="BC73" s="239">
        <v>1777094</v>
      </c>
      <c r="BD73" s="239">
        <v>-3305381</v>
      </c>
      <c r="BE73" s="214" t="s">
        <v>228</v>
      </c>
      <c r="BF73" s="214" t="s">
        <v>762</v>
      </c>
      <c r="BG73" s="214" t="s">
        <v>761</v>
      </c>
      <c r="BH73" s="214" t="s">
        <v>1010</v>
      </c>
      <c r="BI73" s="214" t="s">
        <v>1010</v>
      </c>
      <c r="BJ73" s="214" t="s">
        <v>1158</v>
      </c>
    </row>
    <row r="74" spans="1:62" x14ac:dyDescent="0.2">
      <c r="A74" s="215"/>
      <c r="B74" s="602" t="s">
        <v>231</v>
      </c>
      <c r="C74" s="602" t="s">
        <v>230</v>
      </c>
      <c r="D74" s="239">
        <v>111473995</v>
      </c>
      <c r="E74" s="239">
        <v>0</v>
      </c>
      <c r="F74" s="239">
        <v>111473995</v>
      </c>
      <c r="G74" s="239">
        <v>0</v>
      </c>
      <c r="H74" s="239">
        <v>0</v>
      </c>
      <c r="I74" s="239">
        <v>0</v>
      </c>
      <c r="J74" s="239">
        <v>-4990007</v>
      </c>
      <c r="K74" s="239">
        <v>0</v>
      </c>
      <c r="L74" s="239">
        <v>-4990007</v>
      </c>
      <c r="M74" s="239">
        <v>0</v>
      </c>
      <c r="N74" s="239">
        <v>0</v>
      </c>
      <c r="O74" s="239">
        <v>0</v>
      </c>
      <c r="P74" s="239">
        <v>-1105901</v>
      </c>
      <c r="Q74" s="239">
        <v>0</v>
      </c>
      <c r="R74" s="239">
        <v>-1105901</v>
      </c>
      <c r="S74" s="239">
        <v>0</v>
      </c>
      <c r="T74" s="239">
        <v>0</v>
      </c>
      <c r="U74" s="239">
        <v>0</v>
      </c>
      <c r="V74" s="239">
        <v>-5500000</v>
      </c>
      <c r="W74" s="239">
        <v>0</v>
      </c>
      <c r="X74" s="239">
        <v>-5500000</v>
      </c>
      <c r="Y74" s="239">
        <v>104868094</v>
      </c>
      <c r="Z74" s="239">
        <v>0</v>
      </c>
      <c r="AA74" s="239">
        <v>104868094</v>
      </c>
      <c r="AB74" s="239">
        <v>0</v>
      </c>
      <c r="AC74" s="239">
        <v>0</v>
      </c>
      <c r="AD74" s="239">
        <v>0</v>
      </c>
      <c r="AE74" s="239">
        <v>0</v>
      </c>
      <c r="AF74" s="239">
        <v>0</v>
      </c>
      <c r="AG74" s="239">
        <v>0</v>
      </c>
      <c r="AH74" s="239">
        <v>0</v>
      </c>
      <c r="AI74" s="239">
        <v>0</v>
      </c>
      <c r="AJ74" s="239">
        <v>0</v>
      </c>
      <c r="AK74" s="239">
        <v>0</v>
      </c>
      <c r="AL74" s="239">
        <v>0</v>
      </c>
      <c r="AM74" s="239">
        <v>0</v>
      </c>
      <c r="AN74" s="239">
        <v>0</v>
      </c>
      <c r="AO74" s="239">
        <v>0</v>
      </c>
      <c r="AP74" s="239">
        <v>0</v>
      </c>
      <c r="AQ74" s="239">
        <v>0</v>
      </c>
      <c r="AR74" s="239">
        <v>0</v>
      </c>
      <c r="AS74" s="239">
        <v>0</v>
      </c>
      <c r="AT74" s="239">
        <v>0</v>
      </c>
      <c r="AU74" s="239">
        <v>0</v>
      </c>
      <c r="AV74" s="239">
        <v>0</v>
      </c>
      <c r="AW74" s="239">
        <v>0</v>
      </c>
      <c r="AX74" s="239">
        <v>0</v>
      </c>
      <c r="AY74" s="239">
        <v>0</v>
      </c>
      <c r="AZ74" s="239">
        <v>0</v>
      </c>
      <c r="BA74" s="239">
        <v>0</v>
      </c>
      <c r="BB74" s="239">
        <v>0</v>
      </c>
      <c r="BC74" s="239">
        <v>7814152</v>
      </c>
      <c r="BD74" s="239">
        <v>-5764249</v>
      </c>
      <c r="BE74" s="214" t="s">
        <v>230</v>
      </c>
      <c r="BF74" s="214" t="s">
        <v>788</v>
      </c>
      <c r="BG74" s="214" t="s">
        <v>747</v>
      </c>
      <c r="BH74" s="214" t="s">
        <v>1010</v>
      </c>
      <c r="BI74" s="214" t="s">
        <v>1010</v>
      </c>
      <c r="BJ74" s="214" t="s">
        <v>1159</v>
      </c>
    </row>
    <row r="75" spans="1:62" x14ac:dyDescent="0.2">
      <c r="B75" s="602" t="s">
        <v>233</v>
      </c>
      <c r="C75" s="602" t="s">
        <v>232</v>
      </c>
      <c r="D75" s="239">
        <v>61770889</v>
      </c>
      <c r="E75" s="239">
        <v>58757</v>
      </c>
      <c r="F75" s="239">
        <v>61829646</v>
      </c>
      <c r="G75" s="239">
        <v>-137</v>
      </c>
      <c r="H75" s="239">
        <v>0</v>
      </c>
      <c r="I75" s="239">
        <v>-137</v>
      </c>
      <c r="J75" s="239">
        <v>-356346</v>
      </c>
      <c r="K75" s="239">
        <v>0</v>
      </c>
      <c r="L75" s="239">
        <v>-356346</v>
      </c>
      <c r="M75" s="239">
        <v>0</v>
      </c>
      <c r="N75" s="239">
        <v>0</v>
      </c>
      <c r="O75" s="239">
        <v>0</v>
      </c>
      <c r="P75" s="239">
        <v>-287034</v>
      </c>
      <c r="Q75" s="239">
        <v>0</v>
      </c>
      <c r="R75" s="239">
        <v>-287034</v>
      </c>
      <c r="S75" s="239">
        <v>1512905</v>
      </c>
      <c r="T75" s="239">
        <v>0</v>
      </c>
      <c r="U75" s="239">
        <v>1512905</v>
      </c>
      <c r="V75" s="239">
        <v>-2863526</v>
      </c>
      <c r="W75" s="239">
        <v>-2762</v>
      </c>
      <c r="X75" s="239">
        <v>-2866288</v>
      </c>
      <c r="Y75" s="239">
        <v>60133097</v>
      </c>
      <c r="Z75" s="239">
        <v>55995</v>
      </c>
      <c r="AA75" s="239">
        <v>60189092</v>
      </c>
      <c r="AB75" s="239">
        <v>55995</v>
      </c>
      <c r="AC75" s="239">
        <v>55995</v>
      </c>
      <c r="AD75" s="239">
        <v>0</v>
      </c>
      <c r="AE75" s="239">
        <v>0</v>
      </c>
      <c r="AF75" s="239">
        <v>0</v>
      </c>
      <c r="AG75" s="239">
        <v>4701</v>
      </c>
      <c r="AH75" s="239">
        <v>4701</v>
      </c>
      <c r="AI75" s="239">
        <v>61283</v>
      </c>
      <c r="AJ75" s="239">
        <v>61283</v>
      </c>
      <c r="AK75" s="239">
        <v>28100</v>
      </c>
      <c r="AL75" s="239">
        <v>0</v>
      </c>
      <c r="AM75" s="239">
        <v>0</v>
      </c>
      <c r="AN75" s="239">
        <v>0</v>
      </c>
      <c r="AO75" s="239">
        <v>0</v>
      </c>
      <c r="AP75" s="239">
        <v>0</v>
      </c>
      <c r="AQ75" s="239">
        <v>0</v>
      </c>
      <c r="AR75" s="239">
        <v>0</v>
      </c>
      <c r="AS75" s="239">
        <v>0</v>
      </c>
      <c r="AT75" s="239">
        <v>0</v>
      </c>
      <c r="AU75" s="239">
        <v>0</v>
      </c>
      <c r="AV75" s="239">
        <v>0</v>
      </c>
      <c r="AW75" s="239">
        <v>0</v>
      </c>
      <c r="AX75" s="239">
        <v>0</v>
      </c>
      <c r="AY75" s="239">
        <v>0</v>
      </c>
      <c r="AZ75" s="239">
        <v>0</v>
      </c>
      <c r="BA75" s="239">
        <v>0</v>
      </c>
      <c r="BB75" s="239">
        <v>0</v>
      </c>
      <c r="BC75" s="239">
        <v>1975299</v>
      </c>
      <c r="BD75" s="239">
        <v>-1474703</v>
      </c>
      <c r="BE75" s="214" t="s">
        <v>232</v>
      </c>
      <c r="BF75" s="214" t="s">
        <v>801</v>
      </c>
      <c r="BG75" s="214" t="s">
        <v>761</v>
      </c>
      <c r="BH75" s="214" t="s">
        <v>1010</v>
      </c>
      <c r="BI75" s="214" t="s">
        <v>1010</v>
      </c>
      <c r="BJ75" s="214" t="s">
        <v>1158</v>
      </c>
    </row>
    <row r="76" spans="1:62" x14ac:dyDescent="0.2">
      <c r="B76" s="602" t="s">
        <v>235</v>
      </c>
      <c r="C76" s="602" t="s">
        <v>234</v>
      </c>
      <c r="D76" s="239">
        <v>33905157</v>
      </c>
      <c r="E76" s="239">
        <v>214625</v>
      </c>
      <c r="F76" s="239">
        <v>34119782</v>
      </c>
      <c r="G76" s="239">
        <v>0</v>
      </c>
      <c r="H76" s="239">
        <v>0</v>
      </c>
      <c r="I76" s="239">
        <v>0</v>
      </c>
      <c r="J76" s="239">
        <v>-337015</v>
      </c>
      <c r="K76" s="239">
        <v>-675</v>
      </c>
      <c r="L76" s="239">
        <v>-337690</v>
      </c>
      <c r="M76" s="239">
        <v>0</v>
      </c>
      <c r="N76" s="239">
        <v>0</v>
      </c>
      <c r="O76" s="239">
        <v>0</v>
      </c>
      <c r="P76" s="239">
        <v>-369000</v>
      </c>
      <c r="Q76" s="239">
        <v>-3000</v>
      </c>
      <c r="R76" s="239">
        <v>-372000</v>
      </c>
      <c r="S76" s="239">
        <v>368320</v>
      </c>
      <c r="T76" s="239">
        <v>0</v>
      </c>
      <c r="U76" s="239">
        <v>368320</v>
      </c>
      <c r="V76" s="239">
        <v>-1457696</v>
      </c>
      <c r="W76" s="239">
        <v>-2000</v>
      </c>
      <c r="X76" s="239">
        <v>-1459696</v>
      </c>
      <c r="Y76" s="239">
        <v>32446781</v>
      </c>
      <c r="Z76" s="239">
        <v>209625</v>
      </c>
      <c r="AA76" s="239">
        <v>32656406</v>
      </c>
      <c r="AB76" s="239">
        <v>209625</v>
      </c>
      <c r="AC76" s="239">
        <v>209625</v>
      </c>
      <c r="AD76" s="239">
        <v>0</v>
      </c>
      <c r="AE76" s="239">
        <v>0</v>
      </c>
      <c r="AF76" s="239">
        <v>0</v>
      </c>
      <c r="AG76" s="239">
        <v>-12096</v>
      </c>
      <c r="AH76" s="239">
        <v>-12096</v>
      </c>
      <c r="AI76" s="239">
        <v>28576</v>
      </c>
      <c r="AJ76" s="239">
        <v>28576</v>
      </c>
      <c r="AK76" s="239">
        <v>168953</v>
      </c>
      <c r="AL76" s="239">
        <v>0</v>
      </c>
      <c r="AM76" s="239">
        <v>0</v>
      </c>
      <c r="AN76" s="239">
        <v>0</v>
      </c>
      <c r="AO76" s="239">
        <v>0</v>
      </c>
      <c r="AP76" s="239">
        <v>20164</v>
      </c>
      <c r="AQ76" s="239">
        <v>20164</v>
      </c>
      <c r="AR76" s="239">
        <v>0</v>
      </c>
      <c r="AS76" s="239">
        <v>0</v>
      </c>
      <c r="AT76" s="239">
        <v>0</v>
      </c>
      <c r="AU76" s="239">
        <v>0</v>
      </c>
      <c r="AV76" s="239">
        <v>0</v>
      </c>
      <c r="AW76" s="239">
        <v>0</v>
      </c>
      <c r="AX76" s="239">
        <v>0</v>
      </c>
      <c r="AY76" s="239">
        <v>0</v>
      </c>
      <c r="AZ76" s="239">
        <v>0</v>
      </c>
      <c r="BA76" s="239">
        <v>20164</v>
      </c>
      <c r="BB76" s="239">
        <v>20164</v>
      </c>
      <c r="BC76" s="239">
        <v>1585422</v>
      </c>
      <c r="BD76" s="239">
        <v>-633050</v>
      </c>
      <c r="BE76" s="214" t="s">
        <v>914</v>
      </c>
      <c r="BF76" s="214" t="s">
        <v>746</v>
      </c>
      <c r="BG76" s="214" t="s">
        <v>911</v>
      </c>
      <c r="BH76" s="214" t="s">
        <v>1010</v>
      </c>
      <c r="BI76" s="214" t="s">
        <v>1010</v>
      </c>
      <c r="BJ76" s="214" t="s">
        <v>746</v>
      </c>
    </row>
    <row r="77" spans="1:62" x14ac:dyDescent="0.2">
      <c r="B77" s="602" t="s">
        <v>237</v>
      </c>
      <c r="C77" s="602" t="s">
        <v>236</v>
      </c>
      <c r="D77" s="239">
        <v>88775574</v>
      </c>
      <c r="E77" s="239">
        <v>0</v>
      </c>
      <c r="F77" s="239">
        <v>88775574</v>
      </c>
      <c r="G77" s="239">
        <v>0</v>
      </c>
      <c r="H77" s="239">
        <v>0</v>
      </c>
      <c r="I77" s="239">
        <v>0</v>
      </c>
      <c r="J77" s="239">
        <v>-191476</v>
      </c>
      <c r="K77" s="239">
        <v>0</v>
      </c>
      <c r="L77" s="239">
        <v>-191476</v>
      </c>
      <c r="M77" s="239">
        <v>0</v>
      </c>
      <c r="N77" s="239">
        <v>0</v>
      </c>
      <c r="O77" s="239">
        <v>0</v>
      </c>
      <c r="P77" s="239">
        <v>-185829</v>
      </c>
      <c r="Q77" s="239">
        <v>0</v>
      </c>
      <c r="R77" s="239">
        <v>-185829</v>
      </c>
      <c r="S77" s="239">
        <v>1505374</v>
      </c>
      <c r="T77" s="239">
        <v>0</v>
      </c>
      <c r="U77" s="239">
        <v>1505374</v>
      </c>
      <c r="V77" s="239">
        <v>-5881838</v>
      </c>
      <c r="W77" s="239">
        <v>0</v>
      </c>
      <c r="X77" s="239">
        <v>-5881838</v>
      </c>
      <c r="Y77" s="239">
        <v>84213281</v>
      </c>
      <c r="Z77" s="239">
        <v>0</v>
      </c>
      <c r="AA77" s="239">
        <v>84213281</v>
      </c>
      <c r="AB77" s="239">
        <v>0</v>
      </c>
      <c r="AC77" s="239">
        <v>0</v>
      </c>
      <c r="AD77" s="239">
        <v>0</v>
      </c>
      <c r="AE77" s="239">
        <v>0</v>
      </c>
      <c r="AF77" s="239">
        <v>0</v>
      </c>
      <c r="AG77" s="239">
        <v>0</v>
      </c>
      <c r="AH77" s="239">
        <v>0</v>
      </c>
      <c r="AI77" s="239">
        <v>0</v>
      </c>
      <c r="AJ77" s="239">
        <v>0</v>
      </c>
      <c r="AK77" s="239">
        <v>0</v>
      </c>
      <c r="AL77" s="239">
        <v>0</v>
      </c>
      <c r="AM77" s="239">
        <v>0</v>
      </c>
      <c r="AN77" s="239">
        <v>0</v>
      </c>
      <c r="AO77" s="239">
        <v>0</v>
      </c>
      <c r="AP77" s="239">
        <v>0</v>
      </c>
      <c r="AQ77" s="239">
        <v>0</v>
      </c>
      <c r="AR77" s="239">
        <v>0</v>
      </c>
      <c r="AS77" s="239">
        <v>0</v>
      </c>
      <c r="AT77" s="239">
        <v>0</v>
      </c>
      <c r="AU77" s="239">
        <v>0</v>
      </c>
      <c r="AV77" s="239">
        <v>0</v>
      </c>
      <c r="AW77" s="239">
        <v>0</v>
      </c>
      <c r="AX77" s="239">
        <v>0</v>
      </c>
      <c r="AY77" s="239">
        <v>0</v>
      </c>
      <c r="AZ77" s="239">
        <v>0</v>
      </c>
      <c r="BA77" s="239">
        <v>0</v>
      </c>
      <c r="BB77" s="239">
        <v>0</v>
      </c>
      <c r="BC77" s="239">
        <v>1651069</v>
      </c>
      <c r="BD77" s="239">
        <v>-3296365</v>
      </c>
      <c r="BE77" s="214" t="s">
        <v>236</v>
      </c>
      <c r="BF77" s="214" t="s">
        <v>824</v>
      </c>
      <c r="BG77" s="214" t="s">
        <v>822</v>
      </c>
      <c r="BH77" s="214" t="s">
        <v>1010</v>
      </c>
      <c r="BI77" s="214" t="s">
        <v>1010</v>
      </c>
      <c r="BJ77" s="214" t="s">
        <v>1158</v>
      </c>
    </row>
    <row r="78" spans="1:62" x14ac:dyDescent="0.2">
      <c r="B78" s="602" t="s">
        <v>239</v>
      </c>
      <c r="C78" s="602" t="s">
        <v>238</v>
      </c>
      <c r="D78" s="239">
        <v>46569850</v>
      </c>
      <c r="E78" s="239">
        <v>0</v>
      </c>
      <c r="F78" s="239">
        <v>46569850</v>
      </c>
      <c r="G78" s="239">
        <v>0</v>
      </c>
      <c r="H78" s="239">
        <v>0</v>
      </c>
      <c r="I78" s="239">
        <v>0</v>
      </c>
      <c r="J78" s="239">
        <v>-48084</v>
      </c>
      <c r="K78" s="239">
        <v>0</v>
      </c>
      <c r="L78" s="239">
        <v>-48084</v>
      </c>
      <c r="M78" s="239">
        <v>0</v>
      </c>
      <c r="N78" s="239">
        <v>0</v>
      </c>
      <c r="O78" s="239">
        <v>0</v>
      </c>
      <c r="P78" s="239">
        <v>-3612</v>
      </c>
      <c r="Q78" s="239">
        <v>0</v>
      </c>
      <c r="R78" s="239">
        <v>-3612</v>
      </c>
      <c r="S78" s="239">
        <v>683089</v>
      </c>
      <c r="T78" s="239">
        <v>0</v>
      </c>
      <c r="U78" s="239">
        <v>683089</v>
      </c>
      <c r="V78" s="239">
        <v>-1476866</v>
      </c>
      <c r="W78" s="239">
        <v>0</v>
      </c>
      <c r="X78" s="239">
        <v>-1476866</v>
      </c>
      <c r="Y78" s="239">
        <v>45772461</v>
      </c>
      <c r="Z78" s="239">
        <v>0</v>
      </c>
      <c r="AA78" s="239">
        <v>45772461</v>
      </c>
      <c r="AB78" s="239">
        <v>0</v>
      </c>
      <c r="AC78" s="239">
        <v>0</v>
      </c>
      <c r="AD78" s="239">
        <v>797074</v>
      </c>
      <c r="AE78" s="239">
        <v>0</v>
      </c>
      <c r="AF78" s="239">
        <v>797074</v>
      </c>
      <c r="AG78" s="239">
        <v>0</v>
      </c>
      <c r="AH78" s="239">
        <v>0</v>
      </c>
      <c r="AI78" s="239">
        <v>0</v>
      </c>
      <c r="AJ78" s="239">
        <v>0</v>
      </c>
      <c r="AK78" s="239">
        <v>0</v>
      </c>
      <c r="AL78" s="239">
        <v>0</v>
      </c>
      <c r="AM78" s="239">
        <v>0</v>
      </c>
      <c r="AN78" s="239">
        <v>0</v>
      </c>
      <c r="AO78" s="239">
        <v>0</v>
      </c>
      <c r="AP78" s="239">
        <v>0</v>
      </c>
      <c r="AQ78" s="239">
        <v>0</v>
      </c>
      <c r="AR78" s="239">
        <v>0</v>
      </c>
      <c r="AS78" s="239">
        <v>0</v>
      </c>
      <c r="AT78" s="239">
        <v>0</v>
      </c>
      <c r="AU78" s="239">
        <v>0</v>
      </c>
      <c r="AV78" s="239">
        <v>0</v>
      </c>
      <c r="AW78" s="239">
        <v>0</v>
      </c>
      <c r="AX78" s="239">
        <v>0</v>
      </c>
      <c r="AY78" s="239">
        <v>0</v>
      </c>
      <c r="AZ78" s="239">
        <v>0</v>
      </c>
      <c r="BA78" s="239">
        <v>0</v>
      </c>
      <c r="BB78" s="239">
        <v>0</v>
      </c>
      <c r="BC78" s="239">
        <v>257704</v>
      </c>
      <c r="BD78" s="239">
        <v>-306122</v>
      </c>
      <c r="BE78" s="214" t="s">
        <v>238</v>
      </c>
      <c r="BF78" s="214" t="s">
        <v>803</v>
      </c>
      <c r="BG78" s="214" t="s">
        <v>761</v>
      </c>
      <c r="BH78" s="214" t="s">
        <v>1010</v>
      </c>
      <c r="BI78" s="214" t="s">
        <v>1010</v>
      </c>
      <c r="BJ78" s="214" t="s">
        <v>1158</v>
      </c>
    </row>
    <row r="79" spans="1:62" x14ac:dyDescent="0.2">
      <c r="B79" s="602" t="s">
        <v>241</v>
      </c>
      <c r="C79" s="602" t="s">
        <v>240</v>
      </c>
      <c r="D79" s="239">
        <v>87545840</v>
      </c>
      <c r="E79" s="239">
        <v>87559</v>
      </c>
      <c r="F79" s="239">
        <v>87633399</v>
      </c>
      <c r="G79" s="239">
        <v>0</v>
      </c>
      <c r="H79" s="239">
        <v>0</v>
      </c>
      <c r="I79" s="239">
        <v>0</v>
      </c>
      <c r="J79" s="239">
        <v>-2102156</v>
      </c>
      <c r="K79" s="239">
        <v>0</v>
      </c>
      <c r="L79" s="239">
        <v>-2102156</v>
      </c>
      <c r="M79" s="239">
        <v>0</v>
      </c>
      <c r="N79" s="239">
        <v>0</v>
      </c>
      <c r="O79" s="239">
        <v>0</v>
      </c>
      <c r="P79" s="239">
        <v>-574815</v>
      </c>
      <c r="Q79" s="239">
        <v>0</v>
      </c>
      <c r="R79" s="239">
        <v>-574815</v>
      </c>
      <c r="S79" s="239">
        <v>5192101</v>
      </c>
      <c r="T79" s="239">
        <v>0</v>
      </c>
      <c r="U79" s="239">
        <v>5192101</v>
      </c>
      <c r="V79" s="239">
        <v>-1704262</v>
      </c>
      <c r="W79" s="239">
        <v>0</v>
      </c>
      <c r="X79" s="239">
        <v>-1704262</v>
      </c>
      <c r="Y79" s="239">
        <v>90458864</v>
      </c>
      <c r="Z79" s="239">
        <v>87559</v>
      </c>
      <c r="AA79" s="239">
        <v>90546423</v>
      </c>
      <c r="AB79" s="239">
        <v>87559</v>
      </c>
      <c r="AC79" s="239">
        <v>87559</v>
      </c>
      <c r="AD79" s="239">
        <v>743634</v>
      </c>
      <c r="AE79" s="239">
        <v>0</v>
      </c>
      <c r="AF79" s="239">
        <v>743634</v>
      </c>
      <c r="AG79" s="239">
        <v>0</v>
      </c>
      <c r="AH79" s="239">
        <v>0</v>
      </c>
      <c r="AI79" s="239">
        <v>0</v>
      </c>
      <c r="AJ79" s="239">
        <v>0</v>
      </c>
      <c r="AK79" s="239">
        <v>87559</v>
      </c>
      <c r="AL79" s="239">
        <v>0</v>
      </c>
      <c r="AM79" s="239">
        <v>0</v>
      </c>
      <c r="AN79" s="239">
        <v>0</v>
      </c>
      <c r="AO79" s="239">
        <v>0</v>
      </c>
      <c r="AP79" s="239">
        <v>36402</v>
      </c>
      <c r="AQ79" s="239">
        <v>36402</v>
      </c>
      <c r="AR79" s="239">
        <v>0</v>
      </c>
      <c r="AS79" s="239">
        <v>0</v>
      </c>
      <c r="AT79" s="239">
        <v>0</v>
      </c>
      <c r="AU79" s="239">
        <v>0</v>
      </c>
      <c r="AV79" s="239">
        <v>0</v>
      </c>
      <c r="AW79" s="239">
        <v>0</v>
      </c>
      <c r="AX79" s="239">
        <v>0</v>
      </c>
      <c r="AY79" s="239">
        <v>0</v>
      </c>
      <c r="AZ79" s="239">
        <v>0</v>
      </c>
      <c r="BA79" s="239">
        <v>36402</v>
      </c>
      <c r="BB79" s="239">
        <v>36402</v>
      </c>
      <c r="BC79" s="239">
        <v>5629428</v>
      </c>
      <c r="BD79" s="239">
        <v>-596729</v>
      </c>
      <c r="BE79" s="214" t="s">
        <v>913</v>
      </c>
      <c r="BF79" s="214" t="s">
        <v>746</v>
      </c>
      <c r="BG79" s="214" t="s">
        <v>854</v>
      </c>
      <c r="BH79" s="214" t="s">
        <v>1019</v>
      </c>
      <c r="BI79" s="214" t="s">
        <v>1010</v>
      </c>
      <c r="BJ79" s="214" t="s">
        <v>746</v>
      </c>
    </row>
    <row r="80" spans="1:62" x14ac:dyDescent="0.2">
      <c r="B80" s="602" t="s">
        <v>243</v>
      </c>
      <c r="C80" s="602" t="s">
        <v>242</v>
      </c>
      <c r="D80" s="239">
        <v>17008234</v>
      </c>
      <c r="E80" s="239">
        <v>0</v>
      </c>
      <c r="F80" s="239">
        <v>17008234</v>
      </c>
      <c r="G80" s="239">
        <v>0</v>
      </c>
      <c r="H80" s="239">
        <v>0</v>
      </c>
      <c r="I80" s="239">
        <v>0</v>
      </c>
      <c r="J80" s="239">
        <v>-154758</v>
      </c>
      <c r="K80" s="239">
        <v>0</v>
      </c>
      <c r="L80" s="239">
        <v>-154758</v>
      </c>
      <c r="M80" s="239">
        <v>0</v>
      </c>
      <c r="N80" s="239">
        <v>0</v>
      </c>
      <c r="O80" s="239">
        <v>0</v>
      </c>
      <c r="P80" s="239">
        <v>-129578</v>
      </c>
      <c r="Q80" s="239">
        <v>0</v>
      </c>
      <c r="R80" s="239">
        <v>-129578</v>
      </c>
      <c r="S80" s="239">
        <v>906279</v>
      </c>
      <c r="T80" s="239">
        <v>0</v>
      </c>
      <c r="U80" s="239">
        <v>906279</v>
      </c>
      <c r="V80" s="239">
        <v>-821846</v>
      </c>
      <c r="W80" s="239">
        <v>0</v>
      </c>
      <c r="X80" s="239">
        <v>-821846</v>
      </c>
      <c r="Y80" s="239">
        <v>16963089</v>
      </c>
      <c r="Z80" s="239">
        <v>0</v>
      </c>
      <c r="AA80" s="239">
        <v>16963089</v>
      </c>
      <c r="AB80" s="239">
        <v>0</v>
      </c>
      <c r="AC80" s="239">
        <v>0</v>
      </c>
      <c r="AD80" s="239">
        <v>154866</v>
      </c>
      <c r="AE80" s="239">
        <v>0</v>
      </c>
      <c r="AF80" s="239">
        <v>154866</v>
      </c>
      <c r="AG80" s="239">
        <v>0</v>
      </c>
      <c r="AH80" s="239">
        <v>0</v>
      </c>
      <c r="AI80" s="239">
        <v>0</v>
      </c>
      <c r="AJ80" s="239">
        <v>0</v>
      </c>
      <c r="AK80" s="239">
        <v>0</v>
      </c>
      <c r="AL80" s="239">
        <v>0</v>
      </c>
      <c r="AM80" s="239">
        <v>0</v>
      </c>
      <c r="AN80" s="239">
        <v>0</v>
      </c>
      <c r="AO80" s="239">
        <v>0</v>
      </c>
      <c r="AP80" s="239">
        <v>0</v>
      </c>
      <c r="AQ80" s="239">
        <v>0</v>
      </c>
      <c r="AR80" s="239">
        <v>0</v>
      </c>
      <c r="AS80" s="239">
        <v>0</v>
      </c>
      <c r="AT80" s="239">
        <v>0</v>
      </c>
      <c r="AU80" s="239">
        <v>0</v>
      </c>
      <c r="AV80" s="239">
        <v>0</v>
      </c>
      <c r="AW80" s="239">
        <v>0</v>
      </c>
      <c r="AX80" s="239">
        <v>0</v>
      </c>
      <c r="AY80" s="239">
        <v>0</v>
      </c>
      <c r="AZ80" s="239">
        <v>0</v>
      </c>
      <c r="BA80" s="239">
        <v>0</v>
      </c>
      <c r="BB80" s="239">
        <v>0</v>
      </c>
      <c r="BC80" s="239">
        <v>729720</v>
      </c>
      <c r="BD80" s="239">
        <v>-275574</v>
      </c>
      <c r="BE80" s="214" t="s">
        <v>242</v>
      </c>
      <c r="BF80" s="214" t="s">
        <v>856</v>
      </c>
      <c r="BG80" s="214" t="s">
        <v>854</v>
      </c>
      <c r="BH80" s="214" t="s">
        <v>1010</v>
      </c>
      <c r="BI80" s="214" t="s">
        <v>1010</v>
      </c>
      <c r="BJ80" s="214" t="s">
        <v>1158</v>
      </c>
    </row>
    <row r="81" spans="1:62" x14ac:dyDescent="0.2">
      <c r="B81" s="602" t="s">
        <v>245</v>
      </c>
      <c r="C81" s="602" t="s">
        <v>244</v>
      </c>
      <c r="D81" s="239">
        <v>98492013</v>
      </c>
      <c r="E81" s="239">
        <v>0</v>
      </c>
      <c r="F81" s="239">
        <v>98492013</v>
      </c>
      <c r="G81" s="239">
        <v>0</v>
      </c>
      <c r="H81" s="239">
        <v>0</v>
      </c>
      <c r="I81" s="239">
        <v>0</v>
      </c>
      <c r="J81" s="239">
        <v>-2084067</v>
      </c>
      <c r="K81" s="239">
        <v>0</v>
      </c>
      <c r="L81" s="239">
        <v>-2084067</v>
      </c>
      <c r="M81" s="239">
        <v>-137114</v>
      </c>
      <c r="N81" s="239">
        <v>0</v>
      </c>
      <c r="O81" s="239">
        <v>-137114</v>
      </c>
      <c r="P81" s="239">
        <v>-1409201</v>
      </c>
      <c r="Q81" s="239">
        <v>0</v>
      </c>
      <c r="R81" s="239">
        <v>-1409201</v>
      </c>
      <c r="S81" s="239">
        <v>2507913</v>
      </c>
      <c r="T81" s="239">
        <v>0</v>
      </c>
      <c r="U81" s="239">
        <v>2507913</v>
      </c>
      <c r="V81" s="239">
        <v>-4301744</v>
      </c>
      <c r="W81" s="239">
        <v>0</v>
      </c>
      <c r="X81" s="239">
        <v>-4301744</v>
      </c>
      <c r="Y81" s="239">
        <v>95151867</v>
      </c>
      <c r="Z81" s="239">
        <v>0</v>
      </c>
      <c r="AA81" s="239">
        <v>95151867</v>
      </c>
      <c r="AB81" s="239">
        <v>0</v>
      </c>
      <c r="AC81" s="239">
        <v>0</v>
      </c>
      <c r="AD81" s="239">
        <v>196728</v>
      </c>
      <c r="AE81" s="239">
        <v>0</v>
      </c>
      <c r="AF81" s="239">
        <v>196728</v>
      </c>
      <c r="AG81" s="239">
        <v>0</v>
      </c>
      <c r="AH81" s="239">
        <v>0</v>
      </c>
      <c r="AI81" s="239">
        <v>0</v>
      </c>
      <c r="AJ81" s="239">
        <v>0</v>
      </c>
      <c r="AK81" s="239">
        <v>0</v>
      </c>
      <c r="AL81" s="239">
        <v>0</v>
      </c>
      <c r="AM81" s="239">
        <v>0</v>
      </c>
      <c r="AN81" s="239">
        <v>0</v>
      </c>
      <c r="AO81" s="239">
        <v>0</v>
      </c>
      <c r="AP81" s="239">
        <v>0</v>
      </c>
      <c r="AQ81" s="239">
        <v>0</v>
      </c>
      <c r="AR81" s="239">
        <v>0</v>
      </c>
      <c r="AS81" s="239">
        <v>0</v>
      </c>
      <c r="AT81" s="239">
        <v>0</v>
      </c>
      <c r="AU81" s="239">
        <v>0</v>
      </c>
      <c r="AV81" s="239">
        <v>0</v>
      </c>
      <c r="AW81" s="239">
        <v>0</v>
      </c>
      <c r="AX81" s="239">
        <v>0</v>
      </c>
      <c r="AY81" s="239">
        <v>0</v>
      </c>
      <c r="AZ81" s="239">
        <v>0</v>
      </c>
      <c r="BA81" s="239">
        <v>0</v>
      </c>
      <c r="BB81" s="239">
        <v>0</v>
      </c>
      <c r="BC81" s="239">
        <v>5990348</v>
      </c>
      <c r="BD81" s="239">
        <v>-1271309</v>
      </c>
      <c r="BE81" s="214" t="s">
        <v>244</v>
      </c>
      <c r="BF81" s="214" t="s">
        <v>766</v>
      </c>
      <c r="BG81" s="214" t="s">
        <v>863</v>
      </c>
      <c r="BH81" s="214" t="s">
        <v>1010</v>
      </c>
      <c r="BI81" s="214" t="s">
        <v>1010</v>
      </c>
      <c r="BJ81" s="214" t="s">
        <v>1160</v>
      </c>
    </row>
    <row r="82" spans="1:62" x14ac:dyDescent="0.2">
      <c r="B82" s="602" t="s">
        <v>247</v>
      </c>
      <c r="C82" s="602" t="s">
        <v>246</v>
      </c>
      <c r="D82" s="239">
        <v>37342512</v>
      </c>
      <c r="E82" s="239">
        <v>0</v>
      </c>
      <c r="F82" s="239">
        <v>37342512</v>
      </c>
      <c r="G82" s="239">
        <v>0</v>
      </c>
      <c r="H82" s="239">
        <v>0</v>
      </c>
      <c r="I82" s="239">
        <v>0</v>
      </c>
      <c r="J82" s="239">
        <v>-39313</v>
      </c>
      <c r="K82" s="239">
        <v>0</v>
      </c>
      <c r="L82" s="239">
        <v>-39313</v>
      </c>
      <c r="M82" s="239">
        <v>0</v>
      </c>
      <c r="N82" s="239">
        <v>0</v>
      </c>
      <c r="O82" s="239">
        <v>0</v>
      </c>
      <c r="P82" s="239">
        <v>-32701</v>
      </c>
      <c r="Q82" s="239">
        <v>0</v>
      </c>
      <c r="R82" s="239">
        <v>-32701</v>
      </c>
      <c r="S82" s="239">
        <v>277000</v>
      </c>
      <c r="T82" s="239">
        <v>0</v>
      </c>
      <c r="U82" s="239">
        <v>277000</v>
      </c>
      <c r="V82" s="239">
        <v>-2847000</v>
      </c>
      <c r="W82" s="239">
        <v>0</v>
      </c>
      <c r="X82" s="239">
        <v>-2847000</v>
      </c>
      <c r="Y82" s="239">
        <v>34739811</v>
      </c>
      <c r="Z82" s="239">
        <v>0</v>
      </c>
      <c r="AA82" s="239">
        <v>34739811</v>
      </c>
      <c r="AB82" s="239">
        <v>0</v>
      </c>
      <c r="AC82" s="239">
        <v>0</v>
      </c>
      <c r="AD82" s="239">
        <v>61103</v>
      </c>
      <c r="AE82" s="239">
        <v>0</v>
      </c>
      <c r="AF82" s="239">
        <v>61103</v>
      </c>
      <c r="AG82" s="239">
        <v>0</v>
      </c>
      <c r="AH82" s="239">
        <v>0</v>
      </c>
      <c r="AI82" s="239">
        <v>0</v>
      </c>
      <c r="AJ82" s="239">
        <v>0</v>
      </c>
      <c r="AK82" s="239">
        <v>0</v>
      </c>
      <c r="AL82" s="239">
        <v>0</v>
      </c>
      <c r="AM82" s="239">
        <v>0</v>
      </c>
      <c r="AN82" s="239">
        <v>0</v>
      </c>
      <c r="AO82" s="239">
        <v>1470205</v>
      </c>
      <c r="AP82" s="239">
        <v>0</v>
      </c>
      <c r="AQ82" s="239">
        <v>1470205</v>
      </c>
      <c r="AR82" s="239">
        <v>0</v>
      </c>
      <c r="AS82" s="239">
        <v>0</v>
      </c>
      <c r="AT82" s="239">
        <v>0</v>
      </c>
      <c r="AU82" s="239">
        <v>0</v>
      </c>
      <c r="AV82" s="239">
        <v>0</v>
      </c>
      <c r="AW82" s="239">
        <v>0</v>
      </c>
      <c r="AX82" s="239">
        <v>0</v>
      </c>
      <c r="AY82" s="239">
        <v>0</v>
      </c>
      <c r="AZ82" s="239">
        <v>1470205</v>
      </c>
      <c r="BA82" s="239">
        <v>0</v>
      </c>
      <c r="BB82" s="239">
        <v>1470205</v>
      </c>
      <c r="BC82" s="239">
        <v>2173670</v>
      </c>
      <c r="BD82" s="239">
        <v>-960394</v>
      </c>
      <c r="BE82" s="214" t="s">
        <v>246</v>
      </c>
      <c r="BF82" s="214" t="s">
        <v>824</v>
      </c>
      <c r="BG82" s="214" t="s">
        <v>822</v>
      </c>
      <c r="BH82" s="214" t="s">
        <v>1010</v>
      </c>
      <c r="BI82" s="214" t="s">
        <v>1010</v>
      </c>
      <c r="BJ82" s="214" t="s">
        <v>1158</v>
      </c>
    </row>
    <row r="83" spans="1:62" x14ac:dyDescent="0.2">
      <c r="B83" s="602" t="s">
        <v>249</v>
      </c>
      <c r="C83" s="602" t="s">
        <v>248</v>
      </c>
      <c r="D83" s="239">
        <v>89390471</v>
      </c>
      <c r="E83" s="239">
        <v>123211</v>
      </c>
      <c r="F83" s="239">
        <v>89513682</v>
      </c>
      <c r="G83" s="239">
        <v>0</v>
      </c>
      <c r="H83" s="239">
        <v>0</v>
      </c>
      <c r="I83" s="239">
        <v>0</v>
      </c>
      <c r="J83" s="239">
        <v>-732722</v>
      </c>
      <c r="K83" s="239">
        <v>0</v>
      </c>
      <c r="L83" s="239">
        <v>-732722</v>
      </c>
      <c r="M83" s="239">
        <v>0</v>
      </c>
      <c r="N83" s="239">
        <v>0</v>
      </c>
      <c r="O83" s="239">
        <v>0</v>
      </c>
      <c r="P83" s="239">
        <v>-1002722</v>
      </c>
      <c r="Q83" s="239">
        <v>0</v>
      </c>
      <c r="R83" s="239">
        <v>-1002722</v>
      </c>
      <c r="S83" s="239">
        <v>3500000</v>
      </c>
      <c r="T83" s="239">
        <v>0</v>
      </c>
      <c r="U83" s="239">
        <v>3500000</v>
      </c>
      <c r="V83" s="239">
        <v>-4300000</v>
      </c>
      <c r="W83" s="239">
        <v>0</v>
      </c>
      <c r="X83" s="239">
        <v>-4300000</v>
      </c>
      <c r="Y83" s="239">
        <v>87587749</v>
      </c>
      <c r="Z83" s="239">
        <v>123211</v>
      </c>
      <c r="AA83" s="239">
        <v>87710960</v>
      </c>
      <c r="AB83" s="239">
        <v>123211</v>
      </c>
      <c r="AC83" s="239">
        <v>123211</v>
      </c>
      <c r="AD83" s="239">
        <v>0</v>
      </c>
      <c r="AE83" s="239">
        <v>0</v>
      </c>
      <c r="AF83" s="239">
        <v>0</v>
      </c>
      <c r="AG83" s="239">
        <v>2231</v>
      </c>
      <c r="AH83" s="239">
        <v>2231</v>
      </c>
      <c r="AI83" s="239">
        <v>143334</v>
      </c>
      <c r="AJ83" s="239">
        <v>143334</v>
      </c>
      <c r="AK83" s="239">
        <v>0</v>
      </c>
      <c r="AL83" s="239">
        <v>84864</v>
      </c>
      <c r="AM83" s="239">
        <v>0</v>
      </c>
      <c r="AN83" s="239">
        <v>84864</v>
      </c>
      <c r="AO83" s="239">
        <v>0</v>
      </c>
      <c r="AP83" s="239">
        <v>0</v>
      </c>
      <c r="AQ83" s="239">
        <v>0</v>
      </c>
      <c r="AR83" s="239">
        <v>0</v>
      </c>
      <c r="AS83" s="239">
        <v>0</v>
      </c>
      <c r="AT83" s="239">
        <v>0</v>
      </c>
      <c r="AU83" s="239">
        <v>0</v>
      </c>
      <c r="AV83" s="239">
        <v>0</v>
      </c>
      <c r="AW83" s="239">
        <v>0</v>
      </c>
      <c r="AX83" s="239">
        <v>0</v>
      </c>
      <c r="AY83" s="239">
        <v>0</v>
      </c>
      <c r="AZ83" s="239">
        <v>0</v>
      </c>
      <c r="BA83" s="239">
        <v>0</v>
      </c>
      <c r="BB83" s="239">
        <v>0</v>
      </c>
      <c r="BC83" s="239">
        <v>7811793</v>
      </c>
      <c r="BD83" s="239">
        <v>-960631</v>
      </c>
      <c r="BE83" s="214" t="s">
        <v>248</v>
      </c>
      <c r="BF83" s="214" t="s">
        <v>766</v>
      </c>
      <c r="BG83" s="214" t="s">
        <v>764</v>
      </c>
      <c r="BH83" s="214" t="s">
        <v>1010</v>
      </c>
      <c r="BI83" s="214" t="s">
        <v>1010</v>
      </c>
      <c r="BJ83" s="214" t="s">
        <v>1160</v>
      </c>
    </row>
    <row r="84" spans="1:62" x14ac:dyDescent="0.2">
      <c r="B84" s="602" t="s">
        <v>251</v>
      </c>
      <c r="C84" s="602" t="s">
        <v>250</v>
      </c>
      <c r="D84" s="239">
        <v>114140528</v>
      </c>
      <c r="E84" s="239">
        <v>0</v>
      </c>
      <c r="F84" s="239">
        <v>114140528</v>
      </c>
      <c r="G84" s="239">
        <v>0</v>
      </c>
      <c r="H84" s="239">
        <v>0</v>
      </c>
      <c r="I84" s="239">
        <v>0</v>
      </c>
      <c r="J84" s="239">
        <v>-2427290</v>
      </c>
      <c r="K84" s="239">
        <v>0</v>
      </c>
      <c r="L84" s="239">
        <v>-2427290</v>
      </c>
      <c r="M84" s="239">
        <v>0</v>
      </c>
      <c r="N84" s="239">
        <v>0</v>
      </c>
      <c r="O84" s="239">
        <v>0</v>
      </c>
      <c r="P84" s="239">
        <v>-1274594</v>
      </c>
      <c r="Q84" s="239">
        <v>0</v>
      </c>
      <c r="R84" s="239">
        <v>-1274594</v>
      </c>
      <c r="S84" s="239">
        <v>422669</v>
      </c>
      <c r="T84" s="239">
        <v>0</v>
      </c>
      <c r="U84" s="239">
        <v>422669</v>
      </c>
      <c r="V84" s="239">
        <v>-6490466</v>
      </c>
      <c r="W84" s="239">
        <v>0</v>
      </c>
      <c r="X84" s="239">
        <v>-6490466</v>
      </c>
      <c r="Y84" s="239">
        <v>106798137</v>
      </c>
      <c r="Z84" s="239">
        <v>0</v>
      </c>
      <c r="AA84" s="239">
        <v>106798137</v>
      </c>
      <c r="AB84" s="239">
        <v>0</v>
      </c>
      <c r="AC84" s="239">
        <v>0</v>
      </c>
      <c r="AD84" s="239">
        <v>100387</v>
      </c>
      <c r="AE84" s="239">
        <v>0</v>
      </c>
      <c r="AF84" s="239">
        <v>100387</v>
      </c>
      <c r="AG84" s="239">
        <v>0</v>
      </c>
      <c r="AH84" s="239">
        <v>0</v>
      </c>
      <c r="AI84" s="239">
        <v>0</v>
      </c>
      <c r="AJ84" s="239">
        <v>0</v>
      </c>
      <c r="AK84" s="239">
        <v>0</v>
      </c>
      <c r="AL84" s="239">
        <v>0</v>
      </c>
      <c r="AM84" s="239">
        <v>0</v>
      </c>
      <c r="AN84" s="239">
        <v>0</v>
      </c>
      <c r="AO84" s="239">
        <v>0</v>
      </c>
      <c r="AP84" s="239">
        <v>0</v>
      </c>
      <c r="AQ84" s="239">
        <v>0</v>
      </c>
      <c r="AR84" s="239">
        <v>0</v>
      </c>
      <c r="AS84" s="239">
        <v>0</v>
      </c>
      <c r="AT84" s="239">
        <v>0</v>
      </c>
      <c r="AU84" s="239">
        <v>0</v>
      </c>
      <c r="AV84" s="239">
        <v>0</v>
      </c>
      <c r="AW84" s="239">
        <v>0</v>
      </c>
      <c r="AX84" s="239">
        <v>0</v>
      </c>
      <c r="AY84" s="239">
        <v>0</v>
      </c>
      <c r="AZ84" s="239">
        <v>0</v>
      </c>
      <c r="BA84" s="239">
        <v>0</v>
      </c>
      <c r="BB84" s="239">
        <v>0</v>
      </c>
      <c r="BC84" s="239">
        <v>4185964</v>
      </c>
      <c r="BD84" s="239">
        <v>-3423741</v>
      </c>
      <c r="BE84" s="214" t="s">
        <v>250</v>
      </c>
      <c r="BF84" s="214" t="s">
        <v>746</v>
      </c>
      <c r="BG84" s="214" t="s">
        <v>911</v>
      </c>
      <c r="BH84" s="214" t="s">
        <v>1010</v>
      </c>
      <c r="BI84" s="214" t="s">
        <v>1010</v>
      </c>
      <c r="BJ84" s="214" t="s">
        <v>746</v>
      </c>
    </row>
    <row r="85" spans="1:62" x14ac:dyDescent="0.2">
      <c r="B85" s="602" t="s">
        <v>253</v>
      </c>
      <c r="C85" s="602" t="s">
        <v>252</v>
      </c>
      <c r="D85" s="239">
        <v>150575813</v>
      </c>
      <c r="E85" s="239">
        <v>0</v>
      </c>
      <c r="F85" s="239">
        <v>150575813</v>
      </c>
      <c r="G85" s="239">
        <v>0</v>
      </c>
      <c r="H85" s="239">
        <v>0</v>
      </c>
      <c r="I85" s="239">
        <v>0</v>
      </c>
      <c r="J85" s="239">
        <v>-3909900</v>
      </c>
      <c r="K85" s="239">
        <v>0</v>
      </c>
      <c r="L85" s="239">
        <v>-3909900</v>
      </c>
      <c r="M85" s="239">
        <v>0</v>
      </c>
      <c r="N85" s="239">
        <v>0</v>
      </c>
      <c r="O85" s="239">
        <v>0</v>
      </c>
      <c r="P85" s="239">
        <v>-1189222</v>
      </c>
      <c r="Q85" s="239">
        <v>0</v>
      </c>
      <c r="R85" s="239">
        <v>-1189222</v>
      </c>
      <c r="S85" s="239">
        <v>4154781</v>
      </c>
      <c r="T85" s="239">
        <v>0</v>
      </c>
      <c r="U85" s="239">
        <v>4154781</v>
      </c>
      <c r="V85" s="239">
        <v>-3905785</v>
      </c>
      <c r="W85" s="239">
        <v>0</v>
      </c>
      <c r="X85" s="239">
        <v>-3905785</v>
      </c>
      <c r="Y85" s="239">
        <v>149635587</v>
      </c>
      <c r="Z85" s="239">
        <v>0</v>
      </c>
      <c r="AA85" s="239">
        <v>149635587</v>
      </c>
      <c r="AB85" s="239">
        <v>0</v>
      </c>
      <c r="AC85" s="239">
        <v>0</v>
      </c>
      <c r="AD85" s="239">
        <v>0</v>
      </c>
      <c r="AE85" s="239">
        <v>0</v>
      </c>
      <c r="AF85" s="239">
        <v>0</v>
      </c>
      <c r="AG85" s="239">
        <v>0</v>
      </c>
      <c r="AH85" s="239">
        <v>0</v>
      </c>
      <c r="AI85" s="239">
        <v>0</v>
      </c>
      <c r="AJ85" s="239">
        <v>0</v>
      </c>
      <c r="AK85" s="239">
        <v>0</v>
      </c>
      <c r="AL85" s="239">
        <v>0</v>
      </c>
      <c r="AM85" s="239">
        <v>0</v>
      </c>
      <c r="AN85" s="239">
        <v>0</v>
      </c>
      <c r="AO85" s="239">
        <v>0</v>
      </c>
      <c r="AP85" s="239">
        <v>0</v>
      </c>
      <c r="AQ85" s="239">
        <v>0</v>
      </c>
      <c r="AR85" s="239">
        <v>0</v>
      </c>
      <c r="AS85" s="239">
        <v>0</v>
      </c>
      <c r="AT85" s="239">
        <v>0</v>
      </c>
      <c r="AU85" s="239">
        <v>0</v>
      </c>
      <c r="AV85" s="239">
        <v>0</v>
      </c>
      <c r="AW85" s="239">
        <v>0</v>
      </c>
      <c r="AX85" s="239">
        <v>0</v>
      </c>
      <c r="AY85" s="239">
        <v>0</v>
      </c>
      <c r="AZ85" s="239">
        <v>0</v>
      </c>
      <c r="BA85" s="239">
        <v>0</v>
      </c>
      <c r="BB85" s="239">
        <v>0</v>
      </c>
      <c r="BC85" s="239">
        <v>14367599</v>
      </c>
      <c r="BD85" s="239">
        <v>-10647199</v>
      </c>
      <c r="BE85" s="214" t="s">
        <v>252</v>
      </c>
      <c r="BF85" s="214" t="s">
        <v>788</v>
      </c>
      <c r="BG85" s="214" t="s">
        <v>747</v>
      </c>
      <c r="BH85" s="214" t="s">
        <v>1010</v>
      </c>
      <c r="BI85" s="214" t="s">
        <v>1010</v>
      </c>
      <c r="BJ85" s="214" t="s">
        <v>1159</v>
      </c>
    </row>
    <row r="86" spans="1:62" x14ac:dyDescent="0.2">
      <c r="B86" s="602" t="s">
        <v>255</v>
      </c>
      <c r="C86" s="602" t="s">
        <v>254</v>
      </c>
      <c r="D86" s="239">
        <v>20895330</v>
      </c>
      <c r="E86" s="239">
        <v>170216</v>
      </c>
      <c r="F86" s="239">
        <v>21065546</v>
      </c>
      <c r="G86" s="239">
        <v>0</v>
      </c>
      <c r="H86" s="239">
        <v>0</v>
      </c>
      <c r="I86" s="239">
        <v>0</v>
      </c>
      <c r="J86" s="239">
        <v>-176641</v>
      </c>
      <c r="K86" s="239">
        <v>0</v>
      </c>
      <c r="L86" s="239">
        <v>-176641</v>
      </c>
      <c r="M86" s="239">
        <v>0</v>
      </c>
      <c r="N86" s="239">
        <v>0</v>
      </c>
      <c r="O86" s="239">
        <v>0</v>
      </c>
      <c r="P86" s="239">
        <v>-279840</v>
      </c>
      <c r="Q86" s="239">
        <v>0</v>
      </c>
      <c r="R86" s="239">
        <v>-279840</v>
      </c>
      <c r="S86" s="239">
        <v>442837</v>
      </c>
      <c r="T86" s="239">
        <v>0</v>
      </c>
      <c r="U86" s="239">
        <v>442837</v>
      </c>
      <c r="V86" s="239">
        <v>-1029059</v>
      </c>
      <c r="W86" s="239">
        <v>0</v>
      </c>
      <c r="X86" s="239">
        <v>-1029059</v>
      </c>
      <c r="Y86" s="239">
        <v>20029268</v>
      </c>
      <c r="Z86" s="239">
        <v>170216</v>
      </c>
      <c r="AA86" s="239">
        <v>20199484</v>
      </c>
      <c r="AB86" s="239">
        <v>170216</v>
      </c>
      <c r="AC86" s="239">
        <v>170216</v>
      </c>
      <c r="AD86" s="239">
        <v>366656</v>
      </c>
      <c r="AE86" s="239">
        <v>0</v>
      </c>
      <c r="AF86" s="239">
        <v>366656</v>
      </c>
      <c r="AG86" s="239">
        <v>0</v>
      </c>
      <c r="AH86" s="239">
        <v>0</v>
      </c>
      <c r="AI86" s="239">
        <v>195432</v>
      </c>
      <c r="AJ86" s="239">
        <v>195432</v>
      </c>
      <c r="AK86" s="239">
        <v>0</v>
      </c>
      <c r="AL86" s="239">
        <v>0</v>
      </c>
      <c r="AM86" s="239">
        <v>0</v>
      </c>
      <c r="AN86" s="239">
        <v>0</v>
      </c>
      <c r="AO86" s="239">
        <v>0</v>
      </c>
      <c r="AP86" s="239">
        <v>42036</v>
      </c>
      <c r="AQ86" s="239">
        <v>42036</v>
      </c>
      <c r="AR86" s="239">
        <v>22100205</v>
      </c>
      <c r="AS86" s="239">
        <v>22100205</v>
      </c>
      <c r="AT86" s="239">
        <v>20218342</v>
      </c>
      <c r="AU86" s="239">
        <v>20218342</v>
      </c>
      <c r="AV86" s="239">
        <v>940932</v>
      </c>
      <c r="AW86" s="239">
        <v>940932</v>
      </c>
      <c r="AX86" s="239">
        <v>0</v>
      </c>
      <c r="AY86" s="239">
        <v>0</v>
      </c>
      <c r="AZ86" s="239">
        <v>940932</v>
      </c>
      <c r="BA86" s="239">
        <v>42036</v>
      </c>
      <c r="BB86" s="239">
        <v>982968</v>
      </c>
      <c r="BC86" s="239">
        <v>1147882</v>
      </c>
      <c r="BD86" s="239">
        <v>-394114</v>
      </c>
      <c r="BE86" s="214" t="s">
        <v>254</v>
      </c>
      <c r="BF86" s="214" t="s">
        <v>860</v>
      </c>
      <c r="BG86" s="214" t="s">
        <v>858</v>
      </c>
      <c r="BH86" s="214" t="s">
        <v>1010</v>
      </c>
      <c r="BI86" s="214" t="s">
        <v>1010</v>
      </c>
      <c r="BJ86" s="214" t="s">
        <v>1158</v>
      </c>
    </row>
    <row r="87" spans="1:62" x14ac:dyDescent="0.2">
      <c r="B87" s="602" t="s">
        <v>257</v>
      </c>
      <c r="C87" s="602" t="s">
        <v>256</v>
      </c>
      <c r="D87" s="239">
        <v>32357208</v>
      </c>
      <c r="E87" s="239">
        <v>610121</v>
      </c>
      <c r="F87" s="239">
        <v>32967329</v>
      </c>
      <c r="G87" s="239">
        <v>0</v>
      </c>
      <c r="H87" s="239">
        <v>0</v>
      </c>
      <c r="I87" s="239">
        <v>0</v>
      </c>
      <c r="J87" s="239">
        <v>-373774</v>
      </c>
      <c r="K87" s="239">
        <v>0</v>
      </c>
      <c r="L87" s="239">
        <v>-373774</v>
      </c>
      <c r="M87" s="239">
        <v>6259</v>
      </c>
      <c r="N87" s="239">
        <v>0</v>
      </c>
      <c r="O87" s="239">
        <v>6259</v>
      </c>
      <c r="P87" s="239">
        <v>-196352</v>
      </c>
      <c r="Q87" s="239">
        <v>0</v>
      </c>
      <c r="R87" s="239">
        <v>-196352</v>
      </c>
      <c r="S87" s="239">
        <v>126269</v>
      </c>
      <c r="T87" s="239">
        <v>0</v>
      </c>
      <c r="U87" s="239">
        <v>126269</v>
      </c>
      <c r="V87" s="239">
        <v>-533350</v>
      </c>
      <c r="W87" s="239">
        <v>-33952</v>
      </c>
      <c r="X87" s="239">
        <v>-567302</v>
      </c>
      <c r="Y87" s="239">
        <v>31760034</v>
      </c>
      <c r="Z87" s="239">
        <v>576169</v>
      </c>
      <c r="AA87" s="239">
        <v>32336203</v>
      </c>
      <c r="AB87" s="239">
        <v>576169</v>
      </c>
      <c r="AC87" s="239">
        <v>576169</v>
      </c>
      <c r="AD87" s="239">
        <v>292194</v>
      </c>
      <c r="AE87" s="239">
        <v>0</v>
      </c>
      <c r="AF87" s="239">
        <v>292194</v>
      </c>
      <c r="AG87" s="239">
        <v>-578</v>
      </c>
      <c r="AH87" s="239">
        <v>-578</v>
      </c>
      <c r="AI87" s="239">
        <v>638942</v>
      </c>
      <c r="AJ87" s="239">
        <v>638942</v>
      </c>
      <c r="AK87" s="239">
        <v>4320</v>
      </c>
      <c r="AL87" s="239">
        <v>0</v>
      </c>
      <c r="AM87" s="239">
        <v>0</v>
      </c>
      <c r="AN87" s="239">
        <v>0</v>
      </c>
      <c r="AO87" s="239">
        <v>0</v>
      </c>
      <c r="AP87" s="239">
        <v>42353</v>
      </c>
      <c r="AQ87" s="239">
        <v>42353</v>
      </c>
      <c r="AR87" s="239">
        <v>0</v>
      </c>
      <c r="AS87" s="239">
        <v>0</v>
      </c>
      <c r="AT87" s="239">
        <v>0</v>
      </c>
      <c r="AU87" s="239">
        <v>0</v>
      </c>
      <c r="AV87" s="239">
        <v>0</v>
      </c>
      <c r="AW87" s="239">
        <v>0</v>
      </c>
      <c r="AX87" s="239">
        <v>0</v>
      </c>
      <c r="AY87" s="239">
        <v>0</v>
      </c>
      <c r="AZ87" s="239">
        <v>0</v>
      </c>
      <c r="BA87" s="239">
        <v>42353</v>
      </c>
      <c r="BB87" s="239">
        <v>42353</v>
      </c>
      <c r="BC87" s="239">
        <v>794395</v>
      </c>
      <c r="BD87" s="239">
        <v>-951088</v>
      </c>
      <c r="BE87" s="214" t="s">
        <v>256</v>
      </c>
      <c r="BF87" s="214" t="s">
        <v>798</v>
      </c>
      <c r="BG87" s="214" t="s">
        <v>790</v>
      </c>
      <c r="BH87" s="214" t="s">
        <v>1010</v>
      </c>
      <c r="BI87" s="214" t="s">
        <v>1010</v>
      </c>
      <c r="BJ87" s="214" t="s">
        <v>1158</v>
      </c>
    </row>
    <row r="88" spans="1:62" x14ac:dyDescent="0.2">
      <c r="B88" s="602" t="s">
        <v>259</v>
      </c>
      <c r="C88" s="602" t="s">
        <v>258</v>
      </c>
      <c r="D88" s="239">
        <v>21675551</v>
      </c>
      <c r="E88" s="239">
        <v>0</v>
      </c>
      <c r="F88" s="239">
        <v>21675551</v>
      </c>
      <c r="G88" s="239">
        <v>0</v>
      </c>
      <c r="H88" s="239">
        <v>0</v>
      </c>
      <c r="I88" s="239">
        <v>0</v>
      </c>
      <c r="J88" s="239">
        <v>-76825</v>
      </c>
      <c r="K88" s="239">
        <v>0</v>
      </c>
      <c r="L88" s="239">
        <v>-76825</v>
      </c>
      <c r="M88" s="239">
        <v>0</v>
      </c>
      <c r="N88" s="239">
        <v>0</v>
      </c>
      <c r="O88" s="239">
        <v>0</v>
      </c>
      <c r="P88" s="239">
        <v>-62447</v>
      </c>
      <c r="Q88" s="239">
        <v>0</v>
      </c>
      <c r="R88" s="239">
        <v>-62447</v>
      </c>
      <c r="S88" s="239">
        <v>384827</v>
      </c>
      <c r="T88" s="239">
        <v>0</v>
      </c>
      <c r="U88" s="239">
        <v>384827</v>
      </c>
      <c r="V88" s="239">
        <v>-384827</v>
      </c>
      <c r="W88" s="239">
        <v>0</v>
      </c>
      <c r="X88" s="239">
        <v>-384827</v>
      </c>
      <c r="Y88" s="239">
        <v>21613104</v>
      </c>
      <c r="Z88" s="239">
        <v>0</v>
      </c>
      <c r="AA88" s="239">
        <v>21613104</v>
      </c>
      <c r="AB88" s="239">
        <v>0</v>
      </c>
      <c r="AC88" s="239">
        <v>0</v>
      </c>
      <c r="AD88" s="239">
        <v>229407</v>
      </c>
      <c r="AE88" s="239">
        <v>0</v>
      </c>
      <c r="AF88" s="239">
        <v>229407</v>
      </c>
      <c r="AG88" s="239">
        <v>0</v>
      </c>
      <c r="AH88" s="239">
        <v>0</v>
      </c>
      <c r="AI88" s="239">
        <v>0</v>
      </c>
      <c r="AJ88" s="239">
        <v>0</v>
      </c>
      <c r="AK88" s="239">
        <v>0</v>
      </c>
      <c r="AL88" s="239">
        <v>0</v>
      </c>
      <c r="AM88" s="239">
        <v>0</v>
      </c>
      <c r="AN88" s="239">
        <v>0</v>
      </c>
      <c r="AO88" s="239">
        <v>0</v>
      </c>
      <c r="AP88" s="239">
        <v>0</v>
      </c>
      <c r="AQ88" s="239">
        <v>0</v>
      </c>
      <c r="AR88" s="239">
        <v>0</v>
      </c>
      <c r="AS88" s="239">
        <v>0</v>
      </c>
      <c r="AT88" s="239">
        <v>0</v>
      </c>
      <c r="AU88" s="239">
        <v>0</v>
      </c>
      <c r="AV88" s="239">
        <v>0</v>
      </c>
      <c r="AW88" s="239">
        <v>0</v>
      </c>
      <c r="AX88" s="239">
        <v>0</v>
      </c>
      <c r="AY88" s="239">
        <v>0</v>
      </c>
      <c r="AZ88" s="239">
        <v>0</v>
      </c>
      <c r="BA88" s="239">
        <v>0</v>
      </c>
      <c r="BB88" s="239">
        <v>0</v>
      </c>
      <c r="BC88" s="239">
        <v>448838</v>
      </c>
      <c r="BD88" s="239">
        <v>-198354</v>
      </c>
      <c r="BE88" s="214" t="s">
        <v>258</v>
      </c>
      <c r="BF88" s="214" t="s">
        <v>785</v>
      </c>
      <c r="BG88" s="214" t="s">
        <v>783</v>
      </c>
      <c r="BH88" s="214" t="s">
        <v>1010</v>
      </c>
      <c r="BI88" s="214" t="s">
        <v>1010</v>
      </c>
      <c r="BJ88" s="214" t="s">
        <v>1158</v>
      </c>
    </row>
    <row r="89" spans="1:62" x14ac:dyDescent="0.2">
      <c r="B89" s="602" t="s">
        <v>261</v>
      </c>
      <c r="C89" s="602" t="s">
        <v>260</v>
      </c>
      <c r="D89" s="239">
        <v>30649157</v>
      </c>
      <c r="E89" s="239">
        <v>3870</v>
      </c>
      <c r="F89" s="239">
        <v>30653027</v>
      </c>
      <c r="G89" s="239">
        <v>0</v>
      </c>
      <c r="H89" s="239">
        <v>0</v>
      </c>
      <c r="I89" s="239">
        <v>0</v>
      </c>
      <c r="J89" s="239">
        <v>-297657</v>
      </c>
      <c r="K89" s="239">
        <v>0</v>
      </c>
      <c r="L89" s="239">
        <v>-297657</v>
      </c>
      <c r="M89" s="239">
        <v>0</v>
      </c>
      <c r="N89" s="239">
        <v>0</v>
      </c>
      <c r="O89" s="239">
        <v>0</v>
      </c>
      <c r="P89" s="239">
        <v>-258400</v>
      </c>
      <c r="Q89" s="239">
        <v>0</v>
      </c>
      <c r="R89" s="239">
        <v>-258400</v>
      </c>
      <c r="S89" s="239">
        <v>203065</v>
      </c>
      <c r="T89" s="239">
        <v>0</v>
      </c>
      <c r="U89" s="239">
        <v>203065</v>
      </c>
      <c r="V89" s="239">
        <v>-1559710.8</v>
      </c>
      <c r="W89" s="239">
        <v>0</v>
      </c>
      <c r="X89" s="239">
        <v>-1559710.8</v>
      </c>
      <c r="Y89" s="239">
        <v>29034111.199999999</v>
      </c>
      <c r="Z89" s="239">
        <v>3870</v>
      </c>
      <c r="AA89" s="239">
        <v>29037981.199999999</v>
      </c>
      <c r="AB89" s="239">
        <v>3870</v>
      </c>
      <c r="AC89" s="239">
        <v>3870</v>
      </c>
      <c r="AD89" s="239">
        <v>0</v>
      </c>
      <c r="AE89" s="239">
        <v>0</v>
      </c>
      <c r="AF89" s="239">
        <v>0</v>
      </c>
      <c r="AG89" s="239">
        <v>0</v>
      </c>
      <c r="AH89" s="239">
        <v>0</v>
      </c>
      <c r="AI89" s="239">
        <v>0</v>
      </c>
      <c r="AJ89" s="239">
        <v>0</v>
      </c>
      <c r="AK89" s="239">
        <v>3870</v>
      </c>
      <c r="AL89" s="239">
        <v>0</v>
      </c>
      <c r="AM89" s="239">
        <v>0</v>
      </c>
      <c r="AN89" s="239">
        <v>0</v>
      </c>
      <c r="AO89" s="239">
        <v>0</v>
      </c>
      <c r="AP89" s="239">
        <v>0</v>
      </c>
      <c r="AQ89" s="239">
        <v>0</v>
      </c>
      <c r="AR89" s="239">
        <v>0</v>
      </c>
      <c r="AS89" s="239">
        <v>0</v>
      </c>
      <c r="AT89" s="239">
        <v>0</v>
      </c>
      <c r="AU89" s="239">
        <v>0</v>
      </c>
      <c r="AV89" s="239">
        <v>0</v>
      </c>
      <c r="AW89" s="239">
        <v>0</v>
      </c>
      <c r="AX89" s="239">
        <v>0</v>
      </c>
      <c r="AY89" s="239">
        <v>0</v>
      </c>
      <c r="AZ89" s="239">
        <v>0</v>
      </c>
      <c r="BA89" s="239">
        <v>0</v>
      </c>
      <c r="BB89" s="239">
        <v>0</v>
      </c>
      <c r="BC89" s="239">
        <v>1324637</v>
      </c>
      <c r="BD89" s="239">
        <v>-434171</v>
      </c>
      <c r="BE89" s="214" t="s">
        <v>260</v>
      </c>
      <c r="BF89" s="214" t="s">
        <v>777</v>
      </c>
      <c r="BG89" s="214" t="s">
        <v>775</v>
      </c>
      <c r="BH89" s="214" t="s">
        <v>1010</v>
      </c>
      <c r="BI89" s="214" t="s">
        <v>1010</v>
      </c>
      <c r="BJ89" s="214" t="s">
        <v>1158</v>
      </c>
    </row>
    <row r="90" spans="1:62" x14ac:dyDescent="0.2">
      <c r="B90" s="602" t="s">
        <v>263</v>
      </c>
      <c r="C90" s="602" t="s">
        <v>262</v>
      </c>
      <c r="D90" s="239">
        <v>44245072</v>
      </c>
      <c r="E90" s="239">
        <v>0</v>
      </c>
      <c r="F90" s="239">
        <v>44245072</v>
      </c>
      <c r="G90" s="239">
        <v>0</v>
      </c>
      <c r="H90" s="239">
        <v>0</v>
      </c>
      <c r="I90" s="239">
        <v>0</v>
      </c>
      <c r="J90" s="239">
        <v>-350371</v>
      </c>
      <c r="K90" s="239">
        <v>0</v>
      </c>
      <c r="L90" s="239">
        <v>-350371</v>
      </c>
      <c r="M90" s="239">
        <v>0</v>
      </c>
      <c r="N90" s="239">
        <v>0</v>
      </c>
      <c r="O90" s="239">
        <v>0</v>
      </c>
      <c r="P90" s="239">
        <v>-446204</v>
      </c>
      <c r="Q90" s="239">
        <v>0</v>
      </c>
      <c r="R90" s="239">
        <v>-446204</v>
      </c>
      <c r="S90" s="239">
        <v>538242</v>
      </c>
      <c r="T90" s="239">
        <v>0</v>
      </c>
      <c r="U90" s="239">
        <v>538242</v>
      </c>
      <c r="V90" s="239">
        <v>-2575991</v>
      </c>
      <c r="W90" s="239">
        <v>0</v>
      </c>
      <c r="X90" s="239">
        <v>-2575991</v>
      </c>
      <c r="Y90" s="239">
        <v>41761119</v>
      </c>
      <c r="Z90" s="239">
        <v>0</v>
      </c>
      <c r="AA90" s="239">
        <v>41761119</v>
      </c>
      <c r="AB90" s="239">
        <v>0</v>
      </c>
      <c r="AC90" s="239">
        <v>0</v>
      </c>
      <c r="AD90" s="239">
        <v>0</v>
      </c>
      <c r="AE90" s="239">
        <v>0</v>
      </c>
      <c r="AF90" s="239">
        <v>0</v>
      </c>
      <c r="AG90" s="239">
        <v>0</v>
      </c>
      <c r="AH90" s="239">
        <v>0</v>
      </c>
      <c r="AI90" s="239">
        <v>0</v>
      </c>
      <c r="AJ90" s="239">
        <v>0</v>
      </c>
      <c r="AK90" s="239">
        <v>0</v>
      </c>
      <c r="AL90" s="239">
        <v>0</v>
      </c>
      <c r="AM90" s="239">
        <v>0</v>
      </c>
      <c r="AN90" s="239">
        <v>0</v>
      </c>
      <c r="AO90" s="239">
        <v>0</v>
      </c>
      <c r="AP90" s="239">
        <v>0</v>
      </c>
      <c r="AQ90" s="239">
        <v>0</v>
      </c>
      <c r="AR90" s="239">
        <v>0</v>
      </c>
      <c r="AS90" s="239">
        <v>0</v>
      </c>
      <c r="AT90" s="239">
        <v>0</v>
      </c>
      <c r="AU90" s="239">
        <v>0</v>
      </c>
      <c r="AV90" s="239">
        <v>0</v>
      </c>
      <c r="AW90" s="239">
        <v>0</v>
      </c>
      <c r="AX90" s="239">
        <v>0</v>
      </c>
      <c r="AY90" s="239">
        <v>0</v>
      </c>
      <c r="AZ90" s="239">
        <v>0</v>
      </c>
      <c r="BA90" s="239">
        <v>0</v>
      </c>
      <c r="BB90" s="239">
        <v>0</v>
      </c>
      <c r="BC90" s="239">
        <v>1360599</v>
      </c>
      <c r="BD90" s="239">
        <v>-456063</v>
      </c>
      <c r="BE90" s="214" t="s">
        <v>262</v>
      </c>
      <c r="BF90" s="214" t="s">
        <v>801</v>
      </c>
      <c r="BG90" s="214" t="s">
        <v>761</v>
      </c>
      <c r="BH90" s="214" t="s">
        <v>1010</v>
      </c>
      <c r="BI90" s="214" t="s">
        <v>1010</v>
      </c>
      <c r="BJ90" s="214" t="s">
        <v>1158</v>
      </c>
    </row>
    <row r="91" spans="1:62" x14ac:dyDescent="0.2">
      <c r="B91" s="602" t="s">
        <v>265</v>
      </c>
      <c r="C91" s="602" t="s">
        <v>264</v>
      </c>
      <c r="D91" s="239">
        <v>35147150</v>
      </c>
      <c r="E91" s="239">
        <v>0</v>
      </c>
      <c r="F91" s="239">
        <v>35147150</v>
      </c>
      <c r="G91" s="239">
        <v>0</v>
      </c>
      <c r="H91" s="239">
        <v>0</v>
      </c>
      <c r="I91" s="239">
        <v>0</v>
      </c>
      <c r="J91" s="239">
        <v>-310622</v>
      </c>
      <c r="K91" s="239">
        <v>0</v>
      </c>
      <c r="L91" s="239">
        <v>-310622</v>
      </c>
      <c r="M91" s="239">
        <v>0</v>
      </c>
      <c r="N91" s="239">
        <v>0</v>
      </c>
      <c r="O91" s="239">
        <v>0</v>
      </c>
      <c r="P91" s="239">
        <v>-428624</v>
      </c>
      <c r="Q91" s="239">
        <v>0</v>
      </c>
      <c r="R91" s="239">
        <v>-428624</v>
      </c>
      <c r="S91" s="239">
        <v>301222</v>
      </c>
      <c r="T91" s="239">
        <v>0</v>
      </c>
      <c r="U91" s="239">
        <v>301222</v>
      </c>
      <c r="V91" s="239">
        <v>-1307357</v>
      </c>
      <c r="W91" s="239">
        <v>0</v>
      </c>
      <c r="X91" s="239">
        <v>-1307357</v>
      </c>
      <c r="Y91" s="239">
        <v>33712391</v>
      </c>
      <c r="Z91" s="239">
        <v>0</v>
      </c>
      <c r="AA91" s="239">
        <v>33712391</v>
      </c>
      <c r="AB91" s="239">
        <v>0</v>
      </c>
      <c r="AC91" s="239">
        <v>0</v>
      </c>
      <c r="AD91" s="239">
        <v>739169</v>
      </c>
      <c r="AE91" s="239">
        <v>0</v>
      </c>
      <c r="AF91" s="239">
        <v>739169</v>
      </c>
      <c r="AG91" s="239">
        <v>0</v>
      </c>
      <c r="AH91" s="239">
        <v>0</v>
      </c>
      <c r="AI91" s="239">
        <v>0</v>
      </c>
      <c r="AJ91" s="239">
        <v>0</v>
      </c>
      <c r="AK91" s="239">
        <v>0</v>
      </c>
      <c r="AL91" s="239">
        <v>0</v>
      </c>
      <c r="AM91" s="239">
        <v>0</v>
      </c>
      <c r="AN91" s="239">
        <v>0</v>
      </c>
      <c r="AO91" s="239">
        <v>0</v>
      </c>
      <c r="AP91" s="239">
        <v>0</v>
      </c>
      <c r="AQ91" s="239">
        <v>0</v>
      </c>
      <c r="AR91" s="239">
        <v>0</v>
      </c>
      <c r="AS91" s="239">
        <v>0</v>
      </c>
      <c r="AT91" s="239">
        <v>0</v>
      </c>
      <c r="AU91" s="239">
        <v>0</v>
      </c>
      <c r="AV91" s="239">
        <v>0</v>
      </c>
      <c r="AW91" s="239">
        <v>0</v>
      </c>
      <c r="AX91" s="239">
        <v>0</v>
      </c>
      <c r="AY91" s="239">
        <v>0</v>
      </c>
      <c r="AZ91" s="239">
        <v>0</v>
      </c>
      <c r="BA91" s="239">
        <v>0</v>
      </c>
      <c r="BB91" s="239">
        <v>0</v>
      </c>
      <c r="BC91" s="239">
        <v>3182637</v>
      </c>
      <c r="BD91" s="239">
        <v>-1031920</v>
      </c>
      <c r="BE91" s="214" t="s">
        <v>264</v>
      </c>
      <c r="BF91" s="214" t="s">
        <v>796</v>
      </c>
      <c r="BG91" s="214" t="s">
        <v>761</v>
      </c>
      <c r="BH91" s="214" t="s">
        <v>1010</v>
      </c>
      <c r="BI91" s="214" t="s">
        <v>1010</v>
      </c>
      <c r="BJ91" s="214" t="s">
        <v>1158</v>
      </c>
    </row>
    <row r="92" spans="1:62" x14ac:dyDescent="0.2">
      <c r="B92" s="602" t="s">
        <v>267</v>
      </c>
      <c r="C92" s="602" t="s">
        <v>266</v>
      </c>
      <c r="D92" s="239">
        <v>30418723</v>
      </c>
      <c r="E92" s="239">
        <v>0</v>
      </c>
      <c r="F92" s="239">
        <v>30418723</v>
      </c>
      <c r="G92" s="239">
        <v>0</v>
      </c>
      <c r="H92" s="239">
        <v>0</v>
      </c>
      <c r="I92" s="239">
        <v>0</v>
      </c>
      <c r="J92" s="239">
        <v>-59232</v>
      </c>
      <c r="K92" s="239">
        <v>0</v>
      </c>
      <c r="L92" s="239">
        <v>-59232</v>
      </c>
      <c r="M92" s="239">
        <v>0</v>
      </c>
      <c r="N92" s="239">
        <v>0</v>
      </c>
      <c r="O92" s="239">
        <v>0</v>
      </c>
      <c r="P92" s="239">
        <v>-370139</v>
      </c>
      <c r="Q92" s="239">
        <v>0</v>
      </c>
      <c r="R92" s="239">
        <v>-370139</v>
      </c>
      <c r="S92" s="239">
        <v>65382</v>
      </c>
      <c r="T92" s="239">
        <v>0</v>
      </c>
      <c r="U92" s="239">
        <v>65382</v>
      </c>
      <c r="V92" s="239">
        <v>-813881</v>
      </c>
      <c r="W92" s="239">
        <v>0</v>
      </c>
      <c r="X92" s="239">
        <v>-813881</v>
      </c>
      <c r="Y92" s="239">
        <v>29300085</v>
      </c>
      <c r="Z92" s="239">
        <v>0</v>
      </c>
      <c r="AA92" s="239">
        <v>29300085</v>
      </c>
      <c r="AB92" s="239">
        <v>0</v>
      </c>
      <c r="AC92" s="239">
        <v>0</v>
      </c>
      <c r="AD92" s="239">
        <v>453535</v>
      </c>
      <c r="AE92" s="239">
        <v>0</v>
      </c>
      <c r="AF92" s="239">
        <v>453535</v>
      </c>
      <c r="AG92" s="239">
        <v>0</v>
      </c>
      <c r="AH92" s="239">
        <v>0</v>
      </c>
      <c r="AI92" s="239">
        <v>0</v>
      </c>
      <c r="AJ92" s="239">
        <v>0</v>
      </c>
      <c r="AK92" s="239">
        <v>0</v>
      </c>
      <c r="AL92" s="239">
        <v>0</v>
      </c>
      <c r="AM92" s="239">
        <v>0</v>
      </c>
      <c r="AN92" s="239">
        <v>0</v>
      </c>
      <c r="AO92" s="239">
        <v>0</v>
      </c>
      <c r="AP92" s="239">
        <v>0</v>
      </c>
      <c r="AQ92" s="239">
        <v>0</v>
      </c>
      <c r="AR92" s="239">
        <v>0</v>
      </c>
      <c r="AS92" s="239">
        <v>0</v>
      </c>
      <c r="AT92" s="239">
        <v>0</v>
      </c>
      <c r="AU92" s="239">
        <v>0</v>
      </c>
      <c r="AV92" s="239">
        <v>0</v>
      </c>
      <c r="AW92" s="239">
        <v>0</v>
      </c>
      <c r="AX92" s="239">
        <v>0</v>
      </c>
      <c r="AY92" s="239">
        <v>0</v>
      </c>
      <c r="AZ92" s="239">
        <v>0</v>
      </c>
      <c r="BA92" s="239">
        <v>0</v>
      </c>
      <c r="BB92" s="239">
        <v>0</v>
      </c>
      <c r="BC92" s="239">
        <v>876605</v>
      </c>
      <c r="BD92" s="239">
        <v>-338124</v>
      </c>
      <c r="BE92" s="214" t="s">
        <v>266</v>
      </c>
      <c r="BF92" s="214" t="s">
        <v>803</v>
      </c>
      <c r="BG92" s="214" t="s">
        <v>761</v>
      </c>
      <c r="BH92" s="214" t="s">
        <v>1010</v>
      </c>
      <c r="BI92" s="214" t="s">
        <v>1010</v>
      </c>
      <c r="BJ92" s="214" t="s">
        <v>1158</v>
      </c>
    </row>
    <row r="93" spans="1:62" x14ac:dyDescent="0.2">
      <c r="B93" s="602" t="s">
        <v>269</v>
      </c>
      <c r="C93" s="602" t="s">
        <v>268</v>
      </c>
      <c r="D93" s="239">
        <v>105549055</v>
      </c>
      <c r="E93" s="239">
        <v>103943</v>
      </c>
      <c r="F93" s="239">
        <v>105652998</v>
      </c>
      <c r="G93" s="239">
        <v>0</v>
      </c>
      <c r="H93" s="239">
        <v>0</v>
      </c>
      <c r="I93" s="239">
        <v>0</v>
      </c>
      <c r="J93" s="239">
        <v>-723534</v>
      </c>
      <c r="K93" s="239">
        <v>0</v>
      </c>
      <c r="L93" s="239">
        <v>-723534</v>
      </c>
      <c r="M93" s="239">
        <v>0</v>
      </c>
      <c r="N93" s="239">
        <v>0</v>
      </c>
      <c r="O93" s="239">
        <v>0</v>
      </c>
      <c r="P93" s="239">
        <v>-649974</v>
      </c>
      <c r="Q93" s="239">
        <v>0</v>
      </c>
      <c r="R93" s="239">
        <v>-649974</v>
      </c>
      <c r="S93" s="239">
        <v>3282511</v>
      </c>
      <c r="T93" s="239">
        <v>0</v>
      </c>
      <c r="U93" s="239">
        <v>3282511</v>
      </c>
      <c r="V93" s="239">
        <v>-5576528</v>
      </c>
      <c r="W93" s="239">
        <v>0</v>
      </c>
      <c r="X93" s="239">
        <v>-5576528</v>
      </c>
      <c r="Y93" s="239">
        <v>102605064</v>
      </c>
      <c r="Z93" s="239">
        <v>103943</v>
      </c>
      <c r="AA93" s="239">
        <v>102709007</v>
      </c>
      <c r="AB93" s="239">
        <v>103943</v>
      </c>
      <c r="AC93" s="239">
        <v>103943</v>
      </c>
      <c r="AD93" s="239">
        <v>4384052</v>
      </c>
      <c r="AE93" s="239">
        <v>0</v>
      </c>
      <c r="AF93" s="239">
        <v>4384052</v>
      </c>
      <c r="AG93" s="239">
        <v>0</v>
      </c>
      <c r="AH93" s="239">
        <v>0</v>
      </c>
      <c r="AI93" s="239">
        <v>136350</v>
      </c>
      <c r="AJ93" s="239">
        <v>136350</v>
      </c>
      <c r="AK93" s="239">
        <v>0</v>
      </c>
      <c r="AL93" s="239">
        <v>0</v>
      </c>
      <c r="AM93" s="239">
        <v>0</v>
      </c>
      <c r="AN93" s="239">
        <v>0</v>
      </c>
      <c r="AO93" s="239">
        <v>116971</v>
      </c>
      <c r="AP93" s="239">
        <v>0</v>
      </c>
      <c r="AQ93" s="239">
        <v>116971</v>
      </c>
      <c r="AR93" s="239">
        <v>0</v>
      </c>
      <c r="AS93" s="239">
        <v>0</v>
      </c>
      <c r="AT93" s="239">
        <v>0</v>
      </c>
      <c r="AU93" s="239">
        <v>0</v>
      </c>
      <c r="AV93" s="239">
        <v>0</v>
      </c>
      <c r="AW93" s="239">
        <v>0</v>
      </c>
      <c r="AX93" s="239">
        <v>0</v>
      </c>
      <c r="AY93" s="239">
        <v>0</v>
      </c>
      <c r="AZ93" s="239">
        <v>116971</v>
      </c>
      <c r="BA93" s="239">
        <v>0</v>
      </c>
      <c r="BB93" s="239">
        <v>116971</v>
      </c>
      <c r="BC93" s="239">
        <v>3235740</v>
      </c>
      <c r="BD93" s="239">
        <v>-1854573</v>
      </c>
      <c r="BE93" s="214" t="s">
        <v>910</v>
      </c>
      <c r="BF93" s="214" t="s">
        <v>746</v>
      </c>
      <c r="BG93" s="214" t="s">
        <v>888</v>
      </c>
      <c r="BH93" s="214" t="s">
        <v>1020</v>
      </c>
      <c r="BI93" s="214" t="s">
        <v>1021</v>
      </c>
      <c r="BJ93" s="214" t="s">
        <v>746</v>
      </c>
    </row>
    <row r="94" spans="1:62" x14ac:dyDescent="0.2">
      <c r="B94" s="602" t="s">
        <v>271</v>
      </c>
      <c r="C94" s="602" t="s">
        <v>270</v>
      </c>
      <c r="D94" s="239">
        <v>56396028</v>
      </c>
      <c r="E94" s="239">
        <v>0</v>
      </c>
      <c r="F94" s="239">
        <v>56396028</v>
      </c>
      <c r="G94" s="239">
        <v>0</v>
      </c>
      <c r="H94" s="239">
        <v>0</v>
      </c>
      <c r="I94" s="239">
        <v>0</v>
      </c>
      <c r="J94" s="239">
        <v>-672883</v>
      </c>
      <c r="K94" s="239">
        <v>0</v>
      </c>
      <c r="L94" s="239">
        <v>-672883</v>
      </c>
      <c r="M94" s="239">
        <v>0</v>
      </c>
      <c r="N94" s="239">
        <v>0</v>
      </c>
      <c r="O94" s="239">
        <v>0</v>
      </c>
      <c r="P94" s="239">
        <v>-726025</v>
      </c>
      <c r="Q94" s="239">
        <v>0</v>
      </c>
      <c r="R94" s="239">
        <v>-726025</v>
      </c>
      <c r="S94" s="239">
        <v>0</v>
      </c>
      <c r="T94" s="239">
        <v>0</v>
      </c>
      <c r="U94" s="239">
        <v>0</v>
      </c>
      <c r="V94" s="239">
        <v>-30580</v>
      </c>
      <c r="W94" s="239">
        <v>0</v>
      </c>
      <c r="X94" s="239">
        <v>-30580</v>
      </c>
      <c r="Y94" s="239">
        <v>55639423</v>
      </c>
      <c r="Z94" s="239">
        <v>0</v>
      </c>
      <c r="AA94" s="239">
        <v>55639423</v>
      </c>
      <c r="AB94" s="239">
        <v>0</v>
      </c>
      <c r="AC94" s="239">
        <v>0</v>
      </c>
      <c r="AD94" s="239">
        <v>0</v>
      </c>
      <c r="AE94" s="239">
        <v>0</v>
      </c>
      <c r="AF94" s="239">
        <v>0</v>
      </c>
      <c r="AG94" s="239">
        <v>0</v>
      </c>
      <c r="AH94" s="239">
        <v>0</v>
      </c>
      <c r="AI94" s="239">
        <v>0</v>
      </c>
      <c r="AJ94" s="239">
        <v>0</v>
      </c>
      <c r="AK94" s="239">
        <v>0</v>
      </c>
      <c r="AL94" s="239">
        <v>0</v>
      </c>
      <c r="AM94" s="239">
        <v>0</v>
      </c>
      <c r="AN94" s="239">
        <v>0</v>
      </c>
      <c r="AO94" s="239">
        <v>0</v>
      </c>
      <c r="AP94" s="239">
        <v>0</v>
      </c>
      <c r="AQ94" s="239">
        <v>0</v>
      </c>
      <c r="AR94" s="239">
        <v>0</v>
      </c>
      <c r="AS94" s="239">
        <v>0</v>
      </c>
      <c r="AT94" s="239">
        <v>0</v>
      </c>
      <c r="AU94" s="239">
        <v>0</v>
      </c>
      <c r="AV94" s="239">
        <v>0</v>
      </c>
      <c r="AW94" s="239">
        <v>0</v>
      </c>
      <c r="AX94" s="239">
        <v>0</v>
      </c>
      <c r="AY94" s="239">
        <v>0</v>
      </c>
      <c r="AZ94" s="239">
        <v>0</v>
      </c>
      <c r="BA94" s="239">
        <v>0</v>
      </c>
      <c r="BB94" s="239">
        <v>0</v>
      </c>
      <c r="BC94" s="239">
        <v>2712915</v>
      </c>
      <c r="BD94" s="239">
        <v>-1793860</v>
      </c>
      <c r="BE94" s="214" t="s">
        <v>270</v>
      </c>
      <c r="BF94" s="214" t="s">
        <v>836</v>
      </c>
      <c r="BG94" s="214" t="s">
        <v>834</v>
      </c>
      <c r="BH94" s="214" t="s">
        <v>1010</v>
      </c>
      <c r="BI94" s="214" t="s">
        <v>1010</v>
      </c>
      <c r="BJ94" s="214" t="s">
        <v>1158</v>
      </c>
    </row>
    <row r="95" spans="1:62" x14ac:dyDescent="0.2">
      <c r="B95" s="602" t="s">
        <v>273</v>
      </c>
      <c r="C95" s="602" t="s">
        <v>272</v>
      </c>
      <c r="D95" s="239">
        <v>33321155</v>
      </c>
      <c r="E95" s="239">
        <v>0</v>
      </c>
      <c r="F95" s="239">
        <v>33321155</v>
      </c>
      <c r="G95" s="239">
        <v>0</v>
      </c>
      <c r="H95" s="239">
        <v>0</v>
      </c>
      <c r="I95" s="239">
        <v>0</v>
      </c>
      <c r="J95" s="239">
        <v>-277246</v>
      </c>
      <c r="K95" s="239">
        <v>0</v>
      </c>
      <c r="L95" s="239">
        <v>-277246</v>
      </c>
      <c r="M95" s="239">
        <v>0</v>
      </c>
      <c r="N95" s="239">
        <v>0</v>
      </c>
      <c r="O95" s="239">
        <v>0</v>
      </c>
      <c r="P95" s="239">
        <v>-203279</v>
      </c>
      <c r="Q95" s="239">
        <v>0</v>
      </c>
      <c r="R95" s="239">
        <v>-203279</v>
      </c>
      <c r="S95" s="239">
        <v>2807081</v>
      </c>
      <c r="T95" s="239">
        <v>0</v>
      </c>
      <c r="U95" s="239">
        <v>2807081</v>
      </c>
      <c r="V95" s="239">
        <v>-2623422</v>
      </c>
      <c r="W95" s="239">
        <v>0</v>
      </c>
      <c r="X95" s="239">
        <v>-2623422</v>
      </c>
      <c r="Y95" s="239">
        <v>33301535</v>
      </c>
      <c r="Z95" s="239">
        <v>0</v>
      </c>
      <c r="AA95" s="239">
        <v>33301535</v>
      </c>
      <c r="AB95" s="239">
        <v>0</v>
      </c>
      <c r="AC95" s="239">
        <v>0</v>
      </c>
      <c r="AD95" s="239">
        <v>0</v>
      </c>
      <c r="AE95" s="239">
        <v>0</v>
      </c>
      <c r="AF95" s="239">
        <v>0</v>
      </c>
      <c r="AG95" s="239">
        <v>0</v>
      </c>
      <c r="AH95" s="239">
        <v>0</v>
      </c>
      <c r="AI95" s="239">
        <v>0</v>
      </c>
      <c r="AJ95" s="239">
        <v>0</v>
      </c>
      <c r="AK95" s="239">
        <v>0</v>
      </c>
      <c r="AL95" s="239">
        <v>0</v>
      </c>
      <c r="AM95" s="239">
        <v>0</v>
      </c>
      <c r="AN95" s="239">
        <v>0</v>
      </c>
      <c r="AO95" s="239">
        <v>0</v>
      </c>
      <c r="AP95" s="239">
        <v>0</v>
      </c>
      <c r="AQ95" s="239">
        <v>0</v>
      </c>
      <c r="AR95" s="239">
        <v>0</v>
      </c>
      <c r="AS95" s="239">
        <v>0</v>
      </c>
      <c r="AT95" s="239">
        <v>0</v>
      </c>
      <c r="AU95" s="239">
        <v>0</v>
      </c>
      <c r="AV95" s="239">
        <v>0</v>
      </c>
      <c r="AW95" s="239">
        <v>0</v>
      </c>
      <c r="AX95" s="239">
        <v>0</v>
      </c>
      <c r="AY95" s="239">
        <v>0</v>
      </c>
      <c r="AZ95" s="239">
        <v>0</v>
      </c>
      <c r="BA95" s="239">
        <v>0</v>
      </c>
      <c r="BB95" s="239">
        <v>0</v>
      </c>
      <c r="BC95" s="239">
        <v>2300139</v>
      </c>
      <c r="BD95" s="239">
        <v>-2127697</v>
      </c>
      <c r="BE95" s="214" t="s">
        <v>272</v>
      </c>
      <c r="BF95" s="214" t="s">
        <v>807</v>
      </c>
      <c r="BG95" s="214" t="s">
        <v>805</v>
      </c>
      <c r="BH95" s="214" t="s">
        <v>1010</v>
      </c>
      <c r="BI95" s="214" t="s">
        <v>1010</v>
      </c>
      <c r="BJ95" s="214" t="s">
        <v>1158</v>
      </c>
    </row>
    <row r="96" spans="1:62" x14ac:dyDescent="0.2">
      <c r="A96" s="215"/>
      <c r="B96" s="602" t="s">
        <v>275</v>
      </c>
      <c r="C96" s="602" t="s">
        <v>274</v>
      </c>
      <c r="D96" s="239">
        <v>60057143</v>
      </c>
      <c r="E96" s="239">
        <v>0</v>
      </c>
      <c r="F96" s="239">
        <v>60057143</v>
      </c>
      <c r="G96" s="239">
        <v>0</v>
      </c>
      <c r="H96" s="239">
        <v>0</v>
      </c>
      <c r="I96" s="239">
        <v>0</v>
      </c>
      <c r="J96" s="239">
        <v>-137567</v>
      </c>
      <c r="K96" s="239">
        <v>0</v>
      </c>
      <c r="L96" s="239">
        <v>-137567</v>
      </c>
      <c r="M96" s="239">
        <v>0</v>
      </c>
      <c r="N96" s="239">
        <v>0</v>
      </c>
      <c r="O96" s="239">
        <v>0</v>
      </c>
      <c r="P96" s="239">
        <v>-232753</v>
      </c>
      <c r="Q96" s="239">
        <v>0</v>
      </c>
      <c r="R96" s="239">
        <v>-232753</v>
      </c>
      <c r="S96" s="239">
        <v>1099219</v>
      </c>
      <c r="T96" s="239">
        <v>0</v>
      </c>
      <c r="U96" s="239">
        <v>1099219</v>
      </c>
      <c r="V96" s="239">
        <v>-427283</v>
      </c>
      <c r="W96" s="239">
        <v>0</v>
      </c>
      <c r="X96" s="239">
        <v>-427283</v>
      </c>
      <c r="Y96" s="239">
        <v>60496326</v>
      </c>
      <c r="Z96" s="239">
        <v>0</v>
      </c>
      <c r="AA96" s="239">
        <v>60496326</v>
      </c>
      <c r="AB96" s="239">
        <v>0</v>
      </c>
      <c r="AC96" s="239">
        <v>0</v>
      </c>
      <c r="AD96" s="239">
        <v>0</v>
      </c>
      <c r="AE96" s="239">
        <v>0</v>
      </c>
      <c r="AF96" s="239">
        <v>0</v>
      </c>
      <c r="AG96" s="239">
        <v>0</v>
      </c>
      <c r="AH96" s="239">
        <v>0</v>
      </c>
      <c r="AI96" s="239">
        <v>0</v>
      </c>
      <c r="AJ96" s="239">
        <v>0</v>
      </c>
      <c r="AK96" s="239">
        <v>0</v>
      </c>
      <c r="AL96" s="239">
        <v>0</v>
      </c>
      <c r="AM96" s="239">
        <v>0</v>
      </c>
      <c r="AN96" s="239">
        <v>0</v>
      </c>
      <c r="AO96" s="239">
        <v>0</v>
      </c>
      <c r="AP96" s="239">
        <v>0</v>
      </c>
      <c r="AQ96" s="239">
        <v>0</v>
      </c>
      <c r="AR96" s="239">
        <v>0</v>
      </c>
      <c r="AS96" s="239">
        <v>0</v>
      </c>
      <c r="AT96" s="239">
        <v>0</v>
      </c>
      <c r="AU96" s="239">
        <v>0</v>
      </c>
      <c r="AV96" s="239">
        <v>0</v>
      </c>
      <c r="AW96" s="239">
        <v>0</v>
      </c>
      <c r="AX96" s="239">
        <v>0</v>
      </c>
      <c r="AY96" s="239">
        <v>0</v>
      </c>
      <c r="AZ96" s="239">
        <v>0</v>
      </c>
      <c r="BA96" s="239">
        <v>0</v>
      </c>
      <c r="BB96" s="239">
        <v>0</v>
      </c>
      <c r="BC96" s="239">
        <v>1084165</v>
      </c>
      <c r="BD96" s="239">
        <v>-557414</v>
      </c>
      <c r="BE96" s="214" t="s">
        <v>274</v>
      </c>
      <c r="BF96" s="214" t="s">
        <v>777</v>
      </c>
      <c r="BG96" s="214" t="s">
        <v>775</v>
      </c>
      <c r="BH96" s="214" t="s">
        <v>1010</v>
      </c>
      <c r="BI96" s="214" t="s">
        <v>1010</v>
      </c>
      <c r="BJ96" s="214" t="s">
        <v>1158</v>
      </c>
    </row>
    <row r="97" spans="2:62" x14ac:dyDescent="0.2">
      <c r="B97" s="602" t="s">
        <v>277</v>
      </c>
      <c r="C97" s="602" t="s">
        <v>276</v>
      </c>
      <c r="D97" s="239">
        <v>20517767</v>
      </c>
      <c r="E97" s="239">
        <v>0</v>
      </c>
      <c r="F97" s="239">
        <v>20517767</v>
      </c>
      <c r="G97" s="239">
        <v>0</v>
      </c>
      <c r="H97" s="239">
        <v>0</v>
      </c>
      <c r="I97" s="239">
        <v>0</v>
      </c>
      <c r="J97" s="239">
        <v>-199947</v>
      </c>
      <c r="K97" s="239">
        <v>0</v>
      </c>
      <c r="L97" s="239">
        <v>-199947</v>
      </c>
      <c r="M97" s="239">
        <v>0</v>
      </c>
      <c r="N97" s="239">
        <v>0</v>
      </c>
      <c r="O97" s="239">
        <v>0</v>
      </c>
      <c r="P97" s="239">
        <v>-92550</v>
      </c>
      <c r="Q97" s="239">
        <v>0</v>
      </c>
      <c r="R97" s="239">
        <v>-92550</v>
      </c>
      <c r="S97" s="239">
        <v>117598</v>
      </c>
      <c r="T97" s="239">
        <v>0</v>
      </c>
      <c r="U97" s="239">
        <v>117598</v>
      </c>
      <c r="V97" s="239">
        <v>-781494</v>
      </c>
      <c r="W97" s="239">
        <v>0</v>
      </c>
      <c r="X97" s="239">
        <v>-781494</v>
      </c>
      <c r="Y97" s="239">
        <v>19761321</v>
      </c>
      <c r="Z97" s="239">
        <v>0</v>
      </c>
      <c r="AA97" s="239">
        <v>19761321</v>
      </c>
      <c r="AB97" s="239">
        <v>0</v>
      </c>
      <c r="AC97" s="239">
        <v>0</v>
      </c>
      <c r="AD97" s="239">
        <v>0</v>
      </c>
      <c r="AE97" s="239">
        <v>0</v>
      </c>
      <c r="AF97" s="239">
        <v>0</v>
      </c>
      <c r="AG97" s="239">
        <v>0</v>
      </c>
      <c r="AH97" s="239">
        <v>0</v>
      </c>
      <c r="AI97" s="239">
        <v>0</v>
      </c>
      <c r="AJ97" s="239">
        <v>0</v>
      </c>
      <c r="AK97" s="239">
        <v>0</v>
      </c>
      <c r="AL97" s="239">
        <v>0</v>
      </c>
      <c r="AM97" s="239">
        <v>0</v>
      </c>
      <c r="AN97" s="239">
        <v>0</v>
      </c>
      <c r="AO97" s="239">
        <v>0</v>
      </c>
      <c r="AP97" s="239">
        <v>0</v>
      </c>
      <c r="AQ97" s="239">
        <v>0</v>
      </c>
      <c r="AR97" s="239">
        <v>0</v>
      </c>
      <c r="AS97" s="239">
        <v>0</v>
      </c>
      <c r="AT97" s="239">
        <v>0</v>
      </c>
      <c r="AU97" s="239">
        <v>0</v>
      </c>
      <c r="AV97" s="239">
        <v>0</v>
      </c>
      <c r="AW97" s="239">
        <v>0</v>
      </c>
      <c r="AX97" s="239">
        <v>0</v>
      </c>
      <c r="AY97" s="239">
        <v>0</v>
      </c>
      <c r="AZ97" s="239">
        <v>0</v>
      </c>
      <c r="BA97" s="239">
        <v>0</v>
      </c>
      <c r="BB97" s="239">
        <v>0</v>
      </c>
      <c r="BC97" s="239">
        <v>806053</v>
      </c>
      <c r="BD97" s="239">
        <v>-97129</v>
      </c>
      <c r="BE97" s="214" t="s">
        <v>276</v>
      </c>
      <c r="BF97" s="214" t="s">
        <v>849</v>
      </c>
      <c r="BG97" s="214" t="s">
        <v>761</v>
      </c>
      <c r="BH97" s="214" t="s">
        <v>1010</v>
      </c>
      <c r="BI97" s="214" t="s">
        <v>1010</v>
      </c>
      <c r="BJ97" s="214" t="s">
        <v>1158</v>
      </c>
    </row>
    <row r="98" spans="2:62" x14ac:dyDescent="0.2">
      <c r="B98" s="602" t="s">
        <v>279</v>
      </c>
      <c r="C98" s="602" t="s">
        <v>278</v>
      </c>
      <c r="D98" s="239">
        <v>60011703</v>
      </c>
      <c r="E98" s="239">
        <v>0</v>
      </c>
      <c r="F98" s="239">
        <v>60011703</v>
      </c>
      <c r="G98" s="239">
        <v>0</v>
      </c>
      <c r="H98" s="239">
        <v>0</v>
      </c>
      <c r="I98" s="239">
        <v>0</v>
      </c>
      <c r="J98" s="239">
        <v>-145578</v>
      </c>
      <c r="K98" s="239">
        <v>0</v>
      </c>
      <c r="L98" s="239">
        <v>-145578</v>
      </c>
      <c r="M98" s="239">
        <v>0</v>
      </c>
      <c r="N98" s="239">
        <v>0</v>
      </c>
      <c r="O98" s="239">
        <v>0</v>
      </c>
      <c r="P98" s="239">
        <v>-62732</v>
      </c>
      <c r="Q98" s="239">
        <v>0</v>
      </c>
      <c r="R98" s="239">
        <v>-62732</v>
      </c>
      <c r="S98" s="239">
        <v>1499001</v>
      </c>
      <c r="T98" s="239">
        <v>0</v>
      </c>
      <c r="U98" s="239">
        <v>1499001</v>
      </c>
      <c r="V98" s="239">
        <v>-3956804</v>
      </c>
      <c r="W98" s="239">
        <v>0</v>
      </c>
      <c r="X98" s="239">
        <v>-3956804</v>
      </c>
      <c r="Y98" s="239">
        <v>57491168</v>
      </c>
      <c r="Z98" s="239">
        <v>0</v>
      </c>
      <c r="AA98" s="239">
        <v>57491168</v>
      </c>
      <c r="AB98" s="239">
        <v>0</v>
      </c>
      <c r="AC98" s="239">
        <v>0</v>
      </c>
      <c r="AD98" s="239">
        <v>22549</v>
      </c>
      <c r="AE98" s="239">
        <v>0</v>
      </c>
      <c r="AF98" s="239">
        <v>22549</v>
      </c>
      <c r="AG98" s="239">
        <v>0</v>
      </c>
      <c r="AH98" s="239">
        <v>0</v>
      </c>
      <c r="AI98" s="239">
        <v>0</v>
      </c>
      <c r="AJ98" s="239">
        <v>0</v>
      </c>
      <c r="AK98" s="239">
        <v>0</v>
      </c>
      <c r="AL98" s="239">
        <v>0</v>
      </c>
      <c r="AM98" s="239">
        <v>0</v>
      </c>
      <c r="AN98" s="239">
        <v>0</v>
      </c>
      <c r="AO98" s="239">
        <v>0</v>
      </c>
      <c r="AP98" s="239">
        <v>0</v>
      </c>
      <c r="AQ98" s="239">
        <v>0</v>
      </c>
      <c r="AR98" s="239">
        <v>0</v>
      </c>
      <c r="AS98" s="239">
        <v>0</v>
      </c>
      <c r="AT98" s="239">
        <v>0</v>
      </c>
      <c r="AU98" s="239">
        <v>0</v>
      </c>
      <c r="AV98" s="239">
        <v>0</v>
      </c>
      <c r="AW98" s="239">
        <v>0</v>
      </c>
      <c r="AX98" s="239">
        <v>0</v>
      </c>
      <c r="AY98" s="239">
        <v>0</v>
      </c>
      <c r="AZ98" s="239">
        <v>0</v>
      </c>
      <c r="BA98" s="239">
        <v>0</v>
      </c>
      <c r="BB98" s="239">
        <v>0</v>
      </c>
      <c r="BC98" s="239">
        <v>540544</v>
      </c>
      <c r="BD98" s="239">
        <v>-1826519</v>
      </c>
      <c r="BE98" s="214" t="s">
        <v>278</v>
      </c>
      <c r="BF98" s="214" t="s">
        <v>770</v>
      </c>
      <c r="BG98" s="214" t="s">
        <v>761</v>
      </c>
      <c r="BH98" s="214" t="s">
        <v>1010</v>
      </c>
      <c r="BI98" s="214" t="s">
        <v>1010</v>
      </c>
      <c r="BJ98" s="214" t="s">
        <v>1158</v>
      </c>
    </row>
    <row r="99" spans="2:62" x14ac:dyDescent="0.2">
      <c r="B99" s="602" t="s">
        <v>281</v>
      </c>
      <c r="C99" s="602" t="s">
        <v>280</v>
      </c>
      <c r="D99" s="239">
        <v>110393872</v>
      </c>
      <c r="E99" s="239">
        <v>0</v>
      </c>
      <c r="F99" s="239">
        <v>110393872</v>
      </c>
      <c r="G99" s="239">
        <v>-11950</v>
      </c>
      <c r="H99" s="239">
        <v>0</v>
      </c>
      <c r="I99" s="239">
        <v>-11950</v>
      </c>
      <c r="J99" s="239">
        <v>-922395</v>
      </c>
      <c r="K99" s="239">
        <v>0</v>
      </c>
      <c r="L99" s="239">
        <v>-922395</v>
      </c>
      <c r="M99" s="239">
        <v>0</v>
      </c>
      <c r="N99" s="239">
        <v>0</v>
      </c>
      <c r="O99" s="239">
        <v>0</v>
      </c>
      <c r="P99" s="239">
        <v>-1218639</v>
      </c>
      <c r="Q99" s="239">
        <v>0</v>
      </c>
      <c r="R99" s="239">
        <v>-1218639</v>
      </c>
      <c r="S99" s="239">
        <v>4347631</v>
      </c>
      <c r="T99" s="239">
        <v>0</v>
      </c>
      <c r="U99" s="239">
        <v>4347631</v>
      </c>
      <c r="V99" s="239">
        <v>-7327586</v>
      </c>
      <c r="W99" s="239">
        <v>0</v>
      </c>
      <c r="X99" s="239">
        <v>-7327586</v>
      </c>
      <c r="Y99" s="239">
        <v>106183328</v>
      </c>
      <c r="Z99" s="239">
        <v>0</v>
      </c>
      <c r="AA99" s="239">
        <v>106183328</v>
      </c>
      <c r="AB99" s="239">
        <v>0</v>
      </c>
      <c r="AC99" s="239">
        <v>0</v>
      </c>
      <c r="AD99" s="239">
        <v>0</v>
      </c>
      <c r="AE99" s="239">
        <v>0</v>
      </c>
      <c r="AF99" s="239">
        <v>0</v>
      </c>
      <c r="AG99" s="239">
        <v>0</v>
      </c>
      <c r="AH99" s="239">
        <v>0</v>
      </c>
      <c r="AI99" s="239">
        <v>0</v>
      </c>
      <c r="AJ99" s="239">
        <v>0</v>
      </c>
      <c r="AK99" s="239">
        <v>0</v>
      </c>
      <c r="AL99" s="239">
        <v>0</v>
      </c>
      <c r="AM99" s="239">
        <v>0</v>
      </c>
      <c r="AN99" s="239">
        <v>0</v>
      </c>
      <c r="AO99" s="239">
        <v>0</v>
      </c>
      <c r="AP99" s="239">
        <v>0</v>
      </c>
      <c r="AQ99" s="239">
        <v>0</v>
      </c>
      <c r="AR99" s="239">
        <v>0</v>
      </c>
      <c r="AS99" s="239">
        <v>0</v>
      </c>
      <c r="AT99" s="239">
        <v>0</v>
      </c>
      <c r="AU99" s="239">
        <v>0</v>
      </c>
      <c r="AV99" s="239">
        <v>0</v>
      </c>
      <c r="AW99" s="239">
        <v>0</v>
      </c>
      <c r="AX99" s="239">
        <v>0</v>
      </c>
      <c r="AY99" s="239">
        <v>0</v>
      </c>
      <c r="AZ99" s="239">
        <v>0</v>
      </c>
      <c r="BA99" s="239">
        <v>0</v>
      </c>
      <c r="BB99" s="239">
        <v>0</v>
      </c>
      <c r="BC99" s="239">
        <v>6609823</v>
      </c>
      <c r="BD99" s="239">
        <v>-5172182</v>
      </c>
      <c r="BE99" s="214" t="s">
        <v>280</v>
      </c>
      <c r="BF99" s="214" t="s">
        <v>788</v>
      </c>
      <c r="BG99" s="214" t="s">
        <v>747</v>
      </c>
      <c r="BH99" s="214" t="s">
        <v>1010</v>
      </c>
      <c r="BI99" s="214" t="s">
        <v>1010</v>
      </c>
      <c r="BJ99" s="214" t="s">
        <v>1159</v>
      </c>
    </row>
    <row r="100" spans="2:62" x14ac:dyDescent="0.2">
      <c r="B100" s="602" t="s">
        <v>283</v>
      </c>
      <c r="C100" s="602" t="s">
        <v>282</v>
      </c>
      <c r="D100" s="239">
        <v>34823299</v>
      </c>
      <c r="E100" s="239">
        <v>0</v>
      </c>
      <c r="F100" s="239">
        <v>34823299</v>
      </c>
      <c r="G100" s="239">
        <v>0</v>
      </c>
      <c r="H100" s="239">
        <v>0</v>
      </c>
      <c r="I100" s="239">
        <v>0</v>
      </c>
      <c r="J100" s="239">
        <v>-237342</v>
      </c>
      <c r="K100" s="239">
        <v>0</v>
      </c>
      <c r="L100" s="239">
        <v>-237342</v>
      </c>
      <c r="M100" s="239">
        <v>0</v>
      </c>
      <c r="N100" s="239">
        <v>0</v>
      </c>
      <c r="O100" s="239">
        <v>0</v>
      </c>
      <c r="P100" s="239">
        <v>-327072</v>
      </c>
      <c r="Q100" s="239">
        <v>0</v>
      </c>
      <c r="R100" s="239">
        <v>-327072</v>
      </c>
      <c r="S100" s="239">
        <v>1298876</v>
      </c>
      <c r="T100" s="239">
        <v>0</v>
      </c>
      <c r="U100" s="239">
        <v>1298876</v>
      </c>
      <c r="V100" s="239">
        <v>-1179824</v>
      </c>
      <c r="W100" s="239">
        <v>0</v>
      </c>
      <c r="X100" s="239">
        <v>-1179824</v>
      </c>
      <c r="Y100" s="239">
        <v>34615279</v>
      </c>
      <c r="Z100" s="239">
        <v>0</v>
      </c>
      <c r="AA100" s="239">
        <v>34615279</v>
      </c>
      <c r="AB100" s="239">
        <v>0</v>
      </c>
      <c r="AC100" s="239">
        <v>0</v>
      </c>
      <c r="AD100" s="239">
        <v>0</v>
      </c>
      <c r="AE100" s="239">
        <v>0</v>
      </c>
      <c r="AF100" s="239">
        <v>0</v>
      </c>
      <c r="AG100" s="239">
        <v>0</v>
      </c>
      <c r="AH100" s="239">
        <v>0</v>
      </c>
      <c r="AI100" s="239">
        <v>0</v>
      </c>
      <c r="AJ100" s="239">
        <v>0</v>
      </c>
      <c r="AK100" s="239">
        <v>0</v>
      </c>
      <c r="AL100" s="239">
        <v>0</v>
      </c>
      <c r="AM100" s="239">
        <v>0</v>
      </c>
      <c r="AN100" s="239">
        <v>0</v>
      </c>
      <c r="AO100" s="239">
        <v>0</v>
      </c>
      <c r="AP100" s="239">
        <v>0</v>
      </c>
      <c r="AQ100" s="239">
        <v>0</v>
      </c>
      <c r="AR100" s="239">
        <v>0</v>
      </c>
      <c r="AS100" s="239">
        <v>0</v>
      </c>
      <c r="AT100" s="239">
        <v>0</v>
      </c>
      <c r="AU100" s="239">
        <v>0</v>
      </c>
      <c r="AV100" s="239">
        <v>0</v>
      </c>
      <c r="AW100" s="239">
        <v>0</v>
      </c>
      <c r="AX100" s="239">
        <v>0</v>
      </c>
      <c r="AY100" s="239">
        <v>0</v>
      </c>
      <c r="AZ100" s="239">
        <v>0</v>
      </c>
      <c r="BA100" s="239">
        <v>0</v>
      </c>
      <c r="BB100" s="239">
        <v>0</v>
      </c>
      <c r="BC100" s="239">
        <v>1328746</v>
      </c>
      <c r="BD100" s="239">
        <v>-1318807</v>
      </c>
      <c r="BE100" s="214" t="s">
        <v>282</v>
      </c>
      <c r="BF100" s="214" t="s">
        <v>820</v>
      </c>
      <c r="BG100" s="214" t="s">
        <v>818</v>
      </c>
      <c r="BH100" s="214" t="s">
        <v>1010</v>
      </c>
      <c r="BI100" s="214" t="s">
        <v>1010</v>
      </c>
      <c r="BJ100" s="214" t="s">
        <v>1158</v>
      </c>
    </row>
    <row r="101" spans="2:62" x14ac:dyDescent="0.2">
      <c r="B101" s="602" t="s">
        <v>285</v>
      </c>
      <c r="C101" s="602" t="s">
        <v>284</v>
      </c>
      <c r="D101" s="239">
        <v>24083126</v>
      </c>
      <c r="E101" s="239">
        <v>0</v>
      </c>
      <c r="F101" s="239">
        <v>24083126</v>
      </c>
      <c r="G101" s="239">
        <v>0</v>
      </c>
      <c r="H101" s="239">
        <v>0</v>
      </c>
      <c r="I101" s="239">
        <v>0</v>
      </c>
      <c r="J101" s="239">
        <v>-105973</v>
      </c>
      <c r="K101" s="239">
        <v>0</v>
      </c>
      <c r="L101" s="239">
        <v>-105973</v>
      </c>
      <c r="M101" s="239">
        <v>0</v>
      </c>
      <c r="N101" s="239">
        <v>0</v>
      </c>
      <c r="O101" s="239">
        <v>0</v>
      </c>
      <c r="P101" s="239">
        <v>-144380</v>
      </c>
      <c r="Q101" s="239">
        <v>0</v>
      </c>
      <c r="R101" s="239">
        <v>-144380</v>
      </c>
      <c r="S101" s="239">
        <v>0</v>
      </c>
      <c r="T101" s="239">
        <v>0</v>
      </c>
      <c r="U101" s="239">
        <v>0</v>
      </c>
      <c r="V101" s="239">
        <v>-3574549</v>
      </c>
      <c r="W101" s="239">
        <v>0</v>
      </c>
      <c r="X101" s="239">
        <v>-3574549</v>
      </c>
      <c r="Y101" s="239">
        <v>20364197</v>
      </c>
      <c r="Z101" s="239">
        <v>0</v>
      </c>
      <c r="AA101" s="239">
        <v>20364197</v>
      </c>
      <c r="AB101" s="239">
        <v>0</v>
      </c>
      <c r="AC101" s="239">
        <v>0</v>
      </c>
      <c r="AD101" s="239">
        <v>0</v>
      </c>
      <c r="AE101" s="239">
        <v>0</v>
      </c>
      <c r="AF101" s="239">
        <v>0</v>
      </c>
      <c r="AG101" s="239">
        <v>0</v>
      </c>
      <c r="AH101" s="239">
        <v>0</v>
      </c>
      <c r="AI101" s="239">
        <v>0</v>
      </c>
      <c r="AJ101" s="239">
        <v>0</v>
      </c>
      <c r="AK101" s="239">
        <v>0</v>
      </c>
      <c r="AL101" s="239">
        <v>0</v>
      </c>
      <c r="AM101" s="239">
        <v>0</v>
      </c>
      <c r="AN101" s="239">
        <v>0</v>
      </c>
      <c r="AO101" s="239">
        <v>0</v>
      </c>
      <c r="AP101" s="239">
        <v>0</v>
      </c>
      <c r="AQ101" s="239">
        <v>0</v>
      </c>
      <c r="AR101" s="239">
        <v>0</v>
      </c>
      <c r="AS101" s="239">
        <v>0</v>
      </c>
      <c r="AT101" s="239">
        <v>0</v>
      </c>
      <c r="AU101" s="239">
        <v>0</v>
      </c>
      <c r="AV101" s="239">
        <v>0</v>
      </c>
      <c r="AW101" s="239">
        <v>0</v>
      </c>
      <c r="AX101" s="239">
        <v>0</v>
      </c>
      <c r="AY101" s="239">
        <v>0</v>
      </c>
      <c r="AZ101" s="239">
        <v>0</v>
      </c>
      <c r="BA101" s="239">
        <v>0</v>
      </c>
      <c r="BB101" s="239">
        <v>0</v>
      </c>
      <c r="BC101" s="239">
        <v>256318</v>
      </c>
      <c r="BD101" s="239">
        <v>-169569</v>
      </c>
      <c r="BE101" s="214" t="s">
        <v>284</v>
      </c>
      <c r="BF101" s="214" t="s">
        <v>770</v>
      </c>
      <c r="BG101" s="214" t="s">
        <v>761</v>
      </c>
      <c r="BH101" s="214" t="s">
        <v>1010</v>
      </c>
      <c r="BI101" s="214" t="s">
        <v>1010</v>
      </c>
      <c r="BJ101" s="214" t="s">
        <v>1158</v>
      </c>
    </row>
    <row r="102" spans="2:62" x14ac:dyDescent="0.2">
      <c r="B102" s="602" t="s">
        <v>287</v>
      </c>
      <c r="C102" s="602" t="s">
        <v>286</v>
      </c>
      <c r="D102" s="239">
        <v>23864617</v>
      </c>
      <c r="E102" s="239">
        <v>0</v>
      </c>
      <c r="F102" s="239">
        <v>23864617</v>
      </c>
      <c r="G102" s="239">
        <v>0</v>
      </c>
      <c r="H102" s="239">
        <v>0</v>
      </c>
      <c r="I102" s="239">
        <v>0</v>
      </c>
      <c r="J102" s="239">
        <v>-261846</v>
      </c>
      <c r="K102" s="239">
        <v>0</v>
      </c>
      <c r="L102" s="239">
        <v>-261846</v>
      </c>
      <c r="M102" s="239">
        <v>0</v>
      </c>
      <c r="N102" s="239">
        <v>0</v>
      </c>
      <c r="O102" s="239">
        <v>0</v>
      </c>
      <c r="P102" s="239">
        <v>-110579</v>
      </c>
      <c r="Q102" s="239">
        <v>0</v>
      </c>
      <c r="R102" s="239">
        <v>-110579</v>
      </c>
      <c r="S102" s="239">
        <v>1017700</v>
      </c>
      <c r="T102" s="239">
        <v>0</v>
      </c>
      <c r="U102" s="239">
        <v>1017700</v>
      </c>
      <c r="V102" s="239">
        <v>-2396000</v>
      </c>
      <c r="W102" s="239">
        <v>0</v>
      </c>
      <c r="X102" s="239">
        <v>-2396000</v>
      </c>
      <c r="Y102" s="239">
        <v>22375738</v>
      </c>
      <c r="Z102" s="239">
        <v>0</v>
      </c>
      <c r="AA102" s="239">
        <v>22375738</v>
      </c>
      <c r="AB102" s="239">
        <v>0</v>
      </c>
      <c r="AC102" s="239">
        <v>0</v>
      </c>
      <c r="AD102" s="239">
        <v>0</v>
      </c>
      <c r="AE102" s="239">
        <v>0</v>
      </c>
      <c r="AF102" s="239">
        <v>0</v>
      </c>
      <c r="AG102" s="239">
        <v>0</v>
      </c>
      <c r="AH102" s="239">
        <v>0</v>
      </c>
      <c r="AI102" s="239">
        <v>0</v>
      </c>
      <c r="AJ102" s="239">
        <v>0</v>
      </c>
      <c r="AK102" s="239">
        <v>0</v>
      </c>
      <c r="AL102" s="239">
        <v>0</v>
      </c>
      <c r="AM102" s="239">
        <v>0</v>
      </c>
      <c r="AN102" s="239">
        <v>0</v>
      </c>
      <c r="AO102" s="239">
        <v>0</v>
      </c>
      <c r="AP102" s="239">
        <v>0</v>
      </c>
      <c r="AQ102" s="239">
        <v>0</v>
      </c>
      <c r="AR102" s="239">
        <v>0</v>
      </c>
      <c r="AS102" s="239">
        <v>0</v>
      </c>
      <c r="AT102" s="239">
        <v>0</v>
      </c>
      <c r="AU102" s="239">
        <v>0</v>
      </c>
      <c r="AV102" s="239">
        <v>0</v>
      </c>
      <c r="AW102" s="239">
        <v>0</v>
      </c>
      <c r="AX102" s="239">
        <v>0</v>
      </c>
      <c r="AY102" s="239">
        <v>0</v>
      </c>
      <c r="AZ102" s="239">
        <v>0</v>
      </c>
      <c r="BA102" s="239">
        <v>0</v>
      </c>
      <c r="BB102" s="239">
        <v>0</v>
      </c>
      <c r="BC102" s="239">
        <v>953257</v>
      </c>
      <c r="BD102" s="239">
        <v>-912332</v>
      </c>
      <c r="BE102" s="214" t="s">
        <v>286</v>
      </c>
      <c r="BF102" s="214" t="s">
        <v>856</v>
      </c>
      <c r="BG102" s="214" t="s">
        <v>854</v>
      </c>
      <c r="BH102" s="214" t="s">
        <v>1010</v>
      </c>
      <c r="BI102" s="214" t="s">
        <v>1010</v>
      </c>
      <c r="BJ102" s="214" t="s">
        <v>1158</v>
      </c>
    </row>
    <row r="103" spans="2:62" x14ac:dyDescent="0.2">
      <c r="B103" s="602" t="s">
        <v>289</v>
      </c>
      <c r="C103" s="602" t="s">
        <v>288</v>
      </c>
      <c r="D103" s="239">
        <v>79284612</v>
      </c>
      <c r="E103" s="239">
        <v>0</v>
      </c>
      <c r="F103" s="239">
        <v>79284612</v>
      </c>
      <c r="G103" s="239">
        <v>0</v>
      </c>
      <c r="H103" s="239">
        <v>0</v>
      </c>
      <c r="I103" s="239">
        <v>0</v>
      </c>
      <c r="J103" s="239">
        <v>0</v>
      </c>
      <c r="K103" s="239">
        <v>0</v>
      </c>
      <c r="L103" s="239">
        <v>0</v>
      </c>
      <c r="M103" s="239">
        <v>-216909</v>
      </c>
      <c r="N103" s="239">
        <v>0</v>
      </c>
      <c r="O103" s="239">
        <v>-216909</v>
      </c>
      <c r="P103" s="239">
        <v>-360000</v>
      </c>
      <c r="Q103" s="239">
        <v>0</v>
      </c>
      <c r="R103" s="239">
        <v>-360000</v>
      </c>
      <c r="S103" s="239">
        <v>77654</v>
      </c>
      <c r="T103" s="239">
        <v>0</v>
      </c>
      <c r="U103" s="239">
        <v>77654</v>
      </c>
      <c r="V103" s="239">
        <v>-3664025</v>
      </c>
      <c r="W103" s="239">
        <v>0</v>
      </c>
      <c r="X103" s="239">
        <v>-3664025</v>
      </c>
      <c r="Y103" s="239">
        <v>75121332</v>
      </c>
      <c r="Z103" s="239">
        <v>0</v>
      </c>
      <c r="AA103" s="239">
        <v>75121332</v>
      </c>
      <c r="AB103" s="239">
        <v>0</v>
      </c>
      <c r="AC103" s="239">
        <v>0</v>
      </c>
      <c r="AD103" s="239">
        <v>0</v>
      </c>
      <c r="AE103" s="239">
        <v>0</v>
      </c>
      <c r="AF103" s="239">
        <v>0</v>
      </c>
      <c r="AG103" s="239">
        <v>0</v>
      </c>
      <c r="AH103" s="239">
        <v>0</v>
      </c>
      <c r="AI103" s="239">
        <v>0</v>
      </c>
      <c r="AJ103" s="239">
        <v>0</v>
      </c>
      <c r="AK103" s="239">
        <v>0</v>
      </c>
      <c r="AL103" s="239">
        <v>0</v>
      </c>
      <c r="AM103" s="239">
        <v>0</v>
      </c>
      <c r="AN103" s="239">
        <v>0</v>
      </c>
      <c r="AO103" s="239">
        <v>0</v>
      </c>
      <c r="AP103" s="239">
        <v>0</v>
      </c>
      <c r="AQ103" s="239">
        <v>0</v>
      </c>
      <c r="AR103" s="239">
        <v>0</v>
      </c>
      <c r="AS103" s="239">
        <v>0</v>
      </c>
      <c r="AT103" s="239">
        <v>0</v>
      </c>
      <c r="AU103" s="239">
        <v>0</v>
      </c>
      <c r="AV103" s="239">
        <v>0</v>
      </c>
      <c r="AW103" s="239">
        <v>0</v>
      </c>
      <c r="AX103" s="239">
        <v>0</v>
      </c>
      <c r="AY103" s="239">
        <v>0</v>
      </c>
      <c r="AZ103" s="239">
        <v>0</v>
      </c>
      <c r="BA103" s="239">
        <v>0</v>
      </c>
      <c r="BB103" s="239">
        <v>0</v>
      </c>
      <c r="BC103" s="239">
        <v>2962361</v>
      </c>
      <c r="BD103" s="239">
        <v>-1663680</v>
      </c>
      <c r="BE103" s="214" t="s">
        <v>288</v>
      </c>
      <c r="BF103" s="214" t="s">
        <v>798</v>
      </c>
      <c r="BG103" s="214" t="s">
        <v>790</v>
      </c>
      <c r="BH103" s="214" t="s">
        <v>1010</v>
      </c>
      <c r="BI103" s="214" t="s">
        <v>1010</v>
      </c>
      <c r="BJ103" s="214" t="s">
        <v>1158</v>
      </c>
    </row>
    <row r="104" spans="2:62" x14ac:dyDescent="0.2">
      <c r="B104" s="602" t="s">
        <v>291</v>
      </c>
      <c r="C104" s="602" t="s">
        <v>290</v>
      </c>
      <c r="D104" s="239">
        <v>39588092</v>
      </c>
      <c r="E104" s="239">
        <v>151397</v>
      </c>
      <c r="F104" s="239">
        <v>39739489</v>
      </c>
      <c r="G104" s="239">
        <v>0</v>
      </c>
      <c r="H104" s="239">
        <v>0</v>
      </c>
      <c r="I104" s="239">
        <v>0</v>
      </c>
      <c r="J104" s="239">
        <v>-506104</v>
      </c>
      <c r="K104" s="239">
        <v>0</v>
      </c>
      <c r="L104" s="239">
        <v>-506104</v>
      </c>
      <c r="M104" s="239">
        <v>0</v>
      </c>
      <c r="N104" s="239">
        <v>0</v>
      </c>
      <c r="O104" s="239">
        <v>0</v>
      </c>
      <c r="P104" s="239">
        <v>-735075</v>
      </c>
      <c r="Q104" s="239">
        <v>0</v>
      </c>
      <c r="R104" s="239">
        <v>-735075</v>
      </c>
      <c r="S104" s="239">
        <v>2824098</v>
      </c>
      <c r="T104" s="239">
        <v>0</v>
      </c>
      <c r="U104" s="239">
        <v>2824098</v>
      </c>
      <c r="V104" s="239">
        <v>-79314</v>
      </c>
      <c r="W104" s="239">
        <v>0</v>
      </c>
      <c r="X104" s="239">
        <v>-79314</v>
      </c>
      <c r="Y104" s="239">
        <v>41597801</v>
      </c>
      <c r="Z104" s="239">
        <v>151397</v>
      </c>
      <c r="AA104" s="239">
        <v>41749198</v>
      </c>
      <c r="AB104" s="239">
        <v>151397</v>
      </c>
      <c r="AC104" s="239">
        <v>151397</v>
      </c>
      <c r="AD104" s="239">
        <v>79829</v>
      </c>
      <c r="AE104" s="239">
        <v>0</v>
      </c>
      <c r="AF104" s="239">
        <v>79829</v>
      </c>
      <c r="AG104" s="239">
        <v>-1617</v>
      </c>
      <c r="AH104" s="239">
        <v>-1617</v>
      </c>
      <c r="AI104" s="239">
        <v>108208</v>
      </c>
      <c r="AJ104" s="239">
        <v>108208</v>
      </c>
      <c r="AK104" s="239">
        <v>41572</v>
      </c>
      <c r="AL104" s="239">
        <v>0</v>
      </c>
      <c r="AM104" s="239">
        <v>0</v>
      </c>
      <c r="AN104" s="239">
        <v>0</v>
      </c>
      <c r="AO104" s="239">
        <v>0</v>
      </c>
      <c r="AP104" s="239">
        <v>110671</v>
      </c>
      <c r="AQ104" s="239">
        <v>110671</v>
      </c>
      <c r="AR104" s="239">
        <v>0</v>
      </c>
      <c r="AS104" s="239">
        <v>0</v>
      </c>
      <c r="AT104" s="239">
        <v>0</v>
      </c>
      <c r="AU104" s="239">
        <v>0</v>
      </c>
      <c r="AV104" s="239">
        <v>0</v>
      </c>
      <c r="AW104" s="239">
        <v>0</v>
      </c>
      <c r="AX104" s="239">
        <v>0</v>
      </c>
      <c r="AY104" s="239">
        <v>0</v>
      </c>
      <c r="AZ104" s="239">
        <v>0</v>
      </c>
      <c r="BA104" s="239">
        <v>110671</v>
      </c>
      <c r="BB104" s="239">
        <v>110671</v>
      </c>
      <c r="BC104" s="239">
        <v>856230</v>
      </c>
      <c r="BD104" s="239">
        <v>-1583228</v>
      </c>
      <c r="BE104" s="214" t="s">
        <v>290</v>
      </c>
      <c r="BF104" s="214" t="s">
        <v>777</v>
      </c>
      <c r="BG104" s="214" t="s">
        <v>775</v>
      </c>
      <c r="BH104" s="214" t="s">
        <v>1022</v>
      </c>
      <c r="BI104" s="214" t="s">
        <v>1010</v>
      </c>
      <c r="BJ104" s="214" t="s">
        <v>1158</v>
      </c>
    </row>
    <row r="105" spans="2:62" x14ac:dyDescent="0.2">
      <c r="B105" s="602" t="s">
        <v>293</v>
      </c>
      <c r="C105" s="602" t="s">
        <v>292</v>
      </c>
      <c r="D105" s="239">
        <v>25248258</v>
      </c>
      <c r="E105" s="239">
        <v>0</v>
      </c>
      <c r="F105" s="239">
        <v>25248258</v>
      </c>
      <c r="G105" s="239">
        <v>0</v>
      </c>
      <c r="H105" s="239">
        <v>0</v>
      </c>
      <c r="I105" s="239">
        <v>0</v>
      </c>
      <c r="J105" s="239">
        <v>-168475</v>
      </c>
      <c r="K105" s="239">
        <v>0</v>
      </c>
      <c r="L105" s="239">
        <v>-168475</v>
      </c>
      <c r="M105" s="239">
        <v>0</v>
      </c>
      <c r="N105" s="239">
        <v>0</v>
      </c>
      <c r="O105" s="239">
        <v>0</v>
      </c>
      <c r="P105" s="239">
        <v>-407641</v>
      </c>
      <c r="Q105" s="239">
        <v>0</v>
      </c>
      <c r="R105" s="239">
        <v>-407641</v>
      </c>
      <c r="S105" s="239">
        <v>571112</v>
      </c>
      <c r="T105" s="239">
        <v>0</v>
      </c>
      <c r="U105" s="239">
        <v>571112</v>
      </c>
      <c r="V105" s="239">
        <v>300419</v>
      </c>
      <c r="W105" s="239">
        <v>0</v>
      </c>
      <c r="X105" s="239">
        <v>300419</v>
      </c>
      <c r="Y105" s="239">
        <v>25712148</v>
      </c>
      <c r="Z105" s="239">
        <v>0</v>
      </c>
      <c r="AA105" s="239">
        <v>25712148</v>
      </c>
      <c r="AB105" s="239">
        <v>0</v>
      </c>
      <c r="AC105" s="239">
        <v>0</v>
      </c>
      <c r="AD105" s="239">
        <v>222929</v>
      </c>
      <c r="AE105" s="239">
        <v>0</v>
      </c>
      <c r="AF105" s="239">
        <v>222929</v>
      </c>
      <c r="AG105" s="239">
        <v>0</v>
      </c>
      <c r="AH105" s="239">
        <v>0</v>
      </c>
      <c r="AI105" s="239">
        <v>0</v>
      </c>
      <c r="AJ105" s="239">
        <v>0</v>
      </c>
      <c r="AK105" s="239">
        <v>0</v>
      </c>
      <c r="AL105" s="239">
        <v>0</v>
      </c>
      <c r="AM105" s="239">
        <v>0</v>
      </c>
      <c r="AN105" s="239">
        <v>0</v>
      </c>
      <c r="AO105" s="239">
        <v>0</v>
      </c>
      <c r="AP105" s="239">
        <v>0</v>
      </c>
      <c r="AQ105" s="239">
        <v>0</v>
      </c>
      <c r="AR105" s="239">
        <v>24930428</v>
      </c>
      <c r="AS105" s="239">
        <v>24930428</v>
      </c>
      <c r="AT105" s="239">
        <v>25251598</v>
      </c>
      <c r="AU105" s="239">
        <v>25251598</v>
      </c>
      <c r="AV105" s="239">
        <v>0</v>
      </c>
      <c r="AW105" s="239">
        <v>0</v>
      </c>
      <c r="AX105" s="239">
        <v>0</v>
      </c>
      <c r="AY105" s="239">
        <v>0</v>
      </c>
      <c r="AZ105" s="239">
        <v>0</v>
      </c>
      <c r="BA105" s="239">
        <v>0</v>
      </c>
      <c r="BB105" s="239">
        <v>0</v>
      </c>
      <c r="BC105" s="239">
        <v>1796022</v>
      </c>
      <c r="BD105" s="239">
        <v>-484027</v>
      </c>
      <c r="BE105" s="214" t="s">
        <v>292</v>
      </c>
      <c r="BF105" s="214" t="s">
        <v>860</v>
      </c>
      <c r="BG105" s="214" t="s">
        <v>858</v>
      </c>
      <c r="BH105" s="214" t="s">
        <v>1010</v>
      </c>
      <c r="BI105" s="214" t="s">
        <v>1010</v>
      </c>
      <c r="BJ105" s="214" t="s">
        <v>1158</v>
      </c>
    </row>
    <row r="106" spans="2:62" x14ac:dyDescent="0.2">
      <c r="B106" s="602" t="s">
        <v>295</v>
      </c>
      <c r="C106" s="602" t="s">
        <v>294</v>
      </c>
      <c r="D106" s="239">
        <v>23466756</v>
      </c>
      <c r="E106" s="239">
        <v>0</v>
      </c>
      <c r="F106" s="239">
        <v>23466756</v>
      </c>
      <c r="G106" s="239">
        <v>0</v>
      </c>
      <c r="H106" s="239">
        <v>0</v>
      </c>
      <c r="I106" s="239">
        <v>0</v>
      </c>
      <c r="J106" s="239">
        <v>-64753</v>
      </c>
      <c r="K106" s="239">
        <v>0</v>
      </c>
      <c r="L106" s="239">
        <v>-64753</v>
      </c>
      <c r="M106" s="239">
        <v>0</v>
      </c>
      <c r="N106" s="239">
        <v>0</v>
      </c>
      <c r="O106" s="239">
        <v>0</v>
      </c>
      <c r="P106" s="239">
        <v>-132017</v>
      </c>
      <c r="Q106" s="239">
        <v>0</v>
      </c>
      <c r="R106" s="239">
        <v>-132017</v>
      </c>
      <c r="S106" s="239">
        <v>1573197</v>
      </c>
      <c r="T106" s="239">
        <v>0</v>
      </c>
      <c r="U106" s="239">
        <v>1573197</v>
      </c>
      <c r="V106" s="239">
        <v>-1871968</v>
      </c>
      <c r="W106" s="239">
        <v>0</v>
      </c>
      <c r="X106" s="239">
        <v>-1871968</v>
      </c>
      <c r="Y106" s="239">
        <v>23035968</v>
      </c>
      <c r="Z106" s="239">
        <v>0</v>
      </c>
      <c r="AA106" s="239">
        <v>23035968</v>
      </c>
      <c r="AB106" s="239">
        <v>0</v>
      </c>
      <c r="AC106" s="239">
        <v>0</v>
      </c>
      <c r="AD106" s="239">
        <v>90988</v>
      </c>
      <c r="AE106" s="239">
        <v>0</v>
      </c>
      <c r="AF106" s="239">
        <v>90988</v>
      </c>
      <c r="AG106" s="239">
        <v>0</v>
      </c>
      <c r="AH106" s="239">
        <v>0</v>
      </c>
      <c r="AI106" s="239">
        <v>0</v>
      </c>
      <c r="AJ106" s="239">
        <v>0</v>
      </c>
      <c r="AK106" s="239">
        <v>0</v>
      </c>
      <c r="AL106" s="239">
        <v>0</v>
      </c>
      <c r="AM106" s="239">
        <v>0</v>
      </c>
      <c r="AN106" s="239">
        <v>0</v>
      </c>
      <c r="AO106" s="239">
        <v>0</v>
      </c>
      <c r="AP106" s="239">
        <v>0</v>
      </c>
      <c r="AQ106" s="239">
        <v>0</v>
      </c>
      <c r="AR106" s="239">
        <v>0</v>
      </c>
      <c r="AS106" s="239">
        <v>0</v>
      </c>
      <c r="AT106" s="239">
        <v>0</v>
      </c>
      <c r="AU106" s="239">
        <v>0</v>
      </c>
      <c r="AV106" s="239">
        <v>0</v>
      </c>
      <c r="AW106" s="239">
        <v>0</v>
      </c>
      <c r="AX106" s="239">
        <v>0</v>
      </c>
      <c r="AY106" s="239">
        <v>0</v>
      </c>
      <c r="AZ106" s="239">
        <v>0</v>
      </c>
      <c r="BA106" s="239">
        <v>0</v>
      </c>
      <c r="BB106" s="239">
        <v>0</v>
      </c>
      <c r="BC106" s="239">
        <v>1078169</v>
      </c>
      <c r="BD106" s="239">
        <v>-477333</v>
      </c>
      <c r="BE106" s="214" t="s">
        <v>294</v>
      </c>
      <c r="BF106" s="214" t="s">
        <v>809</v>
      </c>
      <c r="BG106" s="214" t="s">
        <v>761</v>
      </c>
      <c r="BH106" s="214" t="s">
        <v>1010</v>
      </c>
      <c r="BI106" s="214" t="s">
        <v>1010</v>
      </c>
      <c r="BJ106" s="214" t="s">
        <v>1158</v>
      </c>
    </row>
    <row r="107" spans="2:62" x14ac:dyDescent="0.2">
      <c r="B107" s="602" t="s">
        <v>297</v>
      </c>
      <c r="C107" s="602" t="s">
        <v>296</v>
      </c>
      <c r="D107" s="239">
        <v>11808693</v>
      </c>
      <c r="E107" s="239">
        <v>0</v>
      </c>
      <c r="F107" s="239">
        <v>11808693</v>
      </c>
      <c r="G107" s="239">
        <v>0</v>
      </c>
      <c r="H107" s="239">
        <v>0</v>
      </c>
      <c r="I107" s="239">
        <v>0</v>
      </c>
      <c r="J107" s="239">
        <v>-9621</v>
      </c>
      <c r="K107" s="239">
        <v>0</v>
      </c>
      <c r="L107" s="239">
        <v>-9621</v>
      </c>
      <c r="M107" s="239">
        <v>0</v>
      </c>
      <c r="N107" s="239">
        <v>0</v>
      </c>
      <c r="O107" s="239">
        <v>0</v>
      </c>
      <c r="P107" s="239">
        <v>-17121</v>
      </c>
      <c r="Q107" s="239">
        <v>0</v>
      </c>
      <c r="R107" s="239">
        <v>-17121</v>
      </c>
      <c r="S107" s="239">
        <v>403941</v>
      </c>
      <c r="T107" s="239">
        <v>0</v>
      </c>
      <c r="U107" s="239">
        <v>403941</v>
      </c>
      <c r="V107" s="239">
        <v>-436511</v>
      </c>
      <c r="W107" s="239">
        <v>0</v>
      </c>
      <c r="X107" s="239">
        <v>-436511</v>
      </c>
      <c r="Y107" s="239">
        <v>11759002</v>
      </c>
      <c r="Z107" s="239">
        <v>0</v>
      </c>
      <c r="AA107" s="239">
        <v>11759002</v>
      </c>
      <c r="AB107" s="239">
        <v>0</v>
      </c>
      <c r="AC107" s="239">
        <v>0</v>
      </c>
      <c r="AD107" s="239">
        <v>146405</v>
      </c>
      <c r="AE107" s="239">
        <v>0</v>
      </c>
      <c r="AF107" s="239">
        <v>146405</v>
      </c>
      <c r="AG107" s="239">
        <v>0</v>
      </c>
      <c r="AH107" s="239">
        <v>0</v>
      </c>
      <c r="AI107" s="239">
        <v>0</v>
      </c>
      <c r="AJ107" s="239">
        <v>0</v>
      </c>
      <c r="AK107" s="239">
        <v>0</v>
      </c>
      <c r="AL107" s="239">
        <v>0</v>
      </c>
      <c r="AM107" s="239">
        <v>0</v>
      </c>
      <c r="AN107" s="239">
        <v>0</v>
      </c>
      <c r="AO107" s="239">
        <v>0</v>
      </c>
      <c r="AP107" s="239">
        <v>0</v>
      </c>
      <c r="AQ107" s="239">
        <v>0</v>
      </c>
      <c r="AR107" s="239">
        <v>0</v>
      </c>
      <c r="AS107" s="239">
        <v>0</v>
      </c>
      <c r="AT107" s="239">
        <v>0</v>
      </c>
      <c r="AU107" s="239">
        <v>0</v>
      </c>
      <c r="AV107" s="239">
        <v>0</v>
      </c>
      <c r="AW107" s="239">
        <v>0</v>
      </c>
      <c r="AX107" s="239">
        <v>0</v>
      </c>
      <c r="AY107" s="239">
        <v>0</v>
      </c>
      <c r="AZ107" s="239">
        <v>0</v>
      </c>
      <c r="BA107" s="239">
        <v>0</v>
      </c>
      <c r="BB107" s="239">
        <v>0</v>
      </c>
      <c r="BC107" s="239">
        <v>602582</v>
      </c>
      <c r="BD107" s="239">
        <v>-321972</v>
      </c>
      <c r="BE107" s="214" t="s">
        <v>296</v>
      </c>
      <c r="BF107" s="214" t="s">
        <v>829</v>
      </c>
      <c r="BG107" s="214" t="s">
        <v>761</v>
      </c>
      <c r="BH107" s="214" t="s">
        <v>1010</v>
      </c>
      <c r="BI107" s="214" t="s">
        <v>1010</v>
      </c>
      <c r="BJ107" s="214" t="s">
        <v>1158</v>
      </c>
    </row>
    <row r="108" spans="2:62" x14ac:dyDescent="0.2">
      <c r="B108" s="602" t="s">
        <v>299</v>
      </c>
      <c r="C108" s="602" t="s">
        <v>298</v>
      </c>
      <c r="D108" s="239">
        <v>21905289</v>
      </c>
      <c r="E108" s="239">
        <v>2636873</v>
      </c>
      <c r="F108" s="239">
        <v>24542162</v>
      </c>
      <c r="G108" s="239">
        <v>0</v>
      </c>
      <c r="H108" s="239">
        <v>0</v>
      </c>
      <c r="I108" s="239">
        <v>0</v>
      </c>
      <c r="J108" s="239">
        <v>-417039</v>
      </c>
      <c r="K108" s="239">
        <v>0</v>
      </c>
      <c r="L108" s="239">
        <v>-417039</v>
      </c>
      <c r="M108" s="239">
        <v>0</v>
      </c>
      <c r="N108" s="239">
        <v>0</v>
      </c>
      <c r="O108" s="239">
        <v>0</v>
      </c>
      <c r="P108" s="239">
        <v>-728700</v>
      </c>
      <c r="Q108" s="239">
        <v>0</v>
      </c>
      <c r="R108" s="239">
        <v>-728700</v>
      </c>
      <c r="S108" s="239">
        <v>0</v>
      </c>
      <c r="T108" s="239">
        <v>0</v>
      </c>
      <c r="U108" s="239">
        <v>0</v>
      </c>
      <c r="V108" s="239">
        <v>1265878</v>
      </c>
      <c r="W108" s="239">
        <v>0</v>
      </c>
      <c r="X108" s="239">
        <v>1265878</v>
      </c>
      <c r="Y108" s="239">
        <v>22442467</v>
      </c>
      <c r="Z108" s="239">
        <v>2636873</v>
      </c>
      <c r="AA108" s="239">
        <v>25079340</v>
      </c>
      <c r="AB108" s="239">
        <v>2636873</v>
      </c>
      <c r="AC108" s="239">
        <v>2636873</v>
      </c>
      <c r="AD108" s="239">
        <v>103456</v>
      </c>
      <c r="AE108" s="239">
        <v>0</v>
      </c>
      <c r="AF108" s="239">
        <v>103456</v>
      </c>
      <c r="AG108" s="239">
        <v>-192517</v>
      </c>
      <c r="AH108" s="239">
        <v>-192517</v>
      </c>
      <c r="AI108" s="239">
        <v>2863624</v>
      </c>
      <c r="AJ108" s="239">
        <v>2863624</v>
      </c>
      <c r="AK108" s="239">
        <v>40693</v>
      </c>
      <c r="AL108" s="239">
        <v>0</v>
      </c>
      <c r="AM108" s="239">
        <v>0</v>
      </c>
      <c r="AN108" s="239">
        <v>0</v>
      </c>
      <c r="AO108" s="239">
        <v>0</v>
      </c>
      <c r="AP108" s="239">
        <v>137330</v>
      </c>
      <c r="AQ108" s="239">
        <v>137330</v>
      </c>
      <c r="AR108" s="239">
        <v>0</v>
      </c>
      <c r="AS108" s="239">
        <v>0</v>
      </c>
      <c r="AT108" s="239">
        <v>0</v>
      </c>
      <c r="AU108" s="239">
        <v>0</v>
      </c>
      <c r="AV108" s="239">
        <v>0</v>
      </c>
      <c r="AW108" s="239">
        <v>0</v>
      </c>
      <c r="AX108" s="239">
        <v>0</v>
      </c>
      <c r="AY108" s="239">
        <v>0</v>
      </c>
      <c r="AZ108" s="239">
        <v>0</v>
      </c>
      <c r="BA108" s="239">
        <v>137330</v>
      </c>
      <c r="BB108" s="239">
        <v>137330</v>
      </c>
      <c r="BC108" s="239">
        <v>1616119</v>
      </c>
      <c r="BD108" s="239">
        <v>-1839142</v>
      </c>
      <c r="BE108" s="214" t="s">
        <v>298</v>
      </c>
      <c r="BF108" s="214" t="s">
        <v>755</v>
      </c>
      <c r="BG108" s="214" t="s">
        <v>753</v>
      </c>
      <c r="BH108" s="214" t="s">
        <v>1023</v>
      </c>
      <c r="BI108" s="214" t="s">
        <v>1023</v>
      </c>
      <c r="BJ108" s="214" t="s">
        <v>1158</v>
      </c>
    </row>
    <row r="109" spans="2:62" x14ac:dyDescent="0.2">
      <c r="B109" s="602" t="s">
        <v>301</v>
      </c>
      <c r="C109" s="602" t="s">
        <v>300</v>
      </c>
      <c r="D109" s="239">
        <v>85226623</v>
      </c>
      <c r="E109" s="239">
        <v>1789924</v>
      </c>
      <c r="F109" s="239">
        <v>87016547</v>
      </c>
      <c r="G109" s="239">
        <v>0</v>
      </c>
      <c r="H109" s="239">
        <v>0</v>
      </c>
      <c r="I109" s="239">
        <v>0</v>
      </c>
      <c r="J109" s="239">
        <v>-1172602</v>
      </c>
      <c r="K109" s="239">
        <v>0</v>
      </c>
      <c r="L109" s="239">
        <v>-1172602</v>
      </c>
      <c r="M109" s="239">
        <v>0</v>
      </c>
      <c r="N109" s="239">
        <v>0</v>
      </c>
      <c r="O109" s="239">
        <v>0</v>
      </c>
      <c r="P109" s="239">
        <v>440574</v>
      </c>
      <c r="Q109" s="239">
        <v>51824</v>
      </c>
      <c r="R109" s="239">
        <v>492398</v>
      </c>
      <c r="S109" s="239">
        <v>3339143</v>
      </c>
      <c r="T109" s="239">
        <v>40732</v>
      </c>
      <c r="U109" s="239">
        <v>3379875</v>
      </c>
      <c r="V109" s="239">
        <v>-5004143</v>
      </c>
      <c r="W109" s="239">
        <v>-40732</v>
      </c>
      <c r="X109" s="239">
        <v>-5044875</v>
      </c>
      <c r="Y109" s="239">
        <v>84002197</v>
      </c>
      <c r="Z109" s="239">
        <v>1841748</v>
      </c>
      <c r="AA109" s="239">
        <v>85843945</v>
      </c>
      <c r="AB109" s="239">
        <v>1841748</v>
      </c>
      <c r="AC109" s="239">
        <v>1841748</v>
      </c>
      <c r="AD109" s="239">
        <v>0</v>
      </c>
      <c r="AE109" s="239">
        <v>0</v>
      </c>
      <c r="AF109" s="239">
        <v>0</v>
      </c>
      <c r="AG109" s="239">
        <v>-19414</v>
      </c>
      <c r="AH109" s="239">
        <v>-19414</v>
      </c>
      <c r="AI109" s="239">
        <v>1339272</v>
      </c>
      <c r="AJ109" s="239">
        <v>1339272</v>
      </c>
      <c r="AK109" s="239">
        <v>483062</v>
      </c>
      <c r="AL109" s="239">
        <v>0</v>
      </c>
      <c r="AM109" s="239">
        <v>0</v>
      </c>
      <c r="AN109" s="239">
        <v>0</v>
      </c>
      <c r="AO109" s="239">
        <v>0</v>
      </c>
      <c r="AP109" s="239">
        <v>0</v>
      </c>
      <c r="AQ109" s="239">
        <v>0</v>
      </c>
      <c r="AR109" s="239">
        <v>0</v>
      </c>
      <c r="AS109" s="239">
        <v>0</v>
      </c>
      <c r="AT109" s="239">
        <v>0</v>
      </c>
      <c r="AU109" s="239">
        <v>0</v>
      </c>
      <c r="AV109" s="239">
        <v>0</v>
      </c>
      <c r="AW109" s="239">
        <v>0</v>
      </c>
      <c r="AX109" s="239">
        <v>0</v>
      </c>
      <c r="AY109" s="239">
        <v>0</v>
      </c>
      <c r="AZ109" s="239">
        <v>0</v>
      </c>
      <c r="BA109" s="239">
        <v>0</v>
      </c>
      <c r="BB109" s="239">
        <v>0</v>
      </c>
      <c r="BC109" s="239">
        <v>2886911</v>
      </c>
      <c r="BD109" s="239">
        <v>-1361678</v>
      </c>
      <c r="BE109" s="214" t="s">
        <v>300</v>
      </c>
      <c r="BF109" s="214" t="s">
        <v>766</v>
      </c>
      <c r="BG109" s="214" t="s">
        <v>839</v>
      </c>
      <c r="BH109" s="214" t="s">
        <v>1024</v>
      </c>
      <c r="BI109" s="214" t="s">
        <v>1010</v>
      </c>
      <c r="BJ109" s="214" t="s">
        <v>1160</v>
      </c>
    </row>
    <row r="110" spans="2:62" x14ac:dyDescent="0.2">
      <c r="B110" s="602" t="s">
        <v>303</v>
      </c>
      <c r="C110" s="602" t="s">
        <v>302</v>
      </c>
      <c r="D110" s="239">
        <v>21552146</v>
      </c>
      <c r="E110" s="239">
        <v>0</v>
      </c>
      <c r="F110" s="239">
        <v>21552146</v>
      </c>
      <c r="G110" s="239">
        <v>0</v>
      </c>
      <c r="H110" s="239">
        <v>0</v>
      </c>
      <c r="I110" s="239">
        <v>0</v>
      </c>
      <c r="J110" s="239">
        <v>-49150.67</v>
      </c>
      <c r="K110" s="239">
        <v>0</v>
      </c>
      <c r="L110" s="239">
        <v>-49150.67</v>
      </c>
      <c r="M110" s="239">
        <v>0</v>
      </c>
      <c r="N110" s="239">
        <v>0</v>
      </c>
      <c r="O110" s="239">
        <v>0</v>
      </c>
      <c r="P110" s="239">
        <v>-105974.67</v>
      </c>
      <c r="Q110" s="239">
        <v>0</v>
      </c>
      <c r="R110" s="239">
        <v>-105974.67</v>
      </c>
      <c r="S110" s="239">
        <v>1027831</v>
      </c>
      <c r="T110" s="239">
        <v>0</v>
      </c>
      <c r="U110" s="239">
        <v>1027831</v>
      </c>
      <c r="V110" s="239">
        <v>-500469</v>
      </c>
      <c r="W110" s="239">
        <v>0</v>
      </c>
      <c r="X110" s="239">
        <v>-500469</v>
      </c>
      <c r="Y110" s="239">
        <v>21973533.329999998</v>
      </c>
      <c r="Z110" s="239">
        <v>0</v>
      </c>
      <c r="AA110" s="239">
        <v>21973533.329999998</v>
      </c>
      <c r="AB110" s="239">
        <v>0</v>
      </c>
      <c r="AC110" s="239">
        <v>0</v>
      </c>
      <c r="AD110" s="239">
        <v>122005</v>
      </c>
      <c r="AE110" s="239">
        <v>0</v>
      </c>
      <c r="AF110" s="239">
        <v>122005</v>
      </c>
      <c r="AG110" s="239">
        <v>0</v>
      </c>
      <c r="AH110" s="239">
        <v>0</v>
      </c>
      <c r="AI110" s="239">
        <v>0</v>
      </c>
      <c r="AJ110" s="239">
        <v>0</v>
      </c>
      <c r="AK110" s="239">
        <v>0</v>
      </c>
      <c r="AL110" s="239">
        <v>0</v>
      </c>
      <c r="AM110" s="239">
        <v>0</v>
      </c>
      <c r="AN110" s="239">
        <v>0</v>
      </c>
      <c r="AO110" s="239">
        <v>0</v>
      </c>
      <c r="AP110" s="239">
        <v>0</v>
      </c>
      <c r="AQ110" s="239">
        <v>0</v>
      </c>
      <c r="AR110" s="239">
        <v>0</v>
      </c>
      <c r="AS110" s="239">
        <v>0</v>
      </c>
      <c r="AT110" s="239">
        <v>0</v>
      </c>
      <c r="AU110" s="239">
        <v>0</v>
      </c>
      <c r="AV110" s="239">
        <v>0</v>
      </c>
      <c r="AW110" s="239">
        <v>0</v>
      </c>
      <c r="AX110" s="239">
        <v>0</v>
      </c>
      <c r="AY110" s="239">
        <v>0</v>
      </c>
      <c r="AZ110" s="239">
        <v>0</v>
      </c>
      <c r="BA110" s="239">
        <v>0</v>
      </c>
      <c r="BB110" s="239">
        <v>0</v>
      </c>
      <c r="BC110" s="239">
        <v>460176</v>
      </c>
      <c r="BD110" s="239">
        <v>-312993</v>
      </c>
      <c r="BE110" s="214" t="s">
        <v>302</v>
      </c>
      <c r="BF110" s="214" t="s">
        <v>872</v>
      </c>
      <c r="BG110" s="214" t="s">
        <v>870</v>
      </c>
      <c r="BH110" s="214" t="s">
        <v>1010</v>
      </c>
      <c r="BI110" s="214" t="s">
        <v>1010</v>
      </c>
      <c r="BJ110" s="214" t="s">
        <v>1158</v>
      </c>
    </row>
    <row r="111" spans="2:62" x14ac:dyDescent="0.2">
      <c r="B111" s="602" t="s">
        <v>305</v>
      </c>
      <c r="C111" s="602" t="s">
        <v>304</v>
      </c>
      <c r="D111" s="239">
        <v>54095088</v>
      </c>
      <c r="E111" s="239">
        <v>0</v>
      </c>
      <c r="F111" s="239">
        <v>54095088</v>
      </c>
      <c r="G111" s="239">
        <v>-23</v>
      </c>
      <c r="H111" s="239">
        <v>0</v>
      </c>
      <c r="I111" s="239">
        <v>-23</v>
      </c>
      <c r="J111" s="239">
        <v>-796496</v>
      </c>
      <c r="K111" s="239">
        <v>0</v>
      </c>
      <c r="L111" s="239">
        <v>-796496</v>
      </c>
      <c r="M111" s="239">
        <v>696495</v>
      </c>
      <c r="N111" s="239">
        <v>0</v>
      </c>
      <c r="O111" s="239">
        <v>696495</v>
      </c>
      <c r="P111" s="239">
        <v>-387395</v>
      </c>
      <c r="Q111" s="239">
        <v>0</v>
      </c>
      <c r="R111" s="239">
        <v>-387395</v>
      </c>
      <c r="S111" s="239">
        <v>714774</v>
      </c>
      <c r="T111" s="239">
        <v>0</v>
      </c>
      <c r="U111" s="239">
        <v>714774</v>
      </c>
      <c r="V111" s="239">
        <v>-1500100</v>
      </c>
      <c r="W111" s="239">
        <v>0</v>
      </c>
      <c r="X111" s="239">
        <v>-1500100</v>
      </c>
      <c r="Y111" s="239">
        <v>53618839</v>
      </c>
      <c r="Z111" s="239">
        <v>0</v>
      </c>
      <c r="AA111" s="239">
        <v>53618839</v>
      </c>
      <c r="AB111" s="239">
        <v>0</v>
      </c>
      <c r="AC111" s="239">
        <v>0</v>
      </c>
      <c r="AD111" s="239">
        <v>0</v>
      </c>
      <c r="AE111" s="239">
        <v>0</v>
      </c>
      <c r="AF111" s="239">
        <v>0</v>
      </c>
      <c r="AG111" s="239">
        <v>0</v>
      </c>
      <c r="AH111" s="239">
        <v>0</v>
      </c>
      <c r="AI111" s="239">
        <v>0</v>
      </c>
      <c r="AJ111" s="239">
        <v>0</v>
      </c>
      <c r="AK111" s="239">
        <v>0</v>
      </c>
      <c r="AL111" s="239">
        <v>0</v>
      </c>
      <c r="AM111" s="239">
        <v>0</v>
      </c>
      <c r="AN111" s="239">
        <v>0</v>
      </c>
      <c r="AO111" s="239">
        <v>0</v>
      </c>
      <c r="AP111" s="239">
        <v>0</v>
      </c>
      <c r="AQ111" s="239">
        <v>0</v>
      </c>
      <c r="AR111" s="239">
        <v>0</v>
      </c>
      <c r="AS111" s="239">
        <v>0</v>
      </c>
      <c r="AT111" s="239">
        <v>0</v>
      </c>
      <c r="AU111" s="239">
        <v>0</v>
      </c>
      <c r="AV111" s="239">
        <v>0</v>
      </c>
      <c r="AW111" s="239">
        <v>0</v>
      </c>
      <c r="AX111" s="239">
        <v>0</v>
      </c>
      <c r="AY111" s="239">
        <v>0</v>
      </c>
      <c r="AZ111" s="239">
        <v>0</v>
      </c>
      <c r="BA111" s="239">
        <v>0</v>
      </c>
      <c r="BB111" s="239">
        <v>0</v>
      </c>
      <c r="BC111" s="239">
        <v>1936555</v>
      </c>
      <c r="BD111" s="239">
        <v>-576087</v>
      </c>
      <c r="BE111" s="214" t="s">
        <v>304</v>
      </c>
      <c r="BF111" s="214" t="s">
        <v>829</v>
      </c>
      <c r="BG111" s="214" t="s">
        <v>761</v>
      </c>
      <c r="BH111" s="214" t="s">
        <v>1010</v>
      </c>
      <c r="BI111" s="214" t="s">
        <v>1010</v>
      </c>
      <c r="BJ111" s="214" t="s">
        <v>1158</v>
      </c>
    </row>
    <row r="112" spans="2:62" x14ac:dyDescent="0.2">
      <c r="B112" s="602" t="s">
        <v>307</v>
      </c>
      <c r="C112" s="602" t="s">
        <v>306</v>
      </c>
      <c r="D112" s="239">
        <v>15076844</v>
      </c>
      <c r="E112" s="239">
        <v>317075</v>
      </c>
      <c r="F112" s="239">
        <v>15393919</v>
      </c>
      <c r="G112" s="239">
        <v>-7660</v>
      </c>
      <c r="H112" s="239">
        <v>0</v>
      </c>
      <c r="I112" s="239">
        <v>-7660</v>
      </c>
      <c r="J112" s="239">
        <v>-156891</v>
      </c>
      <c r="K112" s="239">
        <v>0</v>
      </c>
      <c r="L112" s="239">
        <v>-156891</v>
      </c>
      <c r="M112" s="239">
        <v>0</v>
      </c>
      <c r="N112" s="239">
        <v>0</v>
      </c>
      <c r="O112" s="239">
        <v>0</v>
      </c>
      <c r="P112" s="239">
        <v>-12491</v>
      </c>
      <c r="Q112" s="239">
        <v>-6900</v>
      </c>
      <c r="R112" s="239">
        <v>-19391</v>
      </c>
      <c r="S112" s="239">
        <v>653809</v>
      </c>
      <c r="T112" s="239">
        <v>0</v>
      </c>
      <c r="U112" s="239">
        <v>653809</v>
      </c>
      <c r="V112" s="239">
        <v>150696</v>
      </c>
      <c r="W112" s="239">
        <v>-14600</v>
      </c>
      <c r="X112" s="239">
        <v>136096</v>
      </c>
      <c r="Y112" s="239">
        <v>15861198</v>
      </c>
      <c r="Z112" s="239">
        <v>295575</v>
      </c>
      <c r="AA112" s="239">
        <v>16156773</v>
      </c>
      <c r="AB112" s="239">
        <v>295575</v>
      </c>
      <c r="AC112" s="239">
        <v>295575</v>
      </c>
      <c r="AD112" s="239">
        <v>0</v>
      </c>
      <c r="AE112" s="239">
        <v>0</v>
      </c>
      <c r="AF112" s="239">
        <v>0</v>
      </c>
      <c r="AG112" s="239">
        <v>-37116</v>
      </c>
      <c r="AH112" s="239">
        <v>-37116</v>
      </c>
      <c r="AI112" s="239">
        <v>396937</v>
      </c>
      <c r="AJ112" s="239">
        <v>396937</v>
      </c>
      <c r="AK112" s="239">
        <v>0</v>
      </c>
      <c r="AL112" s="239">
        <v>0</v>
      </c>
      <c r="AM112" s="239">
        <v>0</v>
      </c>
      <c r="AN112" s="239">
        <v>0</v>
      </c>
      <c r="AO112" s="239">
        <v>0</v>
      </c>
      <c r="AP112" s="239">
        <v>280429</v>
      </c>
      <c r="AQ112" s="239">
        <v>280429</v>
      </c>
      <c r="AR112" s="239">
        <v>0</v>
      </c>
      <c r="AS112" s="239">
        <v>0</v>
      </c>
      <c r="AT112" s="239">
        <v>0</v>
      </c>
      <c r="AU112" s="239">
        <v>0</v>
      </c>
      <c r="AV112" s="239">
        <v>0</v>
      </c>
      <c r="AW112" s="239">
        <v>0</v>
      </c>
      <c r="AX112" s="239">
        <v>0</v>
      </c>
      <c r="AY112" s="239">
        <v>0</v>
      </c>
      <c r="AZ112" s="239">
        <v>0</v>
      </c>
      <c r="BA112" s="239">
        <v>280429</v>
      </c>
      <c r="BB112" s="239">
        <v>280429</v>
      </c>
      <c r="BC112" s="239">
        <v>928587</v>
      </c>
      <c r="BD112" s="239">
        <v>-159677</v>
      </c>
      <c r="BE112" s="214" t="s">
        <v>306</v>
      </c>
      <c r="BF112" s="214" t="s">
        <v>777</v>
      </c>
      <c r="BG112" s="214" t="s">
        <v>775</v>
      </c>
      <c r="BH112" s="214" t="s">
        <v>1022</v>
      </c>
      <c r="BI112" s="214" t="s">
        <v>1010</v>
      </c>
      <c r="BJ112" s="214" t="s">
        <v>1158</v>
      </c>
    </row>
    <row r="113" spans="1:62" x14ac:dyDescent="0.2">
      <c r="B113" s="602" t="s">
        <v>309</v>
      </c>
      <c r="C113" s="602" t="s">
        <v>308</v>
      </c>
      <c r="D113" s="239">
        <v>23022687</v>
      </c>
      <c r="E113" s="239">
        <v>0</v>
      </c>
      <c r="F113" s="239">
        <v>23022687</v>
      </c>
      <c r="G113" s="239">
        <v>0</v>
      </c>
      <c r="H113" s="239">
        <v>0</v>
      </c>
      <c r="I113" s="239">
        <v>0</v>
      </c>
      <c r="J113" s="239">
        <v>35504</v>
      </c>
      <c r="K113" s="239">
        <v>0</v>
      </c>
      <c r="L113" s="239">
        <v>35504</v>
      </c>
      <c r="M113" s="239">
        <v>1372</v>
      </c>
      <c r="N113" s="239">
        <v>0</v>
      </c>
      <c r="O113" s="239">
        <v>1372</v>
      </c>
      <c r="P113" s="239">
        <v>-322557</v>
      </c>
      <c r="Q113" s="239">
        <v>0</v>
      </c>
      <c r="R113" s="239">
        <v>-322557</v>
      </c>
      <c r="S113" s="239">
        <v>1082340</v>
      </c>
      <c r="T113" s="239">
        <v>0</v>
      </c>
      <c r="U113" s="239">
        <v>1082340</v>
      </c>
      <c r="V113" s="239">
        <v>-119740</v>
      </c>
      <c r="W113" s="239">
        <v>0</v>
      </c>
      <c r="X113" s="239">
        <v>-119740</v>
      </c>
      <c r="Y113" s="239">
        <v>23664102</v>
      </c>
      <c r="Z113" s="239">
        <v>0</v>
      </c>
      <c r="AA113" s="239">
        <v>23664102</v>
      </c>
      <c r="AB113" s="239">
        <v>0</v>
      </c>
      <c r="AC113" s="239">
        <v>0</v>
      </c>
      <c r="AD113" s="239">
        <v>0</v>
      </c>
      <c r="AE113" s="239">
        <v>0</v>
      </c>
      <c r="AF113" s="239">
        <v>0</v>
      </c>
      <c r="AG113" s="239">
        <v>0</v>
      </c>
      <c r="AH113" s="239">
        <v>0</v>
      </c>
      <c r="AI113" s="239">
        <v>0</v>
      </c>
      <c r="AJ113" s="239">
        <v>0</v>
      </c>
      <c r="AK113" s="239">
        <v>0</v>
      </c>
      <c r="AL113" s="239">
        <v>0</v>
      </c>
      <c r="AM113" s="239">
        <v>0</v>
      </c>
      <c r="AN113" s="239">
        <v>0</v>
      </c>
      <c r="AO113" s="239">
        <v>0</v>
      </c>
      <c r="AP113" s="239">
        <v>0</v>
      </c>
      <c r="AQ113" s="239">
        <v>0</v>
      </c>
      <c r="AR113" s="239">
        <v>0</v>
      </c>
      <c r="AS113" s="239">
        <v>0</v>
      </c>
      <c r="AT113" s="239">
        <v>0</v>
      </c>
      <c r="AU113" s="239">
        <v>0</v>
      </c>
      <c r="AV113" s="239">
        <v>0</v>
      </c>
      <c r="AW113" s="239">
        <v>0</v>
      </c>
      <c r="AX113" s="239">
        <v>0</v>
      </c>
      <c r="AY113" s="239">
        <v>0</v>
      </c>
      <c r="AZ113" s="239">
        <v>0</v>
      </c>
      <c r="BA113" s="239">
        <v>0</v>
      </c>
      <c r="BB113" s="239">
        <v>0</v>
      </c>
      <c r="BC113" s="239">
        <v>1466226</v>
      </c>
      <c r="BD113" s="239">
        <v>-263902</v>
      </c>
      <c r="BE113" s="214" t="s">
        <v>308</v>
      </c>
      <c r="BF113" s="214" t="s">
        <v>824</v>
      </c>
      <c r="BG113" s="214" t="s">
        <v>822</v>
      </c>
      <c r="BH113" s="214" t="s">
        <v>1010</v>
      </c>
      <c r="BI113" s="214" t="s">
        <v>1010</v>
      </c>
      <c r="BJ113" s="214" t="s">
        <v>1158</v>
      </c>
    </row>
    <row r="114" spans="1:62" x14ac:dyDescent="0.2">
      <c r="A114" s="215"/>
      <c r="B114" s="602" t="s">
        <v>311</v>
      </c>
      <c r="C114" s="602" t="s">
        <v>310</v>
      </c>
      <c r="D114" s="239">
        <v>27474866</v>
      </c>
      <c r="E114" s="239">
        <v>533237</v>
      </c>
      <c r="F114" s="239">
        <v>28008103</v>
      </c>
      <c r="G114" s="239">
        <v>0</v>
      </c>
      <c r="H114" s="239">
        <v>0</v>
      </c>
      <c r="I114" s="239">
        <v>0</v>
      </c>
      <c r="J114" s="239">
        <v>-367509</v>
      </c>
      <c r="K114" s="239">
        <v>0</v>
      </c>
      <c r="L114" s="239">
        <v>-367509</v>
      </c>
      <c r="M114" s="239">
        <v>0</v>
      </c>
      <c r="N114" s="239">
        <v>0</v>
      </c>
      <c r="O114" s="239">
        <v>0</v>
      </c>
      <c r="P114" s="239">
        <v>56189</v>
      </c>
      <c r="Q114" s="239">
        <v>0</v>
      </c>
      <c r="R114" s="239">
        <v>56189</v>
      </c>
      <c r="S114" s="239">
        <v>0</v>
      </c>
      <c r="T114" s="239">
        <v>0</v>
      </c>
      <c r="U114" s="239">
        <v>0</v>
      </c>
      <c r="V114" s="239">
        <v>-43830</v>
      </c>
      <c r="W114" s="239">
        <v>0</v>
      </c>
      <c r="X114" s="239">
        <v>-43830</v>
      </c>
      <c r="Y114" s="239">
        <v>27487225</v>
      </c>
      <c r="Z114" s="239">
        <v>533237</v>
      </c>
      <c r="AA114" s="239">
        <v>28020462</v>
      </c>
      <c r="AB114" s="239">
        <v>533237</v>
      </c>
      <c r="AC114" s="239">
        <v>533237</v>
      </c>
      <c r="AD114" s="239">
        <v>72951</v>
      </c>
      <c r="AE114" s="239">
        <v>0</v>
      </c>
      <c r="AF114" s="239">
        <v>72951</v>
      </c>
      <c r="AG114" s="239">
        <v>136707</v>
      </c>
      <c r="AH114" s="239">
        <v>136707</v>
      </c>
      <c r="AI114" s="239">
        <v>305066</v>
      </c>
      <c r="AJ114" s="239">
        <v>305066</v>
      </c>
      <c r="AK114" s="239">
        <v>373528</v>
      </c>
      <c r="AL114" s="239">
        <v>0</v>
      </c>
      <c r="AM114" s="239">
        <v>0</v>
      </c>
      <c r="AN114" s="239">
        <v>0</v>
      </c>
      <c r="AO114" s="239">
        <v>0</v>
      </c>
      <c r="AP114" s="239">
        <v>459253</v>
      </c>
      <c r="AQ114" s="239">
        <v>459253</v>
      </c>
      <c r="AR114" s="239">
        <v>0</v>
      </c>
      <c r="AS114" s="239">
        <v>0</v>
      </c>
      <c r="AT114" s="239">
        <v>0</v>
      </c>
      <c r="AU114" s="239">
        <v>0</v>
      </c>
      <c r="AV114" s="239">
        <v>0</v>
      </c>
      <c r="AW114" s="239">
        <v>0</v>
      </c>
      <c r="AX114" s="239">
        <v>0</v>
      </c>
      <c r="AY114" s="239">
        <v>0</v>
      </c>
      <c r="AZ114" s="239">
        <v>0</v>
      </c>
      <c r="BA114" s="239">
        <v>459253</v>
      </c>
      <c r="BB114" s="239">
        <v>459253</v>
      </c>
      <c r="BC114" s="239">
        <v>1403904</v>
      </c>
      <c r="BD114" s="239">
        <v>-741455</v>
      </c>
      <c r="BE114" s="214" t="s">
        <v>310</v>
      </c>
      <c r="BF114" s="214" t="s">
        <v>847</v>
      </c>
      <c r="BG114" s="214" t="s">
        <v>761</v>
      </c>
      <c r="BH114" s="214" t="s">
        <v>1025</v>
      </c>
      <c r="BI114" s="214" t="s">
        <v>1010</v>
      </c>
      <c r="BJ114" s="214" t="s">
        <v>1158</v>
      </c>
    </row>
    <row r="115" spans="1:62" x14ac:dyDescent="0.2">
      <c r="B115" s="602" t="s">
        <v>313</v>
      </c>
      <c r="C115" s="602" t="s">
        <v>312</v>
      </c>
      <c r="D115" s="239">
        <v>83335496</v>
      </c>
      <c r="E115" s="239">
        <v>0</v>
      </c>
      <c r="F115" s="239">
        <v>83335496</v>
      </c>
      <c r="G115" s="239">
        <v>0</v>
      </c>
      <c r="H115" s="239">
        <v>0</v>
      </c>
      <c r="I115" s="239">
        <v>0</v>
      </c>
      <c r="J115" s="239">
        <v>-1101207</v>
      </c>
      <c r="K115" s="239">
        <v>0</v>
      </c>
      <c r="L115" s="239">
        <v>-1101207</v>
      </c>
      <c r="M115" s="239">
        <v>0</v>
      </c>
      <c r="N115" s="239">
        <v>0</v>
      </c>
      <c r="O115" s="239">
        <v>0</v>
      </c>
      <c r="P115" s="239">
        <v>-359813</v>
      </c>
      <c r="Q115" s="239">
        <v>0</v>
      </c>
      <c r="R115" s="239">
        <v>-359813</v>
      </c>
      <c r="S115" s="239">
        <v>3926520</v>
      </c>
      <c r="T115" s="239">
        <v>0</v>
      </c>
      <c r="U115" s="239">
        <v>3926520</v>
      </c>
      <c r="V115" s="239">
        <v>-8431958</v>
      </c>
      <c r="W115" s="239">
        <v>0</v>
      </c>
      <c r="X115" s="239">
        <v>-8431958</v>
      </c>
      <c r="Y115" s="239">
        <v>78470245</v>
      </c>
      <c r="Z115" s="239">
        <v>0</v>
      </c>
      <c r="AA115" s="239">
        <v>78470245</v>
      </c>
      <c r="AB115" s="239">
        <v>0</v>
      </c>
      <c r="AC115" s="239">
        <v>0</v>
      </c>
      <c r="AD115" s="239">
        <v>0</v>
      </c>
      <c r="AE115" s="239">
        <v>0</v>
      </c>
      <c r="AF115" s="239">
        <v>0</v>
      </c>
      <c r="AG115" s="239">
        <v>0</v>
      </c>
      <c r="AH115" s="239">
        <v>0</v>
      </c>
      <c r="AI115" s="239">
        <v>0</v>
      </c>
      <c r="AJ115" s="239">
        <v>0</v>
      </c>
      <c r="AK115" s="239">
        <v>0</v>
      </c>
      <c r="AL115" s="239">
        <v>0</v>
      </c>
      <c r="AM115" s="239">
        <v>0</v>
      </c>
      <c r="AN115" s="239">
        <v>0</v>
      </c>
      <c r="AO115" s="239">
        <v>0</v>
      </c>
      <c r="AP115" s="239">
        <v>0</v>
      </c>
      <c r="AQ115" s="239">
        <v>0</v>
      </c>
      <c r="AR115" s="239">
        <v>0</v>
      </c>
      <c r="AS115" s="239">
        <v>0</v>
      </c>
      <c r="AT115" s="239">
        <v>0</v>
      </c>
      <c r="AU115" s="239">
        <v>0</v>
      </c>
      <c r="AV115" s="239">
        <v>0</v>
      </c>
      <c r="AW115" s="239">
        <v>0</v>
      </c>
      <c r="AX115" s="239">
        <v>0</v>
      </c>
      <c r="AY115" s="239">
        <v>0</v>
      </c>
      <c r="AZ115" s="239">
        <v>0</v>
      </c>
      <c r="BA115" s="239">
        <v>0</v>
      </c>
      <c r="BB115" s="239">
        <v>0</v>
      </c>
      <c r="BC115" s="239">
        <v>2959417</v>
      </c>
      <c r="BD115" s="239">
        <v>-5100356</v>
      </c>
      <c r="BE115" s="214" t="s">
        <v>312</v>
      </c>
      <c r="BF115" s="214" t="s">
        <v>788</v>
      </c>
      <c r="BG115" s="214" t="s">
        <v>747</v>
      </c>
      <c r="BH115" s="214" t="s">
        <v>1010</v>
      </c>
      <c r="BI115" s="214" t="s">
        <v>1010</v>
      </c>
      <c r="BJ115" s="214" t="s">
        <v>1161</v>
      </c>
    </row>
    <row r="116" spans="1:62" x14ac:dyDescent="0.2">
      <c r="B116" s="602" t="s">
        <v>315</v>
      </c>
      <c r="C116" s="602" t="s">
        <v>314</v>
      </c>
      <c r="D116" s="239">
        <v>82946236</v>
      </c>
      <c r="E116" s="239">
        <v>0</v>
      </c>
      <c r="F116" s="239">
        <v>82946236</v>
      </c>
      <c r="G116" s="239">
        <v>0</v>
      </c>
      <c r="H116" s="239">
        <v>0</v>
      </c>
      <c r="I116" s="239">
        <v>0</v>
      </c>
      <c r="J116" s="239">
        <v>-157733</v>
      </c>
      <c r="K116" s="239">
        <v>0</v>
      </c>
      <c r="L116" s="239">
        <v>-157733</v>
      </c>
      <c r="M116" s="239">
        <v>0</v>
      </c>
      <c r="N116" s="239">
        <v>0</v>
      </c>
      <c r="O116" s="239">
        <v>0</v>
      </c>
      <c r="P116" s="239">
        <v>-385466</v>
      </c>
      <c r="Q116" s="239">
        <v>0</v>
      </c>
      <c r="R116" s="239">
        <v>-385466</v>
      </c>
      <c r="S116" s="239">
        <v>5180006</v>
      </c>
      <c r="T116" s="239">
        <v>0</v>
      </c>
      <c r="U116" s="239">
        <v>5180006</v>
      </c>
      <c r="V116" s="239">
        <v>-12000000</v>
      </c>
      <c r="W116" s="239">
        <v>0</v>
      </c>
      <c r="X116" s="239">
        <v>-12000000</v>
      </c>
      <c r="Y116" s="239">
        <v>75740776</v>
      </c>
      <c r="Z116" s="239">
        <v>0</v>
      </c>
      <c r="AA116" s="239">
        <v>75740776</v>
      </c>
      <c r="AB116" s="239">
        <v>0</v>
      </c>
      <c r="AC116" s="239">
        <v>0</v>
      </c>
      <c r="AD116" s="239">
        <v>0</v>
      </c>
      <c r="AE116" s="239">
        <v>0</v>
      </c>
      <c r="AF116" s="239">
        <v>0</v>
      </c>
      <c r="AG116" s="239">
        <v>0</v>
      </c>
      <c r="AH116" s="239">
        <v>0</v>
      </c>
      <c r="AI116" s="239">
        <v>0</v>
      </c>
      <c r="AJ116" s="239">
        <v>0</v>
      </c>
      <c r="AK116" s="239">
        <v>0</v>
      </c>
      <c r="AL116" s="239">
        <v>0</v>
      </c>
      <c r="AM116" s="239">
        <v>0</v>
      </c>
      <c r="AN116" s="239">
        <v>0</v>
      </c>
      <c r="AO116" s="239">
        <v>0</v>
      </c>
      <c r="AP116" s="239">
        <v>0</v>
      </c>
      <c r="AQ116" s="239">
        <v>0</v>
      </c>
      <c r="AR116" s="239">
        <v>0</v>
      </c>
      <c r="AS116" s="239">
        <v>0</v>
      </c>
      <c r="AT116" s="239">
        <v>0</v>
      </c>
      <c r="AU116" s="239">
        <v>0</v>
      </c>
      <c r="AV116" s="239">
        <v>0</v>
      </c>
      <c r="AW116" s="239">
        <v>0</v>
      </c>
      <c r="AX116" s="239">
        <v>0</v>
      </c>
      <c r="AY116" s="239">
        <v>0</v>
      </c>
      <c r="AZ116" s="239">
        <v>0</v>
      </c>
      <c r="BA116" s="239">
        <v>0</v>
      </c>
      <c r="BB116" s="239">
        <v>0</v>
      </c>
      <c r="BC116" s="239">
        <v>603970</v>
      </c>
      <c r="BD116" s="239">
        <v>-2044974</v>
      </c>
      <c r="BE116" s="214" t="s">
        <v>314</v>
      </c>
      <c r="BF116" s="214" t="s">
        <v>770</v>
      </c>
      <c r="BG116" s="214" t="s">
        <v>761</v>
      </c>
      <c r="BH116" s="214" t="s">
        <v>1010</v>
      </c>
      <c r="BI116" s="214" t="s">
        <v>1010</v>
      </c>
      <c r="BJ116" s="214" t="s">
        <v>1158</v>
      </c>
    </row>
    <row r="117" spans="1:62" x14ac:dyDescent="0.2">
      <c r="B117" s="602" t="s">
        <v>317</v>
      </c>
      <c r="C117" s="602" t="s">
        <v>316</v>
      </c>
      <c r="D117" s="239">
        <v>108154282</v>
      </c>
      <c r="E117" s="239">
        <v>0</v>
      </c>
      <c r="F117" s="239">
        <v>108154282</v>
      </c>
      <c r="G117" s="239">
        <v>0</v>
      </c>
      <c r="H117" s="239">
        <v>0</v>
      </c>
      <c r="I117" s="239">
        <v>0</v>
      </c>
      <c r="J117" s="239">
        <v>0</v>
      </c>
      <c r="K117" s="239">
        <v>0</v>
      </c>
      <c r="L117" s="239">
        <v>0</v>
      </c>
      <c r="M117" s="239">
        <v>0</v>
      </c>
      <c r="N117" s="239">
        <v>0</v>
      </c>
      <c r="O117" s="239">
        <v>0</v>
      </c>
      <c r="P117" s="239">
        <v>-2674123.06</v>
      </c>
      <c r="Q117" s="239">
        <v>0</v>
      </c>
      <c r="R117" s="239">
        <v>-2674123.06</v>
      </c>
      <c r="S117" s="239">
        <v>7631098</v>
      </c>
      <c r="T117" s="239">
        <v>0</v>
      </c>
      <c r="U117" s="239">
        <v>7631098</v>
      </c>
      <c r="V117" s="239">
        <v>-15963626</v>
      </c>
      <c r="W117" s="239">
        <v>0</v>
      </c>
      <c r="X117" s="239">
        <v>-15963626</v>
      </c>
      <c r="Y117" s="239">
        <v>97147630.939999998</v>
      </c>
      <c r="Z117" s="239">
        <v>0</v>
      </c>
      <c r="AA117" s="239">
        <v>97147630.939999998</v>
      </c>
      <c r="AB117" s="239">
        <v>0</v>
      </c>
      <c r="AC117" s="239">
        <v>0</v>
      </c>
      <c r="AD117" s="239">
        <v>0</v>
      </c>
      <c r="AE117" s="239">
        <v>0</v>
      </c>
      <c r="AF117" s="239">
        <v>0</v>
      </c>
      <c r="AG117" s="239">
        <v>0</v>
      </c>
      <c r="AH117" s="239">
        <v>0</v>
      </c>
      <c r="AI117" s="239">
        <v>0</v>
      </c>
      <c r="AJ117" s="239">
        <v>0</v>
      </c>
      <c r="AK117" s="239">
        <v>0</v>
      </c>
      <c r="AL117" s="239">
        <v>0</v>
      </c>
      <c r="AM117" s="239">
        <v>0</v>
      </c>
      <c r="AN117" s="239">
        <v>0</v>
      </c>
      <c r="AO117" s="239">
        <v>0</v>
      </c>
      <c r="AP117" s="239">
        <v>0</v>
      </c>
      <c r="AQ117" s="239">
        <v>0</v>
      </c>
      <c r="AR117" s="239">
        <v>0</v>
      </c>
      <c r="AS117" s="239">
        <v>0</v>
      </c>
      <c r="AT117" s="239">
        <v>0</v>
      </c>
      <c r="AU117" s="239">
        <v>0</v>
      </c>
      <c r="AV117" s="239">
        <v>0</v>
      </c>
      <c r="AW117" s="239">
        <v>0</v>
      </c>
      <c r="AX117" s="239">
        <v>0</v>
      </c>
      <c r="AY117" s="239">
        <v>0</v>
      </c>
      <c r="AZ117" s="239">
        <v>0</v>
      </c>
      <c r="BA117" s="239">
        <v>0</v>
      </c>
      <c r="BB117" s="239">
        <v>0</v>
      </c>
      <c r="BC117" s="239">
        <v>28636603</v>
      </c>
      <c r="BD117" s="239">
        <v>-18058909</v>
      </c>
      <c r="BE117" s="214" t="s">
        <v>316</v>
      </c>
      <c r="BF117" s="214" t="s">
        <v>788</v>
      </c>
      <c r="BG117" s="214" t="s">
        <v>747</v>
      </c>
      <c r="BH117" s="214" t="s">
        <v>1010</v>
      </c>
      <c r="BI117" s="214" t="s">
        <v>1010</v>
      </c>
      <c r="BJ117" s="214" t="s">
        <v>1161</v>
      </c>
    </row>
    <row r="118" spans="1:62" x14ac:dyDescent="0.2">
      <c r="B118" s="602" t="s">
        <v>319</v>
      </c>
      <c r="C118" s="602" t="s">
        <v>318</v>
      </c>
      <c r="D118" s="239">
        <v>53267873</v>
      </c>
      <c r="E118" s="239">
        <v>27864</v>
      </c>
      <c r="F118" s="239">
        <v>53295737</v>
      </c>
      <c r="G118" s="239">
        <v>0</v>
      </c>
      <c r="H118" s="239">
        <v>0</v>
      </c>
      <c r="I118" s="239">
        <v>0</v>
      </c>
      <c r="J118" s="239">
        <v>-23602</v>
      </c>
      <c r="K118" s="239">
        <v>0</v>
      </c>
      <c r="L118" s="239">
        <v>-23602</v>
      </c>
      <c r="M118" s="239">
        <v>0</v>
      </c>
      <c r="N118" s="239">
        <v>0</v>
      </c>
      <c r="O118" s="239">
        <v>0</v>
      </c>
      <c r="P118" s="239">
        <v>-399707</v>
      </c>
      <c r="Q118" s="239">
        <v>0</v>
      </c>
      <c r="R118" s="239">
        <v>-399707</v>
      </c>
      <c r="S118" s="239">
        <v>0</v>
      </c>
      <c r="T118" s="239">
        <v>0</v>
      </c>
      <c r="U118" s="239">
        <v>0</v>
      </c>
      <c r="V118" s="239">
        <v>2468800</v>
      </c>
      <c r="W118" s="239">
        <v>0</v>
      </c>
      <c r="X118" s="239">
        <v>2468800</v>
      </c>
      <c r="Y118" s="239">
        <v>55336966</v>
      </c>
      <c r="Z118" s="239">
        <v>27864</v>
      </c>
      <c r="AA118" s="239">
        <v>55364830</v>
      </c>
      <c r="AB118" s="239">
        <v>27864</v>
      </c>
      <c r="AC118" s="239">
        <v>27864</v>
      </c>
      <c r="AD118" s="239">
        <v>0</v>
      </c>
      <c r="AE118" s="239">
        <v>0</v>
      </c>
      <c r="AF118" s="239">
        <v>0</v>
      </c>
      <c r="AG118" s="239">
        <v>0</v>
      </c>
      <c r="AH118" s="239">
        <v>0</v>
      </c>
      <c r="AI118" s="239">
        <v>32282</v>
      </c>
      <c r="AJ118" s="239">
        <v>32282</v>
      </c>
      <c r="AK118" s="239">
        <v>0</v>
      </c>
      <c r="AL118" s="239">
        <v>47348</v>
      </c>
      <c r="AM118" s="239">
        <v>213209</v>
      </c>
      <c r="AN118" s="239">
        <v>260557</v>
      </c>
      <c r="AO118" s="239">
        <v>0</v>
      </c>
      <c r="AP118" s="239">
        <v>0</v>
      </c>
      <c r="AQ118" s="239">
        <v>0</v>
      </c>
      <c r="AR118" s="239">
        <v>0</v>
      </c>
      <c r="AS118" s="239">
        <v>0</v>
      </c>
      <c r="AT118" s="239">
        <v>0</v>
      </c>
      <c r="AU118" s="239">
        <v>0</v>
      </c>
      <c r="AV118" s="239">
        <v>0</v>
      </c>
      <c r="AW118" s="239">
        <v>0</v>
      </c>
      <c r="AX118" s="239">
        <v>0</v>
      </c>
      <c r="AY118" s="239">
        <v>0</v>
      </c>
      <c r="AZ118" s="239">
        <v>0</v>
      </c>
      <c r="BA118" s="239">
        <v>0</v>
      </c>
      <c r="BB118" s="239">
        <v>0</v>
      </c>
      <c r="BC118" s="239">
        <v>4411294</v>
      </c>
      <c r="BD118" s="239">
        <v>-215902</v>
      </c>
      <c r="BE118" s="214" t="s">
        <v>909</v>
      </c>
      <c r="BF118" s="214" t="s">
        <v>746</v>
      </c>
      <c r="BG118" s="214" t="s">
        <v>813</v>
      </c>
      <c r="BH118" s="214" t="s">
        <v>1026</v>
      </c>
      <c r="BI118" s="214" t="s">
        <v>1026</v>
      </c>
      <c r="BJ118" s="214" t="s">
        <v>746</v>
      </c>
    </row>
    <row r="119" spans="1:62" x14ac:dyDescent="0.2">
      <c r="B119" s="602" t="s">
        <v>321</v>
      </c>
      <c r="C119" s="602" t="s">
        <v>320</v>
      </c>
      <c r="D119" s="239">
        <v>27204014</v>
      </c>
      <c r="E119" s="239">
        <v>0</v>
      </c>
      <c r="F119" s="239">
        <v>27204014</v>
      </c>
      <c r="G119" s="239">
        <v>0</v>
      </c>
      <c r="H119" s="239">
        <v>0</v>
      </c>
      <c r="I119" s="239">
        <v>0</v>
      </c>
      <c r="J119" s="239">
        <v>-107439</v>
      </c>
      <c r="K119" s="239">
        <v>0</v>
      </c>
      <c r="L119" s="239">
        <v>-107439</v>
      </c>
      <c r="M119" s="239">
        <v>0</v>
      </c>
      <c r="N119" s="239">
        <v>0</v>
      </c>
      <c r="O119" s="239">
        <v>0</v>
      </c>
      <c r="P119" s="239">
        <v>-152150</v>
      </c>
      <c r="Q119" s="239">
        <v>0</v>
      </c>
      <c r="R119" s="239">
        <v>-152150</v>
      </c>
      <c r="S119" s="239">
        <v>1096696</v>
      </c>
      <c r="T119" s="239">
        <v>0</v>
      </c>
      <c r="U119" s="239">
        <v>1096696</v>
      </c>
      <c r="V119" s="239">
        <v>-856116</v>
      </c>
      <c r="W119" s="239">
        <v>0</v>
      </c>
      <c r="X119" s="239">
        <v>-856116</v>
      </c>
      <c r="Y119" s="239">
        <v>27292444</v>
      </c>
      <c r="Z119" s="239">
        <v>0</v>
      </c>
      <c r="AA119" s="239">
        <v>27292444</v>
      </c>
      <c r="AB119" s="239">
        <v>0</v>
      </c>
      <c r="AC119" s="239">
        <v>0</v>
      </c>
      <c r="AD119" s="239">
        <v>43431</v>
      </c>
      <c r="AE119" s="239">
        <v>0</v>
      </c>
      <c r="AF119" s="239">
        <v>43431</v>
      </c>
      <c r="AG119" s="239">
        <v>0</v>
      </c>
      <c r="AH119" s="239">
        <v>0</v>
      </c>
      <c r="AI119" s="239">
        <v>0</v>
      </c>
      <c r="AJ119" s="239">
        <v>0</v>
      </c>
      <c r="AK119" s="239">
        <v>0</v>
      </c>
      <c r="AL119" s="239">
        <v>0</v>
      </c>
      <c r="AM119" s="239">
        <v>0</v>
      </c>
      <c r="AN119" s="239">
        <v>0</v>
      </c>
      <c r="AO119" s="239">
        <v>0</v>
      </c>
      <c r="AP119" s="239">
        <v>0</v>
      </c>
      <c r="AQ119" s="239">
        <v>0</v>
      </c>
      <c r="AR119" s="239">
        <v>0</v>
      </c>
      <c r="AS119" s="239">
        <v>0</v>
      </c>
      <c r="AT119" s="239">
        <v>0</v>
      </c>
      <c r="AU119" s="239">
        <v>0</v>
      </c>
      <c r="AV119" s="239">
        <v>0</v>
      </c>
      <c r="AW119" s="239">
        <v>0</v>
      </c>
      <c r="AX119" s="239">
        <v>0</v>
      </c>
      <c r="AY119" s="239">
        <v>0</v>
      </c>
      <c r="AZ119" s="239">
        <v>0</v>
      </c>
      <c r="BA119" s="239">
        <v>0</v>
      </c>
      <c r="BB119" s="239">
        <v>0</v>
      </c>
      <c r="BC119" s="239">
        <v>764821</v>
      </c>
      <c r="BD119" s="239">
        <v>-358010</v>
      </c>
      <c r="BE119" s="214" t="s">
        <v>320</v>
      </c>
      <c r="BF119" s="214" t="s">
        <v>865</v>
      </c>
      <c r="BG119" s="214" t="s">
        <v>744</v>
      </c>
      <c r="BH119" s="214" t="s">
        <v>1010</v>
      </c>
      <c r="BI119" s="214" t="s">
        <v>1010</v>
      </c>
      <c r="BJ119" s="214" t="s">
        <v>1158</v>
      </c>
    </row>
    <row r="120" spans="1:62" x14ac:dyDescent="0.2">
      <c r="B120" s="602" t="s">
        <v>323</v>
      </c>
      <c r="C120" s="602" t="s">
        <v>322</v>
      </c>
      <c r="D120" s="239">
        <v>202337005</v>
      </c>
      <c r="E120" s="239">
        <v>0</v>
      </c>
      <c r="F120" s="239">
        <v>202337005</v>
      </c>
      <c r="G120" s="239">
        <v>-848</v>
      </c>
      <c r="H120" s="239">
        <v>0</v>
      </c>
      <c r="I120" s="239">
        <v>-848</v>
      </c>
      <c r="J120" s="239">
        <v>-3017761</v>
      </c>
      <c r="K120" s="239">
        <v>0</v>
      </c>
      <c r="L120" s="239">
        <v>-3017761</v>
      </c>
      <c r="M120" s="239">
        <v>0</v>
      </c>
      <c r="N120" s="239">
        <v>0</v>
      </c>
      <c r="O120" s="239">
        <v>0</v>
      </c>
      <c r="P120" s="239">
        <v>-3076602</v>
      </c>
      <c r="Q120" s="239">
        <v>0</v>
      </c>
      <c r="R120" s="239">
        <v>-3076602</v>
      </c>
      <c r="S120" s="239">
        <v>32974375</v>
      </c>
      <c r="T120" s="239">
        <v>0</v>
      </c>
      <c r="U120" s="239">
        <v>32974375</v>
      </c>
      <c r="V120" s="239">
        <v>-40864409</v>
      </c>
      <c r="W120" s="239">
        <v>0</v>
      </c>
      <c r="X120" s="239">
        <v>-40864409</v>
      </c>
      <c r="Y120" s="239">
        <v>191369521</v>
      </c>
      <c r="Z120" s="239">
        <v>0</v>
      </c>
      <c r="AA120" s="239">
        <v>191369521</v>
      </c>
      <c r="AB120" s="239">
        <v>0</v>
      </c>
      <c r="AC120" s="239">
        <v>0</v>
      </c>
      <c r="AD120" s="239">
        <v>0</v>
      </c>
      <c r="AE120" s="239">
        <v>0</v>
      </c>
      <c r="AF120" s="239">
        <v>0</v>
      </c>
      <c r="AG120" s="239">
        <v>0</v>
      </c>
      <c r="AH120" s="239">
        <v>0</v>
      </c>
      <c r="AI120" s="239">
        <v>0</v>
      </c>
      <c r="AJ120" s="239">
        <v>0</v>
      </c>
      <c r="AK120" s="239">
        <v>0</v>
      </c>
      <c r="AL120" s="239">
        <v>0</v>
      </c>
      <c r="AM120" s="239">
        <v>0</v>
      </c>
      <c r="AN120" s="239">
        <v>0</v>
      </c>
      <c r="AO120" s="239">
        <v>0</v>
      </c>
      <c r="AP120" s="239">
        <v>0</v>
      </c>
      <c r="AQ120" s="239">
        <v>0</v>
      </c>
      <c r="AR120" s="239">
        <v>0</v>
      </c>
      <c r="AS120" s="239">
        <v>0</v>
      </c>
      <c r="AT120" s="239">
        <v>0</v>
      </c>
      <c r="AU120" s="239">
        <v>0</v>
      </c>
      <c r="AV120" s="239">
        <v>0</v>
      </c>
      <c r="AW120" s="239">
        <v>0</v>
      </c>
      <c r="AX120" s="239">
        <v>0</v>
      </c>
      <c r="AY120" s="239">
        <v>0</v>
      </c>
      <c r="AZ120" s="239">
        <v>0</v>
      </c>
      <c r="BA120" s="239">
        <v>0</v>
      </c>
      <c r="BB120" s="239">
        <v>0</v>
      </c>
      <c r="BC120" s="239">
        <v>23204051</v>
      </c>
      <c r="BD120" s="239">
        <v>-32728506</v>
      </c>
      <c r="BE120" s="214" t="s">
        <v>908</v>
      </c>
      <c r="BF120" s="214" t="s">
        <v>788</v>
      </c>
      <c r="BG120" s="214" t="s">
        <v>747</v>
      </c>
      <c r="BH120" s="214" t="s">
        <v>1010</v>
      </c>
      <c r="BI120" s="214" t="s">
        <v>1010</v>
      </c>
      <c r="BJ120" s="214" t="s">
        <v>1161</v>
      </c>
    </row>
    <row r="121" spans="1:62" x14ac:dyDescent="0.2">
      <c r="B121" s="602" t="s">
        <v>325</v>
      </c>
      <c r="C121" s="602" t="s">
        <v>324</v>
      </c>
      <c r="D121" s="239">
        <v>39864292</v>
      </c>
      <c r="E121" s="239">
        <v>0</v>
      </c>
      <c r="F121" s="239">
        <v>39864292</v>
      </c>
      <c r="G121" s="239">
        <v>0</v>
      </c>
      <c r="H121" s="239">
        <v>0</v>
      </c>
      <c r="I121" s="239">
        <v>0</v>
      </c>
      <c r="J121" s="239">
        <v>-142012</v>
      </c>
      <c r="K121" s="239">
        <v>0</v>
      </c>
      <c r="L121" s="239">
        <v>-142012</v>
      </c>
      <c r="M121" s="239">
        <v>0</v>
      </c>
      <c r="N121" s="239">
        <v>0</v>
      </c>
      <c r="O121" s="239">
        <v>0</v>
      </c>
      <c r="P121" s="239">
        <v>-112509</v>
      </c>
      <c r="Q121" s="239">
        <v>0</v>
      </c>
      <c r="R121" s="239">
        <v>-112509</v>
      </c>
      <c r="S121" s="239">
        <v>1750044</v>
      </c>
      <c r="T121" s="239">
        <v>0</v>
      </c>
      <c r="U121" s="239">
        <v>1750044</v>
      </c>
      <c r="V121" s="239">
        <v>-6010839</v>
      </c>
      <c r="W121" s="239">
        <v>0</v>
      </c>
      <c r="X121" s="239">
        <v>-6010839</v>
      </c>
      <c r="Y121" s="239">
        <v>35490988</v>
      </c>
      <c r="Z121" s="239">
        <v>0</v>
      </c>
      <c r="AA121" s="239">
        <v>35490988</v>
      </c>
      <c r="AB121" s="239">
        <v>0</v>
      </c>
      <c r="AC121" s="239">
        <v>0</v>
      </c>
      <c r="AD121" s="239">
        <v>-652</v>
      </c>
      <c r="AE121" s="239">
        <v>0</v>
      </c>
      <c r="AF121" s="239">
        <v>-652</v>
      </c>
      <c r="AG121" s="239">
        <v>0</v>
      </c>
      <c r="AH121" s="239">
        <v>0</v>
      </c>
      <c r="AI121" s="239">
        <v>0</v>
      </c>
      <c r="AJ121" s="239">
        <v>0</v>
      </c>
      <c r="AK121" s="239">
        <v>0</v>
      </c>
      <c r="AL121" s="239">
        <v>0</v>
      </c>
      <c r="AM121" s="239">
        <v>0</v>
      </c>
      <c r="AN121" s="239">
        <v>0</v>
      </c>
      <c r="AO121" s="239">
        <v>0</v>
      </c>
      <c r="AP121" s="239">
        <v>0</v>
      </c>
      <c r="AQ121" s="239">
        <v>0</v>
      </c>
      <c r="AR121" s="239">
        <v>0</v>
      </c>
      <c r="AS121" s="239">
        <v>0</v>
      </c>
      <c r="AT121" s="239">
        <v>0</v>
      </c>
      <c r="AU121" s="239">
        <v>0</v>
      </c>
      <c r="AV121" s="239">
        <v>0</v>
      </c>
      <c r="AW121" s="239">
        <v>0</v>
      </c>
      <c r="AX121" s="239">
        <v>0</v>
      </c>
      <c r="AY121" s="239">
        <v>0</v>
      </c>
      <c r="AZ121" s="239">
        <v>0</v>
      </c>
      <c r="BA121" s="239">
        <v>0</v>
      </c>
      <c r="BB121" s="239">
        <v>0</v>
      </c>
      <c r="BC121" s="239">
        <v>130517</v>
      </c>
      <c r="BD121" s="239">
        <v>-425003</v>
      </c>
      <c r="BE121" s="214" t="s">
        <v>324</v>
      </c>
      <c r="BF121" s="214" t="s">
        <v>882</v>
      </c>
      <c r="BG121" s="214" t="s">
        <v>867</v>
      </c>
      <c r="BH121" s="214" t="s">
        <v>1010</v>
      </c>
      <c r="BI121" s="214" t="s">
        <v>1010</v>
      </c>
      <c r="BJ121" s="214" t="s">
        <v>1158</v>
      </c>
    </row>
    <row r="122" spans="1:62" x14ac:dyDescent="0.2">
      <c r="B122" s="602" t="s">
        <v>327</v>
      </c>
      <c r="C122" s="602" t="s">
        <v>326</v>
      </c>
      <c r="D122" s="239">
        <v>65841798</v>
      </c>
      <c r="E122" s="239">
        <v>0</v>
      </c>
      <c r="F122" s="239">
        <v>65841798</v>
      </c>
      <c r="G122" s="239">
        <v>0</v>
      </c>
      <c r="H122" s="239">
        <v>0</v>
      </c>
      <c r="I122" s="239">
        <v>0</v>
      </c>
      <c r="J122" s="239">
        <v>-1056544</v>
      </c>
      <c r="K122" s="239">
        <v>0</v>
      </c>
      <c r="L122" s="239">
        <v>-1056544</v>
      </c>
      <c r="M122" s="239">
        <v>0</v>
      </c>
      <c r="N122" s="239">
        <v>0</v>
      </c>
      <c r="O122" s="239">
        <v>0</v>
      </c>
      <c r="P122" s="239">
        <v>-1326804</v>
      </c>
      <c r="Q122" s="239">
        <v>0</v>
      </c>
      <c r="R122" s="239">
        <v>-1326804</v>
      </c>
      <c r="S122" s="239">
        <v>3339403</v>
      </c>
      <c r="T122" s="239">
        <v>0</v>
      </c>
      <c r="U122" s="239">
        <v>3339403</v>
      </c>
      <c r="V122" s="239">
        <v>-3928927</v>
      </c>
      <c r="W122" s="239">
        <v>0</v>
      </c>
      <c r="X122" s="239">
        <v>-3928927</v>
      </c>
      <c r="Y122" s="239">
        <v>63925470</v>
      </c>
      <c r="Z122" s="239">
        <v>0</v>
      </c>
      <c r="AA122" s="239">
        <v>63925470</v>
      </c>
      <c r="AB122" s="239">
        <v>0</v>
      </c>
      <c r="AC122" s="239">
        <v>0</v>
      </c>
      <c r="AD122" s="239">
        <v>0</v>
      </c>
      <c r="AE122" s="239">
        <v>0</v>
      </c>
      <c r="AF122" s="239">
        <v>0</v>
      </c>
      <c r="AG122" s="239">
        <v>0</v>
      </c>
      <c r="AH122" s="239">
        <v>0</v>
      </c>
      <c r="AI122" s="239">
        <v>0</v>
      </c>
      <c r="AJ122" s="239">
        <v>0</v>
      </c>
      <c r="AK122" s="239">
        <v>0</v>
      </c>
      <c r="AL122" s="239">
        <v>0</v>
      </c>
      <c r="AM122" s="239">
        <v>0</v>
      </c>
      <c r="AN122" s="239">
        <v>0</v>
      </c>
      <c r="AO122" s="239">
        <v>0</v>
      </c>
      <c r="AP122" s="239">
        <v>0</v>
      </c>
      <c r="AQ122" s="239">
        <v>0</v>
      </c>
      <c r="AR122" s="239">
        <v>0</v>
      </c>
      <c r="AS122" s="239">
        <v>0</v>
      </c>
      <c r="AT122" s="239">
        <v>0</v>
      </c>
      <c r="AU122" s="239">
        <v>0</v>
      </c>
      <c r="AV122" s="239">
        <v>0</v>
      </c>
      <c r="AW122" s="239">
        <v>0</v>
      </c>
      <c r="AX122" s="239">
        <v>0</v>
      </c>
      <c r="AY122" s="239">
        <v>0</v>
      </c>
      <c r="AZ122" s="239">
        <v>0</v>
      </c>
      <c r="BA122" s="239">
        <v>0</v>
      </c>
      <c r="BB122" s="239">
        <v>0</v>
      </c>
      <c r="BC122" s="239">
        <v>9336867</v>
      </c>
      <c r="BD122" s="239">
        <v>-9504754</v>
      </c>
      <c r="BE122" s="214" t="s">
        <v>326</v>
      </c>
      <c r="BF122" s="214" t="s">
        <v>788</v>
      </c>
      <c r="BG122" s="214" t="s">
        <v>747</v>
      </c>
      <c r="BH122" s="214" t="s">
        <v>1010</v>
      </c>
      <c r="BI122" s="214" t="s">
        <v>1010</v>
      </c>
      <c r="BJ122" s="214" t="s">
        <v>1159</v>
      </c>
    </row>
    <row r="123" spans="1:62" x14ac:dyDescent="0.2">
      <c r="B123" s="602" t="s">
        <v>329</v>
      </c>
      <c r="C123" s="602" t="s">
        <v>328</v>
      </c>
      <c r="D123" s="239">
        <v>42772446</v>
      </c>
      <c r="E123" s="239">
        <v>5025379</v>
      </c>
      <c r="F123" s="239">
        <v>47797825</v>
      </c>
      <c r="G123" s="239">
        <v>0</v>
      </c>
      <c r="H123" s="239">
        <v>0</v>
      </c>
      <c r="I123" s="239">
        <v>0</v>
      </c>
      <c r="J123" s="239">
        <v>0</v>
      </c>
      <c r="K123" s="239">
        <v>0</v>
      </c>
      <c r="L123" s="239">
        <v>0</v>
      </c>
      <c r="M123" s="239">
        <v>0</v>
      </c>
      <c r="N123" s="239">
        <v>0</v>
      </c>
      <c r="O123" s="239">
        <v>0</v>
      </c>
      <c r="P123" s="239">
        <v>-763317</v>
      </c>
      <c r="Q123" s="239">
        <v>-89683</v>
      </c>
      <c r="R123" s="239">
        <v>-853000</v>
      </c>
      <c r="S123" s="239">
        <v>1558002</v>
      </c>
      <c r="T123" s="239">
        <v>48509</v>
      </c>
      <c r="U123" s="239">
        <v>1606511</v>
      </c>
      <c r="V123" s="239">
        <v>-1317620</v>
      </c>
      <c r="W123" s="239">
        <v>-41025</v>
      </c>
      <c r="X123" s="239">
        <v>-1358645</v>
      </c>
      <c r="Y123" s="239">
        <v>42249511</v>
      </c>
      <c r="Z123" s="239">
        <v>4943180</v>
      </c>
      <c r="AA123" s="239">
        <v>47192691</v>
      </c>
      <c r="AB123" s="239">
        <v>4943180</v>
      </c>
      <c r="AC123" s="239">
        <v>4943180</v>
      </c>
      <c r="AD123" s="239">
        <v>0</v>
      </c>
      <c r="AE123" s="239">
        <v>0</v>
      </c>
      <c r="AF123" s="239">
        <v>0</v>
      </c>
      <c r="AG123" s="239">
        <v>484</v>
      </c>
      <c r="AH123" s="239">
        <v>484</v>
      </c>
      <c r="AI123" s="239">
        <v>3169844</v>
      </c>
      <c r="AJ123" s="239">
        <v>3169844</v>
      </c>
      <c r="AK123" s="239">
        <v>1773820</v>
      </c>
      <c r="AL123" s="239">
        <v>0</v>
      </c>
      <c r="AM123" s="239">
        <v>0</v>
      </c>
      <c r="AN123" s="239">
        <v>0</v>
      </c>
      <c r="AO123" s="239">
        <v>0</v>
      </c>
      <c r="AP123" s="239">
        <v>0</v>
      </c>
      <c r="AQ123" s="239">
        <v>0</v>
      </c>
      <c r="AR123" s="239">
        <v>0</v>
      </c>
      <c r="AS123" s="239">
        <v>0</v>
      </c>
      <c r="AT123" s="239">
        <v>0</v>
      </c>
      <c r="AU123" s="239">
        <v>0</v>
      </c>
      <c r="AV123" s="239">
        <v>0</v>
      </c>
      <c r="AW123" s="239">
        <v>0</v>
      </c>
      <c r="AX123" s="239">
        <v>0</v>
      </c>
      <c r="AY123" s="239">
        <v>0</v>
      </c>
      <c r="AZ123" s="239">
        <v>0</v>
      </c>
      <c r="BA123" s="239">
        <v>0</v>
      </c>
      <c r="BB123" s="239">
        <v>0</v>
      </c>
      <c r="BC123" s="239">
        <v>3830708</v>
      </c>
      <c r="BD123" s="239">
        <v>-900437</v>
      </c>
      <c r="BE123" s="214" t="s">
        <v>328</v>
      </c>
      <c r="BF123" s="214" t="s">
        <v>820</v>
      </c>
      <c r="BG123" s="214" t="s">
        <v>818</v>
      </c>
      <c r="BH123" s="214" t="s">
        <v>328</v>
      </c>
      <c r="BI123" s="214" t="s">
        <v>1010</v>
      </c>
      <c r="BJ123" s="214" t="s">
        <v>1158</v>
      </c>
    </row>
    <row r="124" spans="1:62" x14ac:dyDescent="0.2">
      <c r="B124" s="602" t="s">
        <v>331</v>
      </c>
      <c r="C124" s="602" t="s">
        <v>330</v>
      </c>
      <c r="D124" s="239">
        <v>61598773</v>
      </c>
      <c r="E124" s="239">
        <v>0</v>
      </c>
      <c r="F124" s="239">
        <v>61598773</v>
      </c>
      <c r="G124" s="239">
        <v>0</v>
      </c>
      <c r="H124" s="239">
        <v>0</v>
      </c>
      <c r="I124" s="239">
        <v>0</v>
      </c>
      <c r="J124" s="239">
        <v>-417904</v>
      </c>
      <c r="K124" s="239">
        <v>0</v>
      </c>
      <c r="L124" s="239">
        <v>-417904</v>
      </c>
      <c r="M124" s="239">
        <v>0</v>
      </c>
      <c r="N124" s="239">
        <v>0</v>
      </c>
      <c r="O124" s="239">
        <v>0</v>
      </c>
      <c r="P124" s="239">
        <v>-920443</v>
      </c>
      <c r="Q124" s="239">
        <v>0</v>
      </c>
      <c r="R124" s="239">
        <v>-920443</v>
      </c>
      <c r="S124" s="239">
        <v>2132645</v>
      </c>
      <c r="T124" s="239">
        <v>0</v>
      </c>
      <c r="U124" s="239">
        <v>2132645</v>
      </c>
      <c r="V124" s="239">
        <v>-4849574</v>
      </c>
      <c r="W124" s="239">
        <v>0</v>
      </c>
      <c r="X124" s="239">
        <v>-4849574</v>
      </c>
      <c r="Y124" s="239">
        <v>57961401</v>
      </c>
      <c r="Z124" s="239">
        <v>0</v>
      </c>
      <c r="AA124" s="239">
        <v>57961401</v>
      </c>
      <c r="AB124" s="239">
        <v>0</v>
      </c>
      <c r="AC124" s="239">
        <v>0</v>
      </c>
      <c r="AD124" s="239">
        <v>0</v>
      </c>
      <c r="AE124" s="239">
        <v>0</v>
      </c>
      <c r="AF124" s="239">
        <v>0</v>
      </c>
      <c r="AG124" s="239">
        <v>0</v>
      </c>
      <c r="AH124" s="239">
        <v>0</v>
      </c>
      <c r="AI124" s="239">
        <v>0</v>
      </c>
      <c r="AJ124" s="239">
        <v>0</v>
      </c>
      <c r="AK124" s="239">
        <v>0</v>
      </c>
      <c r="AL124" s="239">
        <v>0</v>
      </c>
      <c r="AM124" s="239">
        <v>0</v>
      </c>
      <c r="AN124" s="239">
        <v>0</v>
      </c>
      <c r="AO124" s="239">
        <v>0</v>
      </c>
      <c r="AP124" s="239">
        <v>0</v>
      </c>
      <c r="AQ124" s="239">
        <v>0</v>
      </c>
      <c r="AR124" s="239">
        <v>0</v>
      </c>
      <c r="AS124" s="239">
        <v>0</v>
      </c>
      <c r="AT124" s="239">
        <v>0</v>
      </c>
      <c r="AU124" s="239">
        <v>0</v>
      </c>
      <c r="AV124" s="239">
        <v>0</v>
      </c>
      <c r="AW124" s="239">
        <v>0</v>
      </c>
      <c r="AX124" s="239">
        <v>0</v>
      </c>
      <c r="AY124" s="239">
        <v>0</v>
      </c>
      <c r="AZ124" s="239">
        <v>0</v>
      </c>
      <c r="BA124" s="239">
        <v>0</v>
      </c>
      <c r="BB124" s="239">
        <v>0</v>
      </c>
      <c r="BC124" s="239">
        <v>3025459</v>
      </c>
      <c r="BD124" s="239">
        <v>-1347034</v>
      </c>
      <c r="BE124" s="214" t="s">
        <v>330</v>
      </c>
      <c r="BF124" s="214" t="s">
        <v>865</v>
      </c>
      <c r="BG124" s="214" t="s">
        <v>744</v>
      </c>
      <c r="BH124" s="214" t="s">
        <v>1010</v>
      </c>
      <c r="BI124" s="214" t="s">
        <v>1010</v>
      </c>
      <c r="BJ124" s="214" t="s">
        <v>1158</v>
      </c>
    </row>
    <row r="125" spans="1:62" x14ac:dyDescent="0.2">
      <c r="B125" s="602" t="s">
        <v>333</v>
      </c>
      <c r="C125" s="602" t="s">
        <v>332</v>
      </c>
      <c r="D125" s="239">
        <v>51280155</v>
      </c>
      <c r="E125" s="239">
        <v>0</v>
      </c>
      <c r="F125" s="239">
        <v>51280155</v>
      </c>
      <c r="G125" s="239">
        <v>0</v>
      </c>
      <c r="H125" s="239">
        <v>0</v>
      </c>
      <c r="I125" s="239">
        <v>0</v>
      </c>
      <c r="J125" s="239">
        <v>-537945</v>
      </c>
      <c r="K125" s="239">
        <v>0</v>
      </c>
      <c r="L125" s="239">
        <v>-537945</v>
      </c>
      <c r="M125" s="239">
        <v>0</v>
      </c>
      <c r="N125" s="239">
        <v>0</v>
      </c>
      <c r="O125" s="239">
        <v>0</v>
      </c>
      <c r="P125" s="239">
        <v>-1290056</v>
      </c>
      <c r="Q125" s="239">
        <v>0</v>
      </c>
      <c r="R125" s="239">
        <v>-1290056</v>
      </c>
      <c r="S125" s="239">
        <v>7786666</v>
      </c>
      <c r="T125" s="239">
        <v>0</v>
      </c>
      <c r="U125" s="239">
        <v>7786666</v>
      </c>
      <c r="V125" s="239">
        <v>-5386666</v>
      </c>
      <c r="W125" s="239">
        <v>0</v>
      </c>
      <c r="X125" s="239">
        <v>-5386666</v>
      </c>
      <c r="Y125" s="239">
        <v>52390099</v>
      </c>
      <c r="Z125" s="239">
        <v>0</v>
      </c>
      <c r="AA125" s="239">
        <v>52390099</v>
      </c>
      <c r="AB125" s="239">
        <v>0</v>
      </c>
      <c r="AC125" s="239">
        <v>0</v>
      </c>
      <c r="AD125" s="239">
        <v>0</v>
      </c>
      <c r="AE125" s="239">
        <v>0</v>
      </c>
      <c r="AF125" s="239">
        <v>0</v>
      </c>
      <c r="AG125" s="239">
        <v>0</v>
      </c>
      <c r="AH125" s="239">
        <v>0</v>
      </c>
      <c r="AI125" s="239">
        <v>0</v>
      </c>
      <c r="AJ125" s="239">
        <v>0</v>
      </c>
      <c r="AK125" s="239">
        <v>0</v>
      </c>
      <c r="AL125" s="239">
        <v>0</v>
      </c>
      <c r="AM125" s="239">
        <v>0</v>
      </c>
      <c r="AN125" s="239">
        <v>0</v>
      </c>
      <c r="AO125" s="239">
        <v>0</v>
      </c>
      <c r="AP125" s="239">
        <v>0</v>
      </c>
      <c r="AQ125" s="239">
        <v>0</v>
      </c>
      <c r="AR125" s="239">
        <v>0</v>
      </c>
      <c r="AS125" s="239">
        <v>0</v>
      </c>
      <c r="AT125" s="239">
        <v>0</v>
      </c>
      <c r="AU125" s="239">
        <v>0</v>
      </c>
      <c r="AV125" s="239">
        <v>0</v>
      </c>
      <c r="AW125" s="239">
        <v>0</v>
      </c>
      <c r="AX125" s="239">
        <v>0</v>
      </c>
      <c r="AY125" s="239">
        <v>0</v>
      </c>
      <c r="AZ125" s="239">
        <v>0</v>
      </c>
      <c r="BA125" s="239">
        <v>0</v>
      </c>
      <c r="BB125" s="239">
        <v>0</v>
      </c>
      <c r="BC125" s="239">
        <v>3167958</v>
      </c>
      <c r="BD125" s="239">
        <v>-466201</v>
      </c>
      <c r="BE125" s="214" t="s">
        <v>332</v>
      </c>
      <c r="BF125" s="214" t="s">
        <v>788</v>
      </c>
      <c r="BG125" s="214" t="s">
        <v>747</v>
      </c>
      <c r="BH125" s="214" t="s">
        <v>1010</v>
      </c>
      <c r="BI125" s="214" t="s">
        <v>1010</v>
      </c>
      <c r="BJ125" s="214" t="s">
        <v>1159</v>
      </c>
    </row>
    <row r="126" spans="1:62" x14ac:dyDescent="0.2">
      <c r="B126" s="602" t="s">
        <v>335</v>
      </c>
      <c r="C126" s="602" t="s">
        <v>334</v>
      </c>
      <c r="D126" s="239">
        <v>29332561</v>
      </c>
      <c r="E126" s="239">
        <v>0</v>
      </c>
      <c r="F126" s="239">
        <v>29332561</v>
      </c>
      <c r="G126" s="239">
        <v>-4431</v>
      </c>
      <c r="H126" s="239">
        <v>0</v>
      </c>
      <c r="I126" s="239">
        <v>-4431</v>
      </c>
      <c r="J126" s="239">
        <v>0</v>
      </c>
      <c r="K126" s="239">
        <v>0</v>
      </c>
      <c r="L126" s="239">
        <v>0</v>
      </c>
      <c r="M126" s="239">
        <v>-178582</v>
      </c>
      <c r="N126" s="239">
        <v>0</v>
      </c>
      <c r="O126" s="239">
        <v>-178582</v>
      </c>
      <c r="P126" s="239">
        <v>-425252</v>
      </c>
      <c r="Q126" s="239">
        <v>0</v>
      </c>
      <c r="R126" s="239">
        <v>-425252</v>
      </c>
      <c r="S126" s="239">
        <v>1390776</v>
      </c>
      <c r="T126" s="239">
        <v>0</v>
      </c>
      <c r="U126" s="239">
        <v>1390776</v>
      </c>
      <c r="V126" s="239">
        <v>-502854</v>
      </c>
      <c r="W126" s="239">
        <v>0</v>
      </c>
      <c r="X126" s="239">
        <v>-502854</v>
      </c>
      <c r="Y126" s="239">
        <v>29612218</v>
      </c>
      <c r="Z126" s="239">
        <v>0</v>
      </c>
      <c r="AA126" s="239">
        <v>29612218</v>
      </c>
      <c r="AB126" s="239">
        <v>0</v>
      </c>
      <c r="AC126" s="239">
        <v>0</v>
      </c>
      <c r="AD126" s="239">
        <v>0</v>
      </c>
      <c r="AE126" s="239">
        <v>0</v>
      </c>
      <c r="AF126" s="239">
        <v>0</v>
      </c>
      <c r="AG126" s="239">
        <v>0</v>
      </c>
      <c r="AH126" s="239">
        <v>0</v>
      </c>
      <c r="AI126" s="239">
        <v>0</v>
      </c>
      <c r="AJ126" s="239">
        <v>0</v>
      </c>
      <c r="AK126" s="239">
        <v>0</v>
      </c>
      <c r="AL126" s="239">
        <v>0</v>
      </c>
      <c r="AM126" s="239">
        <v>0</v>
      </c>
      <c r="AN126" s="239">
        <v>0</v>
      </c>
      <c r="AO126" s="239">
        <v>0</v>
      </c>
      <c r="AP126" s="239">
        <v>0</v>
      </c>
      <c r="AQ126" s="239">
        <v>0</v>
      </c>
      <c r="AR126" s="239">
        <v>0</v>
      </c>
      <c r="AS126" s="239">
        <v>0</v>
      </c>
      <c r="AT126" s="239">
        <v>0</v>
      </c>
      <c r="AU126" s="239">
        <v>0</v>
      </c>
      <c r="AV126" s="239">
        <v>0</v>
      </c>
      <c r="AW126" s="239">
        <v>0</v>
      </c>
      <c r="AX126" s="239">
        <v>0</v>
      </c>
      <c r="AY126" s="239">
        <v>0</v>
      </c>
      <c r="AZ126" s="239">
        <v>0</v>
      </c>
      <c r="BA126" s="239">
        <v>0</v>
      </c>
      <c r="BB126" s="239">
        <v>0</v>
      </c>
      <c r="BC126" s="239">
        <v>1659661</v>
      </c>
      <c r="BD126" s="239">
        <v>-1277724</v>
      </c>
      <c r="BE126" s="214" t="s">
        <v>334</v>
      </c>
      <c r="BF126" s="214" t="s">
        <v>777</v>
      </c>
      <c r="BG126" s="214" t="s">
        <v>775</v>
      </c>
      <c r="BH126" s="214" t="s">
        <v>1010</v>
      </c>
      <c r="BI126" s="214" t="s">
        <v>1010</v>
      </c>
      <c r="BJ126" s="214" t="s">
        <v>1158</v>
      </c>
    </row>
    <row r="127" spans="1:62" x14ac:dyDescent="0.2">
      <c r="B127" s="602" t="s">
        <v>337</v>
      </c>
      <c r="C127" s="602" t="s">
        <v>336</v>
      </c>
      <c r="D127" s="239">
        <v>32235030</v>
      </c>
      <c r="E127" s="239">
        <v>28873</v>
      </c>
      <c r="F127" s="239">
        <v>32263903</v>
      </c>
      <c r="G127" s="239">
        <v>0</v>
      </c>
      <c r="H127" s="239">
        <v>0</v>
      </c>
      <c r="I127" s="239">
        <v>0</v>
      </c>
      <c r="J127" s="239">
        <v>-117441</v>
      </c>
      <c r="K127" s="239">
        <v>0</v>
      </c>
      <c r="L127" s="239">
        <v>-117441</v>
      </c>
      <c r="M127" s="239">
        <v>0</v>
      </c>
      <c r="N127" s="239">
        <v>0</v>
      </c>
      <c r="O127" s="239">
        <v>0</v>
      </c>
      <c r="P127" s="239">
        <v>-226869</v>
      </c>
      <c r="Q127" s="239">
        <v>0</v>
      </c>
      <c r="R127" s="239">
        <v>-226869</v>
      </c>
      <c r="S127" s="239">
        <v>544111</v>
      </c>
      <c r="T127" s="239">
        <v>0</v>
      </c>
      <c r="U127" s="239">
        <v>544111</v>
      </c>
      <c r="V127" s="239">
        <v>-3188846</v>
      </c>
      <c r="W127" s="239">
        <v>0</v>
      </c>
      <c r="X127" s="239">
        <v>-3188846</v>
      </c>
      <c r="Y127" s="239">
        <v>29363426</v>
      </c>
      <c r="Z127" s="239">
        <v>28873</v>
      </c>
      <c r="AA127" s="239">
        <v>29392299</v>
      </c>
      <c r="AB127" s="239">
        <v>28873</v>
      </c>
      <c r="AC127" s="239">
        <v>28873</v>
      </c>
      <c r="AD127" s="239">
        <v>0</v>
      </c>
      <c r="AE127" s="239">
        <v>0</v>
      </c>
      <c r="AF127" s="239">
        <v>0</v>
      </c>
      <c r="AG127" s="239">
        <v>2062</v>
      </c>
      <c r="AH127" s="239">
        <v>2062</v>
      </c>
      <c r="AI127" s="239">
        <v>0</v>
      </c>
      <c r="AJ127" s="239">
        <v>0</v>
      </c>
      <c r="AK127" s="239">
        <v>30935</v>
      </c>
      <c r="AL127" s="239">
        <v>0</v>
      </c>
      <c r="AM127" s="239">
        <v>0</v>
      </c>
      <c r="AN127" s="239">
        <v>0</v>
      </c>
      <c r="AO127" s="239">
        <v>0</v>
      </c>
      <c r="AP127" s="239">
        <v>80565</v>
      </c>
      <c r="AQ127" s="239">
        <v>80565</v>
      </c>
      <c r="AR127" s="239">
        <v>0</v>
      </c>
      <c r="AS127" s="239">
        <v>0</v>
      </c>
      <c r="AT127" s="239">
        <v>0</v>
      </c>
      <c r="AU127" s="239">
        <v>0</v>
      </c>
      <c r="AV127" s="239">
        <v>0</v>
      </c>
      <c r="AW127" s="239">
        <v>0</v>
      </c>
      <c r="AX127" s="239">
        <v>0</v>
      </c>
      <c r="AY127" s="239">
        <v>0</v>
      </c>
      <c r="AZ127" s="239">
        <v>0</v>
      </c>
      <c r="BA127" s="239">
        <v>80565</v>
      </c>
      <c r="BB127" s="239">
        <v>80565</v>
      </c>
      <c r="BC127" s="239">
        <v>1791616</v>
      </c>
      <c r="BD127" s="239">
        <v>-667591</v>
      </c>
      <c r="BE127" s="214" t="s">
        <v>907</v>
      </c>
      <c r="BF127" s="214" t="s">
        <v>746</v>
      </c>
      <c r="BG127" s="214" t="s">
        <v>842</v>
      </c>
      <c r="BH127" s="214" t="s">
        <v>1027</v>
      </c>
      <c r="BI127" s="214" t="s">
        <v>1010</v>
      </c>
      <c r="BJ127" s="214" t="s">
        <v>746</v>
      </c>
    </row>
    <row r="128" spans="1:62" x14ac:dyDescent="0.2">
      <c r="B128" s="602" t="s">
        <v>339</v>
      </c>
      <c r="C128" s="602" t="s">
        <v>338</v>
      </c>
      <c r="D128" s="239">
        <v>21489163</v>
      </c>
      <c r="E128" s="239">
        <v>0</v>
      </c>
      <c r="F128" s="239">
        <v>21489163</v>
      </c>
      <c r="G128" s="239">
        <v>0</v>
      </c>
      <c r="H128" s="239">
        <v>0</v>
      </c>
      <c r="I128" s="239">
        <v>0</v>
      </c>
      <c r="J128" s="239">
        <v>-130338</v>
      </c>
      <c r="K128" s="239">
        <v>0</v>
      </c>
      <c r="L128" s="239">
        <v>-130338</v>
      </c>
      <c r="M128" s="239">
        <v>-44</v>
      </c>
      <c r="N128" s="239">
        <v>0</v>
      </c>
      <c r="O128" s="239">
        <v>-44</v>
      </c>
      <c r="P128" s="239">
        <v>-327332</v>
      </c>
      <c r="Q128" s="239">
        <v>0</v>
      </c>
      <c r="R128" s="239">
        <v>-327332</v>
      </c>
      <c r="S128" s="239">
        <v>836813</v>
      </c>
      <c r="T128" s="239">
        <v>0</v>
      </c>
      <c r="U128" s="239">
        <v>836813</v>
      </c>
      <c r="V128" s="239">
        <v>-1178813</v>
      </c>
      <c r="W128" s="239">
        <v>0</v>
      </c>
      <c r="X128" s="239">
        <v>-1178813</v>
      </c>
      <c r="Y128" s="239">
        <v>20819787</v>
      </c>
      <c r="Z128" s="239">
        <v>0</v>
      </c>
      <c r="AA128" s="239">
        <v>20819787</v>
      </c>
      <c r="AB128" s="239">
        <v>0</v>
      </c>
      <c r="AC128" s="239">
        <v>0</v>
      </c>
      <c r="AD128" s="239">
        <v>0</v>
      </c>
      <c r="AE128" s="239">
        <v>0</v>
      </c>
      <c r="AF128" s="239">
        <v>0</v>
      </c>
      <c r="AG128" s="239">
        <v>0</v>
      </c>
      <c r="AH128" s="239">
        <v>0</v>
      </c>
      <c r="AI128" s="239">
        <v>0</v>
      </c>
      <c r="AJ128" s="239">
        <v>0</v>
      </c>
      <c r="AK128" s="239">
        <v>0</v>
      </c>
      <c r="AL128" s="239">
        <v>0</v>
      </c>
      <c r="AM128" s="239">
        <v>0</v>
      </c>
      <c r="AN128" s="239">
        <v>0</v>
      </c>
      <c r="AO128" s="239">
        <v>0</v>
      </c>
      <c r="AP128" s="239">
        <v>0</v>
      </c>
      <c r="AQ128" s="239">
        <v>0</v>
      </c>
      <c r="AR128" s="239">
        <v>0</v>
      </c>
      <c r="AS128" s="239">
        <v>0</v>
      </c>
      <c r="AT128" s="239">
        <v>0</v>
      </c>
      <c r="AU128" s="239">
        <v>0</v>
      </c>
      <c r="AV128" s="239">
        <v>0</v>
      </c>
      <c r="AW128" s="239">
        <v>0</v>
      </c>
      <c r="AX128" s="239">
        <v>0</v>
      </c>
      <c r="AY128" s="239">
        <v>0</v>
      </c>
      <c r="AZ128" s="239">
        <v>0</v>
      </c>
      <c r="BA128" s="239">
        <v>0</v>
      </c>
      <c r="BB128" s="239">
        <v>0</v>
      </c>
      <c r="BC128" s="239">
        <v>1429303</v>
      </c>
      <c r="BD128" s="239">
        <v>-595250</v>
      </c>
      <c r="BE128" s="214" t="s">
        <v>338</v>
      </c>
      <c r="BF128" s="214" t="s">
        <v>807</v>
      </c>
      <c r="BG128" s="214" t="s">
        <v>805</v>
      </c>
      <c r="BH128" s="214" t="s">
        <v>1010</v>
      </c>
      <c r="BI128" s="214" t="s">
        <v>1010</v>
      </c>
      <c r="BJ128" s="214" t="s">
        <v>1158</v>
      </c>
    </row>
    <row r="129" spans="2:62" x14ac:dyDescent="0.2">
      <c r="B129" s="602" t="s">
        <v>341</v>
      </c>
      <c r="C129" s="602" t="s">
        <v>340</v>
      </c>
      <c r="D129" s="239">
        <v>34618234</v>
      </c>
      <c r="E129" s="239">
        <v>0</v>
      </c>
      <c r="F129" s="239">
        <v>34618234</v>
      </c>
      <c r="G129" s="239">
        <v>0</v>
      </c>
      <c r="H129" s="239">
        <v>0</v>
      </c>
      <c r="I129" s="239">
        <v>0</v>
      </c>
      <c r="J129" s="239">
        <v>0</v>
      </c>
      <c r="K129" s="239">
        <v>0</v>
      </c>
      <c r="L129" s="239">
        <v>0</v>
      </c>
      <c r="M129" s="239">
        <v>-234028</v>
      </c>
      <c r="N129" s="239">
        <v>0</v>
      </c>
      <c r="O129" s="239">
        <v>-234028</v>
      </c>
      <c r="P129" s="239">
        <v>-67985</v>
      </c>
      <c r="Q129" s="239">
        <v>0</v>
      </c>
      <c r="R129" s="239">
        <v>-67985</v>
      </c>
      <c r="S129" s="239">
        <v>95841</v>
      </c>
      <c r="T129" s="239">
        <v>0</v>
      </c>
      <c r="U129" s="239">
        <v>95841</v>
      </c>
      <c r="V129" s="239">
        <v>87380</v>
      </c>
      <c r="W129" s="239">
        <v>0</v>
      </c>
      <c r="X129" s="239">
        <v>87380</v>
      </c>
      <c r="Y129" s="239">
        <v>34499442</v>
      </c>
      <c r="Z129" s="239">
        <v>0</v>
      </c>
      <c r="AA129" s="239">
        <v>34499442</v>
      </c>
      <c r="AB129" s="239">
        <v>0</v>
      </c>
      <c r="AC129" s="239">
        <v>0</v>
      </c>
      <c r="AD129" s="239">
        <v>0</v>
      </c>
      <c r="AE129" s="239">
        <v>0</v>
      </c>
      <c r="AF129" s="239">
        <v>0</v>
      </c>
      <c r="AG129" s="239">
        <v>0</v>
      </c>
      <c r="AH129" s="239">
        <v>0</v>
      </c>
      <c r="AI129" s="239">
        <v>0</v>
      </c>
      <c r="AJ129" s="239">
        <v>0</v>
      </c>
      <c r="AK129" s="239">
        <v>0</v>
      </c>
      <c r="AL129" s="239">
        <v>0</v>
      </c>
      <c r="AM129" s="239">
        <v>0</v>
      </c>
      <c r="AN129" s="239">
        <v>0</v>
      </c>
      <c r="AO129" s="239">
        <v>0</v>
      </c>
      <c r="AP129" s="239">
        <v>0</v>
      </c>
      <c r="AQ129" s="239">
        <v>0</v>
      </c>
      <c r="AR129" s="239">
        <v>0</v>
      </c>
      <c r="AS129" s="239">
        <v>0</v>
      </c>
      <c r="AT129" s="239">
        <v>0</v>
      </c>
      <c r="AU129" s="239">
        <v>0</v>
      </c>
      <c r="AV129" s="239">
        <v>0</v>
      </c>
      <c r="AW129" s="239">
        <v>0</v>
      </c>
      <c r="AX129" s="239">
        <v>0</v>
      </c>
      <c r="AY129" s="239">
        <v>0</v>
      </c>
      <c r="AZ129" s="239">
        <v>0</v>
      </c>
      <c r="BA129" s="239">
        <v>0</v>
      </c>
      <c r="BB129" s="239">
        <v>0</v>
      </c>
      <c r="BC129" s="239">
        <v>421776</v>
      </c>
      <c r="BD129" s="239">
        <v>-688277</v>
      </c>
      <c r="BE129" s="214" t="s">
        <v>340</v>
      </c>
      <c r="BF129" s="214" t="s">
        <v>777</v>
      </c>
      <c r="BG129" s="214" t="s">
        <v>775</v>
      </c>
      <c r="BH129" s="214" t="s">
        <v>1010</v>
      </c>
      <c r="BI129" s="214" t="s">
        <v>1010</v>
      </c>
      <c r="BJ129" s="214" t="s">
        <v>1158</v>
      </c>
    </row>
    <row r="130" spans="2:62" x14ac:dyDescent="0.2">
      <c r="B130" s="602" t="s">
        <v>343</v>
      </c>
      <c r="C130" s="602" t="s">
        <v>342</v>
      </c>
      <c r="D130" s="239">
        <v>79122256</v>
      </c>
      <c r="E130" s="239">
        <v>0</v>
      </c>
      <c r="F130" s="239">
        <v>79122256</v>
      </c>
      <c r="G130" s="239">
        <v>0</v>
      </c>
      <c r="H130" s="239">
        <v>0</v>
      </c>
      <c r="I130" s="239">
        <v>0</v>
      </c>
      <c r="J130" s="239">
        <v>-583506</v>
      </c>
      <c r="K130" s="239">
        <v>0</v>
      </c>
      <c r="L130" s="239">
        <v>-583506</v>
      </c>
      <c r="M130" s="239">
        <v>0</v>
      </c>
      <c r="N130" s="239">
        <v>0</v>
      </c>
      <c r="O130" s="239">
        <v>0</v>
      </c>
      <c r="P130" s="239">
        <v>-652506.43000000005</v>
      </c>
      <c r="Q130" s="239">
        <v>0</v>
      </c>
      <c r="R130" s="239">
        <v>-652506.43000000005</v>
      </c>
      <c r="S130" s="239">
        <v>361067</v>
      </c>
      <c r="T130" s="239">
        <v>0</v>
      </c>
      <c r="U130" s="239">
        <v>361067</v>
      </c>
      <c r="V130" s="239">
        <v>-594005</v>
      </c>
      <c r="W130" s="239">
        <v>0</v>
      </c>
      <c r="X130" s="239">
        <v>-594005</v>
      </c>
      <c r="Y130" s="239">
        <v>78236811.569999993</v>
      </c>
      <c r="Z130" s="239">
        <v>0</v>
      </c>
      <c r="AA130" s="239">
        <v>78236811.569999993</v>
      </c>
      <c r="AB130" s="239">
        <v>0</v>
      </c>
      <c r="AC130" s="239">
        <v>0</v>
      </c>
      <c r="AD130" s="239">
        <v>0</v>
      </c>
      <c r="AE130" s="239">
        <v>0</v>
      </c>
      <c r="AF130" s="239">
        <v>0</v>
      </c>
      <c r="AG130" s="239">
        <v>0</v>
      </c>
      <c r="AH130" s="239">
        <v>0</v>
      </c>
      <c r="AI130" s="239">
        <v>0</v>
      </c>
      <c r="AJ130" s="239">
        <v>0</v>
      </c>
      <c r="AK130" s="239">
        <v>0</v>
      </c>
      <c r="AL130" s="239">
        <v>0</v>
      </c>
      <c r="AM130" s="239">
        <v>0</v>
      </c>
      <c r="AN130" s="239">
        <v>0</v>
      </c>
      <c r="AO130" s="239">
        <v>0</v>
      </c>
      <c r="AP130" s="239">
        <v>0</v>
      </c>
      <c r="AQ130" s="239">
        <v>0</v>
      </c>
      <c r="AR130" s="239">
        <v>0</v>
      </c>
      <c r="AS130" s="239">
        <v>0</v>
      </c>
      <c r="AT130" s="239">
        <v>0</v>
      </c>
      <c r="AU130" s="239">
        <v>0</v>
      </c>
      <c r="AV130" s="239">
        <v>0</v>
      </c>
      <c r="AW130" s="239">
        <v>0</v>
      </c>
      <c r="AX130" s="239">
        <v>0</v>
      </c>
      <c r="AY130" s="239">
        <v>0</v>
      </c>
      <c r="AZ130" s="239">
        <v>0</v>
      </c>
      <c r="BA130" s="239">
        <v>0</v>
      </c>
      <c r="BB130" s="239">
        <v>0</v>
      </c>
      <c r="BC130" s="239">
        <v>2739160</v>
      </c>
      <c r="BD130" s="239">
        <v>-4875219</v>
      </c>
      <c r="BE130" s="214" t="s">
        <v>342</v>
      </c>
      <c r="BF130" s="214" t="s">
        <v>788</v>
      </c>
      <c r="BG130" s="214" t="s">
        <v>747</v>
      </c>
      <c r="BH130" s="214" t="s">
        <v>1010</v>
      </c>
      <c r="BI130" s="214" t="s">
        <v>1010</v>
      </c>
      <c r="BJ130" s="214" t="s">
        <v>1159</v>
      </c>
    </row>
    <row r="131" spans="2:62" x14ac:dyDescent="0.2">
      <c r="B131" s="602" t="s">
        <v>345</v>
      </c>
      <c r="C131" s="602" t="s">
        <v>344</v>
      </c>
      <c r="D131" s="239">
        <v>46554170</v>
      </c>
      <c r="E131" s="239">
        <v>338891</v>
      </c>
      <c r="F131" s="239">
        <v>46893061</v>
      </c>
      <c r="G131" s="239">
        <v>0</v>
      </c>
      <c r="H131" s="239">
        <v>0</v>
      </c>
      <c r="I131" s="239">
        <v>0</v>
      </c>
      <c r="J131" s="239">
        <v>-198592</v>
      </c>
      <c r="K131" s="239">
        <v>0</v>
      </c>
      <c r="L131" s="239">
        <v>-198592</v>
      </c>
      <c r="M131" s="239">
        <v>0</v>
      </c>
      <c r="N131" s="239">
        <v>0</v>
      </c>
      <c r="O131" s="239">
        <v>0</v>
      </c>
      <c r="P131" s="239">
        <v>-201032</v>
      </c>
      <c r="Q131" s="239">
        <v>0</v>
      </c>
      <c r="R131" s="239">
        <v>-201032</v>
      </c>
      <c r="S131" s="239">
        <v>805086</v>
      </c>
      <c r="T131" s="239">
        <v>0</v>
      </c>
      <c r="U131" s="239">
        <v>805086</v>
      </c>
      <c r="V131" s="239">
        <v>-474643</v>
      </c>
      <c r="W131" s="239">
        <v>0</v>
      </c>
      <c r="X131" s="239">
        <v>-474643</v>
      </c>
      <c r="Y131" s="239">
        <v>46683581</v>
      </c>
      <c r="Z131" s="239">
        <v>338891</v>
      </c>
      <c r="AA131" s="239">
        <v>47022472</v>
      </c>
      <c r="AB131" s="239">
        <v>338891</v>
      </c>
      <c r="AC131" s="239">
        <v>338891</v>
      </c>
      <c r="AD131" s="239">
        <v>115445</v>
      </c>
      <c r="AE131" s="239">
        <v>0</v>
      </c>
      <c r="AF131" s="239">
        <v>115445</v>
      </c>
      <c r="AG131" s="239">
        <v>-27250</v>
      </c>
      <c r="AH131" s="239">
        <v>-27250</v>
      </c>
      <c r="AI131" s="239">
        <v>237033</v>
      </c>
      <c r="AJ131" s="239">
        <v>237033</v>
      </c>
      <c r="AK131" s="239">
        <v>74608</v>
      </c>
      <c r="AL131" s="239">
        <v>0</v>
      </c>
      <c r="AM131" s="239">
        <v>0</v>
      </c>
      <c r="AN131" s="239">
        <v>0</v>
      </c>
      <c r="AO131" s="239">
        <v>0</v>
      </c>
      <c r="AP131" s="239">
        <v>334593</v>
      </c>
      <c r="AQ131" s="239">
        <v>334593</v>
      </c>
      <c r="AR131" s="239">
        <v>0</v>
      </c>
      <c r="AS131" s="239">
        <v>0</v>
      </c>
      <c r="AT131" s="239">
        <v>0</v>
      </c>
      <c r="AU131" s="239">
        <v>0</v>
      </c>
      <c r="AV131" s="239">
        <v>0</v>
      </c>
      <c r="AW131" s="239">
        <v>0</v>
      </c>
      <c r="AX131" s="239">
        <v>0</v>
      </c>
      <c r="AY131" s="239">
        <v>0</v>
      </c>
      <c r="AZ131" s="239">
        <v>0</v>
      </c>
      <c r="BA131" s="239">
        <v>334593</v>
      </c>
      <c r="BB131" s="239">
        <v>334593</v>
      </c>
      <c r="BC131" s="239">
        <v>1460324</v>
      </c>
      <c r="BD131" s="239">
        <v>-1007060</v>
      </c>
      <c r="BE131" s="214" t="s">
        <v>906</v>
      </c>
      <c r="BF131" s="214" t="s">
        <v>746</v>
      </c>
      <c r="BG131" s="214" t="s">
        <v>749</v>
      </c>
      <c r="BH131" s="214" t="s">
        <v>1028</v>
      </c>
      <c r="BI131" s="214" t="s">
        <v>1010</v>
      </c>
      <c r="BJ131" s="214" t="s">
        <v>746</v>
      </c>
    </row>
    <row r="132" spans="2:62" x14ac:dyDescent="0.2">
      <c r="B132" s="602" t="s">
        <v>347</v>
      </c>
      <c r="C132" s="602" t="s">
        <v>346</v>
      </c>
      <c r="D132" s="239">
        <v>46403242</v>
      </c>
      <c r="E132" s="239">
        <v>0</v>
      </c>
      <c r="F132" s="239">
        <v>46403242</v>
      </c>
      <c r="G132" s="239">
        <v>0</v>
      </c>
      <c r="H132" s="239">
        <v>0</v>
      </c>
      <c r="I132" s="239">
        <v>0</v>
      </c>
      <c r="J132" s="239">
        <v>-55846</v>
      </c>
      <c r="K132" s="239">
        <v>0</v>
      </c>
      <c r="L132" s="239">
        <v>-55846</v>
      </c>
      <c r="M132" s="239">
        <v>0</v>
      </c>
      <c r="N132" s="239">
        <v>0</v>
      </c>
      <c r="O132" s="239">
        <v>0</v>
      </c>
      <c r="P132" s="239">
        <v>-146662</v>
      </c>
      <c r="Q132" s="239">
        <v>0</v>
      </c>
      <c r="R132" s="239">
        <v>-146662</v>
      </c>
      <c r="S132" s="239">
        <v>379658</v>
      </c>
      <c r="T132" s="239">
        <v>0</v>
      </c>
      <c r="U132" s="239">
        <v>379658</v>
      </c>
      <c r="V132" s="239">
        <v>-3639408</v>
      </c>
      <c r="W132" s="239">
        <v>0</v>
      </c>
      <c r="X132" s="239">
        <v>-3639408</v>
      </c>
      <c r="Y132" s="239">
        <v>42996830</v>
      </c>
      <c r="Z132" s="239">
        <v>0</v>
      </c>
      <c r="AA132" s="239">
        <v>42996830</v>
      </c>
      <c r="AB132" s="239">
        <v>0</v>
      </c>
      <c r="AC132" s="239">
        <v>0</v>
      </c>
      <c r="AD132" s="239">
        <v>0</v>
      </c>
      <c r="AE132" s="239">
        <v>0</v>
      </c>
      <c r="AF132" s="239">
        <v>0</v>
      </c>
      <c r="AG132" s="239">
        <v>0</v>
      </c>
      <c r="AH132" s="239">
        <v>0</v>
      </c>
      <c r="AI132" s="239">
        <v>0</v>
      </c>
      <c r="AJ132" s="239">
        <v>0</v>
      </c>
      <c r="AK132" s="239">
        <v>0</v>
      </c>
      <c r="AL132" s="239">
        <v>0</v>
      </c>
      <c r="AM132" s="239">
        <v>0</v>
      </c>
      <c r="AN132" s="239">
        <v>0</v>
      </c>
      <c r="AO132" s="239">
        <v>0</v>
      </c>
      <c r="AP132" s="239">
        <v>0</v>
      </c>
      <c r="AQ132" s="239">
        <v>0</v>
      </c>
      <c r="AR132" s="239">
        <v>0</v>
      </c>
      <c r="AS132" s="239">
        <v>0</v>
      </c>
      <c r="AT132" s="239">
        <v>0</v>
      </c>
      <c r="AU132" s="239">
        <v>0</v>
      </c>
      <c r="AV132" s="239">
        <v>0</v>
      </c>
      <c r="AW132" s="239">
        <v>0</v>
      </c>
      <c r="AX132" s="239">
        <v>0</v>
      </c>
      <c r="AY132" s="239">
        <v>0</v>
      </c>
      <c r="AZ132" s="239">
        <v>0</v>
      </c>
      <c r="BA132" s="239">
        <v>0</v>
      </c>
      <c r="BB132" s="239">
        <v>0</v>
      </c>
      <c r="BC132" s="239">
        <v>1072449</v>
      </c>
      <c r="BD132" s="239">
        <v>-2606717</v>
      </c>
      <c r="BE132" s="214" t="s">
        <v>346</v>
      </c>
      <c r="BF132" s="214" t="s">
        <v>801</v>
      </c>
      <c r="BG132" s="214" t="s">
        <v>761</v>
      </c>
      <c r="BH132" s="214" t="s">
        <v>1010</v>
      </c>
      <c r="BI132" s="214" t="s">
        <v>1010</v>
      </c>
      <c r="BJ132" s="214" t="s">
        <v>1158</v>
      </c>
    </row>
    <row r="133" spans="2:62" x14ac:dyDescent="0.2">
      <c r="B133" s="602" t="s">
        <v>349</v>
      </c>
      <c r="C133" s="602" t="s">
        <v>348</v>
      </c>
      <c r="D133" s="239">
        <v>23671140</v>
      </c>
      <c r="E133" s="239">
        <v>0</v>
      </c>
      <c r="F133" s="239">
        <v>23671140</v>
      </c>
      <c r="G133" s="239">
        <v>0</v>
      </c>
      <c r="H133" s="239">
        <v>0</v>
      </c>
      <c r="I133" s="239">
        <v>0</v>
      </c>
      <c r="J133" s="239">
        <v>-106591</v>
      </c>
      <c r="K133" s="239">
        <v>0</v>
      </c>
      <c r="L133" s="239">
        <v>-106591</v>
      </c>
      <c r="M133" s="239">
        <v>0</v>
      </c>
      <c r="N133" s="239">
        <v>0</v>
      </c>
      <c r="O133" s="239">
        <v>0</v>
      </c>
      <c r="P133" s="239">
        <v>-182046</v>
      </c>
      <c r="Q133" s="239">
        <v>0</v>
      </c>
      <c r="R133" s="239">
        <v>-182046</v>
      </c>
      <c r="S133" s="239">
        <v>1317587</v>
      </c>
      <c r="T133" s="239">
        <v>0</v>
      </c>
      <c r="U133" s="239">
        <v>1317587</v>
      </c>
      <c r="V133" s="239">
        <v>-1590569</v>
      </c>
      <c r="W133" s="239">
        <v>0</v>
      </c>
      <c r="X133" s="239">
        <v>-1590569</v>
      </c>
      <c r="Y133" s="239">
        <v>23216112</v>
      </c>
      <c r="Z133" s="239">
        <v>0</v>
      </c>
      <c r="AA133" s="239">
        <v>23216112</v>
      </c>
      <c r="AB133" s="239">
        <v>0</v>
      </c>
      <c r="AC133" s="239">
        <v>0</v>
      </c>
      <c r="AD133" s="239">
        <v>0</v>
      </c>
      <c r="AE133" s="239">
        <v>0</v>
      </c>
      <c r="AF133" s="239">
        <v>0</v>
      </c>
      <c r="AG133" s="239">
        <v>0</v>
      </c>
      <c r="AH133" s="239">
        <v>0</v>
      </c>
      <c r="AI133" s="239">
        <v>0</v>
      </c>
      <c r="AJ133" s="239">
        <v>0</v>
      </c>
      <c r="AK133" s="239">
        <v>0</v>
      </c>
      <c r="AL133" s="239">
        <v>0</v>
      </c>
      <c r="AM133" s="239">
        <v>0</v>
      </c>
      <c r="AN133" s="239">
        <v>0</v>
      </c>
      <c r="AO133" s="239">
        <v>0</v>
      </c>
      <c r="AP133" s="239">
        <v>0</v>
      </c>
      <c r="AQ133" s="239">
        <v>0</v>
      </c>
      <c r="AR133" s="239">
        <v>0</v>
      </c>
      <c r="AS133" s="239">
        <v>0</v>
      </c>
      <c r="AT133" s="239">
        <v>0</v>
      </c>
      <c r="AU133" s="239">
        <v>0</v>
      </c>
      <c r="AV133" s="239">
        <v>0</v>
      </c>
      <c r="AW133" s="239">
        <v>0</v>
      </c>
      <c r="AX133" s="239">
        <v>0</v>
      </c>
      <c r="AY133" s="239">
        <v>0</v>
      </c>
      <c r="AZ133" s="239">
        <v>0</v>
      </c>
      <c r="BA133" s="239">
        <v>0</v>
      </c>
      <c r="BB133" s="239">
        <v>0</v>
      </c>
      <c r="BC133" s="239">
        <v>1171530</v>
      </c>
      <c r="BD133" s="239">
        <v>-454494</v>
      </c>
      <c r="BE133" s="214" t="s">
        <v>348</v>
      </c>
      <c r="BF133" s="214" t="s">
        <v>856</v>
      </c>
      <c r="BG133" s="214" t="s">
        <v>854</v>
      </c>
      <c r="BH133" s="214" t="s">
        <v>1010</v>
      </c>
      <c r="BI133" s="214" t="s">
        <v>1010</v>
      </c>
      <c r="BJ133" s="214" t="s">
        <v>1158</v>
      </c>
    </row>
    <row r="134" spans="2:62" x14ac:dyDescent="0.2">
      <c r="B134" s="602" t="s">
        <v>351</v>
      </c>
      <c r="C134" s="602" t="s">
        <v>350</v>
      </c>
      <c r="D134" s="239">
        <v>375857743</v>
      </c>
      <c r="E134" s="239">
        <v>0</v>
      </c>
      <c r="F134" s="239">
        <v>375857743</v>
      </c>
      <c r="G134" s="239">
        <v>0</v>
      </c>
      <c r="H134" s="239">
        <v>0</v>
      </c>
      <c r="I134" s="239">
        <v>0</v>
      </c>
      <c r="J134" s="239">
        <v>-643022</v>
      </c>
      <c r="K134" s="239">
        <v>0</v>
      </c>
      <c r="L134" s="239">
        <v>-643022</v>
      </c>
      <c r="M134" s="239">
        <v>-609661</v>
      </c>
      <c r="N134" s="239">
        <v>0</v>
      </c>
      <c r="O134" s="239">
        <v>-609661</v>
      </c>
      <c r="P134" s="239">
        <v>517110</v>
      </c>
      <c r="Q134" s="239">
        <v>0</v>
      </c>
      <c r="R134" s="239">
        <v>517110</v>
      </c>
      <c r="S134" s="239">
        <v>1886424</v>
      </c>
      <c r="T134" s="239">
        <v>0</v>
      </c>
      <c r="U134" s="239">
        <v>1886424</v>
      </c>
      <c r="V134" s="239">
        <v>-2330405</v>
      </c>
      <c r="W134" s="239">
        <v>0</v>
      </c>
      <c r="X134" s="239">
        <v>-2330405</v>
      </c>
      <c r="Y134" s="239">
        <v>375321211</v>
      </c>
      <c r="Z134" s="239">
        <v>0</v>
      </c>
      <c r="AA134" s="239">
        <v>375321211</v>
      </c>
      <c r="AB134" s="239">
        <v>0</v>
      </c>
      <c r="AC134" s="239">
        <v>0</v>
      </c>
      <c r="AD134" s="239">
        <v>0</v>
      </c>
      <c r="AE134" s="239">
        <v>0</v>
      </c>
      <c r="AF134" s="239">
        <v>0</v>
      </c>
      <c r="AG134" s="239">
        <v>0</v>
      </c>
      <c r="AH134" s="239">
        <v>0</v>
      </c>
      <c r="AI134" s="239">
        <v>0</v>
      </c>
      <c r="AJ134" s="239">
        <v>0</v>
      </c>
      <c r="AK134" s="239">
        <v>0</v>
      </c>
      <c r="AL134" s="239">
        <v>0</v>
      </c>
      <c r="AM134" s="239">
        <v>0</v>
      </c>
      <c r="AN134" s="239">
        <v>0</v>
      </c>
      <c r="AO134" s="239">
        <v>0</v>
      </c>
      <c r="AP134" s="239">
        <v>0</v>
      </c>
      <c r="AQ134" s="239">
        <v>0</v>
      </c>
      <c r="AR134" s="239">
        <v>0</v>
      </c>
      <c r="AS134" s="239">
        <v>0</v>
      </c>
      <c r="AT134" s="239">
        <v>0</v>
      </c>
      <c r="AU134" s="239">
        <v>0</v>
      </c>
      <c r="AV134" s="239">
        <v>0</v>
      </c>
      <c r="AW134" s="239">
        <v>0</v>
      </c>
      <c r="AX134" s="239">
        <v>0</v>
      </c>
      <c r="AY134" s="239">
        <v>0</v>
      </c>
      <c r="AZ134" s="239">
        <v>0</v>
      </c>
      <c r="BA134" s="239">
        <v>0</v>
      </c>
      <c r="BB134" s="239">
        <v>0</v>
      </c>
      <c r="BC134" s="239">
        <v>9580618</v>
      </c>
      <c r="BD134" s="239">
        <v>-21579057</v>
      </c>
      <c r="BE134" s="214" t="s">
        <v>350</v>
      </c>
      <c r="BF134" s="214" t="s">
        <v>788</v>
      </c>
      <c r="BG134" s="214" t="s">
        <v>747</v>
      </c>
      <c r="BH134" s="214" t="s">
        <v>1010</v>
      </c>
      <c r="BI134" s="214" t="s">
        <v>1010</v>
      </c>
      <c r="BJ134" s="214" t="s">
        <v>1159</v>
      </c>
    </row>
    <row r="135" spans="2:62" x14ac:dyDescent="0.2">
      <c r="B135" s="602" t="s">
        <v>353</v>
      </c>
      <c r="C135" s="602" t="s">
        <v>352</v>
      </c>
      <c r="D135" s="239">
        <v>30598273</v>
      </c>
      <c r="E135" s="239">
        <v>1161411</v>
      </c>
      <c r="F135" s="239">
        <v>31759684</v>
      </c>
      <c r="G135" s="239">
        <v>0</v>
      </c>
      <c r="H135" s="239">
        <v>0</v>
      </c>
      <c r="I135" s="239">
        <v>0</v>
      </c>
      <c r="J135" s="239">
        <v>-197533</v>
      </c>
      <c r="K135" s="239">
        <v>0</v>
      </c>
      <c r="L135" s="239">
        <v>-197533</v>
      </c>
      <c r="M135" s="239">
        <v>-62025</v>
      </c>
      <c r="N135" s="239">
        <v>0</v>
      </c>
      <c r="O135" s="239">
        <v>-62025</v>
      </c>
      <c r="P135" s="239">
        <v>-44090</v>
      </c>
      <c r="Q135" s="239">
        <v>0</v>
      </c>
      <c r="R135" s="239">
        <v>-44090</v>
      </c>
      <c r="S135" s="239">
        <v>1483497</v>
      </c>
      <c r="T135" s="239">
        <v>0</v>
      </c>
      <c r="U135" s="239">
        <v>1483497</v>
      </c>
      <c r="V135" s="239">
        <v>-2128750</v>
      </c>
      <c r="W135" s="239">
        <v>0</v>
      </c>
      <c r="X135" s="239">
        <v>-2128750</v>
      </c>
      <c r="Y135" s="239">
        <v>29846905</v>
      </c>
      <c r="Z135" s="239">
        <v>1161411</v>
      </c>
      <c r="AA135" s="239">
        <v>31008316</v>
      </c>
      <c r="AB135" s="239">
        <v>1161411</v>
      </c>
      <c r="AC135" s="239">
        <v>1161411</v>
      </c>
      <c r="AD135" s="239">
        <v>131168</v>
      </c>
      <c r="AE135" s="239">
        <v>0</v>
      </c>
      <c r="AF135" s="239">
        <v>131168</v>
      </c>
      <c r="AG135" s="239">
        <v>-56227</v>
      </c>
      <c r="AH135" s="239">
        <v>-56227</v>
      </c>
      <c r="AI135" s="239">
        <v>843916</v>
      </c>
      <c r="AJ135" s="239">
        <v>843916</v>
      </c>
      <c r="AK135" s="239">
        <v>261268</v>
      </c>
      <c r="AL135" s="239">
        <v>0</v>
      </c>
      <c r="AM135" s="239">
        <v>0</v>
      </c>
      <c r="AN135" s="239">
        <v>0</v>
      </c>
      <c r="AO135" s="239">
        <v>0</v>
      </c>
      <c r="AP135" s="239">
        <v>256992</v>
      </c>
      <c r="AQ135" s="239">
        <v>256992</v>
      </c>
      <c r="AR135" s="239">
        <v>0</v>
      </c>
      <c r="AS135" s="239">
        <v>0</v>
      </c>
      <c r="AT135" s="239">
        <v>0</v>
      </c>
      <c r="AU135" s="239">
        <v>0</v>
      </c>
      <c r="AV135" s="239">
        <v>0</v>
      </c>
      <c r="AW135" s="239">
        <v>0</v>
      </c>
      <c r="AX135" s="239">
        <v>0</v>
      </c>
      <c r="AY135" s="239">
        <v>0</v>
      </c>
      <c r="AZ135" s="239">
        <v>0</v>
      </c>
      <c r="BA135" s="239">
        <v>256992</v>
      </c>
      <c r="BB135" s="239">
        <v>256992</v>
      </c>
      <c r="BC135" s="239">
        <v>171498</v>
      </c>
      <c r="BD135" s="239">
        <v>-267289</v>
      </c>
      <c r="BE135" s="214" t="s">
        <v>905</v>
      </c>
      <c r="BF135" s="214" t="s">
        <v>882</v>
      </c>
      <c r="BG135" s="214" t="s">
        <v>867</v>
      </c>
      <c r="BH135" s="214" t="s">
        <v>1029</v>
      </c>
      <c r="BI135" s="214" t="s">
        <v>1010</v>
      </c>
      <c r="BJ135" s="214" t="s">
        <v>1158</v>
      </c>
    </row>
    <row r="136" spans="2:62" x14ac:dyDescent="0.2">
      <c r="B136" s="602" t="s">
        <v>355</v>
      </c>
      <c r="C136" s="602" t="s">
        <v>354</v>
      </c>
      <c r="D136" s="239">
        <v>39527193</v>
      </c>
      <c r="E136" s="239">
        <v>0</v>
      </c>
      <c r="F136" s="239">
        <v>39527193</v>
      </c>
      <c r="G136" s="239">
        <v>0</v>
      </c>
      <c r="H136" s="239">
        <v>0</v>
      </c>
      <c r="I136" s="239">
        <v>0</v>
      </c>
      <c r="J136" s="239">
        <v>-666714</v>
      </c>
      <c r="K136" s="239">
        <v>0</v>
      </c>
      <c r="L136" s="239">
        <v>-666714</v>
      </c>
      <c r="M136" s="239">
        <v>0</v>
      </c>
      <c r="N136" s="239">
        <v>0</v>
      </c>
      <c r="O136" s="239">
        <v>0</v>
      </c>
      <c r="P136" s="239">
        <v>-111729</v>
      </c>
      <c r="Q136" s="239">
        <v>0</v>
      </c>
      <c r="R136" s="239">
        <v>-111729</v>
      </c>
      <c r="S136" s="239">
        <v>2202986</v>
      </c>
      <c r="T136" s="239">
        <v>0</v>
      </c>
      <c r="U136" s="239">
        <v>2202986</v>
      </c>
      <c r="V136" s="239">
        <v>-1494575</v>
      </c>
      <c r="W136" s="239">
        <v>0</v>
      </c>
      <c r="X136" s="239">
        <v>-1494575</v>
      </c>
      <c r="Y136" s="239">
        <v>40123875</v>
      </c>
      <c r="Z136" s="239">
        <v>0</v>
      </c>
      <c r="AA136" s="239">
        <v>40123875</v>
      </c>
      <c r="AB136" s="239">
        <v>0</v>
      </c>
      <c r="AC136" s="239">
        <v>0</v>
      </c>
      <c r="AD136" s="239">
        <v>0</v>
      </c>
      <c r="AE136" s="239">
        <v>0</v>
      </c>
      <c r="AF136" s="239">
        <v>0</v>
      </c>
      <c r="AG136" s="239">
        <v>0</v>
      </c>
      <c r="AH136" s="239">
        <v>0</v>
      </c>
      <c r="AI136" s="239">
        <v>0</v>
      </c>
      <c r="AJ136" s="239">
        <v>0</v>
      </c>
      <c r="AK136" s="239">
        <v>0</v>
      </c>
      <c r="AL136" s="239">
        <v>0</v>
      </c>
      <c r="AM136" s="239">
        <v>0</v>
      </c>
      <c r="AN136" s="239">
        <v>0</v>
      </c>
      <c r="AO136" s="239">
        <v>0</v>
      </c>
      <c r="AP136" s="239">
        <v>0</v>
      </c>
      <c r="AQ136" s="239">
        <v>0</v>
      </c>
      <c r="AR136" s="239">
        <v>0</v>
      </c>
      <c r="AS136" s="239">
        <v>0</v>
      </c>
      <c r="AT136" s="239">
        <v>0</v>
      </c>
      <c r="AU136" s="239">
        <v>0</v>
      </c>
      <c r="AV136" s="239">
        <v>0</v>
      </c>
      <c r="AW136" s="239">
        <v>0</v>
      </c>
      <c r="AX136" s="239">
        <v>0</v>
      </c>
      <c r="AY136" s="239">
        <v>0</v>
      </c>
      <c r="AZ136" s="239">
        <v>0</v>
      </c>
      <c r="BA136" s="239">
        <v>0</v>
      </c>
      <c r="BB136" s="239">
        <v>0</v>
      </c>
      <c r="BC136" s="239">
        <v>1914680</v>
      </c>
      <c r="BD136" s="239">
        <v>-2500490</v>
      </c>
      <c r="BE136" s="214" t="s">
        <v>354</v>
      </c>
      <c r="BF136" s="214" t="s">
        <v>762</v>
      </c>
      <c r="BG136" s="214" t="s">
        <v>761</v>
      </c>
      <c r="BH136" s="214" t="s">
        <v>1010</v>
      </c>
      <c r="BI136" s="214" t="s">
        <v>1010</v>
      </c>
      <c r="BJ136" s="214" t="s">
        <v>1158</v>
      </c>
    </row>
    <row r="137" spans="2:62" x14ac:dyDescent="0.2">
      <c r="B137" s="602" t="s">
        <v>357</v>
      </c>
      <c r="C137" s="602" t="s">
        <v>356</v>
      </c>
      <c r="D137" s="239">
        <v>178437770</v>
      </c>
      <c r="E137" s="239">
        <v>0</v>
      </c>
      <c r="F137" s="239">
        <v>178437770</v>
      </c>
      <c r="G137" s="239">
        <v>0</v>
      </c>
      <c r="H137" s="239">
        <v>0</v>
      </c>
      <c r="I137" s="239">
        <v>0</v>
      </c>
      <c r="J137" s="239">
        <v>834323</v>
      </c>
      <c r="K137" s="239">
        <v>0</v>
      </c>
      <c r="L137" s="239">
        <v>834323</v>
      </c>
      <c r="M137" s="239">
        <v>0</v>
      </c>
      <c r="N137" s="239">
        <v>0</v>
      </c>
      <c r="O137" s="239">
        <v>0</v>
      </c>
      <c r="P137" s="239">
        <v>1734323</v>
      </c>
      <c r="Q137" s="239">
        <v>0</v>
      </c>
      <c r="R137" s="239">
        <v>1734323</v>
      </c>
      <c r="S137" s="239">
        <v>11433612</v>
      </c>
      <c r="T137" s="239">
        <v>0</v>
      </c>
      <c r="U137" s="239">
        <v>11433612</v>
      </c>
      <c r="V137" s="239">
        <v>1466388</v>
      </c>
      <c r="W137" s="239">
        <v>0</v>
      </c>
      <c r="X137" s="239">
        <v>1466388</v>
      </c>
      <c r="Y137" s="239">
        <v>193072093</v>
      </c>
      <c r="Z137" s="239">
        <v>0</v>
      </c>
      <c r="AA137" s="239">
        <v>193072093</v>
      </c>
      <c r="AB137" s="239">
        <v>0</v>
      </c>
      <c r="AC137" s="239">
        <v>0</v>
      </c>
      <c r="AD137" s="239">
        <v>0</v>
      </c>
      <c r="AE137" s="239">
        <v>0</v>
      </c>
      <c r="AF137" s="239">
        <v>0</v>
      </c>
      <c r="AG137" s="239">
        <v>0</v>
      </c>
      <c r="AH137" s="239">
        <v>0</v>
      </c>
      <c r="AI137" s="239">
        <v>0</v>
      </c>
      <c r="AJ137" s="239">
        <v>0</v>
      </c>
      <c r="AK137" s="239">
        <v>0</v>
      </c>
      <c r="AL137" s="239">
        <v>0</v>
      </c>
      <c r="AM137" s="239">
        <v>0</v>
      </c>
      <c r="AN137" s="239">
        <v>0</v>
      </c>
      <c r="AO137" s="239">
        <v>0</v>
      </c>
      <c r="AP137" s="239">
        <v>0</v>
      </c>
      <c r="AQ137" s="239">
        <v>0</v>
      </c>
      <c r="AR137" s="239">
        <v>0</v>
      </c>
      <c r="AS137" s="239">
        <v>0</v>
      </c>
      <c r="AT137" s="239">
        <v>0</v>
      </c>
      <c r="AU137" s="239">
        <v>0</v>
      </c>
      <c r="AV137" s="239">
        <v>0</v>
      </c>
      <c r="AW137" s="239">
        <v>0</v>
      </c>
      <c r="AX137" s="239">
        <v>0</v>
      </c>
      <c r="AY137" s="239">
        <v>0</v>
      </c>
      <c r="AZ137" s="239">
        <v>0</v>
      </c>
      <c r="BA137" s="239">
        <v>0</v>
      </c>
      <c r="BB137" s="239">
        <v>0</v>
      </c>
      <c r="BC137" s="239">
        <v>7859744</v>
      </c>
      <c r="BD137" s="239">
        <v>-7526336</v>
      </c>
      <c r="BE137" s="214" t="s">
        <v>356</v>
      </c>
      <c r="BF137" s="214" t="s">
        <v>788</v>
      </c>
      <c r="BG137" s="214" t="s">
        <v>747</v>
      </c>
      <c r="BH137" s="214" t="s">
        <v>1010</v>
      </c>
      <c r="BI137" s="214" t="s">
        <v>1010</v>
      </c>
      <c r="BJ137" s="214" t="s">
        <v>1159</v>
      </c>
    </row>
    <row r="138" spans="2:62" x14ac:dyDescent="0.2">
      <c r="B138" s="602" t="s">
        <v>359</v>
      </c>
      <c r="C138" s="602" t="s">
        <v>358</v>
      </c>
      <c r="D138" s="239">
        <v>56900368</v>
      </c>
      <c r="E138" s="239">
        <v>504848</v>
      </c>
      <c r="F138" s="239">
        <v>57405216</v>
      </c>
      <c r="G138" s="239">
        <v>0</v>
      </c>
      <c r="H138" s="239">
        <v>0</v>
      </c>
      <c r="I138" s="239">
        <v>0</v>
      </c>
      <c r="J138" s="239">
        <v>-115955</v>
      </c>
      <c r="K138" s="239">
        <v>0</v>
      </c>
      <c r="L138" s="239">
        <v>-115955</v>
      </c>
      <c r="M138" s="239">
        <v>0</v>
      </c>
      <c r="N138" s="239">
        <v>0</v>
      </c>
      <c r="O138" s="239">
        <v>0</v>
      </c>
      <c r="P138" s="239">
        <v>146935</v>
      </c>
      <c r="Q138" s="239">
        <v>0</v>
      </c>
      <c r="R138" s="239">
        <v>146935</v>
      </c>
      <c r="S138" s="239">
        <v>2132778</v>
      </c>
      <c r="T138" s="239">
        <v>0</v>
      </c>
      <c r="U138" s="239">
        <v>2132778</v>
      </c>
      <c r="V138" s="239">
        <v>-2901415</v>
      </c>
      <c r="W138" s="239">
        <v>0</v>
      </c>
      <c r="X138" s="239">
        <v>-2901415</v>
      </c>
      <c r="Y138" s="239">
        <v>56278666</v>
      </c>
      <c r="Z138" s="239">
        <v>504848</v>
      </c>
      <c r="AA138" s="239">
        <v>56783514</v>
      </c>
      <c r="AB138" s="239">
        <v>504848</v>
      </c>
      <c r="AC138" s="239">
        <v>504848</v>
      </c>
      <c r="AD138" s="239">
        <v>881438</v>
      </c>
      <c r="AE138" s="239">
        <v>0</v>
      </c>
      <c r="AF138" s="239">
        <v>881438</v>
      </c>
      <c r="AG138" s="239">
        <v>32542</v>
      </c>
      <c r="AH138" s="239">
        <v>32542</v>
      </c>
      <c r="AI138" s="239">
        <v>735767</v>
      </c>
      <c r="AJ138" s="239">
        <v>735767</v>
      </c>
      <c r="AK138" s="239">
        <v>0</v>
      </c>
      <c r="AL138" s="239">
        <v>0</v>
      </c>
      <c r="AM138" s="239">
        <v>0</v>
      </c>
      <c r="AN138" s="239">
        <v>0</v>
      </c>
      <c r="AO138" s="239">
        <v>0</v>
      </c>
      <c r="AP138" s="239">
        <v>303205</v>
      </c>
      <c r="AQ138" s="239">
        <v>303205</v>
      </c>
      <c r="AR138" s="239">
        <v>57905527</v>
      </c>
      <c r="AS138" s="239">
        <v>57905527</v>
      </c>
      <c r="AT138" s="239">
        <v>60215052</v>
      </c>
      <c r="AU138" s="239">
        <v>60215052</v>
      </c>
      <c r="AV138" s="239">
        <v>0</v>
      </c>
      <c r="AW138" s="239">
        <v>0</v>
      </c>
      <c r="AX138" s="239">
        <v>0</v>
      </c>
      <c r="AY138" s="239">
        <v>0</v>
      </c>
      <c r="AZ138" s="239">
        <v>0</v>
      </c>
      <c r="BA138" s="239">
        <v>303205</v>
      </c>
      <c r="BB138" s="239">
        <v>303205</v>
      </c>
      <c r="BC138" s="239">
        <v>929512</v>
      </c>
      <c r="BD138" s="239">
        <v>-1334926</v>
      </c>
      <c r="BE138" s="214" t="s">
        <v>358</v>
      </c>
      <c r="BF138" s="214" t="s">
        <v>860</v>
      </c>
      <c r="BG138" s="214" t="s">
        <v>858</v>
      </c>
      <c r="BH138" s="214" t="s">
        <v>1030</v>
      </c>
      <c r="BI138" s="214" t="s">
        <v>1010</v>
      </c>
      <c r="BJ138" s="214" t="s">
        <v>1158</v>
      </c>
    </row>
    <row r="139" spans="2:62" x14ac:dyDescent="0.2">
      <c r="B139" s="602" t="s">
        <v>361</v>
      </c>
      <c r="C139" s="602" t="s">
        <v>360</v>
      </c>
      <c r="D139" s="239">
        <v>19883556</v>
      </c>
      <c r="E139" s="239">
        <v>0</v>
      </c>
      <c r="F139" s="239">
        <v>19883556</v>
      </c>
      <c r="G139" s="239">
        <v>0</v>
      </c>
      <c r="H139" s="239">
        <v>0</v>
      </c>
      <c r="I139" s="239">
        <v>0</v>
      </c>
      <c r="J139" s="239">
        <v>-1145044</v>
      </c>
      <c r="K139" s="239">
        <v>0</v>
      </c>
      <c r="L139" s="239">
        <v>-1145044</v>
      </c>
      <c r="M139" s="239">
        <v>0</v>
      </c>
      <c r="N139" s="239">
        <v>0</v>
      </c>
      <c r="O139" s="239">
        <v>0</v>
      </c>
      <c r="P139" s="239">
        <v>-491915</v>
      </c>
      <c r="Q139" s="239">
        <v>0</v>
      </c>
      <c r="R139" s="239">
        <v>-491915</v>
      </c>
      <c r="S139" s="239">
        <v>573054</v>
      </c>
      <c r="T139" s="239">
        <v>0</v>
      </c>
      <c r="U139" s="239">
        <v>573054</v>
      </c>
      <c r="V139" s="239">
        <v>-691418</v>
      </c>
      <c r="W139" s="239">
        <v>0</v>
      </c>
      <c r="X139" s="239">
        <v>-691418</v>
      </c>
      <c r="Y139" s="239">
        <v>19273277</v>
      </c>
      <c r="Z139" s="239">
        <v>0</v>
      </c>
      <c r="AA139" s="239">
        <v>19273277</v>
      </c>
      <c r="AB139" s="239">
        <v>0</v>
      </c>
      <c r="AC139" s="239">
        <v>0</v>
      </c>
      <c r="AD139" s="239">
        <v>0</v>
      </c>
      <c r="AE139" s="239">
        <v>0</v>
      </c>
      <c r="AF139" s="239">
        <v>0</v>
      </c>
      <c r="AG139" s="239">
        <v>0</v>
      </c>
      <c r="AH139" s="239">
        <v>0</v>
      </c>
      <c r="AI139" s="239">
        <v>0</v>
      </c>
      <c r="AJ139" s="239">
        <v>0</v>
      </c>
      <c r="AK139" s="239">
        <v>0</v>
      </c>
      <c r="AL139" s="239">
        <v>0</v>
      </c>
      <c r="AM139" s="239">
        <v>0</v>
      </c>
      <c r="AN139" s="239">
        <v>0</v>
      </c>
      <c r="AO139" s="239">
        <v>0</v>
      </c>
      <c r="AP139" s="239">
        <v>0</v>
      </c>
      <c r="AQ139" s="239">
        <v>0</v>
      </c>
      <c r="AR139" s="239">
        <v>0</v>
      </c>
      <c r="AS139" s="239">
        <v>0</v>
      </c>
      <c r="AT139" s="239">
        <v>0</v>
      </c>
      <c r="AU139" s="239">
        <v>0</v>
      </c>
      <c r="AV139" s="239">
        <v>0</v>
      </c>
      <c r="AW139" s="239">
        <v>0</v>
      </c>
      <c r="AX139" s="239">
        <v>0</v>
      </c>
      <c r="AY139" s="239">
        <v>0</v>
      </c>
      <c r="AZ139" s="239">
        <v>0</v>
      </c>
      <c r="BA139" s="239">
        <v>0</v>
      </c>
      <c r="BB139" s="239">
        <v>0</v>
      </c>
      <c r="BC139" s="239">
        <v>3434896</v>
      </c>
      <c r="BD139" s="239">
        <v>-1159552</v>
      </c>
      <c r="BE139" s="214" t="s">
        <v>360</v>
      </c>
      <c r="BF139" s="214" t="s">
        <v>755</v>
      </c>
      <c r="BG139" s="214" t="s">
        <v>753</v>
      </c>
      <c r="BH139" s="214" t="s">
        <v>1010</v>
      </c>
      <c r="BI139" s="214" t="s">
        <v>1010</v>
      </c>
      <c r="BJ139" s="214" t="s">
        <v>1158</v>
      </c>
    </row>
    <row r="140" spans="2:62" x14ac:dyDescent="0.2">
      <c r="B140" s="602" t="s">
        <v>363</v>
      </c>
      <c r="C140" s="602" t="s">
        <v>362</v>
      </c>
      <c r="D140" s="239">
        <v>53394491</v>
      </c>
      <c r="E140" s="239">
        <v>184366</v>
      </c>
      <c r="F140" s="239">
        <v>53578857</v>
      </c>
      <c r="G140" s="239">
        <v>0</v>
      </c>
      <c r="H140" s="239">
        <v>0</v>
      </c>
      <c r="I140" s="239">
        <v>0</v>
      </c>
      <c r="J140" s="239">
        <v>-385301</v>
      </c>
      <c r="K140" s="239">
        <v>0</v>
      </c>
      <c r="L140" s="239">
        <v>-385301</v>
      </c>
      <c r="M140" s="239">
        <v>0</v>
      </c>
      <c r="N140" s="239">
        <v>0</v>
      </c>
      <c r="O140" s="239">
        <v>0</v>
      </c>
      <c r="P140" s="239">
        <v>-495237</v>
      </c>
      <c r="Q140" s="239">
        <v>0</v>
      </c>
      <c r="R140" s="239">
        <v>-495237</v>
      </c>
      <c r="S140" s="239">
        <v>2062342</v>
      </c>
      <c r="T140" s="239">
        <v>0</v>
      </c>
      <c r="U140" s="239">
        <v>2062342</v>
      </c>
      <c r="V140" s="239">
        <v>-1352724</v>
      </c>
      <c r="W140" s="239">
        <v>0</v>
      </c>
      <c r="X140" s="239">
        <v>-1352724</v>
      </c>
      <c r="Y140" s="239">
        <v>53608872</v>
      </c>
      <c r="Z140" s="239">
        <v>184366</v>
      </c>
      <c r="AA140" s="239">
        <v>53793238</v>
      </c>
      <c r="AB140" s="239">
        <v>184366</v>
      </c>
      <c r="AC140" s="239">
        <v>184366</v>
      </c>
      <c r="AD140" s="239">
        <v>2597</v>
      </c>
      <c r="AE140" s="239">
        <v>0</v>
      </c>
      <c r="AF140" s="239">
        <v>2597</v>
      </c>
      <c r="AG140" s="239">
        <v>956</v>
      </c>
      <c r="AH140" s="239">
        <v>956</v>
      </c>
      <c r="AI140" s="239">
        <v>192558</v>
      </c>
      <c r="AJ140" s="239">
        <v>192558</v>
      </c>
      <c r="AK140" s="239">
        <v>0</v>
      </c>
      <c r="AL140" s="239">
        <v>0</v>
      </c>
      <c r="AM140" s="239">
        <v>0</v>
      </c>
      <c r="AN140" s="239">
        <v>0</v>
      </c>
      <c r="AO140" s="239">
        <v>0</v>
      </c>
      <c r="AP140" s="239">
        <v>6979</v>
      </c>
      <c r="AQ140" s="239">
        <v>6979</v>
      </c>
      <c r="AR140" s="239">
        <v>0</v>
      </c>
      <c r="AS140" s="239">
        <v>0</v>
      </c>
      <c r="AT140" s="239">
        <v>0</v>
      </c>
      <c r="AU140" s="239">
        <v>0</v>
      </c>
      <c r="AV140" s="239">
        <v>0</v>
      </c>
      <c r="AW140" s="239">
        <v>0</v>
      </c>
      <c r="AX140" s="239">
        <v>0</v>
      </c>
      <c r="AY140" s="239">
        <v>0</v>
      </c>
      <c r="AZ140" s="239">
        <v>0</v>
      </c>
      <c r="BA140" s="239">
        <v>6979</v>
      </c>
      <c r="BB140" s="239">
        <v>6979</v>
      </c>
      <c r="BC140" s="239">
        <v>1641940</v>
      </c>
      <c r="BD140" s="239">
        <v>-304665</v>
      </c>
      <c r="BE140" s="214" t="s">
        <v>362</v>
      </c>
      <c r="BF140" s="214" t="s">
        <v>809</v>
      </c>
      <c r="BG140" s="214" t="s">
        <v>761</v>
      </c>
      <c r="BH140" s="214" t="s">
        <v>1010</v>
      </c>
      <c r="BI140" s="214" t="s">
        <v>1010</v>
      </c>
      <c r="BJ140" s="214" t="s">
        <v>1158</v>
      </c>
    </row>
    <row r="141" spans="2:62" x14ac:dyDescent="0.2">
      <c r="B141" s="602" t="s">
        <v>365</v>
      </c>
      <c r="C141" s="602" t="s">
        <v>364</v>
      </c>
      <c r="D141" s="239">
        <v>35696580</v>
      </c>
      <c r="E141" s="239">
        <v>0</v>
      </c>
      <c r="F141" s="239">
        <v>35696580</v>
      </c>
      <c r="G141" s="239">
        <v>0</v>
      </c>
      <c r="H141" s="239">
        <v>0</v>
      </c>
      <c r="I141" s="239">
        <v>0</v>
      </c>
      <c r="J141" s="239">
        <v>-274231</v>
      </c>
      <c r="K141" s="239">
        <v>0</v>
      </c>
      <c r="L141" s="239">
        <v>-274231</v>
      </c>
      <c r="M141" s="239">
        <v>0</v>
      </c>
      <c r="N141" s="239">
        <v>0</v>
      </c>
      <c r="O141" s="239">
        <v>0</v>
      </c>
      <c r="P141" s="239">
        <v>-251044</v>
      </c>
      <c r="Q141" s="239">
        <v>0</v>
      </c>
      <c r="R141" s="239">
        <v>-251044</v>
      </c>
      <c r="S141" s="239">
        <v>1233344</v>
      </c>
      <c r="T141" s="239">
        <v>0</v>
      </c>
      <c r="U141" s="239">
        <v>1233344</v>
      </c>
      <c r="V141" s="239">
        <v>-3278471</v>
      </c>
      <c r="W141" s="239">
        <v>0</v>
      </c>
      <c r="X141" s="239">
        <v>-3278471</v>
      </c>
      <c r="Y141" s="239">
        <v>33400409</v>
      </c>
      <c r="Z141" s="239">
        <v>0</v>
      </c>
      <c r="AA141" s="239">
        <v>33400409</v>
      </c>
      <c r="AB141" s="239">
        <v>0</v>
      </c>
      <c r="AC141" s="239">
        <v>0</v>
      </c>
      <c r="AD141" s="239">
        <v>270954</v>
      </c>
      <c r="AE141" s="239">
        <v>0</v>
      </c>
      <c r="AF141" s="239">
        <v>270954</v>
      </c>
      <c r="AG141" s="239">
        <v>0</v>
      </c>
      <c r="AH141" s="239">
        <v>0</v>
      </c>
      <c r="AI141" s="239">
        <v>0</v>
      </c>
      <c r="AJ141" s="239">
        <v>0</v>
      </c>
      <c r="AK141" s="239">
        <v>0</v>
      </c>
      <c r="AL141" s="239">
        <v>0</v>
      </c>
      <c r="AM141" s="239">
        <v>0</v>
      </c>
      <c r="AN141" s="239">
        <v>0</v>
      </c>
      <c r="AO141" s="239">
        <v>0</v>
      </c>
      <c r="AP141" s="239">
        <v>0</v>
      </c>
      <c r="AQ141" s="239">
        <v>0</v>
      </c>
      <c r="AR141" s="239">
        <v>0</v>
      </c>
      <c r="AS141" s="239">
        <v>0</v>
      </c>
      <c r="AT141" s="239">
        <v>0</v>
      </c>
      <c r="AU141" s="239">
        <v>0</v>
      </c>
      <c r="AV141" s="239">
        <v>0</v>
      </c>
      <c r="AW141" s="239">
        <v>0</v>
      </c>
      <c r="AX141" s="239">
        <v>0</v>
      </c>
      <c r="AY141" s="239">
        <v>0</v>
      </c>
      <c r="AZ141" s="239">
        <v>0</v>
      </c>
      <c r="BA141" s="239">
        <v>0</v>
      </c>
      <c r="BB141" s="239">
        <v>0</v>
      </c>
      <c r="BC141" s="239">
        <v>1101312</v>
      </c>
      <c r="BD141" s="239">
        <v>-872086</v>
      </c>
      <c r="BE141" s="214" t="s">
        <v>904</v>
      </c>
      <c r="BF141" s="214" t="s">
        <v>746</v>
      </c>
      <c r="BG141" s="214" t="s">
        <v>761</v>
      </c>
      <c r="BH141" s="214" t="s">
        <v>1010</v>
      </c>
      <c r="BI141" s="214" t="s">
        <v>1010</v>
      </c>
      <c r="BJ141" s="214" t="s">
        <v>746</v>
      </c>
    </row>
    <row r="142" spans="2:62" x14ac:dyDescent="0.2">
      <c r="B142" s="602" t="s">
        <v>367</v>
      </c>
      <c r="C142" s="602" t="s">
        <v>366</v>
      </c>
      <c r="D142" s="239">
        <v>1531313</v>
      </c>
      <c r="E142" s="239">
        <v>0</v>
      </c>
      <c r="F142" s="239">
        <v>1531313</v>
      </c>
      <c r="G142" s="239">
        <v>0</v>
      </c>
      <c r="H142" s="239">
        <v>0</v>
      </c>
      <c r="I142" s="239">
        <v>0</v>
      </c>
      <c r="J142" s="239">
        <v>-1</v>
      </c>
      <c r="K142" s="239">
        <v>0</v>
      </c>
      <c r="L142" s="239">
        <v>-1</v>
      </c>
      <c r="M142" s="239">
        <v>0</v>
      </c>
      <c r="N142" s="239">
        <v>0</v>
      </c>
      <c r="O142" s="239">
        <v>0</v>
      </c>
      <c r="P142" s="239">
        <v>-13349</v>
      </c>
      <c r="Q142" s="239">
        <v>0</v>
      </c>
      <c r="R142" s="239">
        <v>-13349</v>
      </c>
      <c r="S142" s="239">
        <v>0</v>
      </c>
      <c r="T142" s="239">
        <v>0</v>
      </c>
      <c r="U142" s="239">
        <v>0</v>
      </c>
      <c r="V142" s="239">
        <v>-58521</v>
      </c>
      <c r="W142" s="239">
        <v>0</v>
      </c>
      <c r="X142" s="239">
        <v>-58521</v>
      </c>
      <c r="Y142" s="239">
        <v>1459443</v>
      </c>
      <c r="Z142" s="239">
        <v>0</v>
      </c>
      <c r="AA142" s="239">
        <v>1459443</v>
      </c>
      <c r="AB142" s="239">
        <v>0</v>
      </c>
      <c r="AC142" s="239">
        <v>0</v>
      </c>
      <c r="AD142" s="239">
        <v>0</v>
      </c>
      <c r="AE142" s="239">
        <v>0</v>
      </c>
      <c r="AF142" s="239">
        <v>0</v>
      </c>
      <c r="AG142" s="239">
        <v>0</v>
      </c>
      <c r="AH142" s="239">
        <v>0</v>
      </c>
      <c r="AI142" s="239">
        <v>0</v>
      </c>
      <c r="AJ142" s="239">
        <v>0</v>
      </c>
      <c r="AK142" s="239">
        <v>0</v>
      </c>
      <c r="AL142" s="239">
        <v>0</v>
      </c>
      <c r="AM142" s="239">
        <v>0</v>
      </c>
      <c r="AN142" s="239">
        <v>0</v>
      </c>
      <c r="AO142" s="239">
        <v>0</v>
      </c>
      <c r="AP142" s="239">
        <v>0</v>
      </c>
      <c r="AQ142" s="239">
        <v>0</v>
      </c>
      <c r="AR142" s="239">
        <v>0</v>
      </c>
      <c r="AS142" s="239">
        <v>0</v>
      </c>
      <c r="AT142" s="239">
        <v>0</v>
      </c>
      <c r="AU142" s="239">
        <v>0</v>
      </c>
      <c r="AV142" s="239">
        <v>0</v>
      </c>
      <c r="AW142" s="239">
        <v>0</v>
      </c>
      <c r="AX142" s="239">
        <v>0</v>
      </c>
      <c r="AY142" s="239">
        <v>0</v>
      </c>
      <c r="AZ142" s="239">
        <v>0</v>
      </c>
      <c r="BA142" s="239">
        <v>0</v>
      </c>
      <c r="BB142" s="239">
        <v>0</v>
      </c>
      <c r="BC142" s="239">
        <v>105161</v>
      </c>
      <c r="BD142" s="239">
        <v>-9836</v>
      </c>
      <c r="BE142" s="214" t="s">
        <v>366</v>
      </c>
      <c r="BF142" s="214" t="s">
        <v>746</v>
      </c>
      <c r="BG142" s="214" t="s">
        <v>761</v>
      </c>
      <c r="BH142" s="214" t="s">
        <v>1010</v>
      </c>
      <c r="BI142" s="214" t="s">
        <v>1010</v>
      </c>
      <c r="BJ142" s="214" t="s">
        <v>746</v>
      </c>
    </row>
    <row r="143" spans="2:62" x14ac:dyDescent="0.2">
      <c r="B143" s="602" t="s">
        <v>369</v>
      </c>
      <c r="C143" s="602" t="s">
        <v>368</v>
      </c>
      <c r="D143" s="239">
        <v>246193125</v>
      </c>
      <c r="E143" s="239">
        <v>0</v>
      </c>
      <c r="F143" s="239">
        <v>246193125</v>
      </c>
      <c r="G143" s="239">
        <v>0</v>
      </c>
      <c r="H143" s="239">
        <v>0</v>
      </c>
      <c r="I143" s="239">
        <v>0</v>
      </c>
      <c r="J143" s="239">
        <v>-1929276</v>
      </c>
      <c r="K143" s="239">
        <v>0</v>
      </c>
      <c r="L143" s="239">
        <v>-1929276</v>
      </c>
      <c r="M143" s="239">
        <v>-33135</v>
      </c>
      <c r="N143" s="239">
        <v>0</v>
      </c>
      <c r="O143" s="239">
        <v>-33135</v>
      </c>
      <c r="P143" s="239">
        <v>-4246739</v>
      </c>
      <c r="Q143" s="239">
        <v>0</v>
      </c>
      <c r="R143" s="239">
        <v>-4246739</v>
      </c>
      <c r="S143" s="239">
        <v>10883000</v>
      </c>
      <c r="T143" s="239">
        <v>0</v>
      </c>
      <c r="U143" s="239">
        <v>10883000</v>
      </c>
      <c r="V143" s="239">
        <v>-12385964</v>
      </c>
      <c r="W143" s="239">
        <v>0</v>
      </c>
      <c r="X143" s="239">
        <v>-12385964</v>
      </c>
      <c r="Y143" s="239">
        <v>240410287</v>
      </c>
      <c r="Z143" s="239">
        <v>0</v>
      </c>
      <c r="AA143" s="239">
        <v>240410287</v>
      </c>
      <c r="AB143" s="239">
        <v>0</v>
      </c>
      <c r="AC143" s="239">
        <v>0</v>
      </c>
      <c r="AD143" s="239">
        <v>74351</v>
      </c>
      <c r="AE143" s="239">
        <v>0</v>
      </c>
      <c r="AF143" s="239">
        <v>74351</v>
      </c>
      <c r="AG143" s="239">
        <v>0</v>
      </c>
      <c r="AH143" s="239">
        <v>0</v>
      </c>
      <c r="AI143" s="239">
        <v>0</v>
      </c>
      <c r="AJ143" s="239">
        <v>0</v>
      </c>
      <c r="AK143" s="239">
        <v>0</v>
      </c>
      <c r="AL143" s="239">
        <v>0</v>
      </c>
      <c r="AM143" s="239">
        <v>0</v>
      </c>
      <c r="AN143" s="239">
        <v>0</v>
      </c>
      <c r="AO143" s="239">
        <v>0</v>
      </c>
      <c r="AP143" s="239">
        <v>0</v>
      </c>
      <c r="AQ143" s="239">
        <v>0</v>
      </c>
      <c r="AR143" s="239">
        <v>0</v>
      </c>
      <c r="AS143" s="239">
        <v>0</v>
      </c>
      <c r="AT143" s="239">
        <v>0</v>
      </c>
      <c r="AU143" s="239">
        <v>0</v>
      </c>
      <c r="AV143" s="239">
        <v>0</v>
      </c>
      <c r="AW143" s="239">
        <v>0</v>
      </c>
      <c r="AX143" s="239">
        <v>0</v>
      </c>
      <c r="AY143" s="239">
        <v>0</v>
      </c>
      <c r="AZ143" s="239">
        <v>0</v>
      </c>
      <c r="BA143" s="239">
        <v>0</v>
      </c>
      <c r="BB143" s="239">
        <v>0</v>
      </c>
      <c r="BC143" s="239">
        <v>23883337</v>
      </c>
      <c r="BD143" s="239">
        <v>-23001850</v>
      </c>
      <c r="BE143" s="214" t="s">
        <v>368</v>
      </c>
      <c r="BF143" s="214" t="s">
        <v>788</v>
      </c>
      <c r="BG143" s="214" t="s">
        <v>747</v>
      </c>
      <c r="BH143" s="214" t="s">
        <v>1010</v>
      </c>
      <c r="BI143" s="214" t="s">
        <v>1010</v>
      </c>
      <c r="BJ143" s="214" t="s">
        <v>1161</v>
      </c>
    </row>
    <row r="144" spans="2:62" x14ac:dyDescent="0.2">
      <c r="B144" s="602" t="s">
        <v>371</v>
      </c>
      <c r="C144" s="602" t="s">
        <v>370</v>
      </c>
      <c r="D144" s="239">
        <v>317084790</v>
      </c>
      <c r="E144" s="239">
        <v>0</v>
      </c>
      <c r="F144" s="239">
        <v>317084790</v>
      </c>
      <c r="G144" s="239">
        <v>-1361</v>
      </c>
      <c r="H144" s="239">
        <v>0</v>
      </c>
      <c r="I144" s="239">
        <v>-1361</v>
      </c>
      <c r="J144" s="239">
        <v>-519579</v>
      </c>
      <c r="K144" s="239">
        <v>0</v>
      </c>
      <c r="L144" s="239">
        <v>-519579</v>
      </c>
      <c r="M144" s="239">
        <v>-76006</v>
      </c>
      <c r="N144" s="239">
        <v>0</v>
      </c>
      <c r="O144" s="239">
        <v>-76006</v>
      </c>
      <c r="P144" s="239">
        <v>-1197353</v>
      </c>
      <c r="Q144" s="239">
        <v>0</v>
      </c>
      <c r="R144" s="239">
        <v>-1197353</v>
      </c>
      <c r="S144" s="239">
        <v>26374534</v>
      </c>
      <c r="T144" s="239">
        <v>0</v>
      </c>
      <c r="U144" s="239">
        <v>26374534</v>
      </c>
      <c r="V144" s="239">
        <v>-39656563</v>
      </c>
      <c r="W144" s="239">
        <v>0</v>
      </c>
      <c r="X144" s="239">
        <v>-39656563</v>
      </c>
      <c r="Y144" s="239">
        <v>302528041</v>
      </c>
      <c r="Z144" s="239">
        <v>0</v>
      </c>
      <c r="AA144" s="239">
        <v>302528041</v>
      </c>
      <c r="AB144" s="239">
        <v>0</v>
      </c>
      <c r="AC144" s="239">
        <v>0</v>
      </c>
      <c r="AD144" s="239">
        <v>0</v>
      </c>
      <c r="AE144" s="239">
        <v>0</v>
      </c>
      <c r="AF144" s="239">
        <v>0</v>
      </c>
      <c r="AG144" s="239">
        <v>0</v>
      </c>
      <c r="AH144" s="239">
        <v>0</v>
      </c>
      <c r="AI144" s="239">
        <v>0</v>
      </c>
      <c r="AJ144" s="239">
        <v>0</v>
      </c>
      <c r="AK144" s="239">
        <v>0</v>
      </c>
      <c r="AL144" s="239">
        <v>0</v>
      </c>
      <c r="AM144" s="239">
        <v>0</v>
      </c>
      <c r="AN144" s="239">
        <v>0</v>
      </c>
      <c r="AO144" s="239">
        <v>0</v>
      </c>
      <c r="AP144" s="239">
        <v>0</v>
      </c>
      <c r="AQ144" s="239">
        <v>0</v>
      </c>
      <c r="AR144" s="239">
        <v>0</v>
      </c>
      <c r="AS144" s="239">
        <v>0</v>
      </c>
      <c r="AT144" s="239">
        <v>0</v>
      </c>
      <c r="AU144" s="239">
        <v>0</v>
      </c>
      <c r="AV144" s="239">
        <v>0</v>
      </c>
      <c r="AW144" s="239">
        <v>0</v>
      </c>
      <c r="AX144" s="239">
        <v>0</v>
      </c>
      <c r="AY144" s="239">
        <v>0</v>
      </c>
      <c r="AZ144" s="239">
        <v>0</v>
      </c>
      <c r="BA144" s="239">
        <v>0</v>
      </c>
      <c r="BB144" s="239">
        <v>0</v>
      </c>
      <c r="BC144" s="239">
        <v>10051434</v>
      </c>
      <c r="BD144" s="239">
        <v>-15163697</v>
      </c>
      <c r="BE144" s="214" t="s">
        <v>903</v>
      </c>
      <c r="BF144" s="214" t="s">
        <v>788</v>
      </c>
      <c r="BG144" s="214" t="s">
        <v>747</v>
      </c>
      <c r="BH144" s="214" t="s">
        <v>1010</v>
      </c>
      <c r="BI144" s="214" t="s">
        <v>1010</v>
      </c>
      <c r="BJ144" s="214" t="s">
        <v>1161</v>
      </c>
    </row>
    <row r="145" spans="2:62" x14ac:dyDescent="0.2">
      <c r="B145" s="602" t="s">
        <v>373</v>
      </c>
      <c r="C145" s="602" t="s">
        <v>372</v>
      </c>
      <c r="D145" s="239">
        <v>31351894</v>
      </c>
      <c r="E145" s="239">
        <v>0</v>
      </c>
      <c r="F145" s="239">
        <v>31351894</v>
      </c>
      <c r="G145" s="239">
        <v>0</v>
      </c>
      <c r="H145" s="239">
        <v>0</v>
      </c>
      <c r="I145" s="239">
        <v>0</v>
      </c>
      <c r="J145" s="239">
        <v>-199776</v>
      </c>
      <c r="K145" s="239">
        <v>0</v>
      </c>
      <c r="L145" s="239">
        <v>-199776</v>
      </c>
      <c r="M145" s="239">
        <v>0</v>
      </c>
      <c r="N145" s="239">
        <v>0</v>
      </c>
      <c r="O145" s="239">
        <v>0</v>
      </c>
      <c r="P145" s="239">
        <v>-157991</v>
      </c>
      <c r="Q145" s="239">
        <v>0</v>
      </c>
      <c r="R145" s="239">
        <v>-157991</v>
      </c>
      <c r="S145" s="239">
        <v>1399829</v>
      </c>
      <c r="T145" s="239">
        <v>0</v>
      </c>
      <c r="U145" s="239">
        <v>1399829</v>
      </c>
      <c r="V145" s="239">
        <v>-2175046</v>
      </c>
      <c r="W145" s="239">
        <v>0</v>
      </c>
      <c r="X145" s="239">
        <v>-2175046</v>
      </c>
      <c r="Y145" s="239">
        <v>30418686</v>
      </c>
      <c r="Z145" s="239">
        <v>0</v>
      </c>
      <c r="AA145" s="239">
        <v>30418686</v>
      </c>
      <c r="AB145" s="239">
        <v>0</v>
      </c>
      <c r="AC145" s="239">
        <v>0</v>
      </c>
      <c r="AD145" s="239">
        <v>351859</v>
      </c>
      <c r="AE145" s="239">
        <v>0</v>
      </c>
      <c r="AF145" s="239">
        <v>351859</v>
      </c>
      <c r="AG145" s="239">
        <v>0</v>
      </c>
      <c r="AH145" s="239">
        <v>0</v>
      </c>
      <c r="AI145" s="239">
        <v>0</v>
      </c>
      <c r="AJ145" s="239">
        <v>0</v>
      </c>
      <c r="AK145" s="239">
        <v>0</v>
      </c>
      <c r="AL145" s="239">
        <v>0</v>
      </c>
      <c r="AM145" s="239">
        <v>0</v>
      </c>
      <c r="AN145" s="239">
        <v>0</v>
      </c>
      <c r="AO145" s="239">
        <v>0</v>
      </c>
      <c r="AP145" s="239">
        <v>0</v>
      </c>
      <c r="AQ145" s="239">
        <v>0</v>
      </c>
      <c r="AR145" s="239">
        <v>0</v>
      </c>
      <c r="AS145" s="239">
        <v>0</v>
      </c>
      <c r="AT145" s="239">
        <v>0</v>
      </c>
      <c r="AU145" s="239">
        <v>0</v>
      </c>
      <c r="AV145" s="239">
        <v>0</v>
      </c>
      <c r="AW145" s="239">
        <v>0</v>
      </c>
      <c r="AX145" s="239">
        <v>0</v>
      </c>
      <c r="AY145" s="239">
        <v>0</v>
      </c>
      <c r="AZ145" s="239">
        <v>0</v>
      </c>
      <c r="BA145" s="239">
        <v>0</v>
      </c>
      <c r="BB145" s="239">
        <v>0</v>
      </c>
      <c r="BC145" s="239">
        <v>290495</v>
      </c>
      <c r="BD145" s="239">
        <v>-835141</v>
      </c>
      <c r="BE145" s="214" t="s">
        <v>372</v>
      </c>
      <c r="BF145" s="214" t="s">
        <v>803</v>
      </c>
      <c r="BG145" s="214" t="s">
        <v>761</v>
      </c>
      <c r="BH145" s="214" t="s">
        <v>1010</v>
      </c>
      <c r="BI145" s="214" t="s">
        <v>1010</v>
      </c>
      <c r="BJ145" s="214" t="s">
        <v>1158</v>
      </c>
    </row>
    <row r="146" spans="2:62" x14ac:dyDescent="0.2">
      <c r="B146" s="602" t="s">
        <v>375</v>
      </c>
      <c r="C146" s="602" t="s">
        <v>374</v>
      </c>
      <c r="D146" s="239">
        <v>42280552</v>
      </c>
      <c r="E146" s="239">
        <v>0</v>
      </c>
      <c r="F146" s="239">
        <v>42280552</v>
      </c>
      <c r="G146" s="239">
        <v>0</v>
      </c>
      <c r="H146" s="239">
        <v>0</v>
      </c>
      <c r="I146" s="239">
        <v>0</v>
      </c>
      <c r="J146" s="239">
        <v>-169347</v>
      </c>
      <c r="K146" s="239">
        <v>0</v>
      </c>
      <c r="L146" s="239">
        <v>-169347</v>
      </c>
      <c r="M146" s="239">
        <v>0</v>
      </c>
      <c r="N146" s="239">
        <v>0</v>
      </c>
      <c r="O146" s="239">
        <v>0</v>
      </c>
      <c r="P146" s="239">
        <v>-27765</v>
      </c>
      <c r="Q146" s="239">
        <v>0</v>
      </c>
      <c r="R146" s="239">
        <v>-27765</v>
      </c>
      <c r="S146" s="239">
        <v>0</v>
      </c>
      <c r="T146" s="239">
        <v>0</v>
      </c>
      <c r="U146" s="239">
        <v>0</v>
      </c>
      <c r="V146" s="239">
        <v>-886082</v>
      </c>
      <c r="W146" s="239">
        <v>0</v>
      </c>
      <c r="X146" s="239">
        <v>-886082</v>
      </c>
      <c r="Y146" s="239">
        <v>41366705</v>
      </c>
      <c r="Z146" s="239">
        <v>0</v>
      </c>
      <c r="AA146" s="239">
        <v>41366705</v>
      </c>
      <c r="AB146" s="239">
        <v>0</v>
      </c>
      <c r="AC146" s="239">
        <v>0</v>
      </c>
      <c r="AD146" s="239">
        <v>1159890</v>
      </c>
      <c r="AE146" s="239">
        <v>0</v>
      </c>
      <c r="AF146" s="239">
        <v>1159890</v>
      </c>
      <c r="AG146" s="239">
        <v>0</v>
      </c>
      <c r="AH146" s="239">
        <v>0</v>
      </c>
      <c r="AI146" s="239">
        <v>0</v>
      </c>
      <c r="AJ146" s="239">
        <v>0</v>
      </c>
      <c r="AK146" s="239">
        <v>0</v>
      </c>
      <c r="AL146" s="239">
        <v>0</v>
      </c>
      <c r="AM146" s="239">
        <v>0</v>
      </c>
      <c r="AN146" s="239">
        <v>0</v>
      </c>
      <c r="AO146" s="239">
        <v>0</v>
      </c>
      <c r="AP146" s="239">
        <v>85366</v>
      </c>
      <c r="AQ146" s="239">
        <v>85366</v>
      </c>
      <c r="AR146" s="239">
        <v>0</v>
      </c>
      <c r="AS146" s="239">
        <v>0</v>
      </c>
      <c r="AT146" s="239">
        <v>0</v>
      </c>
      <c r="AU146" s="239">
        <v>0</v>
      </c>
      <c r="AV146" s="239">
        <v>0</v>
      </c>
      <c r="AW146" s="239">
        <v>0</v>
      </c>
      <c r="AX146" s="239">
        <v>0</v>
      </c>
      <c r="AY146" s="239">
        <v>0</v>
      </c>
      <c r="AZ146" s="239">
        <v>0</v>
      </c>
      <c r="BA146" s="239">
        <v>85366</v>
      </c>
      <c r="BB146" s="239">
        <v>85366</v>
      </c>
      <c r="BC146" s="239">
        <v>744773</v>
      </c>
      <c r="BD146" s="239">
        <v>-431414</v>
      </c>
      <c r="BE146" s="214" t="s">
        <v>902</v>
      </c>
      <c r="BF146" s="214" t="s">
        <v>847</v>
      </c>
      <c r="BG146" s="214" t="s">
        <v>761</v>
      </c>
      <c r="BH146" s="214" t="s">
        <v>1010</v>
      </c>
      <c r="BI146" s="214" t="s">
        <v>1010</v>
      </c>
      <c r="BJ146" s="214" t="s">
        <v>1158</v>
      </c>
    </row>
    <row r="147" spans="2:62" x14ac:dyDescent="0.2">
      <c r="B147" s="602" t="s">
        <v>377</v>
      </c>
      <c r="C147" s="602" t="s">
        <v>376</v>
      </c>
      <c r="D147" s="239">
        <v>79210164</v>
      </c>
      <c r="E147" s="239">
        <v>3280506</v>
      </c>
      <c r="F147" s="239">
        <v>82490670</v>
      </c>
      <c r="G147" s="239">
        <v>0</v>
      </c>
      <c r="H147" s="239">
        <v>0</v>
      </c>
      <c r="I147" s="239">
        <v>0</v>
      </c>
      <c r="J147" s="239">
        <v>-946096</v>
      </c>
      <c r="K147" s="239">
        <v>0</v>
      </c>
      <c r="L147" s="239">
        <v>-946096</v>
      </c>
      <c r="M147" s="239">
        <v>0</v>
      </c>
      <c r="N147" s="239">
        <v>0</v>
      </c>
      <c r="O147" s="239">
        <v>0</v>
      </c>
      <c r="P147" s="239">
        <v>-946096</v>
      </c>
      <c r="Q147" s="239">
        <v>0</v>
      </c>
      <c r="R147" s="239">
        <v>-946096</v>
      </c>
      <c r="S147" s="239">
        <v>9254802</v>
      </c>
      <c r="T147" s="239">
        <v>0</v>
      </c>
      <c r="U147" s="239">
        <v>9254802</v>
      </c>
      <c r="V147" s="239">
        <v>-12738802</v>
      </c>
      <c r="W147" s="239">
        <v>0</v>
      </c>
      <c r="X147" s="239">
        <v>-12738802</v>
      </c>
      <c r="Y147" s="239">
        <v>74780068</v>
      </c>
      <c r="Z147" s="239">
        <v>3280506</v>
      </c>
      <c r="AA147" s="239">
        <v>78060574</v>
      </c>
      <c r="AB147" s="239">
        <v>3280506</v>
      </c>
      <c r="AC147" s="239">
        <v>3280506</v>
      </c>
      <c r="AD147" s="239">
        <v>29809</v>
      </c>
      <c r="AE147" s="239">
        <v>0</v>
      </c>
      <c r="AF147" s="239">
        <v>29809</v>
      </c>
      <c r="AG147" s="239">
        <v>-5369</v>
      </c>
      <c r="AH147" s="239">
        <v>-5369</v>
      </c>
      <c r="AI147" s="239">
        <v>334474</v>
      </c>
      <c r="AJ147" s="239">
        <v>334474</v>
      </c>
      <c r="AK147" s="239">
        <v>3183081</v>
      </c>
      <c r="AL147" s="239">
        <v>0</v>
      </c>
      <c r="AM147" s="239">
        <v>0</v>
      </c>
      <c r="AN147" s="239">
        <v>0</v>
      </c>
      <c r="AO147" s="239">
        <v>0</v>
      </c>
      <c r="AP147" s="239">
        <v>0</v>
      </c>
      <c r="AQ147" s="239">
        <v>0</v>
      </c>
      <c r="AR147" s="239">
        <v>0</v>
      </c>
      <c r="AS147" s="239">
        <v>0</v>
      </c>
      <c r="AT147" s="239">
        <v>0</v>
      </c>
      <c r="AU147" s="239">
        <v>0</v>
      </c>
      <c r="AV147" s="239">
        <v>0</v>
      </c>
      <c r="AW147" s="239">
        <v>0</v>
      </c>
      <c r="AX147" s="239">
        <v>0</v>
      </c>
      <c r="AY147" s="239">
        <v>0</v>
      </c>
      <c r="AZ147" s="239">
        <v>0</v>
      </c>
      <c r="BA147" s="239">
        <v>0</v>
      </c>
      <c r="BB147" s="239">
        <v>0</v>
      </c>
      <c r="BC147" s="239">
        <v>6589596</v>
      </c>
      <c r="BD147" s="239">
        <v>-575964</v>
      </c>
      <c r="BE147" s="214" t="s">
        <v>901</v>
      </c>
      <c r="BF147" s="214" t="s">
        <v>746</v>
      </c>
      <c r="BG147" s="214" t="s">
        <v>888</v>
      </c>
      <c r="BH147" s="214" t="s">
        <v>1020</v>
      </c>
      <c r="BI147" s="214" t="s">
        <v>1021</v>
      </c>
      <c r="BJ147" s="214" t="s">
        <v>746</v>
      </c>
    </row>
    <row r="148" spans="2:62" x14ac:dyDescent="0.2">
      <c r="B148" s="602" t="s">
        <v>379</v>
      </c>
      <c r="C148" s="602" t="s">
        <v>378</v>
      </c>
      <c r="D148" s="239">
        <v>85478121</v>
      </c>
      <c r="E148" s="239">
        <v>0</v>
      </c>
      <c r="F148" s="239">
        <v>85478121</v>
      </c>
      <c r="G148" s="239">
        <v>0</v>
      </c>
      <c r="H148" s="239">
        <v>0</v>
      </c>
      <c r="I148" s="239">
        <v>0</v>
      </c>
      <c r="J148" s="239">
        <v>-132187</v>
      </c>
      <c r="K148" s="239">
        <v>0</v>
      </c>
      <c r="L148" s="239">
        <v>-132187</v>
      </c>
      <c r="M148" s="239">
        <v>-13444</v>
      </c>
      <c r="N148" s="239">
        <v>0</v>
      </c>
      <c r="O148" s="239">
        <v>-13444</v>
      </c>
      <c r="P148" s="239">
        <v>-33028</v>
      </c>
      <c r="Q148" s="239">
        <v>0</v>
      </c>
      <c r="R148" s="239">
        <v>-33028</v>
      </c>
      <c r="S148" s="239">
        <v>1236231</v>
      </c>
      <c r="T148" s="239">
        <v>0</v>
      </c>
      <c r="U148" s="239">
        <v>1236231</v>
      </c>
      <c r="V148" s="239">
        <v>3088022</v>
      </c>
      <c r="W148" s="239">
        <v>0</v>
      </c>
      <c r="X148" s="239">
        <v>3088022</v>
      </c>
      <c r="Y148" s="239">
        <v>89755902</v>
      </c>
      <c r="Z148" s="239">
        <v>0</v>
      </c>
      <c r="AA148" s="239">
        <v>89755902</v>
      </c>
      <c r="AB148" s="239">
        <v>0</v>
      </c>
      <c r="AC148" s="239">
        <v>0</v>
      </c>
      <c r="AD148" s="239">
        <v>0</v>
      </c>
      <c r="AE148" s="239">
        <v>0</v>
      </c>
      <c r="AF148" s="239">
        <v>0</v>
      </c>
      <c r="AG148" s="239">
        <v>0</v>
      </c>
      <c r="AH148" s="239">
        <v>0</v>
      </c>
      <c r="AI148" s="239">
        <v>0</v>
      </c>
      <c r="AJ148" s="239">
        <v>0</v>
      </c>
      <c r="AK148" s="239">
        <v>0</v>
      </c>
      <c r="AL148" s="239">
        <v>0</v>
      </c>
      <c r="AM148" s="239">
        <v>0</v>
      </c>
      <c r="AN148" s="239">
        <v>0</v>
      </c>
      <c r="AO148" s="239">
        <v>0</v>
      </c>
      <c r="AP148" s="239">
        <v>0</v>
      </c>
      <c r="AQ148" s="239">
        <v>0</v>
      </c>
      <c r="AR148" s="239">
        <v>0</v>
      </c>
      <c r="AS148" s="239">
        <v>0</v>
      </c>
      <c r="AT148" s="239">
        <v>0</v>
      </c>
      <c r="AU148" s="239">
        <v>0</v>
      </c>
      <c r="AV148" s="239">
        <v>0</v>
      </c>
      <c r="AW148" s="239">
        <v>0</v>
      </c>
      <c r="AX148" s="239">
        <v>0</v>
      </c>
      <c r="AY148" s="239">
        <v>0</v>
      </c>
      <c r="AZ148" s="239">
        <v>0</v>
      </c>
      <c r="BA148" s="239">
        <v>0</v>
      </c>
      <c r="BB148" s="239">
        <v>0</v>
      </c>
      <c r="BC148" s="239">
        <v>3946359</v>
      </c>
      <c r="BD148" s="239">
        <v>-820554</v>
      </c>
      <c r="BE148" s="214" t="s">
        <v>900</v>
      </c>
      <c r="BF148" s="214" t="s">
        <v>788</v>
      </c>
      <c r="BG148" s="214" t="s">
        <v>747</v>
      </c>
      <c r="BH148" s="214" t="s">
        <v>1010</v>
      </c>
      <c r="BI148" s="214" t="s">
        <v>1010</v>
      </c>
      <c r="BJ148" s="214" t="s">
        <v>1159</v>
      </c>
    </row>
    <row r="149" spans="2:62" x14ac:dyDescent="0.2">
      <c r="B149" s="602" t="s">
        <v>381</v>
      </c>
      <c r="C149" s="602" t="s">
        <v>380</v>
      </c>
      <c r="D149" s="239">
        <v>104208012</v>
      </c>
      <c r="E149" s="239">
        <v>83910</v>
      </c>
      <c r="F149" s="239">
        <v>104291922</v>
      </c>
      <c r="G149" s="239">
        <v>0</v>
      </c>
      <c r="H149" s="239">
        <v>0</v>
      </c>
      <c r="I149" s="239">
        <v>0</v>
      </c>
      <c r="J149" s="239">
        <v>-923484</v>
      </c>
      <c r="K149" s="239">
        <v>0</v>
      </c>
      <c r="L149" s="239">
        <v>-923484</v>
      </c>
      <c r="M149" s="239">
        <v>0</v>
      </c>
      <c r="N149" s="239">
        <v>0</v>
      </c>
      <c r="O149" s="239">
        <v>0</v>
      </c>
      <c r="P149" s="239">
        <v>-792250</v>
      </c>
      <c r="Q149" s="239">
        <v>0</v>
      </c>
      <c r="R149" s="239">
        <v>-792250</v>
      </c>
      <c r="S149" s="239">
        <v>4660517</v>
      </c>
      <c r="T149" s="239">
        <v>0</v>
      </c>
      <c r="U149" s="239">
        <v>4660517</v>
      </c>
      <c r="V149" s="239">
        <v>-7684491.1218889989</v>
      </c>
      <c r="W149" s="239">
        <v>0</v>
      </c>
      <c r="X149" s="239">
        <v>-7684491.1218889989</v>
      </c>
      <c r="Y149" s="239">
        <v>100391787.878111</v>
      </c>
      <c r="Z149" s="239">
        <v>83910</v>
      </c>
      <c r="AA149" s="239">
        <v>100475697.878111</v>
      </c>
      <c r="AB149" s="239">
        <v>83910</v>
      </c>
      <c r="AC149" s="239">
        <v>83910</v>
      </c>
      <c r="AD149" s="239">
        <v>0</v>
      </c>
      <c r="AE149" s="239">
        <v>0</v>
      </c>
      <c r="AF149" s="239">
        <v>0</v>
      </c>
      <c r="AG149" s="239">
        <v>0</v>
      </c>
      <c r="AH149" s="239">
        <v>0</v>
      </c>
      <c r="AI149" s="239">
        <v>0</v>
      </c>
      <c r="AJ149" s="239">
        <v>0</v>
      </c>
      <c r="AK149" s="239">
        <v>83910</v>
      </c>
      <c r="AL149" s="239">
        <v>0</v>
      </c>
      <c r="AM149" s="239">
        <v>0</v>
      </c>
      <c r="AN149" s="239">
        <v>0</v>
      </c>
      <c r="AO149" s="239">
        <v>0</v>
      </c>
      <c r="AP149" s="239">
        <v>67716</v>
      </c>
      <c r="AQ149" s="239">
        <v>67716</v>
      </c>
      <c r="AR149" s="239">
        <v>0</v>
      </c>
      <c r="AS149" s="239">
        <v>0</v>
      </c>
      <c r="AT149" s="239">
        <v>0</v>
      </c>
      <c r="AU149" s="239">
        <v>0</v>
      </c>
      <c r="AV149" s="239">
        <v>0</v>
      </c>
      <c r="AW149" s="239">
        <v>0</v>
      </c>
      <c r="AX149" s="239">
        <v>0</v>
      </c>
      <c r="AY149" s="239">
        <v>0</v>
      </c>
      <c r="AZ149" s="239">
        <v>0</v>
      </c>
      <c r="BA149" s="239">
        <v>67716</v>
      </c>
      <c r="BB149" s="239">
        <v>67716</v>
      </c>
      <c r="BC149" s="239">
        <v>4591361</v>
      </c>
      <c r="BD149" s="239">
        <v>-1314616</v>
      </c>
      <c r="BE149" s="214" t="s">
        <v>380</v>
      </c>
      <c r="BF149" s="214" t="s">
        <v>766</v>
      </c>
      <c r="BG149" s="214" t="s">
        <v>816</v>
      </c>
      <c r="BH149" s="214" t="s">
        <v>1010</v>
      </c>
      <c r="BI149" s="214" t="s">
        <v>1010</v>
      </c>
      <c r="BJ149" s="214" t="s">
        <v>1160</v>
      </c>
    </row>
    <row r="150" spans="2:62" x14ac:dyDescent="0.2">
      <c r="B150" s="602" t="s">
        <v>383</v>
      </c>
      <c r="C150" s="602" t="s">
        <v>382</v>
      </c>
      <c r="D150" s="239">
        <v>42479484</v>
      </c>
      <c r="E150" s="239">
        <v>0</v>
      </c>
      <c r="F150" s="239">
        <v>42479484</v>
      </c>
      <c r="G150" s="239">
        <v>0</v>
      </c>
      <c r="H150" s="239">
        <v>0</v>
      </c>
      <c r="I150" s="239">
        <v>0</v>
      </c>
      <c r="J150" s="239">
        <v>1026</v>
      </c>
      <c r="K150" s="239">
        <v>0</v>
      </c>
      <c r="L150" s="239">
        <v>1026</v>
      </c>
      <c r="M150" s="239">
        <v>0</v>
      </c>
      <c r="N150" s="239">
        <v>0</v>
      </c>
      <c r="O150" s="239">
        <v>0</v>
      </c>
      <c r="P150" s="239">
        <v>-328161</v>
      </c>
      <c r="Q150" s="239">
        <v>0</v>
      </c>
      <c r="R150" s="239">
        <v>-328161</v>
      </c>
      <c r="S150" s="239">
        <v>5012681</v>
      </c>
      <c r="T150" s="239">
        <v>0</v>
      </c>
      <c r="U150" s="239">
        <v>5012681</v>
      </c>
      <c r="V150" s="239">
        <v>-4560730</v>
      </c>
      <c r="W150" s="239">
        <v>0</v>
      </c>
      <c r="X150" s="239">
        <v>-4560730</v>
      </c>
      <c r="Y150" s="239">
        <v>42603274</v>
      </c>
      <c r="Z150" s="239">
        <v>0</v>
      </c>
      <c r="AA150" s="239">
        <v>42603274</v>
      </c>
      <c r="AB150" s="239">
        <v>0</v>
      </c>
      <c r="AC150" s="239">
        <v>0</v>
      </c>
      <c r="AD150" s="239">
        <v>0</v>
      </c>
      <c r="AE150" s="239">
        <v>0</v>
      </c>
      <c r="AF150" s="239">
        <v>0</v>
      </c>
      <c r="AG150" s="239">
        <v>0</v>
      </c>
      <c r="AH150" s="239">
        <v>0</v>
      </c>
      <c r="AI150" s="239">
        <v>0</v>
      </c>
      <c r="AJ150" s="239">
        <v>0</v>
      </c>
      <c r="AK150" s="239">
        <v>0</v>
      </c>
      <c r="AL150" s="239">
        <v>0</v>
      </c>
      <c r="AM150" s="239">
        <v>0</v>
      </c>
      <c r="AN150" s="239">
        <v>0</v>
      </c>
      <c r="AO150" s="239">
        <v>0</v>
      </c>
      <c r="AP150" s="239">
        <v>0</v>
      </c>
      <c r="AQ150" s="239">
        <v>0</v>
      </c>
      <c r="AR150" s="239">
        <v>0</v>
      </c>
      <c r="AS150" s="239">
        <v>0</v>
      </c>
      <c r="AT150" s="239">
        <v>0</v>
      </c>
      <c r="AU150" s="239">
        <v>0</v>
      </c>
      <c r="AV150" s="239">
        <v>0</v>
      </c>
      <c r="AW150" s="239">
        <v>0</v>
      </c>
      <c r="AX150" s="239">
        <v>0</v>
      </c>
      <c r="AY150" s="239">
        <v>0</v>
      </c>
      <c r="AZ150" s="239">
        <v>0</v>
      </c>
      <c r="BA150" s="239">
        <v>0</v>
      </c>
      <c r="BB150" s="239">
        <v>0</v>
      </c>
      <c r="BC150" s="239">
        <v>4032655</v>
      </c>
      <c r="BD150" s="239">
        <v>-1343731</v>
      </c>
      <c r="BE150" s="214" t="s">
        <v>382</v>
      </c>
      <c r="BF150" s="214" t="s">
        <v>766</v>
      </c>
      <c r="BG150" s="214" t="s">
        <v>772</v>
      </c>
      <c r="BH150" s="214" t="s">
        <v>1010</v>
      </c>
      <c r="BI150" s="214" t="s">
        <v>1010</v>
      </c>
      <c r="BJ150" s="214" t="s">
        <v>1160</v>
      </c>
    </row>
    <row r="151" spans="2:62" x14ac:dyDescent="0.2">
      <c r="B151" s="602" t="s">
        <v>385</v>
      </c>
      <c r="C151" s="602" t="s">
        <v>384</v>
      </c>
      <c r="D151" s="239">
        <v>132146223</v>
      </c>
      <c r="E151" s="239">
        <v>2769956</v>
      </c>
      <c r="F151" s="239">
        <v>134916179</v>
      </c>
      <c r="G151" s="239">
        <v>-1053</v>
      </c>
      <c r="H151" s="239">
        <v>0</v>
      </c>
      <c r="I151" s="239">
        <v>-1053</v>
      </c>
      <c r="J151" s="239">
        <v>-617057</v>
      </c>
      <c r="K151" s="239">
        <v>0</v>
      </c>
      <c r="L151" s="239">
        <v>-617057</v>
      </c>
      <c r="M151" s="239">
        <v>0</v>
      </c>
      <c r="N151" s="239">
        <v>0</v>
      </c>
      <c r="O151" s="239">
        <v>0</v>
      </c>
      <c r="P151" s="239">
        <v>-1090733</v>
      </c>
      <c r="Q151" s="239">
        <v>0</v>
      </c>
      <c r="R151" s="239">
        <v>-1090733</v>
      </c>
      <c r="S151" s="239">
        <v>16070653</v>
      </c>
      <c r="T151" s="239">
        <v>0</v>
      </c>
      <c r="U151" s="239">
        <v>16070653</v>
      </c>
      <c r="V151" s="239">
        <v>-5000000</v>
      </c>
      <c r="W151" s="239">
        <v>0</v>
      </c>
      <c r="X151" s="239">
        <v>-5000000</v>
      </c>
      <c r="Y151" s="239">
        <v>142125090</v>
      </c>
      <c r="Z151" s="239">
        <v>2769956</v>
      </c>
      <c r="AA151" s="239">
        <v>144895046</v>
      </c>
      <c r="AB151" s="239">
        <v>2769956</v>
      </c>
      <c r="AC151" s="239">
        <v>2769956</v>
      </c>
      <c r="AD151" s="239">
        <v>0</v>
      </c>
      <c r="AE151" s="239">
        <v>0</v>
      </c>
      <c r="AF151" s="239">
        <v>0</v>
      </c>
      <c r="AG151" s="239">
        <v>-176658</v>
      </c>
      <c r="AH151" s="239">
        <v>-176658</v>
      </c>
      <c r="AI151" s="239">
        <v>1605555</v>
      </c>
      <c r="AJ151" s="239">
        <v>1605555</v>
      </c>
      <c r="AK151" s="239">
        <v>987743</v>
      </c>
      <c r="AL151" s="239">
        <v>0</v>
      </c>
      <c r="AM151" s="239">
        <v>0</v>
      </c>
      <c r="AN151" s="239">
        <v>0</v>
      </c>
      <c r="AO151" s="239">
        <v>0</v>
      </c>
      <c r="AP151" s="239">
        <v>0</v>
      </c>
      <c r="AQ151" s="239">
        <v>0</v>
      </c>
      <c r="AR151" s="239">
        <v>0</v>
      </c>
      <c r="AS151" s="239">
        <v>0</v>
      </c>
      <c r="AT151" s="239">
        <v>0</v>
      </c>
      <c r="AU151" s="239">
        <v>0</v>
      </c>
      <c r="AV151" s="239">
        <v>0</v>
      </c>
      <c r="AW151" s="239">
        <v>0</v>
      </c>
      <c r="AX151" s="239">
        <v>0</v>
      </c>
      <c r="AY151" s="239">
        <v>0</v>
      </c>
      <c r="AZ151" s="239">
        <v>0</v>
      </c>
      <c r="BA151" s="239">
        <v>0</v>
      </c>
      <c r="BB151" s="239">
        <v>0</v>
      </c>
      <c r="BC151" s="239">
        <v>4542132</v>
      </c>
      <c r="BD151" s="239">
        <v>-15476882</v>
      </c>
      <c r="BE151" s="214" t="s">
        <v>384</v>
      </c>
      <c r="BF151" s="214" t="s">
        <v>788</v>
      </c>
      <c r="BG151" s="214" t="s">
        <v>747</v>
      </c>
      <c r="BH151" s="214" t="s">
        <v>1010</v>
      </c>
      <c r="BI151" s="214" t="s">
        <v>1010</v>
      </c>
      <c r="BJ151" s="214" t="s">
        <v>1161</v>
      </c>
    </row>
    <row r="152" spans="2:62" x14ac:dyDescent="0.2">
      <c r="B152" s="602" t="s">
        <v>387</v>
      </c>
      <c r="C152" s="602" t="s">
        <v>386</v>
      </c>
      <c r="D152" s="239">
        <v>64665933</v>
      </c>
      <c r="E152" s="239">
        <v>0</v>
      </c>
      <c r="F152" s="239">
        <v>64665933</v>
      </c>
      <c r="G152" s="239">
        <v>0</v>
      </c>
      <c r="H152" s="239">
        <v>0</v>
      </c>
      <c r="I152" s="239">
        <v>0</v>
      </c>
      <c r="J152" s="239">
        <v>0</v>
      </c>
      <c r="K152" s="239">
        <v>0</v>
      </c>
      <c r="L152" s="239">
        <v>0</v>
      </c>
      <c r="M152" s="239">
        <v>-107307</v>
      </c>
      <c r="N152" s="239">
        <v>0</v>
      </c>
      <c r="O152" s="239">
        <v>-107307</v>
      </c>
      <c r="P152" s="239">
        <v>182970</v>
      </c>
      <c r="Q152" s="239">
        <v>0</v>
      </c>
      <c r="R152" s="239">
        <v>182970</v>
      </c>
      <c r="S152" s="239">
        <v>2823840</v>
      </c>
      <c r="T152" s="239">
        <v>0</v>
      </c>
      <c r="U152" s="239">
        <v>2823840</v>
      </c>
      <c r="V152" s="239">
        <v>-3793168</v>
      </c>
      <c r="W152" s="239">
        <v>0</v>
      </c>
      <c r="X152" s="239">
        <v>-3793168</v>
      </c>
      <c r="Y152" s="239">
        <v>63772268</v>
      </c>
      <c r="Z152" s="239">
        <v>0</v>
      </c>
      <c r="AA152" s="239">
        <v>63772268</v>
      </c>
      <c r="AB152" s="239">
        <v>0</v>
      </c>
      <c r="AC152" s="239">
        <v>0</v>
      </c>
      <c r="AD152" s="239">
        <v>960924</v>
      </c>
      <c r="AE152" s="239">
        <v>0</v>
      </c>
      <c r="AF152" s="239">
        <v>960924</v>
      </c>
      <c r="AG152" s="239">
        <v>0</v>
      </c>
      <c r="AH152" s="239">
        <v>0</v>
      </c>
      <c r="AI152" s="239">
        <v>0</v>
      </c>
      <c r="AJ152" s="239">
        <v>0</v>
      </c>
      <c r="AK152" s="239">
        <v>0</v>
      </c>
      <c r="AL152" s="239">
        <v>0</v>
      </c>
      <c r="AM152" s="239">
        <v>0</v>
      </c>
      <c r="AN152" s="239">
        <v>0</v>
      </c>
      <c r="AO152" s="239">
        <v>0</v>
      </c>
      <c r="AP152" s="239">
        <v>0</v>
      </c>
      <c r="AQ152" s="239">
        <v>0</v>
      </c>
      <c r="AR152" s="239">
        <v>0</v>
      </c>
      <c r="AS152" s="239">
        <v>0</v>
      </c>
      <c r="AT152" s="239">
        <v>0</v>
      </c>
      <c r="AU152" s="239">
        <v>0</v>
      </c>
      <c r="AV152" s="239">
        <v>0</v>
      </c>
      <c r="AW152" s="239">
        <v>0</v>
      </c>
      <c r="AX152" s="239">
        <v>0</v>
      </c>
      <c r="AY152" s="239">
        <v>0</v>
      </c>
      <c r="AZ152" s="239">
        <v>0</v>
      </c>
      <c r="BA152" s="239">
        <v>0</v>
      </c>
      <c r="BB152" s="239">
        <v>0</v>
      </c>
      <c r="BC152" s="239">
        <v>1344699</v>
      </c>
      <c r="BD152" s="239">
        <v>-568095</v>
      </c>
      <c r="BE152" s="214" t="s">
        <v>386</v>
      </c>
      <c r="BF152" s="214" t="s">
        <v>755</v>
      </c>
      <c r="BG152" s="214" t="s">
        <v>753</v>
      </c>
      <c r="BH152" s="214" t="s">
        <v>1010</v>
      </c>
      <c r="BI152" s="214" t="s">
        <v>1010</v>
      </c>
      <c r="BJ152" s="214" t="s">
        <v>1158</v>
      </c>
    </row>
    <row r="153" spans="2:62" x14ac:dyDescent="0.2">
      <c r="B153" s="602" t="s">
        <v>389</v>
      </c>
      <c r="C153" s="602" t="s">
        <v>388</v>
      </c>
      <c r="D153" s="239">
        <v>353617210</v>
      </c>
      <c r="E153" s="239">
        <v>2114836</v>
      </c>
      <c r="F153" s="239">
        <v>355732046</v>
      </c>
      <c r="G153" s="239">
        <v>0</v>
      </c>
      <c r="H153" s="239">
        <v>0</v>
      </c>
      <c r="I153" s="239">
        <v>0</v>
      </c>
      <c r="J153" s="239">
        <v>-2424938</v>
      </c>
      <c r="K153" s="239">
        <v>0</v>
      </c>
      <c r="L153" s="239">
        <v>-2424938</v>
      </c>
      <c r="M153" s="239">
        <v>0</v>
      </c>
      <c r="N153" s="239">
        <v>0</v>
      </c>
      <c r="O153" s="239">
        <v>0</v>
      </c>
      <c r="P153" s="239">
        <v>-2701545</v>
      </c>
      <c r="Q153" s="239">
        <v>0</v>
      </c>
      <c r="R153" s="239">
        <v>-2701545</v>
      </c>
      <c r="S153" s="239">
        <v>20894661</v>
      </c>
      <c r="T153" s="239">
        <v>0</v>
      </c>
      <c r="U153" s="239">
        <v>20894661</v>
      </c>
      <c r="V153" s="239">
        <v>-10470249</v>
      </c>
      <c r="W153" s="239">
        <v>0</v>
      </c>
      <c r="X153" s="239">
        <v>-10470249</v>
      </c>
      <c r="Y153" s="239">
        <v>361340077</v>
      </c>
      <c r="Z153" s="239">
        <v>2114836</v>
      </c>
      <c r="AA153" s="239">
        <v>363454913</v>
      </c>
      <c r="AB153" s="239">
        <v>2114836</v>
      </c>
      <c r="AC153" s="239">
        <v>2114836</v>
      </c>
      <c r="AD153" s="239">
        <v>226355</v>
      </c>
      <c r="AE153" s="239">
        <v>0</v>
      </c>
      <c r="AF153" s="239">
        <v>226355</v>
      </c>
      <c r="AG153" s="239">
        <v>-153038</v>
      </c>
      <c r="AH153" s="239">
        <v>-153038</v>
      </c>
      <c r="AI153" s="239">
        <v>982004</v>
      </c>
      <c r="AJ153" s="239">
        <v>982004</v>
      </c>
      <c r="AK153" s="239">
        <v>979794</v>
      </c>
      <c r="AL153" s="239">
        <v>0</v>
      </c>
      <c r="AM153" s="239">
        <v>0</v>
      </c>
      <c r="AN153" s="239">
        <v>0</v>
      </c>
      <c r="AO153" s="239">
        <v>0</v>
      </c>
      <c r="AP153" s="239">
        <v>520398</v>
      </c>
      <c r="AQ153" s="239">
        <v>520398</v>
      </c>
      <c r="AR153" s="239">
        <v>0</v>
      </c>
      <c r="AS153" s="239">
        <v>0</v>
      </c>
      <c r="AT153" s="239">
        <v>0</v>
      </c>
      <c r="AU153" s="239">
        <v>0</v>
      </c>
      <c r="AV153" s="239">
        <v>0</v>
      </c>
      <c r="AW153" s="239">
        <v>0</v>
      </c>
      <c r="AX153" s="239">
        <v>0</v>
      </c>
      <c r="AY153" s="239">
        <v>0</v>
      </c>
      <c r="AZ153" s="239">
        <v>0</v>
      </c>
      <c r="BA153" s="239">
        <v>520398</v>
      </c>
      <c r="BB153" s="239">
        <v>520398</v>
      </c>
      <c r="BC153" s="239">
        <v>11529326</v>
      </c>
      <c r="BD153" s="239">
        <v>-12819661</v>
      </c>
      <c r="BE153" s="214" t="s">
        <v>388</v>
      </c>
      <c r="BF153" s="214" t="s">
        <v>766</v>
      </c>
      <c r="BG153" s="214" t="s">
        <v>816</v>
      </c>
      <c r="BH153" s="214" t="s">
        <v>1031</v>
      </c>
      <c r="BI153" s="214" t="s">
        <v>1031</v>
      </c>
      <c r="BJ153" s="214" t="s">
        <v>1160</v>
      </c>
    </row>
    <row r="154" spans="2:62" x14ac:dyDescent="0.2">
      <c r="B154" s="602" t="s">
        <v>391</v>
      </c>
      <c r="C154" s="602" t="s">
        <v>390</v>
      </c>
      <c r="D154" s="239">
        <v>98477876</v>
      </c>
      <c r="E154" s="239">
        <v>2048113</v>
      </c>
      <c r="F154" s="239">
        <v>100525989</v>
      </c>
      <c r="G154" s="239">
        <v>-18873</v>
      </c>
      <c r="H154" s="239">
        <v>0</v>
      </c>
      <c r="I154" s="239">
        <v>-18873</v>
      </c>
      <c r="J154" s="239">
        <v>-1339348</v>
      </c>
      <c r="K154" s="239">
        <v>-83477</v>
      </c>
      <c r="L154" s="239">
        <v>-1422825</v>
      </c>
      <c r="M154" s="239">
        <v>0</v>
      </c>
      <c r="N154" s="239">
        <v>0</v>
      </c>
      <c r="O154" s="239">
        <v>0</v>
      </c>
      <c r="P154" s="239">
        <v>-1712253</v>
      </c>
      <c r="Q154" s="239">
        <v>-88477</v>
      </c>
      <c r="R154" s="239">
        <v>-1800730</v>
      </c>
      <c r="S154" s="239">
        <v>7013760</v>
      </c>
      <c r="T154" s="239">
        <v>87097</v>
      </c>
      <c r="U154" s="239">
        <v>7100857</v>
      </c>
      <c r="V154" s="239">
        <v>-9917391</v>
      </c>
      <c r="W154" s="239">
        <v>-75175</v>
      </c>
      <c r="X154" s="239">
        <v>-9992566</v>
      </c>
      <c r="Y154" s="239">
        <v>93843119</v>
      </c>
      <c r="Z154" s="239">
        <v>1971558</v>
      </c>
      <c r="AA154" s="239">
        <v>95814677</v>
      </c>
      <c r="AB154" s="239">
        <v>1971558</v>
      </c>
      <c r="AC154" s="239">
        <v>1971558</v>
      </c>
      <c r="AD154" s="239">
        <v>0</v>
      </c>
      <c r="AE154" s="239">
        <v>0</v>
      </c>
      <c r="AF154" s="239">
        <v>0</v>
      </c>
      <c r="AG154" s="239">
        <v>211758</v>
      </c>
      <c r="AH154" s="239">
        <v>211758</v>
      </c>
      <c r="AI154" s="239">
        <v>2334075</v>
      </c>
      <c r="AJ154" s="239">
        <v>2334075</v>
      </c>
      <c r="AK154" s="239">
        <v>0</v>
      </c>
      <c r="AL154" s="239">
        <v>0</v>
      </c>
      <c r="AM154" s="239">
        <v>0</v>
      </c>
      <c r="AN154" s="239">
        <v>0</v>
      </c>
      <c r="AO154" s="239">
        <v>0</v>
      </c>
      <c r="AP154" s="239">
        <v>13477</v>
      </c>
      <c r="AQ154" s="239">
        <v>13477</v>
      </c>
      <c r="AR154" s="239">
        <v>0</v>
      </c>
      <c r="AS154" s="239">
        <v>0</v>
      </c>
      <c r="AT154" s="239">
        <v>0</v>
      </c>
      <c r="AU154" s="239">
        <v>0</v>
      </c>
      <c r="AV154" s="239">
        <v>0</v>
      </c>
      <c r="AW154" s="239">
        <v>0</v>
      </c>
      <c r="AX154" s="239">
        <v>0</v>
      </c>
      <c r="AY154" s="239">
        <v>0</v>
      </c>
      <c r="AZ154" s="239">
        <v>0</v>
      </c>
      <c r="BA154" s="239">
        <v>13477</v>
      </c>
      <c r="BB154" s="239">
        <v>13477</v>
      </c>
      <c r="BC154" s="239">
        <v>11001775</v>
      </c>
      <c r="BD154" s="239">
        <v>-2460618</v>
      </c>
      <c r="BE154" s="214" t="s">
        <v>899</v>
      </c>
      <c r="BF154" s="214" t="s">
        <v>746</v>
      </c>
      <c r="BG154" s="214" t="s">
        <v>867</v>
      </c>
      <c r="BH154" s="214" t="s">
        <v>1010</v>
      </c>
      <c r="BI154" s="214" t="s">
        <v>1010</v>
      </c>
      <c r="BJ154" s="214" t="s">
        <v>746</v>
      </c>
    </row>
    <row r="155" spans="2:62" x14ac:dyDescent="0.2">
      <c r="B155" s="602" t="s">
        <v>393</v>
      </c>
      <c r="C155" s="602" t="s">
        <v>392</v>
      </c>
      <c r="D155" s="239">
        <v>21618349</v>
      </c>
      <c r="E155" s="239">
        <v>2514888</v>
      </c>
      <c r="F155" s="239">
        <v>24133237</v>
      </c>
      <c r="G155" s="239">
        <v>0</v>
      </c>
      <c r="H155" s="239">
        <v>0</v>
      </c>
      <c r="I155" s="239">
        <v>0</v>
      </c>
      <c r="J155" s="239">
        <v>-76858</v>
      </c>
      <c r="K155" s="239">
        <v>-25264</v>
      </c>
      <c r="L155" s="239">
        <v>-102122</v>
      </c>
      <c r="M155" s="239">
        <v>0</v>
      </c>
      <c r="N155" s="239">
        <v>0</v>
      </c>
      <c r="O155" s="239">
        <v>0</v>
      </c>
      <c r="P155" s="239">
        <v>-76858</v>
      </c>
      <c r="Q155" s="239">
        <v>-25264</v>
      </c>
      <c r="R155" s="239">
        <v>-102122</v>
      </c>
      <c r="S155" s="239">
        <v>0</v>
      </c>
      <c r="T155" s="239">
        <v>0</v>
      </c>
      <c r="U155" s="239">
        <v>0</v>
      </c>
      <c r="V155" s="239">
        <v>-1180000</v>
      </c>
      <c r="W155" s="239">
        <v>20000</v>
      </c>
      <c r="X155" s="239">
        <v>-1160000</v>
      </c>
      <c r="Y155" s="239">
        <v>20361491</v>
      </c>
      <c r="Z155" s="239">
        <v>2509624</v>
      </c>
      <c r="AA155" s="239">
        <v>22871115</v>
      </c>
      <c r="AB155" s="239">
        <v>2509624</v>
      </c>
      <c r="AC155" s="239">
        <v>2509624</v>
      </c>
      <c r="AD155" s="239">
        <v>0</v>
      </c>
      <c r="AE155" s="239">
        <v>0</v>
      </c>
      <c r="AF155" s="239">
        <v>0</v>
      </c>
      <c r="AG155" s="239">
        <v>-80068</v>
      </c>
      <c r="AH155" s="239">
        <v>-80068</v>
      </c>
      <c r="AI155" s="239">
        <v>1999351</v>
      </c>
      <c r="AJ155" s="239">
        <v>1999351</v>
      </c>
      <c r="AK155" s="239">
        <v>478128</v>
      </c>
      <c r="AL155" s="239">
        <v>0</v>
      </c>
      <c r="AM155" s="239">
        <v>0</v>
      </c>
      <c r="AN155" s="239">
        <v>0</v>
      </c>
      <c r="AO155" s="239">
        <v>0</v>
      </c>
      <c r="AP155" s="239">
        <v>158770</v>
      </c>
      <c r="AQ155" s="239">
        <v>158770</v>
      </c>
      <c r="AR155" s="239">
        <v>0</v>
      </c>
      <c r="AS155" s="239">
        <v>0</v>
      </c>
      <c r="AT155" s="239">
        <v>0</v>
      </c>
      <c r="AU155" s="239">
        <v>0</v>
      </c>
      <c r="AV155" s="239">
        <v>0</v>
      </c>
      <c r="AW155" s="239">
        <v>0</v>
      </c>
      <c r="AX155" s="239">
        <v>0</v>
      </c>
      <c r="AY155" s="239">
        <v>0</v>
      </c>
      <c r="AZ155" s="239">
        <v>0</v>
      </c>
      <c r="BA155" s="239">
        <v>158770</v>
      </c>
      <c r="BB155" s="239">
        <v>158770</v>
      </c>
      <c r="BC155" s="239">
        <v>867603</v>
      </c>
      <c r="BD155" s="239">
        <v>-1358978</v>
      </c>
      <c r="BE155" s="214" t="s">
        <v>392</v>
      </c>
      <c r="BF155" s="214" t="s">
        <v>807</v>
      </c>
      <c r="BG155" s="214" t="s">
        <v>805</v>
      </c>
      <c r="BH155" s="214" t="s">
        <v>1010</v>
      </c>
      <c r="BI155" s="214" t="s">
        <v>1010</v>
      </c>
      <c r="BJ155" s="214" t="s">
        <v>1158</v>
      </c>
    </row>
    <row r="156" spans="2:62" x14ac:dyDescent="0.2">
      <c r="B156" s="602" t="s">
        <v>395</v>
      </c>
      <c r="C156" s="602" t="s">
        <v>394</v>
      </c>
      <c r="D156" s="239">
        <v>55854200</v>
      </c>
      <c r="E156" s="239">
        <v>0</v>
      </c>
      <c r="F156" s="239">
        <v>55854200</v>
      </c>
      <c r="G156" s="239">
        <v>0</v>
      </c>
      <c r="H156" s="239">
        <v>0</v>
      </c>
      <c r="I156" s="239">
        <v>0</v>
      </c>
      <c r="J156" s="239">
        <v>-883905</v>
      </c>
      <c r="K156" s="239">
        <v>0</v>
      </c>
      <c r="L156" s="239">
        <v>-883905</v>
      </c>
      <c r="M156" s="239">
        <v>0</v>
      </c>
      <c r="N156" s="239">
        <v>0</v>
      </c>
      <c r="O156" s="239">
        <v>0</v>
      </c>
      <c r="P156" s="239">
        <v>-367389</v>
      </c>
      <c r="Q156" s="239">
        <v>0</v>
      </c>
      <c r="R156" s="239">
        <v>-367389</v>
      </c>
      <c r="S156" s="239">
        <v>1468442</v>
      </c>
      <c r="T156" s="239">
        <v>0</v>
      </c>
      <c r="U156" s="239">
        <v>1468442</v>
      </c>
      <c r="V156" s="239">
        <v>-410134</v>
      </c>
      <c r="W156" s="239">
        <v>0</v>
      </c>
      <c r="X156" s="239">
        <v>-410134</v>
      </c>
      <c r="Y156" s="239">
        <v>56545119</v>
      </c>
      <c r="Z156" s="239">
        <v>0</v>
      </c>
      <c r="AA156" s="239">
        <v>56545119</v>
      </c>
      <c r="AB156" s="239">
        <v>0</v>
      </c>
      <c r="AC156" s="239">
        <v>0</v>
      </c>
      <c r="AD156" s="239">
        <v>0</v>
      </c>
      <c r="AE156" s="239">
        <v>0</v>
      </c>
      <c r="AF156" s="239">
        <v>0</v>
      </c>
      <c r="AG156" s="239">
        <v>0</v>
      </c>
      <c r="AH156" s="239">
        <v>0</v>
      </c>
      <c r="AI156" s="239">
        <v>0</v>
      </c>
      <c r="AJ156" s="239">
        <v>0</v>
      </c>
      <c r="AK156" s="239">
        <v>0</v>
      </c>
      <c r="AL156" s="239">
        <v>0</v>
      </c>
      <c r="AM156" s="239">
        <v>0</v>
      </c>
      <c r="AN156" s="239">
        <v>0</v>
      </c>
      <c r="AO156" s="239">
        <v>0</v>
      </c>
      <c r="AP156" s="239">
        <v>0</v>
      </c>
      <c r="AQ156" s="239">
        <v>0</v>
      </c>
      <c r="AR156" s="239">
        <v>0</v>
      </c>
      <c r="AS156" s="239">
        <v>0</v>
      </c>
      <c r="AT156" s="239">
        <v>0</v>
      </c>
      <c r="AU156" s="239">
        <v>0</v>
      </c>
      <c r="AV156" s="239">
        <v>0</v>
      </c>
      <c r="AW156" s="239">
        <v>0</v>
      </c>
      <c r="AX156" s="239">
        <v>0</v>
      </c>
      <c r="AY156" s="239">
        <v>0</v>
      </c>
      <c r="AZ156" s="239">
        <v>0</v>
      </c>
      <c r="BA156" s="239">
        <v>0</v>
      </c>
      <c r="BB156" s="239">
        <v>0</v>
      </c>
      <c r="BC156" s="239">
        <v>3263783</v>
      </c>
      <c r="BD156" s="239">
        <v>-11514793</v>
      </c>
      <c r="BE156" s="214" t="s">
        <v>394</v>
      </c>
      <c r="BF156" s="214" t="s">
        <v>788</v>
      </c>
      <c r="BG156" s="214" t="s">
        <v>747</v>
      </c>
      <c r="BH156" s="214" t="s">
        <v>1010</v>
      </c>
      <c r="BI156" s="214" t="s">
        <v>1010</v>
      </c>
      <c r="BJ156" s="214" t="s">
        <v>1161</v>
      </c>
    </row>
    <row r="157" spans="2:62" x14ac:dyDescent="0.2">
      <c r="B157" s="602" t="s">
        <v>397</v>
      </c>
      <c r="C157" s="602" t="s">
        <v>396</v>
      </c>
      <c r="D157" s="239">
        <v>33948293</v>
      </c>
      <c r="E157" s="239">
        <v>0</v>
      </c>
      <c r="F157" s="239">
        <v>33948293</v>
      </c>
      <c r="G157" s="239">
        <v>0</v>
      </c>
      <c r="H157" s="239">
        <v>0</v>
      </c>
      <c r="I157" s="239">
        <v>0</v>
      </c>
      <c r="J157" s="239">
        <v>-98636</v>
      </c>
      <c r="K157" s="239">
        <v>0</v>
      </c>
      <c r="L157" s="239">
        <v>-98636</v>
      </c>
      <c r="M157" s="239">
        <v>0</v>
      </c>
      <c r="N157" s="239">
        <v>0</v>
      </c>
      <c r="O157" s="239">
        <v>0</v>
      </c>
      <c r="P157" s="239">
        <v>-1514</v>
      </c>
      <c r="Q157" s="239">
        <v>0</v>
      </c>
      <c r="R157" s="239">
        <v>-1514</v>
      </c>
      <c r="S157" s="239">
        <v>726152</v>
      </c>
      <c r="T157" s="239">
        <v>0</v>
      </c>
      <c r="U157" s="239">
        <v>726152</v>
      </c>
      <c r="V157" s="239">
        <v>-526152</v>
      </c>
      <c r="W157" s="239">
        <v>0</v>
      </c>
      <c r="X157" s="239">
        <v>-526152</v>
      </c>
      <c r="Y157" s="239">
        <v>34146779</v>
      </c>
      <c r="Z157" s="239">
        <v>0</v>
      </c>
      <c r="AA157" s="239">
        <v>34146779</v>
      </c>
      <c r="AB157" s="239">
        <v>0</v>
      </c>
      <c r="AC157" s="239">
        <v>0</v>
      </c>
      <c r="AD157" s="239">
        <v>0</v>
      </c>
      <c r="AE157" s="239">
        <v>0</v>
      </c>
      <c r="AF157" s="239">
        <v>0</v>
      </c>
      <c r="AG157" s="239">
        <v>0</v>
      </c>
      <c r="AH157" s="239">
        <v>0</v>
      </c>
      <c r="AI157" s="239">
        <v>0</v>
      </c>
      <c r="AJ157" s="239">
        <v>0</v>
      </c>
      <c r="AK157" s="239">
        <v>0</v>
      </c>
      <c r="AL157" s="239">
        <v>0</v>
      </c>
      <c r="AM157" s="239">
        <v>0</v>
      </c>
      <c r="AN157" s="239">
        <v>0</v>
      </c>
      <c r="AO157" s="239">
        <v>0</v>
      </c>
      <c r="AP157" s="239">
        <v>0</v>
      </c>
      <c r="AQ157" s="239">
        <v>0</v>
      </c>
      <c r="AR157" s="239">
        <v>0</v>
      </c>
      <c r="AS157" s="239">
        <v>0</v>
      </c>
      <c r="AT157" s="239">
        <v>0</v>
      </c>
      <c r="AU157" s="239">
        <v>0</v>
      </c>
      <c r="AV157" s="239">
        <v>0</v>
      </c>
      <c r="AW157" s="239">
        <v>0</v>
      </c>
      <c r="AX157" s="239">
        <v>0</v>
      </c>
      <c r="AY157" s="239">
        <v>0</v>
      </c>
      <c r="AZ157" s="239">
        <v>0</v>
      </c>
      <c r="BA157" s="239">
        <v>0</v>
      </c>
      <c r="BB157" s="239">
        <v>0</v>
      </c>
      <c r="BC157" s="239">
        <v>750081</v>
      </c>
      <c r="BD157" s="239">
        <v>-434567</v>
      </c>
      <c r="BE157" s="214" t="s">
        <v>396</v>
      </c>
      <c r="BF157" s="214" t="s">
        <v>836</v>
      </c>
      <c r="BG157" s="214" t="s">
        <v>834</v>
      </c>
      <c r="BH157" s="214" t="s">
        <v>1010</v>
      </c>
      <c r="BI157" s="214" t="s">
        <v>1010</v>
      </c>
      <c r="BJ157" s="214" t="s">
        <v>1158</v>
      </c>
    </row>
    <row r="158" spans="2:62" x14ac:dyDescent="0.2">
      <c r="B158" s="602" t="s">
        <v>399</v>
      </c>
      <c r="C158" s="602" t="s">
        <v>398</v>
      </c>
      <c r="D158" s="239">
        <v>41812630</v>
      </c>
      <c r="E158" s="239">
        <v>0</v>
      </c>
      <c r="F158" s="239">
        <v>41812630</v>
      </c>
      <c r="G158" s="239">
        <v>0</v>
      </c>
      <c r="H158" s="239">
        <v>0</v>
      </c>
      <c r="I158" s="239">
        <v>0</v>
      </c>
      <c r="J158" s="239">
        <v>-148402</v>
      </c>
      <c r="K158" s="239">
        <v>0</v>
      </c>
      <c r="L158" s="239">
        <v>-148402</v>
      </c>
      <c r="M158" s="239">
        <v>0</v>
      </c>
      <c r="N158" s="239">
        <v>0</v>
      </c>
      <c r="O158" s="239">
        <v>0</v>
      </c>
      <c r="P158" s="239">
        <v>-169492</v>
      </c>
      <c r="Q158" s="239">
        <v>0</v>
      </c>
      <c r="R158" s="239">
        <v>-169492</v>
      </c>
      <c r="S158" s="239">
        <v>1053469</v>
      </c>
      <c r="T158" s="239">
        <v>0</v>
      </c>
      <c r="U158" s="239">
        <v>1053469</v>
      </c>
      <c r="V158" s="239">
        <v>-410063</v>
      </c>
      <c r="W158" s="239">
        <v>0</v>
      </c>
      <c r="X158" s="239">
        <v>-410063</v>
      </c>
      <c r="Y158" s="239">
        <v>42286544</v>
      </c>
      <c r="Z158" s="239">
        <v>0</v>
      </c>
      <c r="AA158" s="239">
        <v>42286544</v>
      </c>
      <c r="AB158" s="239">
        <v>0</v>
      </c>
      <c r="AC158" s="239">
        <v>0</v>
      </c>
      <c r="AD158" s="239">
        <v>0</v>
      </c>
      <c r="AE158" s="239">
        <v>0</v>
      </c>
      <c r="AF158" s="239">
        <v>0</v>
      </c>
      <c r="AG158" s="239">
        <v>0</v>
      </c>
      <c r="AH158" s="239">
        <v>0</v>
      </c>
      <c r="AI158" s="239">
        <v>0</v>
      </c>
      <c r="AJ158" s="239">
        <v>0</v>
      </c>
      <c r="AK158" s="239">
        <v>0</v>
      </c>
      <c r="AL158" s="239">
        <v>0</v>
      </c>
      <c r="AM158" s="239">
        <v>0</v>
      </c>
      <c r="AN158" s="239">
        <v>0</v>
      </c>
      <c r="AO158" s="239">
        <v>0</v>
      </c>
      <c r="AP158" s="239">
        <v>0</v>
      </c>
      <c r="AQ158" s="239">
        <v>0</v>
      </c>
      <c r="AR158" s="239">
        <v>0</v>
      </c>
      <c r="AS158" s="239">
        <v>0</v>
      </c>
      <c r="AT158" s="239">
        <v>0</v>
      </c>
      <c r="AU158" s="239">
        <v>0</v>
      </c>
      <c r="AV158" s="239">
        <v>0</v>
      </c>
      <c r="AW158" s="239">
        <v>0</v>
      </c>
      <c r="AX158" s="239">
        <v>0</v>
      </c>
      <c r="AY158" s="239">
        <v>0</v>
      </c>
      <c r="AZ158" s="239">
        <v>0</v>
      </c>
      <c r="BA158" s="239">
        <v>0</v>
      </c>
      <c r="BB158" s="239">
        <v>0</v>
      </c>
      <c r="BC158" s="239">
        <v>1218135</v>
      </c>
      <c r="BD158" s="239">
        <v>-1726605</v>
      </c>
      <c r="BE158" s="214" t="s">
        <v>398</v>
      </c>
      <c r="BF158" s="214" t="s">
        <v>796</v>
      </c>
      <c r="BG158" s="214" t="s">
        <v>761</v>
      </c>
      <c r="BH158" s="214" t="s">
        <v>1010</v>
      </c>
      <c r="BI158" s="214" t="s">
        <v>1010</v>
      </c>
      <c r="BJ158" s="214" t="s">
        <v>1158</v>
      </c>
    </row>
    <row r="159" spans="2:62" x14ac:dyDescent="0.2">
      <c r="B159" s="602" t="s">
        <v>401</v>
      </c>
      <c r="C159" s="602" t="s">
        <v>400</v>
      </c>
      <c r="D159" s="239">
        <v>172685957</v>
      </c>
      <c r="E159" s="239">
        <v>26509404</v>
      </c>
      <c r="F159" s="239">
        <v>199195361</v>
      </c>
      <c r="G159" s="239">
        <v>0</v>
      </c>
      <c r="H159" s="239">
        <v>0</v>
      </c>
      <c r="I159" s="239">
        <v>0</v>
      </c>
      <c r="J159" s="239">
        <v>-3898021</v>
      </c>
      <c r="K159" s="239">
        <v>-420884</v>
      </c>
      <c r="L159" s="239">
        <v>-4318905</v>
      </c>
      <c r="M159" s="239">
        <v>0</v>
      </c>
      <c r="N159" s="239">
        <v>0</v>
      </c>
      <c r="O159" s="239">
        <v>0</v>
      </c>
      <c r="P159" s="239">
        <v>-6270496</v>
      </c>
      <c r="Q159" s="239">
        <v>0</v>
      </c>
      <c r="R159" s="239">
        <v>-6270496</v>
      </c>
      <c r="S159" s="239">
        <v>8212410</v>
      </c>
      <c r="T159" s="239">
        <v>0</v>
      </c>
      <c r="U159" s="239">
        <v>8212410</v>
      </c>
      <c r="V159" s="239">
        <v>-11749838</v>
      </c>
      <c r="W159" s="239">
        <v>0</v>
      </c>
      <c r="X159" s="239">
        <v>-11749838</v>
      </c>
      <c r="Y159" s="239">
        <v>162878033</v>
      </c>
      <c r="Z159" s="239">
        <v>26509404</v>
      </c>
      <c r="AA159" s="239">
        <v>189387437</v>
      </c>
      <c r="AB159" s="239">
        <v>26509404</v>
      </c>
      <c r="AC159" s="239">
        <v>26509404</v>
      </c>
      <c r="AD159" s="239">
        <v>0</v>
      </c>
      <c r="AE159" s="239">
        <v>0</v>
      </c>
      <c r="AF159" s="239">
        <v>0</v>
      </c>
      <c r="AG159" s="239">
        <v>-2126428</v>
      </c>
      <c r="AH159" s="239">
        <v>-2126428</v>
      </c>
      <c r="AI159" s="239">
        <v>32859193</v>
      </c>
      <c r="AJ159" s="239">
        <v>32859193</v>
      </c>
      <c r="AK159" s="239">
        <v>0</v>
      </c>
      <c r="AL159" s="239">
        <v>0</v>
      </c>
      <c r="AM159" s="239">
        <v>315743</v>
      </c>
      <c r="AN159" s="239">
        <v>315743</v>
      </c>
      <c r="AO159" s="239">
        <v>0</v>
      </c>
      <c r="AP159" s="239">
        <v>0</v>
      </c>
      <c r="AQ159" s="239">
        <v>0</v>
      </c>
      <c r="AR159" s="239">
        <v>0</v>
      </c>
      <c r="AS159" s="239">
        <v>0</v>
      </c>
      <c r="AT159" s="239">
        <v>0</v>
      </c>
      <c r="AU159" s="239">
        <v>0</v>
      </c>
      <c r="AV159" s="239">
        <v>0</v>
      </c>
      <c r="AW159" s="239">
        <v>0</v>
      </c>
      <c r="AX159" s="239">
        <v>0</v>
      </c>
      <c r="AY159" s="239">
        <v>0</v>
      </c>
      <c r="AZ159" s="239">
        <v>0</v>
      </c>
      <c r="BA159" s="239">
        <v>0</v>
      </c>
      <c r="BB159" s="239">
        <v>0</v>
      </c>
      <c r="BC159" s="239">
        <v>49146099</v>
      </c>
      <c r="BD159" s="239">
        <v>-4584754</v>
      </c>
      <c r="BE159" s="214" t="s">
        <v>400</v>
      </c>
      <c r="BF159" s="214" t="s">
        <v>766</v>
      </c>
      <c r="BG159" s="214" t="s">
        <v>772</v>
      </c>
      <c r="BH159" s="214" t="s">
        <v>1032</v>
      </c>
      <c r="BI159" s="214" t="s">
        <v>1033</v>
      </c>
      <c r="BJ159" s="214" t="s">
        <v>1160</v>
      </c>
    </row>
    <row r="160" spans="2:62" x14ac:dyDescent="0.2">
      <c r="B160" s="602" t="s">
        <v>403</v>
      </c>
      <c r="C160" s="602" t="s">
        <v>402</v>
      </c>
      <c r="D160" s="239">
        <v>62360021</v>
      </c>
      <c r="E160" s="239">
        <v>3935145</v>
      </c>
      <c r="F160" s="239">
        <v>66295166</v>
      </c>
      <c r="G160" s="239">
        <v>0</v>
      </c>
      <c r="H160" s="239">
        <v>0</v>
      </c>
      <c r="I160" s="239">
        <v>0</v>
      </c>
      <c r="J160" s="239">
        <v>-2860369</v>
      </c>
      <c r="K160" s="239">
        <v>0</v>
      </c>
      <c r="L160" s="239">
        <v>-2860369</v>
      </c>
      <c r="M160" s="239">
        <v>0</v>
      </c>
      <c r="N160" s="239">
        <v>0</v>
      </c>
      <c r="O160" s="239">
        <v>0</v>
      </c>
      <c r="P160" s="239">
        <v>-1546376</v>
      </c>
      <c r="Q160" s="239">
        <v>0</v>
      </c>
      <c r="R160" s="239">
        <v>-1546376</v>
      </c>
      <c r="S160" s="239">
        <v>3295007</v>
      </c>
      <c r="T160" s="239">
        <v>0</v>
      </c>
      <c r="U160" s="239">
        <v>3295007</v>
      </c>
      <c r="V160" s="239">
        <v>-2925804</v>
      </c>
      <c r="W160" s="239">
        <v>0</v>
      </c>
      <c r="X160" s="239">
        <v>-2925804</v>
      </c>
      <c r="Y160" s="239">
        <v>61182848</v>
      </c>
      <c r="Z160" s="239">
        <v>3935145</v>
      </c>
      <c r="AA160" s="239">
        <v>65117993</v>
      </c>
      <c r="AB160" s="239">
        <v>3935145</v>
      </c>
      <c r="AC160" s="239">
        <v>3935145</v>
      </c>
      <c r="AD160" s="239">
        <v>0</v>
      </c>
      <c r="AE160" s="239">
        <v>0</v>
      </c>
      <c r="AF160" s="239">
        <v>0</v>
      </c>
      <c r="AG160" s="239">
        <v>-124981</v>
      </c>
      <c r="AH160" s="239">
        <v>-124981</v>
      </c>
      <c r="AI160" s="239">
        <v>4525992</v>
      </c>
      <c r="AJ160" s="239">
        <v>4525992</v>
      </c>
      <c r="AK160" s="239">
        <v>0</v>
      </c>
      <c r="AL160" s="239">
        <v>0</v>
      </c>
      <c r="AM160" s="239">
        <v>0</v>
      </c>
      <c r="AN160" s="239">
        <v>0</v>
      </c>
      <c r="AO160" s="239">
        <v>0</v>
      </c>
      <c r="AP160" s="239">
        <v>0</v>
      </c>
      <c r="AQ160" s="239">
        <v>0</v>
      </c>
      <c r="AR160" s="239">
        <v>0</v>
      </c>
      <c r="AS160" s="239">
        <v>0</v>
      </c>
      <c r="AT160" s="239">
        <v>0</v>
      </c>
      <c r="AU160" s="239">
        <v>0</v>
      </c>
      <c r="AV160" s="239">
        <v>0</v>
      </c>
      <c r="AW160" s="239">
        <v>0</v>
      </c>
      <c r="AX160" s="239">
        <v>0</v>
      </c>
      <c r="AY160" s="239">
        <v>0</v>
      </c>
      <c r="AZ160" s="239">
        <v>0</v>
      </c>
      <c r="BA160" s="239">
        <v>0</v>
      </c>
      <c r="BB160" s="239">
        <v>0</v>
      </c>
      <c r="BC160" s="239">
        <v>11290150</v>
      </c>
      <c r="BD160" s="239">
        <v>-3858546</v>
      </c>
      <c r="BE160" s="214" t="s">
        <v>898</v>
      </c>
      <c r="BF160" s="214" t="s">
        <v>746</v>
      </c>
      <c r="BG160" s="214" t="s">
        <v>896</v>
      </c>
      <c r="BH160" s="214" t="s">
        <v>1010</v>
      </c>
      <c r="BI160" s="214" t="s">
        <v>1010</v>
      </c>
      <c r="BJ160" s="214" t="s">
        <v>746</v>
      </c>
    </row>
    <row r="161" spans="1:62" x14ac:dyDescent="0.2">
      <c r="B161" s="602" t="s">
        <v>405</v>
      </c>
      <c r="C161" s="602" t="s">
        <v>404</v>
      </c>
      <c r="D161" s="239">
        <v>56877262</v>
      </c>
      <c r="E161" s="239">
        <v>0</v>
      </c>
      <c r="F161" s="239">
        <v>56877262</v>
      </c>
      <c r="G161" s="239">
        <v>0</v>
      </c>
      <c r="H161" s="239">
        <v>0</v>
      </c>
      <c r="I161" s="239">
        <v>0</v>
      </c>
      <c r="J161" s="239">
        <v>-644723</v>
      </c>
      <c r="K161" s="239">
        <v>0</v>
      </c>
      <c r="L161" s="239">
        <v>-644723</v>
      </c>
      <c r="M161" s="239">
        <v>0</v>
      </c>
      <c r="N161" s="239">
        <v>0</v>
      </c>
      <c r="O161" s="239">
        <v>0</v>
      </c>
      <c r="P161" s="239">
        <v>-389312</v>
      </c>
      <c r="Q161" s="239">
        <v>0</v>
      </c>
      <c r="R161" s="239">
        <v>-389312</v>
      </c>
      <c r="S161" s="239">
        <v>2856744</v>
      </c>
      <c r="T161" s="239">
        <v>0</v>
      </c>
      <c r="U161" s="239">
        <v>2856744</v>
      </c>
      <c r="V161" s="239">
        <v>-1008159</v>
      </c>
      <c r="W161" s="239">
        <v>0</v>
      </c>
      <c r="X161" s="239">
        <v>-1008159</v>
      </c>
      <c r="Y161" s="239">
        <v>58336535</v>
      </c>
      <c r="Z161" s="239">
        <v>0</v>
      </c>
      <c r="AA161" s="239">
        <v>58336535</v>
      </c>
      <c r="AB161" s="239">
        <v>0</v>
      </c>
      <c r="AC161" s="239">
        <v>0</v>
      </c>
      <c r="AD161" s="239">
        <v>38808</v>
      </c>
      <c r="AE161" s="239">
        <v>0</v>
      </c>
      <c r="AF161" s="239">
        <v>38808</v>
      </c>
      <c r="AG161" s="239">
        <v>0</v>
      </c>
      <c r="AH161" s="239">
        <v>0</v>
      </c>
      <c r="AI161" s="239">
        <v>0</v>
      </c>
      <c r="AJ161" s="239">
        <v>0</v>
      </c>
      <c r="AK161" s="239">
        <v>0</v>
      </c>
      <c r="AL161" s="239">
        <v>0</v>
      </c>
      <c r="AM161" s="239">
        <v>0</v>
      </c>
      <c r="AN161" s="239">
        <v>0</v>
      </c>
      <c r="AO161" s="239">
        <v>0</v>
      </c>
      <c r="AP161" s="239">
        <v>0</v>
      </c>
      <c r="AQ161" s="239">
        <v>0</v>
      </c>
      <c r="AR161" s="239">
        <v>0</v>
      </c>
      <c r="AS161" s="239">
        <v>0</v>
      </c>
      <c r="AT161" s="239">
        <v>0</v>
      </c>
      <c r="AU161" s="239">
        <v>0</v>
      </c>
      <c r="AV161" s="239">
        <v>0</v>
      </c>
      <c r="AW161" s="239">
        <v>0</v>
      </c>
      <c r="AX161" s="239">
        <v>0</v>
      </c>
      <c r="AY161" s="239">
        <v>0</v>
      </c>
      <c r="AZ161" s="239">
        <v>0</v>
      </c>
      <c r="BA161" s="239">
        <v>0</v>
      </c>
      <c r="BB161" s="239">
        <v>0</v>
      </c>
      <c r="BC161" s="239">
        <v>3380572</v>
      </c>
      <c r="BD161" s="239">
        <v>-1875922</v>
      </c>
      <c r="BE161" s="214" t="s">
        <v>404</v>
      </c>
      <c r="BF161" s="214" t="s">
        <v>824</v>
      </c>
      <c r="BG161" s="214" t="s">
        <v>822</v>
      </c>
      <c r="BH161" s="214" t="s">
        <v>1010</v>
      </c>
      <c r="BI161" s="214" t="s">
        <v>1010</v>
      </c>
      <c r="BJ161" s="214" t="s">
        <v>1158</v>
      </c>
    </row>
    <row r="162" spans="1:62" x14ac:dyDescent="0.2">
      <c r="A162" s="215"/>
      <c r="B162" s="602" t="s">
        <v>407</v>
      </c>
      <c r="C162" s="602" t="s">
        <v>406</v>
      </c>
      <c r="D162" s="239">
        <v>13941686</v>
      </c>
      <c r="E162" s="239">
        <v>0</v>
      </c>
      <c r="F162" s="239">
        <v>13941686</v>
      </c>
      <c r="G162" s="239">
        <v>0</v>
      </c>
      <c r="H162" s="239">
        <v>0</v>
      </c>
      <c r="I162" s="239">
        <v>0</v>
      </c>
      <c r="J162" s="239">
        <v>-39490</v>
      </c>
      <c r="K162" s="239">
        <v>0</v>
      </c>
      <c r="L162" s="239">
        <v>-39490</v>
      </c>
      <c r="M162" s="239">
        <v>0</v>
      </c>
      <c r="N162" s="239">
        <v>0</v>
      </c>
      <c r="O162" s="239">
        <v>0</v>
      </c>
      <c r="P162" s="239">
        <v>-113490</v>
      </c>
      <c r="Q162" s="239">
        <v>0</v>
      </c>
      <c r="R162" s="239">
        <v>-113490</v>
      </c>
      <c r="S162" s="239">
        <v>316787</v>
      </c>
      <c r="T162" s="239">
        <v>0</v>
      </c>
      <c r="U162" s="239">
        <v>316787</v>
      </c>
      <c r="V162" s="239">
        <v>-638130</v>
      </c>
      <c r="W162" s="239">
        <v>0</v>
      </c>
      <c r="X162" s="239">
        <v>-638130</v>
      </c>
      <c r="Y162" s="239">
        <v>13506853</v>
      </c>
      <c r="Z162" s="239">
        <v>0</v>
      </c>
      <c r="AA162" s="239">
        <v>13506853</v>
      </c>
      <c r="AB162" s="239">
        <v>0</v>
      </c>
      <c r="AC162" s="239">
        <v>0</v>
      </c>
      <c r="AD162" s="239">
        <v>755602</v>
      </c>
      <c r="AE162" s="239">
        <v>0</v>
      </c>
      <c r="AF162" s="239">
        <v>755602</v>
      </c>
      <c r="AG162" s="239">
        <v>0</v>
      </c>
      <c r="AH162" s="239">
        <v>0</v>
      </c>
      <c r="AI162" s="239">
        <v>0</v>
      </c>
      <c r="AJ162" s="239">
        <v>0</v>
      </c>
      <c r="AK162" s="239">
        <v>0</v>
      </c>
      <c r="AL162" s="239">
        <v>0</v>
      </c>
      <c r="AM162" s="239">
        <v>0</v>
      </c>
      <c r="AN162" s="239">
        <v>0</v>
      </c>
      <c r="AO162" s="239">
        <v>0</v>
      </c>
      <c r="AP162" s="239">
        <v>0</v>
      </c>
      <c r="AQ162" s="239">
        <v>0</v>
      </c>
      <c r="AR162" s="239">
        <v>0</v>
      </c>
      <c r="AS162" s="239">
        <v>0</v>
      </c>
      <c r="AT162" s="239">
        <v>0</v>
      </c>
      <c r="AU162" s="239">
        <v>0</v>
      </c>
      <c r="AV162" s="239">
        <v>0</v>
      </c>
      <c r="AW162" s="239">
        <v>0</v>
      </c>
      <c r="AX162" s="239">
        <v>0</v>
      </c>
      <c r="AY162" s="239">
        <v>0</v>
      </c>
      <c r="AZ162" s="239">
        <v>0</v>
      </c>
      <c r="BA162" s="239">
        <v>0</v>
      </c>
      <c r="BB162" s="239">
        <v>0</v>
      </c>
      <c r="BC162" s="239">
        <v>632601</v>
      </c>
      <c r="BD162" s="239">
        <v>-309668</v>
      </c>
      <c r="BE162" s="214" t="s">
        <v>406</v>
      </c>
      <c r="BF162" s="214" t="s">
        <v>820</v>
      </c>
      <c r="BG162" s="214" t="s">
        <v>818</v>
      </c>
      <c r="BH162" s="214" t="s">
        <v>1010</v>
      </c>
      <c r="BI162" s="214" t="s">
        <v>1010</v>
      </c>
      <c r="BJ162" s="214" t="s">
        <v>1158</v>
      </c>
    </row>
    <row r="163" spans="1:62" x14ac:dyDescent="0.2">
      <c r="B163" s="602" t="s">
        <v>409</v>
      </c>
      <c r="C163" s="602" t="s">
        <v>408</v>
      </c>
      <c r="D163" s="239">
        <v>14574613</v>
      </c>
      <c r="E163" s="239">
        <v>0</v>
      </c>
      <c r="F163" s="239">
        <v>14574613</v>
      </c>
      <c r="G163" s="239">
        <v>0</v>
      </c>
      <c r="H163" s="239">
        <v>0</v>
      </c>
      <c r="I163" s="239">
        <v>0</v>
      </c>
      <c r="J163" s="239">
        <v>-144765</v>
      </c>
      <c r="K163" s="239">
        <v>0</v>
      </c>
      <c r="L163" s="239">
        <v>-144765</v>
      </c>
      <c r="M163" s="239">
        <v>0</v>
      </c>
      <c r="N163" s="239">
        <v>0</v>
      </c>
      <c r="O163" s="239">
        <v>0</v>
      </c>
      <c r="P163" s="239">
        <v>50506</v>
      </c>
      <c r="Q163" s="239">
        <v>0</v>
      </c>
      <c r="R163" s="239">
        <v>50506</v>
      </c>
      <c r="S163" s="239">
        <v>2051444</v>
      </c>
      <c r="T163" s="239">
        <v>0</v>
      </c>
      <c r="U163" s="239">
        <v>2051444</v>
      </c>
      <c r="V163" s="239">
        <v>-383885</v>
      </c>
      <c r="W163" s="239">
        <v>0</v>
      </c>
      <c r="X163" s="239">
        <v>-383885</v>
      </c>
      <c r="Y163" s="239">
        <v>16292678</v>
      </c>
      <c r="Z163" s="239">
        <v>0</v>
      </c>
      <c r="AA163" s="239">
        <v>16292678</v>
      </c>
      <c r="AB163" s="239">
        <v>0</v>
      </c>
      <c r="AC163" s="239">
        <v>0</v>
      </c>
      <c r="AD163" s="239">
        <v>7899</v>
      </c>
      <c r="AE163" s="239">
        <v>0</v>
      </c>
      <c r="AF163" s="239">
        <v>7899</v>
      </c>
      <c r="AG163" s="239">
        <v>0</v>
      </c>
      <c r="AH163" s="239">
        <v>0</v>
      </c>
      <c r="AI163" s="239">
        <v>0</v>
      </c>
      <c r="AJ163" s="239">
        <v>0</v>
      </c>
      <c r="AK163" s="239">
        <v>0</v>
      </c>
      <c r="AL163" s="239">
        <v>0</v>
      </c>
      <c r="AM163" s="239">
        <v>0</v>
      </c>
      <c r="AN163" s="239">
        <v>0</v>
      </c>
      <c r="AO163" s="239">
        <v>0</v>
      </c>
      <c r="AP163" s="239">
        <v>0</v>
      </c>
      <c r="AQ163" s="239">
        <v>0</v>
      </c>
      <c r="AR163" s="239">
        <v>0</v>
      </c>
      <c r="AS163" s="239">
        <v>0</v>
      </c>
      <c r="AT163" s="239">
        <v>0</v>
      </c>
      <c r="AU163" s="239">
        <v>0</v>
      </c>
      <c r="AV163" s="239">
        <v>0</v>
      </c>
      <c r="AW163" s="239">
        <v>0</v>
      </c>
      <c r="AX163" s="239">
        <v>0</v>
      </c>
      <c r="AY163" s="239">
        <v>0</v>
      </c>
      <c r="AZ163" s="239">
        <v>0</v>
      </c>
      <c r="BA163" s="239">
        <v>0</v>
      </c>
      <c r="BB163" s="239">
        <v>0</v>
      </c>
      <c r="BC163" s="239">
        <v>454620</v>
      </c>
      <c r="BD163" s="239">
        <v>-118192</v>
      </c>
      <c r="BE163" s="214" t="s">
        <v>408</v>
      </c>
      <c r="BF163" s="214" t="s">
        <v>751</v>
      </c>
      <c r="BG163" s="214" t="s">
        <v>749</v>
      </c>
      <c r="BH163" s="214" t="s">
        <v>1010</v>
      </c>
      <c r="BI163" s="214" t="s">
        <v>1010</v>
      </c>
      <c r="BJ163" s="214" t="s">
        <v>1158</v>
      </c>
    </row>
    <row r="164" spans="1:62" x14ac:dyDescent="0.2">
      <c r="B164" s="602" t="s">
        <v>411</v>
      </c>
      <c r="C164" s="602" t="s">
        <v>410</v>
      </c>
      <c r="D164" s="239">
        <v>325733276</v>
      </c>
      <c r="E164" s="239">
        <v>12352905</v>
      </c>
      <c r="F164" s="239">
        <v>338086181</v>
      </c>
      <c r="G164" s="239">
        <v>0</v>
      </c>
      <c r="H164" s="239">
        <v>0</v>
      </c>
      <c r="I164" s="239">
        <v>0</v>
      </c>
      <c r="J164" s="239">
        <v>-3082017</v>
      </c>
      <c r="K164" s="239">
        <v>-24367</v>
      </c>
      <c r="L164" s="239">
        <v>-3106384</v>
      </c>
      <c r="M164" s="239">
        <v>0</v>
      </c>
      <c r="N164" s="239">
        <v>0</v>
      </c>
      <c r="O164" s="239">
        <v>0</v>
      </c>
      <c r="P164" s="239">
        <v>-10079917</v>
      </c>
      <c r="Q164" s="239">
        <v>-382256</v>
      </c>
      <c r="R164" s="239">
        <v>-10462173</v>
      </c>
      <c r="S164" s="239">
        <v>26758161</v>
      </c>
      <c r="T164" s="239">
        <v>112867</v>
      </c>
      <c r="U164" s="239">
        <v>26871028</v>
      </c>
      <c r="V164" s="239">
        <v>-14020064</v>
      </c>
      <c r="W164" s="239">
        <v>-71073</v>
      </c>
      <c r="X164" s="239">
        <v>-14091137</v>
      </c>
      <c r="Y164" s="239">
        <v>328391456</v>
      </c>
      <c r="Z164" s="239">
        <v>12012443</v>
      </c>
      <c r="AA164" s="239">
        <v>340403899</v>
      </c>
      <c r="AB164" s="239">
        <v>12012443</v>
      </c>
      <c r="AC164" s="239">
        <v>12012443</v>
      </c>
      <c r="AD164" s="239">
        <v>0</v>
      </c>
      <c r="AE164" s="239">
        <v>0</v>
      </c>
      <c r="AF164" s="239">
        <v>0</v>
      </c>
      <c r="AG164" s="239">
        <v>-670011</v>
      </c>
      <c r="AH164" s="239">
        <v>-670011</v>
      </c>
      <c r="AI164" s="239">
        <v>11752484</v>
      </c>
      <c r="AJ164" s="239">
        <v>11752484</v>
      </c>
      <c r="AK164" s="239">
        <v>0</v>
      </c>
      <c r="AL164" s="239">
        <v>0</v>
      </c>
      <c r="AM164" s="239">
        <v>719596</v>
      </c>
      <c r="AN164" s="239">
        <v>719596</v>
      </c>
      <c r="AO164" s="239">
        <v>0</v>
      </c>
      <c r="AP164" s="239">
        <v>0</v>
      </c>
      <c r="AQ164" s="239">
        <v>0</v>
      </c>
      <c r="AR164" s="239">
        <v>0</v>
      </c>
      <c r="AS164" s="239">
        <v>0</v>
      </c>
      <c r="AT164" s="239">
        <v>0</v>
      </c>
      <c r="AU164" s="239">
        <v>0</v>
      </c>
      <c r="AV164" s="239">
        <v>0</v>
      </c>
      <c r="AW164" s="239">
        <v>0</v>
      </c>
      <c r="AX164" s="239">
        <v>0</v>
      </c>
      <c r="AY164" s="239">
        <v>0</v>
      </c>
      <c r="AZ164" s="239">
        <v>0</v>
      </c>
      <c r="BA164" s="239">
        <v>0</v>
      </c>
      <c r="BB164" s="239">
        <v>0</v>
      </c>
      <c r="BC164" s="239">
        <v>42038280</v>
      </c>
      <c r="BD164" s="239">
        <v>-11118381</v>
      </c>
      <c r="BE164" s="214" t="s">
        <v>410</v>
      </c>
      <c r="BF164" s="214" t="s">
        <v>766</v>
      </c>
      <c r="BG164" s="214" t="s">
        <v>781</v>
      </c>
      <c r="BH164" s="214" t="s">
        <v>1034</v>
      </c>
      <c r="BI164" s="214" t="s">
        <v>1010</v>
      </c>
      <c r="BJ164" s="214" t="s">
        <v>1160</v>
      </c>
    </row>
    <row r="165" spans="1:62" x14ac:dyDescent="0.2">
      <c r="B165" s="602" t="s">
        <v>413</v>
      </c>
      <c r="C165" s="602" t="s">
        <v>412</v>
      </c>
      <c r="D165" s="239">
        <v>26974383</v>
      </c>
      <c r="E165" s="239">
        <v>0</v>
      </c>
      <c r="F165" s="239">
        <v>26974383</v>
      </c>
      <c r="G165" s="239">
        <v>0</v>
      </c>
      <c r="H165" s="239">
        <v>0</v>
      </c>
      <c r="I165" s="239">
        <v>0</v>
      </c>
      <c r="J165" s="239">
        <v>-455950</v>
      </c>
      <c r="K165" s="239">
        <v>0</v>
      </c>
      <c r="L165" s="239">
        <v>-455950</v>
      </c>
      <c r="M165" s="239">
        <v>0</v>
      </c>
      <c r="N165" s="239">
        <v>0</v>
      </c>
      <c r="O165" s="239">
        <v>0</v>
      </c>
      <c r="P165" s="239">
        <v>-256758</v>
      </c>
      <c r="Q165" s="239">
        <v>0</v>
      </c>
      <c r="R165" s="239">
        <v>-256758</v>
      </c>
      <c r="S165" s="239">
        <v>2356144</v>
      </c>
      <c r="T165" s="239">
        <v>0</v>
      </c>
      <c r="U165" s="239">
        <v>2356144</v>
      </c>
      <c r="V165" s="239">
        <v>-2752651</v>
      </c>
      <c r="W165" s="239">
        <v>0</v>
      </c>
      <c r="X165" s="239">
        <v>-2752651</v>
      </c>
      <c r="Y165" s="239">
        <v>26321118</v>
      </c>
      <c r="Z165" s="239">
        <v>0</v>
      </c>
      <c r="AA165" s="239">
        <v>26321118</v>
      </c>
      <c r="AB165" s="239">
        <v>0</v>
      </c>
      <c r="AC165" s="239">
        <v>0</v>
      </c>
      <c r="AD165" s="239">
        <v>65923</v>
      </c>
      <c r="AE165" s="239">
        <v>0</v>
      </c>
      <c r="AF165" s="239">
        <v>65923</v>
      </c>
      <c r="AG165" s="239">
        <v>0</v>
      </c>
      <c r="AH165" s="239">
        <v>0</v>
      </c>
      <c r="AI165" s="239">
        <v>0</v>
      </c>
      <c r="AJ165" s="239">
        <v>0</v>
      </c>
      <c r="AK165" s="239">
        <v>0</v>
      </c>
      <c r="AL165" s="239">
        <v>0</v>
      </c>
      <c r="AM165" s="239">
        <v>0</v>
      </c>
      <c r="AN165" s="239">
        <v>0</v>
      </c>
      <c r="AO165" s="239">
        <v>0</v>
      </c>
      <c r="AP165" s="239">
        <v>0</v>
      </c>
      <c r="AQ165" s="239">
        <v>0</v>
      </c>
      <c r="AR165" s="239">
        <v>0</v>
      </c>
      <c r="AS165" s="239">
        <v>0</v>
      </c>
      <c r="AT165" s="239">
        <v>0</v>
      </c>
      <c r="AU165" s="239">
        <v>0</v>
      </c>
      <c r="AV165" s="239">
        <v>0</v>
      </c>
      <c r="AW165" s="239">
        <v>0</v>
      </c>
      <c r="AX165" s="239">
        <v>0</v>
      </c>
      <c r="AY165" s="239">
        <v>0</v>
      </c>
      <c r="AZ165" s="239">
        <v>0</v>
      </c>
      <c r="BA165" s="239">
        <v>0</v>
      </c>
      <c r="BB165" s="239">
        <v>0</v>
      </c>
      <c r="BC165" s="239">
        <v>473978</v>
      </c>
      <c r="BD165" s="239">
        <v>-149344</v>
      </c>
      <c r="BE165" s="214" t="s">
        <v>412</v>
      </c>
      <c r="BF165" s="214" t="s">
        <v>872</v>
      </c>
      <c r="BG165" s="214" t="s">
        <v>870</v>
      </c>
      <c r="BH165" s="214" t="s">
        <v>1010</v>
      </c>
      <c r="BI165" s="214" t="s">
        <v>1010</v>
      </c>
      <c r="BJ165" s="214" t="s">
        <v>1158</v>
      </c>
    </row>
    <row r="166" spans="1:62" x14ac:dyDescent="0.2">
      <c r="B166" s="602" t="s">
        <v>415</v>
      </c>
      <c r="C166" s="602" t="s">
        <v>414</v>
      </c>
      <c r="D166" s="239">
        <v>88561042</v>
      </c>
      <c r="E166" s="239">
        <v>0</v>
      </c>
      <c r="F166" s="239">
        <v>88561042</v>
      </c>
      <c r="G166" s="239">
        <v>0</v>
      </c>
      <c r="H166" s="239">
        <v>0</v>
      </c>
      <c r="I166" s="239">
        <v>0</v>
      </c>
      <c r="J166" s="239">
        <v>-622945</v>
      </c>
      <c r="K166" s="239">
        <v>0</v>
      </c>
      <c r="L166" s="239">
        <v>-622945</v>
      </c>
      <c r="M166" s="239">
        <v>0</v>
      </c>
      <c r="N166" s="239">
        <v>0</v>
      </c>
      <c r="O166" s="239">
        <v>0</v>
      </c>
      <c r="P166" s="239">
        <v>-1636037</v>
      </c>
      <c r="Q166" s="239">
        <v>0</v>
      </c>
      <c r="R166" s="239">
        <v>-1636037</v>
      </c>
      <c r="S166" s="239">
        <v>0</v>
      </c>
      <c r="T166" s="239">
        <v>0</v>
      </c>
      <c r="U166" s="239">
        <v>0</v>
      </c>
      <c r="V166" s="239">
        <v>-2275024</v>
      </c>
      <c r="W166" s="239">
        <v>0</v>
      </c>
      <c r="X166" s="239">
        <v>-2275024</v>
      </c>
      <c r="Y166" s="239">
        <v>84649981</v>
      </c>
      <c r="Z166" s="239">
        <v>0</v>
      </c>
      <c r="AA166" s="239">
        <v>84649981</v>
      </c>
      <c r="AB166" s="239">
        <v>0</v>
      </c>
      <c r="AC166" s="239">
        <v>0</v>
      </c>
      <c r="AD166" s="239">
        <v>0</v>
      </c>
      <c r="AE166" s="239">
        <v>0</v>
      </c>
      <c r="AF166" s="239">
        <v>0</v>
      </c>
      <c r="AG166" s="239">
        <v>0</v>
      </c>
      <c r="AH166" s="239">
        <v>0</v>
      </c>
      <c r="AI166" s="239">
        <v>10890</v>
      </c>
      <c r="AJ166" s="239">
        <v>10890</v>
      </c>
      <c r="AK166" s="239">
        <v>0</v>
      </c>
      <c r="AL166" s="239">
        <v>0</v>
      </c>
      <c r="AM166" s="239">
        <v>0</v>
      </c>
      <c r="AN166" s="239">
        <v>0</v>
      </c>
      <c r="AO166" s="239">
        <v>0</v>
      </c>
      <c r="AP166" s="239">
        <v>0</v>
      </c>
      <c r="AQ166" s="239">
        <v>0</v>
      </c>
      <c r="AR166" s="239">
        <v>0</v>
      </c>
      <c r="AS166" s="239">
        <v>0</v>
      </c>
      <c r="AT166" s="239">
        <v>0</v>
      </c>
      <c r="AU166" s="239">
        <v>0</v>
      </c>
      <c r="AV166" s="239">
        <v>0</v>
      </c>
      <c r="AW166" s="239">
        <v>0</v>
      </c>
      <c r="AX166" s="239">
        <v>0</v>
      </c>
      <c r="AY166" s="239">
        <v>0</v>
      </c>
      <c r="AZ166" s="239">
        <v>0</v>
      </c>
      <c r="BA166" s="239">
        <v>0</v>
      </c>
      <c r="BB166" s="239">
        <v>0</v>
      </c>
      <c r="BC166" s="239">
        <v>6603902</v>
      </c>
      <c r="BD166" s="239">
        <v>-3342677</v>
      </c>
      <c r="BE166" s="214" t="s">
        <v>895</v>
      </c>
      <c r="BF166" s="214" t="s">
        <v>746</v>
      </c>
      <c r="BG166" s="214" t="s">
        <v>822</v>
      </c>
      <c r="BH166" s="214" t="s">
        <v>1010</v>
      </c>
      <c r="BI166" s="214" t="s">
        <v>1010</v>
      </c>
      <c r="BJ166" s="214" t="s">
        <v>746</v>
      </c>
    </row>
    <row r="167" spans="1:62" x14ac:dyDescent="0.2">
      <c r="B167" s="602" t="s">
        <v>417</v>
      </c>
      <c r="C167" s="602" t="s">
        <v>416</v>
      </c>
      <c r="D167" s="239">
        <v>13550190</v>
      </c>
      <c r="E167" s="239">
        <v>0</v>
      </c>
      <c r="F167" s="239">
        <v>13550190</v>
      </c>
      <c r="G167" s="239">
        <v>0</v>
      </c>
      <c r="H167" s="239">
        <v>0</v>
      </c>
      <c r="I167" s="239">
        <v>0</v>
      </c>
      <c r="J167" s="239">
        <v>-123527</v>
      </c>
      <c r="K167" s="239">
        <v>0</v>
      </c>
      <c r="L167" s="239">
        <v>-123527</v>
      </c>
      <c r="M167" s="239">
        <v>-88154</v>
      </c>
      <c r="N167" s="239">
        <v>0</v>
      </c>
      <c r="O167" s="239">
        <v>-88154</v>
      </c>
      <c r="P167" s="239">
        <v>-182600</v>
      </c>
      <c r="Q167" s="239">
        <v>0</v>
      </c>
      <c r="R167" s="239">
        <v>-182600</v>
      </c>
      <c r="S167" s="239">
        <v>728579</v>
      </c>
      <c r="T167" s="239">
        <v>0</v>
      </c>
      <c r="U167" s="239">
        <v>728579</v>
      </c>
      <c r="V167" s="239">
        <v>-643160</v>
      </c>
      <c r="W167" s="239">
        <v>0</v>
      </c>
      <c r="X167" s="239">
        <v>-643160</v>
      </c>
      <c r="Y167" s="239">
        <v>13364855</v>
      </c>
      <c r="Z167" s="239">
        <v>0</v>
      </c>
      <c r="AA167" s="239">
        <v>13364855</v>
      </c>
      <c r="AB167" s="239">
        <v>0</v>
      </c>
      <c r="AC167" s="239">
        <v>0</v>
      </c>
      <c r="AD167" s="239">
        <v>144590</v>
      </c>
      <c r="AE167" s="239">
        <v>0</v>
      </c>
      <c r="AF167" s="239">
        <v>144590</v>
      </c>
      <c r="AG167" s="239">
        <v>0</v>
      </c>
      <c r="AH167" s="239">
        <v>0</v>
      </c>
      <c r="AI167" s="239">
        <v>0</v>
      </c>
      <c r="AJ167" s="239">
        <v>0</v>
      </c>
      <c r="AK167" s="239">
        <v>0</v>
      </c>
      <c r="AL167" s="239">
        <v>0</v>
      </c>
      <c r="AM167" s="239">
        <v>0</v>
      </c>
      <c r="AN167" s="239">
        <v>0</v>
      </c>
      <c r="AO167" s="239">
        <v>0</v>
      </c>
      <c r="AP167" s="239">
        <v>0</v>
      </c>
      <c r="AQ167" s="239">
        <v>0</v>
      </c>
      <c r="AR167" s="239">
        <v>0</v>
      </c>
      <c r="AS167" s="239">
        <v>0</v>
      </c>
      <c r="AT167" s="239">
        <v>0</v>
      </c>
      <c r="AU167" s="239">
        <v>0</v>
      </c>
      <c r="AV167" s="239">
        <v>0</v>
      </c>
      <c r="AW167" s="239">
        <v>0</v>
      </c>
      <c r="AX167" s="239">
        <v>0</v>
      </c>
      <c r="AY167" s="239">
        <v>0</v>
      </c>
      <c r="AZ167" s="239">
        <v>0</v>
      </c>
      <c r="BA167" s="239">
        <v>0</v>
      </c>
      <c r="BB167" s="239">
        <v>0</v>
      </c>
      <c r="BC167" s="239">
        <v>458250</v>
      </c>
      <c r="BD167" s="239">
        <v>-114535</v>
      </c>
      <c r="BE167" s="214" t="s">
        <v>416</v>
      </c>
      <c r="BF167" s="214" t="s">
        <v>882</v>
      </c>
      <c r="BG167" s="214" t="s">
        <v>867</v>
      </c>
      <c r="BH167" s="214" t="s">
        <v>1010</v>
      </c>
      <c r="BI167" s="214" t="s">
        <v>1010</v>
      </c>
      <c r="BJ167" s="214" t="s">
        <v>1158</v>
      </c>
    </row>
    <row r="168" spans="1:62" x14ac:dyDescent="0.2">
      <c r="B168" s="602" t="s">
        <v>419</v>
      </c>
      <c r="C168" s="602" t="s">
        <v>418</v>
      </c>
      <c r="D168" s="239">
        <v>34347427</v>
      </c>
      <c r="E168" s="239">
        <v>0</v>
      </c>
      <c r="F168" s="239">
        <v>34347427</v>
      </c>
      <c r="G168" s="239">
        <v>0</v>
      </c>
      <c r="H168" s="239">
        <v>0</v>
      </c>
      <c r="I168" s="239">
        <v>0</v>
      </c>
      <c r="J168" s="239">
        <v>-104204</v>
      </c>
      <c r="K168" s="239">
        <v>0</v>
      </c>
      <c r="L168" s="239">
        <v>-104204</v>
      </c>
      <c r="M168" s="239">
        <v>0</v>
      </c>
      <c r="N168" s="239">
        <v>0</v>
      </c>
      <c r="O168" s="239">
        <v>0</v>
      </c>
      <c r="P168" s="239">
        <v>-968</v>
      </c>
      <c r="Q168" s="239">
        <v>0</v>
      </c>
      <c r="R168" s="239">
        <v>-968</v>
      </c>
      <c r="S168" s="239">
        <v>679641</v>
      </c>
      <c r="T168" s="239">
        <v>0</v>
      </c>
      <c r="U168" s="239">
        <v>679641</v>
      </c>
      <c r="V168" s="239">
        <v>2408680</v>
      </c>
      <c r="W168" s="239">
        <v>0</v>
      </c>
      <c r="X168" s="239">
        <v>2408680</v>
      </c>
      <c r="Y168" s="239">
        <v>37434780</v>
      </c>
      <c r="Z168" s="239">
        <v>0</v>
      </c>
      <c r="AA168" s="239">
        <v>37434780</v>
      </c>
      <c r="AB168" s="239">
        <v>0</v>
      </c>
      <c r="AC168" s="239">
        <v>0</v>
      </c>
      <c r="AD168" s="239">
        <v>135318</v>
      </c>
      <c r="AE168" s="239">
        <v>0</v>
      </c>
      <c r="AF168" s="239">
        <v>135318</v>
      </c>
      <c r="AG168" s="239">
        <v>0</v>
      </c>
      <c r="AH168" s="239">
        <v>0</v>
      </c>
      <c r="AI168" s="239">
        <v>0</v>
      </c>
      <c r="AJ168" s="239">
        <v>0</v>
      </c>
      <c r="AK168" s="239">
        <v>0</v>
      </c>
      <c r="AL168" s="239">
        <v>0</v>
      </c>
      <c r="AM168" s="239">
        <v>0</v>
      </c>
      <c r="AN168" s="239">
        <v>0</v>
      </c>
      <c r="AO168" s="239">
        <v>0</v>
      </c>
      <c r="AP168" s="239">
        <v>0</v>
      </c>
      <c r="AQ168" s="239">
        <v>0</v>
      </c>
      <c r="AR168" s="239">
        <v>0</v>
      </c>
      <c r="AS168" s="239">
        <v>0</v>
      </c>
      <c r="AT168" s="239">
        <v>0</v>
      </c>
      <c r="AU168" s="239">
        <v>0</v>
      </c>
      <c r="AV168" s="239">
        <v>0</v>
      </c>
      <c r="AW168" s="239">
        <v>0</v>
      </c>
      <c r="AX168" s="239">
        <v>0</v>
      </c>
      <c r="AY168" s="239">
        <v>0</v>
      </c>
      <c r="AZ168" s="239">
        <v>0</v>
      </c>
      <c r="BA168" s="239">
        <v>0</v>
      </c>
      <c r="BB168" s="239">
        <v>0</v>
      </c>
      <c r="BC168" s="239">
        <v>548745</v>
      </c>
      <c r="BD168" s="239">
        <v>-1431768</v>
      </c>
      <c r="BE168" s="214" t="s">
        <v>418</v>
      </c>
      <c r="BF168" s="214" t="s">
        <v>792</v>
      </c>
      <c r="BG168" s="214" t="s">
        <v>790</v>
      </c>
      <c r="BH168" s="214" t="s">
        <v>1010</v>
      </c>
      <c r="BI168" s="214" t="s">
        <v>1010</v>
      </c>
      <c r="BJ168" s="214" t="s">
        <v>1158</v>
      </c>
    </row>
    <row r="169" spans="1:62" x14ac:dyDescent="0.2">
      <c r="B169" s="602" t="s">
        <v>421</v>
      </c>
      <c r="C169" s="602" t="s">
        <v>420</v>
      </c>
      <c r="D169" s="239">
        <v>88837441</v>
      </c>
      <c r="E169" s="239">
        <v>0</v>
      </c>
      <c r="F169" s="239">
        <v>88837441</v>
      </c>
      <c r="G169" s="239">
        <v>0</v>
      </c>
      <c r="H169" s="239">
        <v>0</v>
      </c>
      <c r="I169" s="239">
        <v>0</v>
      </c>
      <c r="J169" s="239">
        <v>-380568</v>
      </c>
      <c r="K169" s="239">
        <v>0</v>
      </c>
      <c r="L169" s="239">
        <v>-380568</v>
      </c>
      <c r="M169" s="239">
        <v>0</v>
      </c>
      <c r="N169" s="239">
        <v>0</v>
      </c>
      <c r="O169" s="239">
        <v>0</v>
      </c>
      <c r="P169" s="239">
        <v>-1145926</v>
      </c>
      <c r="Q169" s="239">
        <v>0</v>
      </c>
      <c r="R169" s="239">
        <v>-1145926</v>
      </c>
      <c r="S169" s="239">
        <v>2353514</v>
      </c>
      <c r="T169" s="239">
        <v>0</v>
      </c>
      <c r="U169" s="239">
        <v>2353514</v>
      </c>
      <c r="V169" s="239">
        <v>-1288721</v>
      </c>
      <c r="W169" s="239">
        <v>0</v>
      </c>
      <c r="X169" s="239">
        <v>-1288721</v>
      </c>
      <c r="Y169" s="239">
        <v>88756308</v>
      </c>
      <c r="Z169" s="239">
        <v>0</v>
      </c>
      <c r="AA169" s="239">
        <v>88756308</v>
      </c>
      <c r="AB169" s="239">
        <v>0</v>
      </c>
      <c r="AC169" s="239">
        <v>0</v>
      </c>
      <c r="AD169" s="239">
        <v>0</v>
      </c>
      <c r="AE169" s="239">
        <v>0</v>
      </c>
      <c r="AF169" s="239">
        <v>0</v>
      </c>
      <c r="AG169" s="239">
        <v>0</v>
      </c>
      <c r="AH169" s="239">
        <v>0</v>
      </c>
      <c r="AI169" s="239">
        <v>0</v>
      </c>
      <c r="AJ169" s="239">
        <v>0</v>
      </c>
      <c r="AK169" s="239">
        <v>0</v>
      </c>
      <c r="AL169" s="239">
        <v>0</v>
      </c>
      <c r="AM169" s="239">
        <v>0</v>
      </c>
      <c r="AN169" s="239">
        <v>0</v>
      </c>
      <c r="AO169" s="239">
        <v>0</v>
      </c>
      <c r="AP169" s="239">
        <v>0</v>
      </c>
      <c r="AQ169" s="239">
        <v>0</v>
      </c>
      <c r="AR169" s="239">
        <v>0</v>
      </c>
      <c r="AS169" s="239">
        <v>0</v>
      </c>
      <c r="AT169" s="239">
        <v>0</v>
      </c>
      <c r="AU169" s="239">
        <v>0</v>
      </c>
      <c r="AV169" s="239">
        <v>0</v>
      </c>
      <c r="AW169" s="239">
        <v>0</v>
      </c>
      <c r="AX169" s="239">
        <v>0</v>
      </c>
      <c r="AY169" s="239">
        <v>0</v>
      </c>
      <c r="AZ169" s="239">
        <v>0</v>
      </c>
      <c r="BA169" s="239">
        <v>0</v>
      </c>
      <c r="BB169" s="239">
        <v>0</v>
      </c>
      <c r="BC169" s="239">
        <v>2889012</v>
      </c>
      <c r="BD169" s="239">
        <v>-2992382</v>
      </c>
      <c r="BE169" s="214" t="s">
        <v>420</v>
      </c>
      <c r="BF169" s="214" t="s">
        <v>788</v>
      </c>
      <c r="BG169" s="214" t="s">
        <v>747</v>
      </c>
      <c r="BH169" s="214" t="s">
        <v>1010</v>
      </c>
      <c r="BI169" s="214" t="s">
        <v>1010</v>
      </c>
      <c r="BJ169" s="214" t="s">
        <v>1159</v>
      </c>
    </row>
    <row r="170" spans="1:62" x14ac:dyDescent="0.2">
      <c r="B170" s="602" t="s">
        <v>423</v>
      </c>
      <c r="C170" s="602" t="s">
        <v>422</v>
      </c>
      <c r="D170" s="239">
        <v>14548416</v>
      </c>
      <c r="E170" s="239">
        <v>0</v>
      </c>
      <c r="F170" s="239">
        <v>14548416</v>
      </c>
      <c r="G170" s="239">
        <v>0</v>
      </c>
      <c r="H170" s="239">
        <v>0</v>
      </c>
      <c r="I170" s="239">
        <v>0</v>
      </c>
      <c r="J170" s="239">
        <v>-126587</v>
      </c>
      <c r="K170" s="239">
        <v>0</v>
      </c>
      <c r="L170" s="239">
        <v>-126587</v>
      </c>
      <c r="M170" s="239">
        <v>0</v>
      </c>
      <c r="N170" s="239">
        <v>0</v>
      </c>
      <c r="O170" s="239">
        <v>0</v>
      </c>
      <c r="P170" s="239">
        <v>-137495</v>
      </c>
      <c r="Q170" s="239">
        <v>0</v>
      </c>
      <c r="R170" s="239">
        <v>-137495</v>
      </c>
      <c r="S170" s="239">
        <v>409471</v>
      </c>
      <c r="T170" s="239">
        <v>0</v>
      </c>
      <c r="U170" s="239">
        <v>409471</v>
      </c>
      <c r="V170" s="239">
        <v>-518000</v>
      </c>
      <c r="W170" s="239">
        <v>0</v>
      </c>
      <c r="X170" s="239">
        <v>-518000</v>
      </c>
      <c r="Y170" s="239">
        <v>14302392</v>
      </c>
      <c r="Z170" s="239">
        <v>0</v>
      </c>
      <c r="AA170" s="239">
        <v>14302392</v>
      </c>
      <c r="AB170" s="239">
        <v>0</v>
      </c>
      <c r="AC170" s="239">
        <v>0</v>
      </c>
      <c r="AD170" s="239">
        <v>115224</v>
      </c>
      <c r="AE170" s="239">
        <v>0</v>
      </c>
      <c r="AF170" s="239">
        <v>115224</v>
      </c>
      <c r="AG170" s="239">
        <v>0</v>
      </c>
      <c r="AH170" s="239">
        <v>0</v>
      </c>
      <c r="AI170" s="239">
        <v>0</v>
      </c>
      <c r="AJ170" s="239">
        <v>0</v>
      </c>
      <c r="AK170" s="239">
        <v>0</v>
      </c>
      <c r="AL170" s="239">
        <v>0</v>
      </c>
      <c r="AM170" s="239">
        <v>0</v>
      </c>
      <c r="AN170" s="239">
        <v>0</v>
      </c>
      <c r="AO170" s="239">
        <v>0</v>
      </c>
      <c r="AP170" s="239">
        <v>0</v>
      </c>
      <c r="AQ170" s="239">
        <v>0</v>
      </c>
      <c r="AR170" s="239">
        <v>0</v>
      </c>
      <c r="AS170" s="239">
        <v>0</v>
      </c>
      <c r="AT170" s="239">
        <v>0</v>
      </c>
      <c r="AU170" s="239">
        <v>0</v>
      </c>
      <c r="AV170" s="239">
        <v>0</v>
      </c>
      <c r="AW170" s="239">
        <v>0</v>
      </c>
      <c r="AX170" s="239">
        <v>0</v>
      </c>
      <c r="AY170" s="239">
        <v>0</v>
      </c>
      <c r="AZ170" s="239">
        <v>0</v>
      </c>
      <c r="BA170" s="239">
        <v>0</v>
      </c>
      <c r="BB170" s="239">
        <v>0</v>
      </c>
      <c r="BC170" s="239">
        <v>273659</v>
      </c>
      <c r="BD170" s="239">
        <v>-375463</v>
      </c>
      <c r="BE170" s="214" t="s">
        <v>422</v>
      </c>
      <c r="BF170" s="214" t="s">
        <v>798</v>
      </c>
      <c r="BG170" s="214" t="s">
        <v>790</v>
      </c>
      <c r="BH170" s="214" t="s">
        <v>1010</v>
      </c>
      <c r="BI170" s="214" t="s">
        <v>1010</v>
      </c>
      <c r="BJ170" s="214" t="s">
        <v>1158</v>
      </c>
    </row>
    <row r="171" spans="1:62" x14ac:dyDescent="0.2">
      <c r="B171" s="602" t="s">
        <v>425</v>
      </c>
      <c r="C171" s="602" t="s">
        <v>424</v>
      </c>
      <c r="D171" s="239">
        <v>20102607</v>
      </c>
      <c r="E171" s="239">
        <v>0</v>
      </c>
      <c r="F171" s="239">
        <v>20102607</v>
      </c>
      <c r="G171" s="239">
        <v>0</v>
      </c>
      <c r="H171" s="239">
        <v>0</v>
      </c>
      <c r="I171" s="239">
        <v>0</v>
      </c>
      <c r="J171" s="239">
        <v>-86210</v>
      </c>
      <c r="K171" s="239">
        <v>0</v>
      </c>
      <c r="L171" s="239">
        <v>-86210</v>
      </c>
      <c r="M171" s="239">
        <v>0</v>
      </c>
      <c r="N171" s="239">
        <v>0</v>
      </c>
      <c r="O171" s="239">
        <v>0</v>
      </c>
      <c r="P171" s="239">
        <v>-10000</v>
      </c>
      <c r="Q171" s="239">
        <v>0</v>
      </c>
      <c r="R171" s="239">
        <v>-10000</v>
      </c>
      <c r="S171" s="239">
        <v>2576300</v>
      </c>
      <c r="T171" s="239">
        <v>0</v>
      </c>
      <c r="U171" s="239">
        <v>2576300</v>
      </c>
      <c r="V171" s="239">
        <v>-2262753</v>
      </c>
      <c r="W171" s="239">
        <v>0</v>
      </c>
      <c r="X171" s="239">
        <v>-2262753</v>
      </c>
      <c r="Y171" s="239">
        <v>20406154</v>
      </c>
      <c r="Z171" s="239">
        <v>0</v>
      </c>
      <c r="AA171" s="239">
        <v>20406154</v>
      </c>
      <c r="AB171" s="239">
        <v>0</v>
      </c>
      <c r="AC171" s="239">
        <v>0</v>
      </c>
      <c r="AD171" s="239">
        <v>334742</v>
      </c>
      <c r="AE171" s="239">
        <v>0</v>
      </c>
      <c r="AF171" s="239">
        <v>334742</v>
      </c>
      <c r="AG171" s="239">
        <v>0</v>
      </c>
      <c r="AH171" s="239">
        <v>0</v>
      </c>
      <c r="AI171" s="239">
        <v>0</v>
      </c>
      <c r="AJ171" s="239">
        <v>0</v>
      </c>
      <c r="AK171" s="239">
        <v>0</v>
      </c>
      <c r="AL171" s="239">
        <v>0</v>
      </c>
      <c r="AM171" s="239">
        <v>0</v>
      </c>
      <c r="AN171" s="239">
        <v>0</v>
      </c>
      <c r="AO171" s="239">
        <v>0</v>
      </c>
      <c r="AP171" s="239">
        <v>0</v>
      </c>
      <c r="AQ171" s="239">
        <v>0</v>
      </c>
      <c r="AR171" s="239">
        <v>0</v>
      </c>
      <c r="AS171" s="239">
        <v>0</v>
      </c>
      <c r="AT171" s="239">
        <v>0</v>
      </c>
      <c r="AU171" s="239">
        <v>0</v>
      </c>
      <c r="AV171" s="239">
        <v>0</v>
      </c>
      <c r="AW171" s="239">
        <v>0</v>
      </c>
      <c r="AX171" s="239">
        <v>0</v>
      </c>
      <c r="AY171" s="239">
        <v>0</v>
      </c>
      <c r="AZ171" s="239">
        <v>0</v>
      </c>
      <c r="BA171" s="239">
        <v>0</v>
      </c>
      <c r="BB171" s="239">
        <v>0</v>
      </c>
      <c r="BC171" s="239">
        <v>206486</v>
      </c>
      <c r="BD171" s="239">
        <v>-80929</v>
      </c>
      <c r="BE171" s="214" t="s">
        <v>424</v>
      </c>
      <c r="BF171" s="214" t="s">
        <v>809</v>
      </c>
      <c r="BG171" s="214" t="s">
        <v>761</v>
      </c>
      <c r="BH171" s="214" t="s">
        <v>1010</v>
      </c>
      <c r="BI171" s="214" t="s">
        <v>1010</v>
      </c>
      <c r="BJ171" s="214" t="s">
        <v>1158</v>
      </c>
    </row>
    <row r="172" spans="1:62" x14ac:dyDescent="0.2">
      <c r="B172" s="602" t="s">
        <v>427</v>
      </c>
      <c r="C172" s="602" t="s">
        <v>426</v>
      </c>
      <c r="D172" s="239">
        <v>42605692</v>
      </c>
      <c r="E172" s="239">
        <v>0</v>
      </c>
      <c r="F172" s="239">
        <v>42605692</v>
      </c>
      <c r="G172" s="239">
        <v>0</v>
      </c>
      <c r="H172" s="239">
        <v>0</v>
      </c>
      <c r="I172" s="239">
        <v>0</v>
      </c>
      <c r="J172" s="239">
        <v>-405682</v>
      </c>
      <c r="K172" s="239">
        <v>0</v>
      </c>
      <c r="L172" s="239">
        <v>-405682</v>
      </c>
      <c r="M172" s="239">
        <v>0</v>
      </c>
      <c r="N172" s="239">
        <v>0</v>
      </c>
      <c r="O172" s="239">
        <v>0</v>
      </c>
      <c r="P172" s="239">
        <v>-279607</v>
      </c>
      <c r="Q172" s="239">
        <v>0</v>
      </c>
      <c r="R172" s="239">
        <v>-279607</v>
      </c>
      <c r="S172" s="239">
        <v>2342667</v>
      </c>
      <c r="T172" s="239">
        <v>0</v>
      </c>
      <c r="U172" s="239">
        <v>2342667</v>
      </c>
      <c r="V172" s="239">
        <v>405702</v>
      </c>
      <c r="W172" s="239">
        <v>0</v>
      </c>
      <c r="X172" s="239">
        <v>405702</v>
      </c>
      <c r="Y172" s="239">
        <v>45074454</v>
      </c>
      <c r="Z172" s="239">
        <v>0</v>
      </c>
      <c r="AA172" s="239">
        <v>45074454</v>
      </c>
      <c r="AB172" s="239">
        <v>0</v>
      </c>
      <c r="AC172" s="239">
        <v>0</v>
      </c>
      <c r="AD172" s="239">
        <v>0</v>
      </c>
      <c r="AE172" s="239">
        <v>0</v>
      </c>
      <c r="AF172" s="239">
        <v>0</v>
      </c>
      <c r="AG172" s="239">
        <v>0</v>
      </c>
      <c r="AH172" s="239">
        <v>0</v>
      </c>
      <c r="AI172" s="239">
        <v>0</v>
      </c>
      <c r="AJ172" s="239">
        <v>0</v>
      </c>
      <c r="AK172" s="239">
        <v>0</v>
      </c>
      <c r="AL172" s="239">
        <v>0</v>
      </c>
      <c r="AM172" s="239">
        <v>0</v>
      </c>
      <c r="AN172" s="239">
        <v>0</v>
      </c>
      <c r="AO172" s="239">
        <v>0</v>
      </c>
      <c r="AP172" s="239">
        <v>0</v>
      </c>
      <c r="AQ172" s="239">
        <v>0</v>
      </c>
      <c r="AR172" s="239">
        <v>0</v>
      </c>
      <c r="AS172" s="239">
        <v>0</v>
      </c>
      <c r="AT172" s="239">
        <v>0</v>
      </c>
      <c r="AU172" s="239">
        <v>0</v>
      </c>
      <c r="AV172" s="239">
        <v>0</v>
      </c>
      <c r="AW172" s="239">
        <v>0</v>
      </c>
      <c r="AX172" s="239">
        <v>0</v>
      </c>
      <c r="AY172" s="239">
        <v>0</v>
      </c>
      <c r="AZ172" s="239">
        <v>0</v>
      </c>
      <c r="BA172" s="239">
        <v>0</v>
      </c>
      <c r="BB172" s="239">
        <v>0</v>
      </c>
      <c r="BC172" s="239">
        <v>2010932</v>
      </c>
      <c r="BD172" s="239">
        <v>-1279260</v>
      </c>
      <c r="BE172" s="214" t="s">
        <v>426</v>
      </c>
      <c r="BF172" s="214" t="s">
        <v>762</v>
      </c>
      <c r="BG172" s="214" t="s">
        <v>761</v>
      </c>
      <c r="BH172" s="214" t="s">
        <v>1010</v>
      </c>
      <c r="BI172" s="214" t="s">
        <v>1010</v>
      </c>
      <c r="BJ172" s="214" t="s">
        <v>1158</v>
      </c>
    </row>
    <row r="173" spans="1:62" x14ac:dyDescent="0.2">
      <c r="B173" s="602" t="s">
        <v>429</v>
      </c>
      <c r="C173" s="602" t="s">
        <v>428</v>
      </c>
      <c r="D173" s="239">
        <v>37449224</v>
      </c>
      <c r="E173" s="239">
        <v>2825867</v>
      </c>
      <c r="F173" s="239">
        <v>40275091</v>
      </c>
      <c r="G173" s="239">
        <v>0</v>
      </c>
      <c r="H173" s="239">
        <v>0</v>
      </c>
      <c r="I173" s="239">
        <v>0</v>
      </c>
      <c r="J173" s="239">
        <v>-489105</v>
      </c>
      <c r="K173" s="239">
        <v>-58874</v>
      </c>
      <c r="L173" s="239">
        <v>-547979</v>
      </c>
      <c r="M173" s="239">
        <v>-86960</v>
      </c>
      <c r="N173" s="239">
        <v>-3911</v>
      </c>
      <c r="O173" s="239">
        <v>-90871</v>
      </c>
      <c r="P173" s="239">
        <v>-225728</v>
      </c>
      <c r="Q173" s="239">
        <v>-46068</v>
      </c>
      <c r="R173" s="239">
        <v>-271796</v>
      </c>
      <c r="S173" s="239">
        <v>1378405</v>
      </c>
      <c r="T173" s="239">
        <v>121595</v>
      </c>
      <c r="U173" s="239">
        <v>1500000</v>
      </c>
      <c r="V173" s="239">
        <v>-3874261</v>
      </c>
      <c r="W173" s="239">
        <v>-289594</v>
      </c>
      <c r="X173" s="239">
        <v>-4163855</v>
      </c>
      <c r="Y173" s="239">
        <v>34640680</v>
      </c>
      <c r="Z173" s="239">
        <v>2607889</v>
      </c>
      <c r="AA173" s="239">
        <v>37248569</v>
      </c>
      <c r="AB173" s="239">
        <v>2607889</v>
      </c>
      <c r="AC173" s="239">
        <v>2607889</v>
      </c>
      <c r="AD173" s="239">
        <v>0</v>
      </c>
      <c r="AE173" s="239">
        <v>0</v>
      </c>
      <c r="AF173" s="239">
        <v>0</v>
      </c>
      <c r="AG173" s="239">
        <v>-536242</v>
      </c>
      <c r="AH173" s="239">
        <v>-536242</v>
      </c>
      <c r="AI173" s="239">
        <v>2781145</v>
      </c>
      <c r="AJ173" s="239">
        <v>2781145</v>
      </c>
      <c r="AK173" s="239">
        <v>10623</v>
      </c>
      <c r="AL173" s="239">
        <v>0</v>
      </c>
      <c r="AM173" s="239">
        <v>0</v>
      </c>
      <c r="AN173" s="239">
        <v>0</v>
      </c>
      <c r="AO173" s="239">
        <v>0</v>
      </c>
      <c r="AP173" s="239">
        <v>98786</v>
      </c>
      <c r="AQ173" s="239">
        <v>98786</v>
      </c>
      <c r="AR173" s="239">
        <v>0</v>
      </c>
      <c r="AS173" s="239">
        <v>0</v>
      </c>
      <c r="AT173" s="239">
        <v>0</v>
      </c>
      <c r="AU173" s="239">
        <v>0</v>
      </c>
      <c r="AV173" s="239">
        <v>0</v>
      </c>
      <c r="AW173" s="239">
        <v>0</v>
      </c>
      <c r="AX173" s="239">
        <v>0</v>
      </c>
      <c r="AY173" s="239">
        <v>0</v>
      </c>
      <c r="AZ173" s="239">
        <v>0</v>
      </c>
      <c r="BA173" s="239">
        <v>98786</v>
      </c>
      <c r="BB173" s="239">
        <v>98786</v>
      </c>
      <c r="BC173" s="239">
        <v>8227003</v>
      </c>
      <c r="BD173" s="239">
        <v>-1969647</v>
      </c>
      <c r="BE173" s="214" t="s">
        <v>894</v>
      </c>
      <c r="BF173" s="214" t="s">
        <v>746</v>
      </c>
      <c r="BG173" s="214" t="s">
        <v>842</v>
      </c>
      <c r="BH173" s="214" t="s">
        <v>1027</v>
      </c>
      <c r="BI173" s="214" t="s">
        <v>1010</v>
      </c>
      <c r="BJ173" s="214" t="s">
        <v>746</v>
      </c>
    </row>
    <row r="174" spans="1:62" x14ac:dyDescent="0.2">
      <c r="B174" s="602" t="s">
        <v>431</v>
      </c>
      <c r="C174" s="602" t="s">
        <v>430</v>
      </c>
      <c r="D174" s="239">
        <v>172083906</v>
      </c>
      <c r="E174" s="239">
        <v>0</v>
      </c>
      <c r="F174" s="239">
        <v>172083906</v>
      </c>
      <c r="G174" s="239">
        <v>0</v>
      </c>
      <c r="H174" s="239">
        <v>0</v>
      </c>
      <c r="I174" s="239">
        <v>0</v>
      </c>
      <c r="J174" s="239">
        <v>-810033</v>
      </c>
      <c r="K174" s="239">
        <v>0</v>
      </c>
      <c r="L174" s="239">
        <v>-810033</v>
      </c>
      <c r="M174" s="239">
        <v>0</v>
      </c>
      <c r="N174" s="239">
        <v>0</v>
      </c>
      <c r="O174" s="239">
        <v>0</v>
      </c>
      <c r="P174" s="239">
        <v>-2110033</v>
      </c>
      <c r="Q174" s="239">
        <v>0</v>
      </c>
      <c r="R174" s="239">
        <v>-2110033</v>
      </c>
      <c r="S174" s="239">
        <v>5414737</v>
      </c>
      <c r="T174" s="239">
        <v>0</v>
      </c>
      <c r="U174" s="239">
        <v>5414737</v>
      </c>
      <c r="V174" s="239">
        <v>-21846707</v>
      </c>
      <c r="W174" s="239">
        <v>0</v>
      </c>
      <c r="X174" s="239">
        <v>-21846707</v>
      </c>
      <c r="Y174" s="239">
        <v>153541903</v>
      </c>
      <c r="Z174" s="239">
        <v>0</v>
      </c>
      <c r="AA174" s="239">
        <v>153541903</v>
      </c>
      <c r="AB174" s="239">
        <v>0</v>
      </c>
      <c r="AC174" s="239">
        <v>0</v>
      </c>
      <c r="AD174" s="239">
        <v>160996</v>
      </c>
      <c r="AE174" s="239">
        <v>0</v>
      </c>
      <c r="AF174" s="239">
        <v>160996</v>
      </c>
      <c r="AG174" s="239">
        <v>0</v>
      </c>
      <c r="AH174" s="239">
        <v>0</v>
      </c>
      <c r="AI174" s="239">
        <v>0</v>
      </c>
      <c r="AJ174" s="239">
        <v>0</v>
      </c>
      <c r="AK174" s="239">
        <v>0</v>
      </c>
      <c r="AL174" s="239">
        <v>0</v>
      </c>
      <c r="AM174" s="239">
        <v>0</v>
      </c>
      <c r="AN174" s="239">
        <v>0</v>
      </c>
      <c r="AO174" s="239">
        <v>0</v>
      </c>
      <c r="AP174" s="239">
        <v>0</v>
      </c>
      <c r="AQ174" s="239">
        <v>0</v>
      </c>
      <c r="AR174" s="239">
        <v>0</v>
      </c>
      <c r="AS174" s="239">
        <v>0</v>
      </c>
      <c r="AT174" s="239">
        <v>0</v>
      </c>
      <c r="AU174" s="239">
        <v>0</v>
      </c>
      <c r="AV174" s="239">
        <v>0</v>
      </c>
      <c r="AW174" s="239">
        <v>0</v>
      </c>
      <c r="AX174" s="239">
        <v>0</v>
      </c>
      <c r="AY174" s="239">
        <v>0</v>
      </c>
      <c r="AZ174" s="239">
        <v>0</v>
      </c>
      <c r="BA174" s="239">
        <v>0</v>
      </c>
      <c r="BB174" s="239">
        <v>0</v>
      </c>
      <c r="BC174" s="239">
        <v>4752847</v>
      </c>
      <c r="BD174" s="239">
        <v>-3944204</v>
      </c>
      <c r="BE174" s="214" t="s">
        <v>893</v>
      </c>
      <c r="BF174" s="214" t="s">
        <v>746</v>
      </c>
      <c r="BG174" s="214" t="s">
        <v>757</v>
      </c>
      <c r="BH174" s="214" t="s">
        <v>1010</v>
      </c>
      <c r="BI174" s="214" t="s">
        <v>1010</v>
      </c>
      <c r="BJ174" s="214" t="s">
        <v>746</v>
      </c>
    </row>
    <row r="175" spans="1:62" x14ac:dyDescent="0.2">
      <c r="B175" s="602" t="s">
        <v>433</v>
      </c>
      <c r="C175" s="602" t="s">
        <v>432</v>
      </c>
      <c r="D175" s="239">
        <v>40890994</v>
      </c>
      <c r="E175" s="239">
        <v>0</v>
      </c>
      <c r="F175" s="239">
        <v>40890994</v>
      </c>
      <c r="G175" s="239">
        <v>0</v>
      </c>
      <c r="H175" s="239">
        <v>0</v>
      </c>
      <c r="I175" s="239">
        <v>0</v>
      </c>
      <c r="J175" s="239">
        <v>-109496</v>
      </c>
      <c r="K175" s="239">
        <v>0</v>
      </c>
      <c r="L175" s="239">
        <v>-109496</v>
      </c>
      <c r="M175" s="239">
        <v>0</v>
      </c>
      <c r="N175" s="239">
        <v>0</v>
      </c>
      <c r="O175" s="239">
        <v>0</v>
      </c>
      <c r="P175" s="239">
        <v>-190000</v>
      </c>
      <c r="Q175" s="239">
        <v>0</v>
      </c>
      <c r="R175" s="239">
        <v>-190000</v>
      </c>
      <c r="S175" s="239">
        <v>384000</v>
      </c>
      <c r="T175" s="239">
        <v>0</v>
      </c>
      <c r="U175" s="239">
        <v>384000</v>
      </c>
      <c r="V175" s="239">
        <v>-2315638</v>
      </c>
      <c r="W175" s="239">
        <v>0</v>
      </c>
      <c r="X175" s="239">
        <v>-2315638</v>
      </c>
      <c r="Y175" s="239">
        <v>38769356</v>
      </c>
      <c r="Z175" s="239">
        <v>0</v>
      </c>
      <c r="AA175" s="239">
        <v>38769356</v>
      </c>
      <c r="AB175" s="239">
        <v>0</v>
      </c>
      <c r="AC175" s="239">
        <v>0</v>
      </c>
      <c r="AD175" s="239">
        <v>0</v>
      </c>
      <c r="AE175" s="239">
        <v>0</v>
      </c>
      <c r="AF175" s="239">
        <v>0</v>
      </c>
      <c r="AG175" s="239">
        <v>0</v>
      </c>
      <c r="AH175" s="239">
        <v>0</v>
      </c>
      <c r="AI175" s="239">
        <v>0</v>
      </c>
      <c r="AJ175" s="239">
        <v>0</v>
      </c>
      <c r="AK175" s="239">
        <v>0</v>
      </c>
      <c r="AL175" s="239">
        <v>0</v>
      </c>
      <c r="AM175" s="239">
        <v>0</v>
      </c>
      <c r="AN175" s="239">
        <v>0</v>
      </c>
      <c r="AO175" s="239">
        <v>0</v>
      </c>
      <c r="AP175" s="239">
        <v>0</v>
      </c>
      <c r="AQ175" s="239">
        <v>0</v>
      </c>
      <c r="AR175" s="239">
        <v>0</v>
      </c>
      <c r="AS175" s="239">
        <v>0</v>
      </c>
      <c r="AT175" s="239">
        <v>0</v>
      </c>
      <c r="AU175" s="239">
        <v>0</v>
      </c>
      <c r="AV175" s="239">
        <v>0</v>
      </c>
      <c r="AW175" s="239">
        <v>0</v>
      </c>
      <c r="AX175" s="239">
        <v>0</v>
      </c>
      <c r="AY175" s="239">
        <v>0</v>
      </c>
      <c r="AZ175" s="239">
        <v>0</v>
      </c>
      <c r="BA175" s="239">
        <v>0</v>
      </c>
      <c r="BB175" s="239">
        <v>0</v>
      </c>
      <c r="BC175" s="239">
        <v>2601565</v>
      </c>
      <c r="BD175" s="239">
        <v>-2620649</v>
      </c>
      <c r="BE175" s="214" t="s">
        <v>432</v>
      </c>
      <c r="BF175" s="214" t="s">
        <v>770</v>
      </c>
      <c r="BG175" s="214" t="s">
        <v>761</v>
      </c>
      <c r="BH175" s="214" t="s">
        <v>1010</v>
      </c>
      <c r="BI175" s="214" t="s">
        <v>1010</v>
      </c>
      <c r="BJ175" s="214" t="s">
        <v>1158</v>
      </c>
    </row>
    <row r="176" spans="1:62" x14ac:dyDescent="0.2">
      <c r="B176" s="602" t="s">
        <v>435</v>
      </c>
      <c r="C176" s="602" t="s">
        <v>434</v>
      </c>
      <c r="D176" s="239">
        <v>65950912</v>
      </c>
      <c r="E176" s="239">
        <v>0</v>
      </c>
      <c r="F176" s="239">
        <v>65950912</v>
      </c>
      <c r="G176" s="239">
        <v>0</v>
      </c>
      <c r="H176" s="239">
        <v>0</v>
      </c>
      <c r="I176" s="239">
        <v>0</v>
      </c>
      <c r="J176" s="239">
        <v>-318149</v>
      </c>
      <c r="K176" s="239">
        <v>0</v>
      </c>
      <c r="L176" s="239">
        <v>-318149</v>
      </c>
      <c r="M176" s="239">
        <v>0</v>
      </c>
      <c r="N176" s="239">
        <v>0</v>
      </c>
      <c r="O176" s="239">
        <v>0</v>
      </c>
      <c r="P176" s="239">
        <v>-199998</v>
      </c>
      <c r="Q176" s="239">
        <v>0</v>
      </c>
      <c r="R176" s="239">
        <v>-199998</v>
      </c>
      <c r="S176" s="239">
        <v>649537</v>
      </c>
      <c r="T176" s="239">
        <v>0</v>
      </c>
      <c r="U176" s="239">
        <v>649537</v>
      </c>
      <c r="V176" s="239">
        <v>-3099537</v>
      </c>
      <c r="W176" s="239">
        <v>0</v>
      </c>
      <c r="X176" s="239">
        <v>-3099537</v>
      </c>
      <c r="Y176" s="239">
        <v>63300914</v>
      </c>
      <c r="Z176" s="239">
        <v>0</v>
      </c>
      <c r="AA176" s="239">
        <v>63300914</v>
      </c>
      <c r="AB176" s="239">
        <v>0</v>
      </c>
      <c r="AC176" s="239">
        <v>0</v>
      </c>
      <c r="AD176" s="239">
        <v>11909</v>
      </c>
      <c r="AE176" s="239">
        <v>0</v>
      </c>
      <c r="AF176" s="239">
        <v>11909</v>
      </c>
      <c r="AG176" s="239">
        <v>0</v>
      </c>
      <c r="AH176" s="239">
        <v>0</v>
      </c>
      <c r="AI176" s="239">
        <v>0</v>
      </c>
      <c r="AJ176" s="239">
        <v>0</v>
      </c>
      <c r="AK176" s="239">
        <v>0</v>
      </c>
      <c r="AL176" s="239">
        <v>0</v>
      </c>
      <c r="AM176" s="239">
        <v>0</v>
      </c>
      <c r="AN176" s="239">
        <v>0</v>
      </c>
      <c r="AO176" s="239">
        <v>0</v>
      </c>
      <c r="AP176" s="239">
        <v>0</v>
      </c>
      <c r="AQ176" s="239">
        <v>0</v>
      </c>
      <c r="AR176" s="239">
        <v>0</v>
      </c>
      <c r="AS176" s="239">
        <v>0</v>
      </c>
      <c r="AT176" s="239">
        <v>0</v>
      </c>
      <c r="AU176" s="239">
        <v>0</v>
      </c>
      <c r="AV176" s="239">
        <v>0</v>
      </c>
      <c r="AW176" s="239">
        <v>0</v>
      </c>
      <c r="AX176" s="239">
        <v>0</v>
      </c>
      <c r="AY176" s="239">
        <v>0</v>
      </c>
      <c r="AZ176" s="239">
        <v>0</v>
      </c>
      <c r="BA176" s="239">
        <v>0</v>
      </c>
      <c r="BB176" s="239">
        <v>0</v>
      </c>
      <c r="BC176" s="239">
        <v>1134278</v>
      </c>
      <c r="BD176" s="239">
        <v>-2711711</v>
      </c>
      <c r="BE176" s="214" t="s">
        <v>434</v>
      </c>
      <c r="BF176" s="214" t="s">
        <v>777</v>
      </c>
      <c r="BG176" s="214" t="s">
        <v>775</v>
      </c>
      <c r="BH176" s="214" t="s">
        <v>1010</v>
      </c>
      <c r="BI176" s="214" t="s">
        <v>1010</v>
      </c>
      <c r="BJ176" s="214" t="s">
        <v>1158</v>
      </c>
    </row>
    <row r="177" spans="2:62" x14ac:dyDescent="0.2">
      <c r="B177" s="602" t="s">
        <v>437</v>
      </c>
      <c r="C177" s="602" t="s">
        <v>436</v>
      </c>
      <c r="D177" s="239">
        <v>39166213</v>
      </c>
      <c r="E177" s="239">
        <v>0</v>
      </c>
      <c r="F177" s="239">
        <v>39166213</v>
      </c>
      <c r="G177" s="239">
        <v>0</v>
      </c>
      <c r="H177" s="239">
        <v>0</v>
      </c>
      <c r="I177" s="239">
        <v>0</v>
      </c>
      <c r="J177" s="239">
        <v>-206362</v>
      </c>
      <c r="K177" s="239">
        <v>0</v>
      </c>
      <c r="L177" s="239">
        <v>-206362</v>
      </c>
      <c r="M177" s="239">
        <v>0</v>
      </c>
      <c r="N177" s="239">
        <v>0</v>
      </c>
      <c r="O177" s="239">
        <v>0</v>
      </c>
      <c r="P177" s="239">
        <v>-198710</v>
      </c>
      <c r="Q177" s="239">
        <v>0</v>
      </c>
      <c r="R177" s="239">
        <v>-198710</v>
      </c>
      <c r="S177" s="239">
        <v>1833602</v>
      </c>
      <c r="T177" s="239">
        <v>0</v>
      </c>
      <c r="U177" s="239">
        <v>1833602</v>
      </c>
      <c r="V177" s="239">
        <v>0</v>
      </c>
      <c r="W177" s="239">
        <v>0</v>
      </c>
      <c r="X177" s="239">
        <v>0</v>
      </c>
      <c r="Y177" s="239">
        <v>40801105</v>
      </c>
      <c r="Z177" s="239">
        <v>0</v>
      </c>
      <c r="AA177" s="239">
        <v>40801105</v>
      </c>
      <c r="AB177" s="239">
        <v>0</v>
      </c>
      <c r="AC177" s="239">
        <v>0</v>
      </c>
      <c r="AD177" s="239">
        <v>713271</v>
      </c>
      <c r="AE177" s="239">
        <v>0</v>
      </c>
      <c r="AF177" s="239">
        <v>713271</v>
      </c>
      <c r="AG177" s="239">
        <v>0</v>
      </c>
      <c r="AH177" s="239">
        <v>0</v>
      </c>
      <c r="AI177" s="239">
        <v>0</v>
      </c>
      <c r="AJ177" s="239">
        <v>0</v>
      </c>
      <c r="AK177" s="239">
        <v>0</v>
      </c>
      <c r="AL177" s="239">
        <v>0</v>
      </c>
      <c r="AM177" s="239">
        <v>0</v>
      </c>
      <c r="AN177" s="239">
        <v>0</v>
      </c>
      <c r="AO177" s="239">
        <v>0</v>
      </c>
      <c r="AP177" s="239">
        <v>0</v>
      </c>
      <c r="AQ177" s="239">
        <v>0</v>
      </c>
      <c r="AR177" s="239">
        <v>0</v>
      </c>
      <c r="AS177" s="239">
        <v>0</v>
      </c>
      <c r="AT177" s="239">
        <v>0</v>
      </c>
      <c r="AU177" s="239">
        <v>0</v>
      </c>
      <c r="AV177" s="239">
        <v>0</v>
      </c>
      <c r="AW177" s="239">
        <v>0</v>
      </c>
      <c r="AX177" s="239">
        <v>0</v>
      </c>
      <c r="AY177" s="239">
        <v>0</v>
      </c>
      <c r="AZ177" s="239">
        <v>0</v>
      </c>
      <c r="BA177" s="239">
        <v>0</v>
      </c>
      <c r="BB177" s="239">
        <v>0</v>
      </c>
      <c r="BC177" s="239">
        <v>1343727</v>
      </c>
      <c r="BD177" s="239">
        <v>-571719</v>
      </c>
      <c r="BE177" s="214" t="s">
        <v>892</v>
      </c>
      <c r="BF177" s="214" t="s">
        <v>872</v>
      </c>
      <c r="BG177" s="214" t="s">
        <v>870</v>
      </c>
      <c r="BH177" s="214" t="s">
        <v>1010</v>
      </c>
      <c r="BI177" s="214" t="s">
        <v>1010</v>
      </c>
      <c r="BJ177" s="214" t="s">
        <v>1158</v>
      </c>
    </row>
    <row r="178" spans="2:62" x14ac:dyDescent="0.2">
      <c r="B178" s="602" t="s">
        <v>439</v>
      </c>
      <c r="C178" s="602" t="s">
        <v>1065</v>
      </c>
      <c r="D178" s="239">
        <v>137864742</v>
      </c>
      <c r="E178" s="239">
        <v>8256179</v>
      </c>
      <c r="F178" s="239">
        <v>146120921</v>
      </c>
      <c r="G178" s="239">
        <v>-1835</v>
      </c>
      <c r="H178" s="239">
        <v>0</v>
      </c>
      <c r="I178" s="239">
        <v>-1835</v>
      </c>
      <c r="J178" s="239">
        <v>-1179563</v>
      </c>
      <c r="K178" s="239">
        <v>2385</v>
      </c>
      <c r="L178" s="239">
        <v>-1177178</v>
      </c>
      <c r="M178" s="239">
        <v>0</v>
      </c>
      <c r="N178" s="239">
        <v>0</v>
      </c>
      <c r="O178" s="239">
        <v>0</v>
      </c>
      <c r="P178" s="239">
        <v>-1951468</v>
      </c>
      <c r="Q178" s="239">
        <v>0</v>
      </c>
      <c r="R178" s="239">
        <v>-1951468</v>
      </c>
      <c r="S178" s="239">
        <v>12549366</v>
      </c>
      <c r="T178" s="239">
        <v>0</v>
      </c>
      <c r="U178" s="239">
        <v>12549366</v>
      </c>
      <c r="V178" s="239">
        <v>-8964118</v>
      </c>
      <c r="W178" s="239">
        <v>0</v>
      </c>
      <c r="X178" s="239">
        <v>-8964118</v>
      </c>
      <c r="Y178" s="239">
        <v>139496687</v>
      </c>
      <c r="Z178" s="239">
        <v>8256179</v>
      </c>
      <c r="AA178" s="239">
        <v>147752866</v>
      </c>
      <c r="AB178" s="239">
        <v>8256179</v>
      </c>
      <c r="AC178" s="239">
        <v>8256179</v>
      </c>
      <c r="AD178" s="239">
        <v>0</v>
      </c>
      <c r="AE178" s="239">
        <v>0</v>
      </c>
      <c r="AF178" s="239">
        <v>0</v>
      </c>
      <c r="AG178" s="239">
        <v>-1021730</v>
      </c>
      <c r="AH178" s="239">
        <v>-1021730</v>
      </c>
      <c r="AI178" s="239">
        <v>5268370</v>
      </c>
      <c r="AJ178" s="239">
        <v>5268370</v>
      </c>
      <c r="AK178" s="239">
        <v>1966079</v>
      </c>
      <c r="AL178" s="239">
        <v>0</v>
      </c>
      <c r="AM178" s="239">
        <v>0</v>
      </c>
      <c r="AN178" s="239">
        <v>0</v>
      </c>
      <c r="AO178" s="239">
        <v>0</v>
      </c>
      <c r="AP178" s="239">
        <v>0</v>
      </c>
      <c r="AQ178" s="239">
        <v>0</v>
      </c>
      <c r="AR178" s="239">
        <v>0</v>
      </c>
      <c r="AS178" s="239">
        <v>0</v>
      </c>
      <c r="AT178" s="239">
        <v>0</v>
      </c>
      <c r="AU178" s="239">
        <v>0</v>
      </c>
      <c r="AV178" s="239">
        <v>0</v>
      </c>
      <c r="AW178" s="239">
        <v>0</v>
      </c>
      <c r="AX178" s="239">
        <v>0</v>
      </c>
      <c r="AY178" s="239">
        <v>0</v>
      </c>
      <c r="AZ178" s="239">
        <v>0</v>
      </c>
      <c r="BA178" s="239">
        <v>0</v>
      </c>
      <c r="BB178" s="239">
        <v>0</v>
      </c>
      <c r="BC178" s="239">
        <v>9390301</v>
      </c>
      <c r="BD178" s="239">
        <v>-5983164</v>
      </c>
      <c r="BE178" s="214" t="s">
        <v>438</v>
      </c>
      <c r="BF178" s="214" t="s">
        <v>766</v>
      </c>
      <c r="BG178" s="214" t="s">
        <v>839</v>
      </c>
      <c r="BH178" s="214" t="s">
        <v>1035</v>
      </c>
      <c r="BI178" s="214" t="s">
        <v>1024</v>
      </c>
      <c r="BJ178" s="214" t="s">
        <v>1160</v>
      </c>
    </row>
    <row r="179" spans="2:62" x14ac:dyDescent="0.2">
      <c r="B179" s="602" t="s">
        <v>441</v>
      </c>
      <c r="C179" s="602" t="s">
        <v>440</v>
      </c>
      <c r="D179" s="239">
        <v>34777095</v>
      </c>
      <c r="E179" s="239">
        <v>0</v>
      </c>
      <c r="F179" s="239">
        <v>34777095</v>
      </c>
      <c r="G179" s="239">
        <v>0</v>
      </c>
      <c r="H179" s="239">
        <v>0</v>
      </c>
      <c r="I179" s="239">
        <v>0</v>
      </c>
      <c r="J179" s="239">
        <v>-459353</v>
      </c>
      <c r="K179" s="239">
        <v>0</v>
      </c>
      <c r="L179" s="239">
        <v>-459353</v>
      </c>
      <c r="M179" s="239">
        <v>0</v>
      </c>
      <c r="N179" s="239">
        <v>0</v>
      </c>
      <c r="O179" s="239">
        <v>0</v>
      </c>
      <c r="P179" s="239">
        <v>-287706</v>
      </c>
      <c r="Q179" s="239">
        <v>0</v>
      </c>
      <c r="R179" s="239">
        <v>-287706</v>
      </c>
      <c r="S179" s="239">
        <v>1140012</v>
      </c>
      <c r="T179" s="239">
        <v>0</v>
      </c>
      <c r="U179" s="239">
        <v>1140012</v>
      </c>
      <c r="V179" s="239">
        <v>-4022954</v>
      </c>
      <c r="W179" s="239">
        <v>0</v>
      </c>
      <c r="X179" s="239">
        <v>-4022954</v>
      </c>
      <c r="Y179" s="239">
        <v>31606447</v>
      </c>
      <c r="Z179" s="239">
        <v>0</v>
      </c>
      <c r="AA179" s="239">
        <v>31606447</v>
      </c>
      <c r="AB179" s="239">
        <v>0</v>
      </c>
      <c r="AC179" s="239">
        <v>0</v>
      </c>
      <c r="AD179" s="239">
        <v>0</v>
      </c>
      <c r="AE179" s="239">
        <v>0</v>
      </c>
      <c r="AF179" s="239">
        <v>0</v>
      </c>
      <c r="AG179" s="239">
        <v>0</v>
      </c>
      <c r="AH179" s="239">
        <v>0</v>
      </c>
      <c r="AI179" s="239">
        <v>0</v>
      </c>
      <c r="AJ179" s="239">
        <v>0</v>
      </c>
      <c r="AK179" s="239">
        <v>0</v>
      </c>
      <c r="AL179" s="239">
        <v>0</v>
      </c>
      <c r="AM179" s="239">
        <v>0</v>
      </c>
      <c r="AN179" s="239">
        <v>0</v>
      </c>
      <c r="AO179" s="239">
        <v>0</v>
      </c>
      <c r="AP179" s="239">
        <v>0</v>
      </c>
      <c r="AQ179" s="239">
        <v>0</v>
      </c>
      <c r="AR179" s="239">
        <v>0</v>
      </c>
      <c r="AS179" s="239">
        <v>0</v>
      </c>
      <c r="AT179" s="239">
        <v>0</v>
      </c>
      <c r="AU179" s="239">
        <v>0</v>
      </c>
      <c r="AV179" s="239">
        <v>0</v>
      </c>
      <c r="AW179" s="239">
        <v>0</v>
      </c>
      <c r="AX179" s="239">
        <v>0</v>
      </c>
      <c r="AY179" s="239">
        <v>0</v>
      </c>
      <c r="AZ179" s="239">
        <v>0</v>
      </c>
      <c r="BA179" s="239">
        <v>0</v>
      </c>
      <c r="BB179" s="239">
        <v>0</v>
      </c>
      <c r="BC179" s="239">
        <v>2018396</v>
      </c>
      <c r="BD179" s="239">
        <v>-1029055</v>
      </c>
      <c r="BE179" s="214" t="s">
        <v>440</v>
      </c>
      <c r="BF179" s="214" t="s">
        <v>836</v>
      </c>
      <c r="BG179" s="214" t="s">
        <v>834</v>
      </c>
      <c r="BH179" s="214" t="s">
        <v>1010</v>
      </c>
      <c r="BI179" s="214" t="s">
        <v>1010</v>
      </c>
      <c r="BJ179" s="214" t="s">
        <v>1158</v>
      </c>
    </row>
    <row r="180" spans="2:62" x14ac:dyDescent="0.2">
      <c r="B180" s="602" t="s">
        <v>443</v>
      </c>
      <c r="C180" s="602" t="s">
        <v>442</v>
      </c>
      <c r="D180" s="239">
        <v>151343368</v>
      </c>
      <c r="E180" s="239">
        <v>801942</v>
      </c>
      <c r="F180" s="239">
        <v>152145310</v>
      </c>
      <c r="G180" s="239">
        <v>0</v>
      </c>
      <c r="H180" s="239">
        <v>0</v>
      </c>
      <c r="I180" s="239">
        <v>0</v>
      </c>
      <c r="J180" s="239">
        <v>-215638</v>
      </c>
      <c r="K180" s="239">
        <v>0</v>
      </c>
      <c r="L180" s="239">
        <v>-215638</v>
      </c>
      <c r="M180" s="239">
        <v>0</v>
      </c>
      <c r="N180" s="239">
        <v>0</v>
      </c>
      <c r="O180" s="239">
        <v>0</v>
      </c>
      <c r="P180" s="239">
        <v>87373</v>
      </c>
      <c r="Q180" s="239">
        <v>0</v>
      </c>
      <c r="R180" s="239">
        <v>87373</v>
      </c>
      <c r="S180" s="239">
        <v>566281</v>
      </c>
      <c r="T180" s="239">
        <v>0</v>
      </c>
      <c r="U180" s="239">
        <v>566281</v>
      </c>
      <c r="V180" s="239">
        <v>-9988713</v>
      </c>
      <c r="W180" s="239">
        <v>0</v>
      </c>
      <c r="X180" s="239">
        <v>-9988713</v>
      </c>
      <c r="Y180" s="239">
        <v>142008309</v>
      </c>
      <c r="Z180" s="239">
        <v>801942</v>
      </c>
      <c r="AA180" s="239">
        <v>142810251</v>
      </c>
      <c r="AB180" s="239">
        <v>801942</v>
      </c>
      <c r="AC180" s="239">
        <v>801942</v>
      </c>
      <c r="AD180" s="239">
        <v>0</v>
      </c>
      <c r="AE180" s="239">
        <v>0</v>
      </c>
      <c r="AF180" s="239">
        <v>0</v>
      </c>
      <c r="AG180" s="239">
        <v>5492</v>
      </c>
      <c r="AH180" s="239">
        <v>5492</v>
      </c>
      <c r="AI180" s="239">
        <v>230835</v>
      </c>
      <c r="AJ180" s="239">
        <v>230835</v>
      </c>
      <c r="AK180" s="239">
        <v>576599</v>
      </c>
      <c r="AL180" s="239">
        <v>0</v>
      </c>
      <c r="AM180" s="239">
        <v>0</v>
      </c>
      <c r="AN180" s="239">
        <v>0</v>
      </c>
      <c r="AO180" s="239">
        <v>0</v>
      </c>
      <c r="AP180" s="239">
        <v>0</v>
      </c>
      <c r="AQ180" s="239">
        <v>0</v>
      </c>
      <c r="AR180" s="239">
        <v>0</v>
      </c>
      <c r="AS180" s="239">
        <v>0</v>
      </c>
      <c r="AT180" s="239">
        <v>0</v>
      </c>
      <c r="AU180" s="239">
        <v>0</v>
      </c>
      <c r="AV180" s="239">
        <v>0</v>
      </c>
      <c r="AW180" s="239">
        <v>0</v>
      </c>
      <c r="AX180" s="239">
        <v>0</v>
      </c>
      <c r="AY180" s="239">
        <v>0</v>
      </c>
      <c r="AZ180" s="239">
        <v>0</v>
      </c>
      <c r="BA180" s="239">
        <v>0</v>
      </c>
      <c r="BB180" s="239">
        <v>0</v>
      </c>
      <c r="BC180" s="239">
        <v>5733562</v>
      </c>
      <c r="BD180" s="239">
        <v>-7900244</v>
      </c>
      <c r="BE180" s="214" t="s">
        <v>442</v>
      </c>
      <c r="BF180" s="214" t="s">
        <v>788</v>
      </c>
      <c r="BG180" s="214" t="s">
        <v>747</v>
      </c>
      <c r="BH180" s="214" t="s">
        <v>1036</v>
      </c>
      <c r="BI180" s="214" t="s">
        <v>1010</v>
      </c>
      <c r="BJ180" s="214" t="s">
        <v>1159</v>
      </c>
    </row>
    <row r="181" spans="2:62" x14ac:dyDescent="0.2">
      <c r="B181" s="602" t="s">
        <v>445</v>
      </c>
      <c r="C181" s="602" t="s">
        <v>444</v>
      </c>
      <c r="D181" s="239">
        <v>31770149</v>
      </c>
      <c r="E181" s="239">
        <v>0</v>
      </c>
      <c r="F181" s="239">
        <v>31770149</v>
      </c>
      <c r="G181" s="239">
        <v>0</v>
      </c>
      <c r="H181" s="239">
        <v>0</v>
      </c>
      <c r="I181" s="239">
        <v>0</v>
      </c>
      <c r="J181" s="239">
        <v>-315279</v>
      </c>
      <c r="K181" s="239">
        <v>0</v>
      </c>
      <c r="L181" s="239">
        <v>-315279</v>
      </c>
      <c r="M181" s="239">
        <v>0</v>
      </c>
      <c r="N181" s="239">
        <v>0</v>
      </c>
      <c r="O181" s="239">
        <v>0</v>
      </c>
      <c r="P181" s="239">
        <v>-197611</v>
      </c>
      <c r="Q181" s="239">
        <v>0</v>
      </c>
      <c r="R181" s="239">
        <v>-197611</v>
      </c>
      <c r="S181" s="239">
        <v>408002</v>
      </c>
      <c r="T181" s="239">
        <v>0</v>
      </c>
      <c r="U181" s="239">
        <v>408002</v>
      </c>
      <c r="V181" s="239">
        <v>-550034</v>
      </c>
      <c r="W181" s="239">
        <v>0</v>
      </c>
      <c r="X181" s="239">
        <v>-550034</v>
      </c>
      <c r="Y181" s="239">
        <v>31430506</v>
      </c>
      <c r="Z181" s="239">
        <v>0</v>
      </c>
      <c r="AA181" s="239">
        <v>31430506</v>
      </c>
      <c r="AB181" s="239">
        <v>0</v>
      </c>
      <c r="AC181" s="239">
        <v>0</v>
      </c>
      <c r="AD181" s="239">
        <v>358395</v>
      </c>
      <c r="AE181" s="239">
        <v>0</v>
      </c>
      <c r="AF181" s="239">
        <v>358395</v>
      </c>
      <c r="AG181" s="239">
        <v>0</v>
      </c>
      <c r="AH181" s="239">
        <v>0</v>
      </c>
      <c r="AI181" s="239">
        <v>0</v>
      </c>
      <c r="AJ181" s="239">
        <v>0</v>
      </c>
      <c r="AK181" s="239">
        <v>0</v>
      </c>
      <c r="AL181" s="239">
        <v>0</v>
      </c>
      <c r="AM181" s="239">
        <v>0</v>
      </c>
      <c r="AN181" s="239">
        <v>0</v>
      </c>
      <c r="AO181" s="239">
        <v>0</v>
      </c>
      <c r="AP181" s="239">
        <v>0</v>
      </c>
      <c r="AQ181" s="239">
        <v>0</v>
      </c>
      <c r="AR181" s="239">
        <v>0</v>
      </c>
      <c r="AS181" s="239">
        <v>0</v>
      </c>
      <c r="AT181" s="239">
        <v>0</v>
      </c>
      <c r="AU181" s="239">
        <v>0</v>
      </c>
      <c r="AV181" s="239">
        <v>0</v>
      </c>
      <c r="AW181" s="239">
        <v>0</v>
      </c>
      <c r="AX181" s="239">
        <v>0</v>
      </c>
      <c r="AY181" s="239">
        <v>0</v>
      </c>
      <c r="AZ181" s="239">
        <v>0</v>
      </c>
      <c r="BA181" s="239">
        <v>0</v>
      </c>
      <c r="BB181" s="239">
        <v>0</v>
      </c>
      <c r="BC181" s="239">
        <v>1254145</v>
      </c>
      <c r="BD181" s="239">
        <v>-956159</v>
      </c>
      <c r="BE181" s="214" t="s">
        <v>444</v>
      </c>
      <c r="BF181" s="214" t="s">
        <v>798</v>
      </c>
      <c r="BG181" s="214" t="s">
        <v>790</v>
      </c>
      <c r="BH181" s="214" t="s">
        <v>1010</v>
      </c>
      <c r="BI181" s="214" t="s">
        <v>1010</v>
      </c>
      <c r="BJ181" s="214" t="s">
        <v>1158</v>
      </c>
    </row>
    <row r="182" spans="2:62" x14ac:dyDescent="0.2">
      <c r="B182" s="602" t="s">
        <v>447</v>
      </c>
      <c r="C182" s="602" t="s">
        <v>446</v>
      </c>
      <c r="D182" s="239">
        <v>12804467</v>
      </c>
      <c r="E182" s="239">
        <v>0</v>
      </c>
      <c r="F182" s="239">
        <v>12804467</v>
      </c>
      <c r="G182" s="239">
        <v>0</v>
      </c>
      <c r="H182" s="239">
        <v>0</v>
      </c>
      <c r="I182" s="239">
        <v>0</v>
      </c>
      <c r="J182" s="239">
        <v>-39138</v>
      </c>
      <c r="K182" s="239">
        <v>0</v>
      </c>
      <c r="L182" s="239">
        <v>-39138</v>
      </c>
      <c r="M182" s="239">
        <v>0</v>
      </c>
      <c r="N182" s="239">
        <v>0</v>
      </c>
      <c r="O182" s="239">
        <v>0</v>
      </c>
      <c r="P182" s="239">
        <v>94862</v>
      </c>
      <c r="Q182" s="239">
        <v>0</v>
      </c>
      <c r="R182" s="239">
        <v>94862</v>
      </c>
      <c r="S182" s="239">
        <v>907005</v>
      </c>
      <c r="T182" s="239">
        <v>0</v>
      </c>
      <c r="U182" s="239">
        <v>907005</v>
      </c>
      <c r="V182" s="239">
        <v>-2107005</v>
      </c>
      <c r="W182" s="239">
        <v>0</v>
      </c>
      <c r="X182" s="239">
        <v>-2107005</v>
      </c>
      <c r="Y182" s="239">
        <v>11699329</v>
      </c>
      <c r="Z182" s="239">
        <v>0</v>
      </c>
      <c r="AA182" s="239">
        <v>11699329</v>
      </c>
      <c r="AB182" s="239">
        <v>0</v>
      </c>
      <c r="AC182" s="239">
        <v>0</v>
      </c>
      <c r="AD182" s="239">
        <v>167952</v>
      </c>
      <c r="AE182" s="239">
        <v>0</v>
      </c>
      <c r="AF182" s="239">
        <v>167952</v>
      </c>
      <c r="AG182" s="239">
        <v>0</v>
      </c>
      <c r="AH182" s="239">
        <v>0</v>
      </c>
      <c r="AI182" s="239">
        <v>0</v>
      </c>
      <c r="AJ182" s="239">
        <v>0</v>
      </c>
      <c r="AK182" s="239">
        <v>0</v>
      </c>
      <c r="AL182" s="239">
        <v>0</v>
      </c>
      <c r="AM182" s="239">
        <v>0</v>
      </c>
      <c r="AN182" s="239">
        <v>0</v>
      </c>
      <c r="AO182" s="239">
        <v>0</v>
      </c>
      <c r="AP182" s="239">
        <v>0</v>
      </c>
      <c r="AQ182" s="239">
        <v>0</v>
      </c>
      <c r="AR182" s="239">
        <v>0</v>
      </c>
      <c r="AS182" s="239">
        <v>0</v>
      </c>
      <c r="AT182" s="239">
        <v>0</v>
      </c>
      <c r="AU182" s="239">
        <v>0</v>
      </c>
      <c r="AV182" s="239">
        <v>0</v>
      </c>
      <c r="AW182" s="239">
        <v>0</v>
      </c>
      <c r="AX182" s="239">
        <v>0</v>
      </c>
      <c r="AY182" s="239">
        <v>0</v>
      </c>
      <c r="AZ182" s="239">
        <v>0</v>
      </c>
      <c r="BA182" s="239">
        <v>0</v>
      </c>
      <c r="BB182" s="239">
        <v>0</v>
      </c>
      <c r="BC182" s="239">
        <v>376779</v>
      </c>
      <c r="BD182" s="239">
        <v>-53193</v>
      </c>
      <c r="BE182" s="214" t="s">
        <v>446</v>
      </c>
      <c r="BF182" s="214" t="s">
        <v>785</v>
      </c>
      <c r="BG182" s="214" t="s">
        <v>783</v>
      </c>
      <c r="BH182" s="214" t="s">
        <v>1010</v>
      </c>
      <c r="BI182" s="214" t="s">
        <v>1010</v>
      </c>
      <c r="BJ182" s="214" t="s">
        <v>1158</v>
      </c>
    </row>
    <row r="183" spans="2:62" x14ac:dyDescent="0.2">
      <c r="B183" s="602" t="s">
        <v>449</v>
      </c>
      <c r="C183" s="602" t="s">
        <v>448</v>
      </c>
      <c r="D183" s="239">
        <v>15864972</v>
      </c>
      <c r="E183" s="239">
        <v>0</v>
      </c>
      <c r="F183" s="239">
        <v>15864972</v>
      </c>
      <c r="G183" s="239">
        <v>0</v>
      </c>
      <c r="H183" s="239">
        <v>0</v>
      </c>
      <c r="I183" s="239">
        <v>0</v>
      </c>
      <c r="J183" s="239">
        <v>-77492</v>
      </c>
      <c r="K183" s="239">
        <v>0</v>
      </c>
      <c r="L183" s="239">
        <v>-77492</v>
      </c>
      <c r="M183" s="239">
        <v>0</v>
      </c>
      <c r="N183" s="239">
        <v>0</v>
      </c>
      <c r="O183" s="239">
        <v>0</v>
      </c>
      <c r="P183" s="239">
        <v>-62988</v>
      </c>
      <c r="Q183" s="239">
        <v>0</v>
      </c>
      <c r="R183" s="239">
        <v>-62988</v>
      </c>
      <c r="S183" s="239">
        <v>1544737</v>
      </c>
      <c r="T183" s="239">
        <v>0</v>
      </c>
      <c r="U183" s="239">
        <v>1544737</v>
      </c>
      <c r="V183" s="239">
        <v>-2949824</v>
      </c>
      <c r="W183" s="239">
        <v>0</v>
      </c>
      <c r="X183" s="239">
        <v>-2949824</v>
      </c>
      <c r="Y183" s="239">
        <v>14396897</v>
      </c>
      <c r="Z183" s="239">
        <v>0</v>
      </c>
      <c r="AA183" s="239">
        <v>14396897</v>
      </c>
      <c r="AB183" s="239">
        <v>0</v>
      </c>
      <c r="AC183" s="239">
        <v>0</v>
      </c>
      <c r="AD183" s="239">
        <v>0</v>
      </c>
      <c r="AE183" s="239">
        <v>0</v>
      </c>
      <c r="AF183" s="239">
        <v>0</v>
      </c>
      <c r="AG183" s="239">
        <v>0</v>
      </c>
      <c r="AH183" s="239">
        <v>0</v>
      </c>
      <c r="AI183" s="239">
        <v>0</v>
      </c>
      <c r="AJ183" s="239">
        <v>0</v>
      </c>
      <c r="AK183" s="239">
        <v>0</v>
      </c>
      <c r="AL183" s="239">
        <v>0</v>
      </c>
      <c r="AM183" s="239">
        <v>0</v>
      </c>
      <c r="AN183" s="239">
        <v>0</v>
      </c>
      <c r="AO183" s="239">
        <v>0</v>
      </c>
      <c r="AP183" s="239">
        <v>0</v>
      </c>
      <c r="AQ183" s="239">
        <v>0</v>
      </c>
      <c r="AR183" s="239">
        <v>0</v>
      </c>
      <c r="AS183" s="239">
        <v>0</v>
      </c>
      <c r="AT183" s="239">
        <v>0</v>
      </c>
      <c r="AU183" s="239">
        <v>0</v>
      </c>
      <c r="AV183" s="239">
        <v>0</v>
      </c>
      <c r="AW183" s="239">
        <v>0</v>
      </c>
      <c r="AX183" s="239">
        <v>0</v>
      </c>
      <c r="AY183" s="239">
        <v>0</v>
      </c>
      <c r="AZ183" s="239">
        <v>0</v>
      </c>
      <c r="BA183" s="239">
        <v>0</v>
      </c>
      <c r="BB183" s="239">
        <v>0</v>
      </c>
      <c r="BC183" s="239">
        <v>879161</v>
      </c>
      <c r="BD183" s="239">
        <v>-188067</v>
      </c>
      <c r="BE183" s="214" t="s">
        <v>448</v>
      </c>
      <c r="BF183" s="214" t="s">
        <v>856</v>
      </c>
      <c r="BG183" s="214" t="s">
        <v>854</v>
      </c>
      <c r="BH183" s="214" t="s">
        <v>1010</v>
      </c>
      <c r="BI183" s="214" t="s">
        <v>1010</v>
      </c>
      <c r="BJ183" s="214" t="s">
        <v>1158</v>
      </c>
    </row>
    <row r="184" spans="2:62" x14ac:dyDescent="0.2">
      <c r="B184" s="602" t="s">
        <v>451</v>
      </c>
      <c r="C184" s="602" t="s">
        <v>450</v>
      </c>
      <c r="D184" s="239">
        <v>65420212</v>
      </c>
      <c r="E184" s="239">
        <v>0</v>
      </c>
      <c r="F184" s="239">
        <v>65420212</v>
      </c>
      <c r="G184" s="239">
        <v>0</v>
      </c>
      <c r="H184" s="239">
        <v>0</v>
      </c>
      <c r="I184" s="239">
        <v>0</v>
      </c>
      <c r="J184" s="239">
        <v>-535981</v>
      </c>
      <c r="K184" s="239">
        <v>0</v>
      </c>
      <c r="L184" s="239">
        <v>-535981</v>
      </c>
      <c r="M184" s="239">
        <v>0</v>
      </c>
      <c r="N184" s="239">
        <v>0</v>
      </c>
      <c r="O184" s="239">
        <v>0</v>
      </c>
      <c r="P184" s="239">
        <v>-795807</v>
      </c>
      <c r="Q184" s="239">
        <v>0</v>
      </c>
      <c r="R184" s="239">
        <v>-795807</v>
      </c>
      <c r="S184" s="239">
        <v>2359198</v>
      </c>
      <c r="T184" s="239">
        <v>0</v>
      </c>
      <c r="U184" s="239">
        <v>2359198</v>
      </c>
      <c r="V184" s="239">
        <v>1389972</v>
      </c>
      <c r="W184" s="239">
        <v>0</v>
      </c>
      <c r="X184" s="239">
        <v>1389972</v>
      </c>
      <c r="Y184" s="239">
        <v>68373575</v>
      </c>
      <c r="Z184" s="239">
        <v>0</v>
      </c>
      <c r="AA184" s="239">
        <v>68373575</v>
      </c>
      <c r="AB184" s="239">
        <v>0</v>
      </c>
      <c r="AC184" s="239">
        <v>0</v>
      </c>
      <c r="AD184" s="239">
        <v>112883</v>
      </c>
      <c r="AE184" s="239">
        <v>0</v>
      </c>
      <c r="AF184" s="239">
        <v>112883</v>
      </c>
      <c r="AG184" s="239">
        <v>-1737</v>
      </c>
      <c r="AH184" s="239">
        <v>-1737</v>
      </c>
      <c r="AI184" s="239">
        <v>0</v>
      </c>
      <c r="AJ184" s="239">
        <v>0</v>
      </c>
      <c r="AK184" s="239">
        <v>0</v>
      </c>
      <c r="AL184" s="239">
        <v>0</v>
      </c>
      <c r="AM184" s="239">
        <v>0</v>
      </c>
      <c r="AN184" s="239">
        <v>0</v>
      </c>
      <c r="AO184" s="239">
        <v>0</v>
      </c>
      <c r="AP184" s="239">
        <v>203595</v>
      </c>
      <c r="AQ184" s="239">
        <v>203595</v>
      </c>
      <c r="AR184" s="239">
        <v>0</v>
      </c>
      <c r="AS184" s="239">
        <v>0</v>
      </c>
      <c r="AT184" s="239">
        <v>0</v>
      </c>
      <c r="AU184" s="239">
        <v>0</v>
      </c>
      <c r="AV184" s="239">
        <v>0</v>
      </c>
      <c r="AW184" s="239">
        <v>0</v>
      </c>
      <c r="AX184" s="239">
        <v>0</v>
      </c>
      <c r="AY184" s="239">
        <v>0</v>
      </c>
      <c r="AZ184" s="239">
        <v>0</v>
      </c>
      <c r="BA184" s="239">
        <v>203595</v>
      </c>
      <c r="BB184" s="239">
        <v>203595</v>
      </c>
      <c r="BC184" s="239">
        <v>6412200</v>
      </c>
      <c r="BD184" s="239">
        <v>-3364465</v>
      </c>
      <c r="BE184" s="214" t="s">
        <v>891</v>
      </c>
      <c r="BF184" s="214" t="s">
        <v>746</v>
      </c>
      <c r="BG184" s="214" t="s">
        <v>888</v>
      </c>
      <c r="BH184" s="214" t="s">
        <v>1020</v>
      </c>
      <c r="BI184" s="214" t="s">
        <v>1021</v>
      </c>
      <c r="BJ184" s="214" t="s">
        <v>746</v>
      </c>
    </row>
    <row r="185" spans="2:62" x14ac:dyDescent="0.2">
      <c r="B185" s="602" t="s">
        <v>453</v>
      </c>
      <c r="C185" s="602" t="s">
        <v>452</v>
      </c>
      <c r="D185" s="239">
        <v>37694277</v>
      </c>
      <c r="E185" s="239">
        <v>0</v>
      </c>
      <c r="F185" s="239">
        <v>37694277</v>
      </c>
      <c r="G185" s="239">
        <v>0</v>
      </c>
      <c r="H185" s="239">
        <v>0</v>
      </c>
      <c r="I185" s="239">
        <v>0</v>
      </c>
      <c r="J185" s="239">
        <v>-391136</v>
      </c>
      <c r="K185" s="239">
        <v>0</v>
      </c>
      <c r="L185" s="239">
        <v>-391136</v>
      </c>
      <c r="M185" s="239">
        <v>0</v>
      </c>
      <c r="N185" s="239">
        <v>0</v>
      </c>
      <c r="O185" s="239">
        <v>0</v>
      </c>
      <c r="P185" s="239">
        <v>-449382</v>
      </c>
      <c r="Q185" s="239">
        <v>0</v>
      </c>
      <c r="R185" s="239">
        <v>-449382</v>
      </c>
      <c r="S185" s="239">
        <v>800616</v>
      </c>
      <c r="T185" s="239">
        <v>0</v>
      </c>
      <c r="U185" s="239">
        <v>800616</v>
      </c>
      <c r="V185" s="239">
        <v>-1295041</v>
      </c>
      <c r="W185" s="239">
        <v>0</v>
      </c>
      <c r="X185" s="239">
        <v>-1295041</v>
      </c>
      <c r="Y185" s="239">
        <v>36750470</v>
      </c>
      <c r="Z185" s="239">
        <v>0</v>
      </c>
      <c r="AA185" s="239">
        <v>36750470</v>
      </c>
      <c r="AB185" s="239">
        <v>0</v>
      </c>
      <c r="AC185" s="239">
        <v>0</v>
      </c>
      <c r="AD185" s="239">
        <v>30587</v>
      </c>
      <c r="AE185" s="239">
        <v>0</v>
      </c>
      <c r="AF185" s="239">
        <v>30587</v>
      </c>
      <c r="AG185" s="239">
        <v>0</v>
      </c>
      <c r="AH185" s="239">
        <v>0</v>
      </c>
      <c r="AI185" s="239">
        <v>0</v>
      </c>
      <c r="AJ185" s="239">
        <v>0</v>
      </c>
      <c r="AK185" s="239">
        <v>0</v>
      </c>
      <c r="AL185" s="239">
        <v>0</v>
      </c>
      <c r="AM185" s="239">
        <v>0</v>
      </c>
      <c r="AN185" s="239">
        <v>0</v>
      </c>
      <c r="AO185" s="239">
        <v>0</v>
      </c>
      <c r="AP185" s="239">
        <v>0</v>
      </c>
      <c r="AQ185" s="239">
        <v>0</v>
      </c>
      <c r="AR185" s="239">
        <v>0</v>
      </c>
      <c r="AS185" s="239">
        <v>0</v>
      </c>
      <c r="AT185" s="239">
        <v>0</v>
      </c>
      <c r="AU185" s="239">
        <v>0</v>
      </c>
      <c r="AV185" s="239">
        <v>0</v>
      </c>
      <c r="AW185" s="239">
        <v>0</v>
      </c>
      <c r="AX185" s="239">
        <v>0</v>
      </c>
      <c r="AY185" s="239">
        <v>0</v>
      </c>
      <c r="AZ185" s="239">
        <v>0</v>
      </c>
      <c r="BA185" s="239">
        <v>0</v>
      </c>
      <c r="BB185" s="239">
        <v>0</v>
      </c>
      <c r="BC185" s="239">
        <v>1153361</v>
      </c>
      <c r="BD185" s="239">
        <v>-659640</v>
      </c>
      <c r="BE185" s="214" t="s">
        <v>452</v>
      </c>
      <c r="BF185" s="214" t="s">
        <v>801</v>
      </c>
      <c r="BG185" s="214" t="s">
        <v>761</v>
      </c>
      <c r="BH185" s="214" t="s">
        <v>1010</v>
      </c>
      <c r="BI185" s="214" t="s">
        <v>1010</v>
      </c>
      <c r="BJ185" s="214" t="s">
        <v>1158</v>
      </c>
    </row>
    <row r="186" spans="2:62" x14ac:dyDescent="0.2">
      <c r="B186" s="602" t="s">
        <v>455</v>
      </c>
      <c r="C186" s="602" t="s">
        <v>454</v>
      </c>
      <c r="D186" s="239">
        <v>25758468</v>
      </c>
      <c r="E186" s="239">
        <v>0</v>
      </c>
      <c r="F186" s="239">
        <v>25758468</v>
      </c>
      <c r="G186" s="239">
        <v>0</v>
      </c>
      <c r="H186" s="239">
        <v>0</v>
      </c>
      <c r="I186" s="239">
        <v>0</v>
      </c>
      <c r="J186" s="239">
        <v>-91770</v>
      </c>
      <c r="K186" s="239">
        <v>0</v>
      </c>
      <c r="L186" s="239">
        <v>-91770</v>
      </c>
      <c r="M186" s="239">
        <v>0</v>
      </c>
      <c r="N186" s="239">
        <v>0</v>
      </c>
      <c r="O186" s="239">
        <v>0</v>
      </c>
      <c r="P186" s="239">
        <v>-55173</v>
      </c>
      <c r="Q186" s="239">
        <v>0</v>
      </c>
      <c r="R186" s="239">
        <v>-55173</v>
      </c>
      <c r="S186" s="239">
        <v>448017</v>
      </c>
      <c r="T186" s="239">
        <v>0</v>
      </c>
      <c r="U186" s="239">
        <v>448017</v>
      </c>
      <c r="V186" s="239">
        <v>-1412792</v>
      </c>
      <c r="W186" s="239">
        <v>0</v>
      </c>
      <c r="X186" s="239">
        <v>-1412792</v>
      </c>
      <c r="Y186" s="239">
        <v>24738520</v>
      </c>
      <c r="Z186" s="239">
        <v>0</v>
      </c>
      <c r="AA186" s="239">
        <v>24738520</v>
      </c>
      <c r="AB186" s="239">
        <v>0</v>
      </c>
      <c r="AC186" s="239">
        <v>0</v>
      </c>
      <c r="AD186" s="239">
        <v>1677901</v>
      </c>
      <c r="AE186" s="239">
        <v>0</v>
      </c>
      <c r="AF186" s="239">
        <v>1677901</v>
      </c>
      <c r="AG186" s="239">
        <v>0</v>
      </c>
      <c r="AH186" s="239">
        <v>0</v>
      </c>
      <c r="AI186" s="239">
        <v>0</v>
      </c>
      <c r="AJ186" s="239">
        <v>0</v>
      </c>
      <c r="AK186" s="239">
        <v>0</v>
      </c>
      <c r="AL186" s="239">
        <v>0</v>
      </c>
      <c r="AM186" s="239">
        <v>0</v>
      </c>
      <c r="AN186" s="239">
        <v>0</v>
      </c>
      <c r="AO186" s="239">
        <v>0</v>
      </c>
      <c r="AP186" s="239">
        <v>0</v>
      </c>
      <c r="AQ186" s="239">
        <v>0</v>
      </c>
      <c r="AR186" s="239">
        <v>0</v>
      </c>
      <c r="AS186" s="239">
        <v>0</v>
      </c>
      <c r="AT186" s="239">
        <v>0</v>
      </c>
      <c r="AU186" s="239">
        <v>0</v>
      </c>
      <c r="AV186" s="239">
        <v>0</v>
      </c>
      <c r="AW186" s="239">
        <v>0</v>
      </c>
      <c r="AX186" s="239">
        <v>0</v>
      </c>
      <c r="AY186" s="239">
        <v>0</v>
      </c>
      <c r="AZ186" s="239">
        <v>0</v>
      </c>
      <c r="BA186" s="239">
        <v>0</v>
      </c>
      <c r="BB186" s="239">
        <v>0</v>
      </c>
      <c r="BC186" s="239">
        <v>522306</v>
      </c>
      <c r="BD186" s="239">
        <v>-1048745</v>
      </c>
      <c r="BE186" s="214" t="s">
        <v>454</v>
      </c>
      <c r="BF186" s="214" t="s">
        <v>796</v>
      </c>
      <c r="BG186" s="214" t="s">
        <v>761</v>
      </c>
      <c r="BH186" s="214" t="s">
        <v>1010</v>
      </c>
      <c r="BI186" s="214" t="s">
        <v>1010</v>
      </c>
      <c r="BJ186" s="214" t="s">
        <v>1158</v>
      </c>
    </row>
    <row r="187" spans="2:62" x14ac:dyDescent="0.2">
      <c r="B187" s="602" t="s">
        <v>457</v>
      </c>
      <c r="C187" s="602" t="s">
        <v>456</v>
      </c>
      <c r="D187" s="239">
        <v>80273072</v>
      </c>
      <c r="E187" s="239">
        <v>2056132</v>
      </c>
      <c r="F187" s="239">
        <v>82329204</v>
      </c>
      <c r="G187" s="239">
        <v>0</v>
      </c>
      <c r="H187" s="239">
        <v>0</v>
      </c>
      <c r="I187" s="239">
        <v>0</v>
      </c>
      <c r="J187" s="239">
        <v>-847438</v>
      </c>
      <c r="K187" s="239">
        <v>0</v>
      </c>
      <c r="L187" s="239">
        <v>-847438</v>
      </c>
      <c r="M187" s="239">
        <v>0</v>
      </c>
      <c r="N187" s="239">
        <v>0</v>
      </c>
      <c r="O187" s="239">
        <v>0</v>
      </c>
      <c r="P187" s="239">
        <v>-217438</v>
      </c>
      <c r="Q187" s="239">
        <v>0</v>
      </c>
      <c r="R187" s="239">
        <v>-217438</v>
      </c>
      <c r="S187" s="239">
        <v>7498179</v>
      </c>
      <c r="T187" s="239">
        <v>0</v>
      </c>
      <c r="U187" s="239">
        <v>7498179</v>
      </c>
      <c r="V187" s="239">
        <v>-16189179</v>
      </c>
      <c r="W187" s="239">
        <v>0</v>
      </c>
      <c r="X187" s="239">
        <v>-16189179</v>
      </c>
      <c r="Y187" s="239">
        <v>71364634</v>
      </c>
      <c r="Z187" s="239">
        <v>2056132</v>
      </c>
      <c r="AA187" s="239">
        <v>73420766</v>
      </c>
      <c r="AB187" s="239">
        <v>2056132</v>
      </c>
      <c r="AC187" s="239">
        <v>2056132</v>
      </c>
      <c r="AD187" s="239">
        <v>2531277</v>
      </c>
      <c r="AE187" s="239">
        <v>0</v>
      </c>
      <c r="AF187" s="239">
        <v>2531277</v>
      </c>
      <c r="AG187" s="239">
        <v>-22924</v>
      </c>
      <c r="AH187" s="239">
        <v>-22924</v>
      </c>
      <c r="AI187" s="239">
        <v>916979</v>
      </c>
      <c r="AJ187" s="239">
        <v>916979</v>
      </c>
      <c r="AK187" s="239">
        <v>1116229</v>
      </c>
      <c r="AL187" s="239">
        <v>0</v>
      </c>
      <c r="AM187" s="239">
        <v>0</v>
      </c>
      <c r="AN187" s="239">
        <v>0</v>
      </c>
      <c r="AO187" s="239">
        <v>0</v>
      </c>
      <c r="AP187" s="239">
        <v>14690</v>
      </c>
      <c r="AQ187" s="239">
        <v>14690</v>
      </c>
      <c r="AR187" s="239">
        <v>0</v>
      </c>
      <c r="AS187" s="239">
        <v>0</v>
      </c>
      <c r="AT187" s="239">
        <v>0</v>
      </c>
      <c r="AU187" s="239">
        <v>0</v>
      </c>
      <c r="AV187" s="239">
        <v>0</v>
      </c>
      <c r="AW187" s="239">
        <v>0</v>
      </c>
      <c r="AX187" s="239">
        <v>0</v>
      </c>
      <c r="AY187" s="239">
        <v>0</v>
      </c>
      <c r="AZ187" s="239">
        <v>0</v>
      </c>
      <c r="BA187" s="239">
        <v>14690</v>
      </c>
      <c r="BB187" s="239">
        <v>14690</v>
      </c>
      <c r="BC187" s="239">
        <v>4625729</v>
      </c>
      <c r="BD187" s="239">
        <v>-2968652</v>
      </c>
      <c r="BE187" s="214" t="s">
        <v>890</v>
      </c>
      <c r="BF187" s="214" t="s">
        <v>746</v>
      </c>
      <c r="BG187" s="214" t="s">
        <v>888</v>
      </c>
      <c r="BH187" s="214" t="s">
        <v>1021</v>
      </c>
      <c r="BI187" s="214" t="s">
        <v>1010</v>
      </c>
      <c r="BJ187" s="214" t="s">
        <v>746</v>
      </c>
    </row>
    <row r="188" spans="2:62" x14ac:dyDescent="0.2">
      <c r="B188" s="602" t="s">
        <v>459</v>
      </c>
      <c r="C188" s="602" t="s">
        <v>458</v>
      </c>
      <c r="D188" s="239">
        <v>23825922</v>
      </c>
      <c r="E188" s="239">
        <v>64738</v>
      </c>
      <c r="F188" s="239">
        <v>23890660</v>
      </c>
      <c r="G188" s="239">
        <v>0</v>
      </c>
      <c r="H188" s="239">
        <v>0</v>
      </c>
      <c r="I188" s="239">
        <v>0</v>
      </c>
      <c r="J188" s="239">
        <v>-46394</v>
      </c>
      <c r="K188" s="239">
        <v>0</v>
      </c>
      <c r="L188" s="239">
        <v>-46394</v>
      </c>
      <c r="M188" s="239">
        <v>0</v>
      </c>
      <c r="N188" s="239">
        <v>0</v>
      </c>
      <c r="O188" s="239">
        <v>0</v>
      </c>
      <c r="P188" s="239">
        <v>-85024</v>
      </c>
      <c r="Q188" s="239">
        <v>0</v>
      </c>
      <c r="R188" s="239">
        <v>-85024</v>
      </c>
      <c r="S188" s="239">
        <v>1474186</v>
      </c>
      <c r="T188" s="239">
        <v>0</v>
      </c>
      <c r="U188" s="239">
        <v>1474186</v>
      </c>
      <c r="V188" s="239">
        <v>-2291006</v>
      </c>
      <c r="W188" s="239">
        <v>-18203</v>
      </c>
      <c r="X188" s="239">
        <v>-2309209</v>
      </c>
      <c r="Y188" s="239">
        <v>22924078</v>
      </c>
      <c r="Z188" s="239">
        <v>46535</v>
      </c>
      <c r="AA188" s="239">
        <v>22970613</v>
      </c>
      <c r="AB188" s="239">
        <v>46535</v>
      </c>
      <c r="AC188" s="239">
        <v>46535</v>
      </c>
      <c r="AD188" s="239">
        <v>672679</v>
      </c>
      <c r="AE188" s="239">
        <v>0</v>
      </c>
      <c r="AF188" s="239">
        <v>672679</v>
      </c>
      <c r="AG188" s="239">
        <v>75030</v>
      </c>
      <c r="AH188" s="239">
        <v>75030</v>
      </c>
      <c r="AI188" s="239">
        <v>0</v>
      </c>
      <c r="AJ188" s="239">
        <v>0</v>
      </c>
      <c r="AK188" s="239">
        <v>121565</v>
      </c>
      <c r="AL188" s="239">
        <v>0</v>
      </c>
      <c r="AM188" s="239">
        <v>0</v>
      </c>
      <c r="AN188" s="239">
        <v>0</v>
      </c>
      <c r="AO188" s="239">
        <v>0</v>
      </c>
      <c r="AP188" s="239">
        <v>209299</v>
      </c>
      <c r="AQ188" s="239">
        <v>209299</v>
      </c>
      <c r="AR188" s="239">
        <v>0</v>
      </c>
      <c r="AS188" s="239">
        <v>0</v>
      </c>
      <c r="AT188" s="239">
        <v>0</v>
      </c>
      <c r="AU188" s="239">
        <v>0</v>
      </c>
      <c r="AV188" s="239">
        <v>0</v>
      </c>
      <c r="AW188" s="239">
        <v>0</v>
      </c>
      <c r="AX188" s="239">
        <v>0</v>
      </c>
      <c r="AY188" s="239">
        <v>0</v>
      </c>
      <c r="AZ188" s="239">
        <v>0</v>
      </c>
      <c r="BA188" s="239">
        <v>209299</v>
      </c>
      <c r="BB188" s="239">
        <v>209299</v>
      </c>
      <c r="BC188" s="239">
        <v>352020</v>
      </c>
      <c r="BD188" s="239">
        <v>-478835</v>
      </c>
      <c r="BE188" s="214" t="s">
        <v>458</v>
      </c>
      <c r="BF188" s="214" t="s">
        <v>847</v>
      </c>
      <c r="BG188" s="214" t="s">
        <v>761</v>
      </c>
      <c r="BH188" s="214" t="s">
        <v>1010</v>
      </c>
      <c r="BI188" s="214" t="s">
        <v>1010</v>
      </c>
      <c r="BJ188" s="214" t="s">
        <v>1158</v>
      </c>
    </row>
    <row r="189" spans="2:62" x14ac:dyDescent="0.2">
      <c r="B189" s="602" t="s">
        <v>461</v>
      </c>
      <c r="C189" s="602" t="s">
        <v>460</v>
      </c>
      <c r="D189" s="239">
        <v>61930448</v>
      </c>
      <c r="E189" s="239">
        <v>624346</v>
      </c>
      <c r="F189" s="239">
        <v>62554794</v>
      </c>
      <c r="G189" s="239">
        <v>-4778</v>
      </c>
      <c r="H189" s="239">
        <v>0</v>
      </c>
      <c r="I189" s="239">
        <v>-4778</v>
      </c>
      <c r="J189" s="239">
        <v>-762153</v>
      </c>
      <c r="K189" s="239">
        <v>-13901</v>
      </c>
      <c r="L189" s="239">
        <v>-776054</v>
      </c>
      <c r="M189" s="239">
        <v>0</v>
      </c>
      <c r="N189" s="239">
        <v>0</v>
      </c>
      <c r="O189" s="239">
        <v>0</v>
      </c>
      <c r="P189" s="239">
        <v>-510715</v>
      </c>
      <c r="Q189" s="239">
        <v>30523</v>
      </c>
      <c r="R189" s="239">
        <v>-480192</v>
      </c>
      <c r="S189" s="239">
        <v>771952</v>
      </c>
      <c r="T189" s="239">
        <v>17118</v>
      </c>
      <c r="U189" s="239">
        <v>789070</v>
      </c>
      <c r="V189" s="239">
        <v>-3155733</v>
      </c>
      <c r="W189" s="239">
        <v>-33616</v>
      </c>
      <c r="X189" s="239">
        <v>-3189349</v>
      </c>
      <c r="Y189" s="239">
        <v>59031174</v>
      </c>
      <c r="Z189" s="239">
        <v>638371</v>
      </c>
      <c r="AA189" s="239">
        <v>59669545</v>
      </c>
      <c r="AB189" s="239">
        <v>638371</v>
      </c>
      <c r="AC189" s="239">
        <v>638371</v>
      </c>
      <c r="AD189" s="239">
        <v>165376</v>
      </c>
      <c r="AE189" s="239">
        <v>0</v>
      </c>
      <c r="AF189" s="239">
        <v>165376</v>
      </c>
      <c r="AG189" s="239">
        <v>-92571</v>
      </c>
      <c r="AH189" s="239">
        <v>-92571</v>
      </c>
      <c r="AI189" s="239">
        <v>184016</v>
      </c>
      <c r="AJ189" s="239">
        <v>184016</v>
      </c>
      <c r="AK189" s="239">
        <v>361783</v>
      </c>
      <c r="AL189" s="239">
        <v>0</v>
      </c>
      <c r="AM189" s="239">
        <v>0</v>
      </c>
      <c r="AN189" s="239">
        <v>0</v>
      </c>
      <c r="AO189" s="239">
        <v>0</v>
      </c>
      <c r="AP189" s="239">
        <v>0</v>
      </c>
      <c r="AQ189" s="239">
        <v>0</v>
      </c>
      <c r="AR189" s="239">
        <v>0</v>
      </c>
      <c r="AS189" s="239">
        <v>0</v>
      </c>
      <c r="AT189" s="239">
        <v>0</v>
      </c>
      <c r="AU189" s="239">
        <v>0</v>
      </c>
      <c r="AV189" s="239">
        <v>0</v>
      </c>
      <c r="AW189" s="239">
        <v>0</v>
      </c>
      <c r="AX189" s="239">
        <v>1666920</v>
      </c>
      <c r="AY189" s="239">
        <v>850129</v>
      </c>
      <c r="AZ189" s="239">
        <v>850129</v>
      </c>
      <c r="BA189" s="239">
        <v>0</v>
      </c>
      <c r="BB189" s="239">
        <v>850129</v>
      </c>
      <c r="BC189" s="239">
        <v>3585659</v>
      </c>
      <c r="BD189" s="239">
        <v>-2584904</v>
      </c>
      <c r="BE189" s="214" t="s">
        <v>887</v>
      </c>
      <c r="BF189" s="214" t="s">
        <v>746</v>
      </c>
      <c r="BG189" s="214" t="s">
        <v>851</v>
      </c>
      <c r="BH189" s="214" t="s">
        <v>1013</v>
      </c>
      <c r="BI189" s="214" t="s">
        <v>1010</v>
      </c>
      <c r="BJ189" s="214" t="s">
        <v>746</v>
      </c>
    </row>
    <row r="190" spans="2:62" x14ac:dyDescent="0.2">
      <c r="B190" s="602" t="s">
        <v>463</v>
      </c>
      <c r="C190" s="602" t="s">
        <v>462</v>
      </c>
      <c r="D190" s="239">
        <v>57611232</v>
      </c>
      <c r="E190" s="239">
        <v>706051</v>
      </c>
      <c r="F190" s="239">
        <v>58317283</v>
      </c>
      <c r="G190" s="239">
        <v>0</v>
      </c>
      <c r="H190" s="239">
        <v>0</v>
      </c>
      <c r="I190" s="239">
        <v>0</v>
      </c>
      <c r="J190" s="239">
        <v>-322174</v>
      </c>
      <c r="K190" s="239">
        <v>0</v>
      </c>
      <c r="L190" s="239">
        <v>-322174</v>
      </c>
      <c r="M190" s="239">
        <v>0</v>
      </c>
      <c r="N190" s="239">
        <v>0</v>
      </c>
      <c r="O190" s="239">
        <v>0</v>
      </c>
      <c r="P190" s="239">
        <v>-688604</v>
      </c>
      <c r="Q190" s="239">
        <v>0</v>
      </c>
      <c r="R190" s="239">
        <v>-688604</v>
      </c>
      <c r="S190" s="239">
        <v>0</v>
      </c>
      <c r="T190" s="239">
        <v>0</v>
      </c>
      <c r="U190" s="239">
        <v>0</v>
      </c>
      <c r="V190" s="239">
        <v>0</v>
      </c>
      <c r="W190" s="239">
        <v>0</v>
      </c>
      <c r="X190" s="239">
        <v>0</v>
      </c>
      <c r="Y190" s="239">
        <v>56922628</v>
      </c>
      <c r="Z190" s="239">
        <v>706051</v>
      </c>
      <c r="AA190" s="239">
        <v>57628679</v>
      </c>
      <c r="AB190" s="239">
        <v>706051</v>
      </c>
      <c r="AC190" s="239">
        <v>706051</v>
      </c>
      <c r="AD190" s="239">
        <v>0</v>
      </c>
      <c r="AE190" s="239">
        <v>0</v>
      </c>
      <c r="AF190" s="239">
        <v>0</v>
      </c>
      <c r="AG190" s="239">
        <v>13872</v>
      </c>
      <c r="AH190" s="239">
        <v>13872</v>
      </c>
      <c r="AI190" s="239">
        <v>582378</v>
      </c>
      <c r="AJ190" s="239">
        <v>582378</v>
      </c>
      <c r="AK190" s="239">
        <v>137545</v>
      </c>
      <c r="AL190" s="239">
        <v>0</v>
      </c>
      <c r="AM190" s="239">
        <v>0</v>
      </c>
      <c r="AN190" s="239">
        <v>0</v>
      </c>
      <c r="AO190" s="239">
        <v>0</v>
      </c>
      <c r="AP190" s="239">
        <v>15385</v>
      </c>
      <c r="AQ190" s="239">
        <v>15385</v>
      </c>
      <c r="AR190" s="239">
        <v>0</v>
      </c>
      <c r="AS190" s="239">
        <v>0</v>
      </c>
      <c r="AT190" s="239">
        <v>0</v>
      </c>
      <c r="AU190" s="239">
        <v>0</v>
      </c>
      <c r="AV190" s="239">
        <v>0</v>
      </c>
      <c r="AW190" s="239">
        <v>0</v>
      </c>
      <c r="AX190" s="239">
        <v>0</v>
      </c>
      <c r="AY190" s="239">
        <v>0</v>
      </c>
      <c r="AZ190" s="239">
        <v>0</v>
      </c>
      <c r="BA190" s="239">
        <v>15385</v>
      </c>
      <c r="BB190" s="239">
        <v>15385</v>
      </c>
      <c r="BC190" s="239">
        <v>4978224</v>
      </c>
      <c r="BD190" s="239">
        <v>-1375354</v>
      </c>
      <c r="BE190" s="214" t="s">
        <v>462</v>
      </c>
      <c r="BF190" s="214" t="s">
        <v>766</v>
      </c>
      <c r="BG190" s="214" t="s">
        <v>839</v>
      </c>
      <c r="BH190" s="214" t="s">
        <v>1037</v>
      </c>
      <c r="BI190" s="214" t="s">
        <v>1010</v>
      </c>
      <c r="BJ190" s="214" t="s">
        <v>1160</v>
      </c>
    </row>
    <row r="191" spans="2:62" x14ac:dyDescent="0.2">
      <c r="B191" s="602" t="s">
        <v>465</v>
      </c>
      <c r="C191" s="602" t="s">
        <v>464</v>
      </c>
      <c r="D191" s="239">
        <v>49210010</v>
      </c>
      <c r="E191" s="239">
        <v>0</v>
      </c>
      <c r="F191" s="239">
        <v>49210010</v>
      </c>
      <c r="G191" s="239">
        <v>0</v>
      </c>
      <c r="H191" s="239">
        <v>0</v>
      </c>
      <c r="I191" s="239">
        <v>0</v>
      </c>
      <c r="J191" s="239">
        <v>-58136.42</v>
      </c>
      <c r="K191" s="239">
        <v>0</v>
      </c>
      <c r="L191" s="239">
        <v>-58136.42</v>
      </c>
      <c r="M191" s="239">
        <v>0</v>
      </c>
      <c r="N191" s="239">
        <v>0</v>
      </c>
      <c r="O191" s="239">
        <v>0</v>
      </c>
      <c r="P191" s="239">
        <v>-32339</v>
      </c>
      <c r="Q191" s="239">
        <v>0</v>
      </c>
      <c r="R191" s="239">
        <v>-32339</v>
      </c>
      <c r="S191" s="239">
        <v>992737</v>
      </c>
      <c r="T191" s="239">
        <v>0</v>
      </c>
      <c r="U191" s="239">
        <v>992737</v>
      </c>
      <c r="V191" s="239">
        <v>-3848671</v>
      </c>
      <c r="W191" s="239">
        <v>0</v>
      </c>
      <c r="X191" s="239">
        <v>-3848671</v>
      </c>
      <c r="Y191" s="239">
        <v>46321737</v>
      </c>
      <c r="Z191" s="239">
        <v>0</v>
      </c>
      <c r="AA191" s="239">
        <v>46321737</v>
      </c>
      <c r="AB191" s="239">
        <v>0</v>
      </c>
      <c r="AC191" s="239">
        <v>0</v>
      </c>
      <c r="AD191" s="239">
        <v>0</v>
      </c>
      <c r="AE191" s="239">
        <v>0</v>
      </c>
      <c r="AF191" s="239">
        <v>0</v>
      </c>
      <c r="AG191" s="239">
        <v>0</v>
      </c>
      <c r="AH191" s="239">
        <v>0</v>
      </c>
      <c r="AI191" s="239">
        <v>0</v>
      </c>
      <c r="AJ191" s="239">
        <v>0</v>
      </c>
      <c r="AK191" s="239">
        <v>0</v>
      </c>
      <c r="AL191" s="239">
        <v>0</v>
      </c>
      <c r="AM191" s="239">
        <v>0</v>
      </c>
      <c r="AN191" s="239">
        <v>0</v>
      </c>
      <c r="AO191" s="239">
        <v>0</v>
      </c>
      <c r="AP191" s="239">
        <v>0</v>
      </c>
      <c r="AQ191" s="239">
        <v>0</v>
      </c>
      <c r="AR191" s="239">
        <v>0</v>
      </c>
      <c r="AS191" s="239">
        <v>0</v>
      </c>
      <c r="AT191" s="239">
        <v>0</v>
      </c>
      <c r="AU191" s="239">
        <v>0</v>
      </c>
      <c r="AV191" s="239">
        <v>0</v>
      </c>
      <c r="AW191" s="239">
        <v>0</v>
      </c>
      <c r="AX191" s="239">
        <v>0</v>
      </c>
      <c r="AY191" s="239">
        <v>0</v>
      </c>
      <c r="AZ191" s="239">
        <v>0</v>
      </c>
      <c r="BA191" s="239">
        <v>0</v>
      </c>
      <c r="BB191" s="239">
        <v>0</v>
      </c>
      <c r="BC191" s="239">
        <v>110441</v>
      </c>
      <c r="BD191" s="239">
        <v>-130341</v>
      </c>
      <c r="BE191" s="214" t="s">
        <v>464</v>
      </c>
      <c r="BF191" s="214" t="s">
        <v>811</v>
      </c>
      <c r="BG191" s="214" t="s">
        <v>761</v>
      </c>
      <c r="BH191" s="214" t="s">
        <v>1010</v>
      </c>
      <c r="BI191" s="214" t="s">
        <v>1010</v>
      </c>
      <c r="BJ191" s="214" t="s">
        <v>1158</v>
      </c>
    </row>
    <row r="192" spans="2:62" x14ac:dyDescent="0.2">
      <c r="B192" s="602" t="s">
        <v>467</v>
      </c>
      <c r="C192" s="602" t="s">
        <v>466</v>
      </c>
      <c r="D192" s="239">
        <v>54771017</v>
      </c>
      <c r="E192" s="239">
        <v>0</v>
      </c>
      <c r="F192" s="239">
        <v>54771017</v>
      </c>
      <c r="G192" s="239">
        <v>0</v>
      </c>
      <c r="H192" s="239">
        <v>0</v>
      </c>
      <c r="I192" s="239">
        <v>0</v>
      </c>
      <c r="J192" s="239">
        <v>-137059</v>
      </c>
      <c r="K192" s="239">
        <v>0</v>
      </c>
      <c r="L192" s="239">
        <v>-137059</v>
      </c>
      <c r="M192" s="239">
        <v>0</v>
      </c>
      <c r="N192" s="239">
        <v>0</v>
      </c>
      <c r="O192" s="239">
        <v>0</v>
      </c>
      <c r="P192" s="239">
        <v>-150450</v>
      </c>
      <c r="Q192" s="239">
        <v>0</v>
      </c>
      <c r="R192" s="239">
        <v>-150450</v>
      </c>
      <c r="S192" s="239">
        <v>2555678</v>
      </c>
      <c r="T192" s="239">
        <v>0</v>
      </c>
      <c r="U192" s="239">
        <v>2555678</v>
      </c>
      <c r="V192" s="239">
        <v>1080448</v>
      </c>
      <c r="W192" s="239">
        <v>0</v>
      </c>
      <c r="X192" s="239">
        <v>1080448</v>
      </c>
      <c r="Y192" s="239">
        <v>58256693</v>
      </c>
      <c r="Z192" s="239">
        <v>0</v>
      </c>
      <c r="AA192" s="239">
        <v>58256693</v>
      </c>
      <c r="AB192" s="239">
        <v>0</v>
      </c>
      <c r="AC192" s="239">
        <v>0</v>
      </c>
      <c r="AD192" s="239">
        <v>204059</v>
      </c>
      <c r="AE192" s="239">
        <v>0</v>
      </c>
      <c r="AF192" s="239">
        <v>204059</v>
      </c>
      <c r="AG192" s="239">
        <v>0</v>
      </c>
      <c r="AH192" s="239">
        <v>0</v>
      </c>
      <c r="AI192" s="239">
        <v>0</v>
      </c>
      <c r="AJ192" s="239">
        <v>0</v>
      </c>
      <c r="AK192" s="239">
        <v>0</v>
      </c>
      <c r="AL192" s="239">
        <v>0</v>
      </c>
      <c r="AM192" s="239">
        <v>0</v>
      </c>
      <c r="AN192" s="239">
        <v>0</v>
      </c>
      <c r="AO192" s="239">
        <v>0</v>
      </c>
      <c r="AP192" s="239">
        <v>0</v>
      </c>
      <c r="AQ192" s="239">
        <v>0</v>
      </c>
      <c r="AR192" s="239">
        <v>0</v>
      </c>
      <c r="AS192" s="239">
        <v>0</v>
      </c>
      <c r="AT192" s="239">
        <v>0</v>
      </c>
      <c r="AU192" s="239">
        <v>0</v>
      </c>
      <c r="AV192" s="239">
        <v>0</v>
      </c>
      <c r="AW192" s="239">
        <v>0</v>
      </c>
      <c r="AX192" s="239">
        <v>0</v>
      </c>
      <c r="AY192" s="239">
        <v>0</v>
      </c>
      <c r="AZ192" s="239">
        <v>0</v>
      </c>
      <c r="BA192" s="239">
        <v>0</v>
      </c>
      <c r="BB192" s="239">
        <v>0</v>
      </c>
      <c r="BC192" s="239">
        <v>500778</v>
      </c>
      <c r="BD192" s="239">
        <v>-1098454</v>
      </c>
      <c r="BE192" s="214" t="s">
        <v>466</v>
      </c>
      <c r="BF192" s="214" t="s">
        <v>882</v>
      </c>
      <c r="BG192" s="214" t="s">
        <v>867</v>
      </c>
      <c r="BH192" s="214" t="s">
        <v>1010</v>
      </c>
      <c r="BI192" s="214" t="s">
        <v>1010</v>
      </c>
      <c r="BJ192" s="214" t="s">
        <v>1158</v>
      </c>
    </row>
    <row r="193" spans="1:62" x14ac:dyDescent="0.2">
      <c r="A193" s="215"/>
      <c r="B193" s="602" t="s">
        <v>469</v>
      </c>
      <c r="C193" s="602" t="s">
        <v>468</v>
      </c>
      <c r="D193" s="239">
        <v>100672278</v>
      </c>
      <c r="E193" s="239">
        <v>4968711</v>
      </c>
      <c r="F193" s="239">
        <v>105640989</v>
      </c>
      <c r="G193" s="239">
        <v>0</v>
      </c>
      <c r="H193" s="239">
        <v>0</v>
      </c>
      <c r="I193" s="239">
        <v>0</v>
      </c>
      <c r="J193" s="239">
        <v>-619998</v>
      </c>
      <c r="K193" s="239">
        <v>0</v>
      </c>
      <c r="L193" s="239">
        <v>-619998</v>
      </c>
      <c r="M193" s="239">
        <v>-1720537</v>
      </c>
      <c r="N193" s="239">
        <v>0</v>
      </c>
      <c r="O193" s="239">
        <v>-1720537</v>
      </c>
      <c r="P193" s="239">
        <v>-1649160</v>
      </c>
      <c r="Q193" s="239">
        <v>0</v>
      </c>
      <c r="R193" s="239">
        <v>-1649160</v>
      </c>
      <c r="S193" s="239">
        <v>1095205</v>
      </c>
      <c r="T193" s="239">
        <v>0</v>
      </c>
      <c r="U193" s="239">
        <v>1095205</v>
      </c>
      <c r="V193" s="239">
        <v>-3444364</v>
      </c>
      <c r="W193" s="239">
        <v>-215276</v>
      </c>
      <c r="X193" s="239">
        <v>-3659640</v>
      </c>
      <c r="Y193" s="239">
        <v>94953422</v>
      </c>
      <c r="Z193" s="239">
        <v>4753435</v>
      </c>
      <c r="AA193" s="239">
        <v>99706857</v>
      </c>
      <c r="AB193" s="239">
        <v>4753435</v>
      </c>
      <c r="AC193" s="239">
        <v>4753435</v>
      </c>
      <c r="AD193" s="239">
        <v>0</v>
      </c>
      <c r="AE193" s="239">
        <v>0</v>
      </c>
      <c r="AF193" s="239">
        <v>0</v>
      </c>
      <c r="AG193" s="239">
        <v>-327095</v>
      </c>
      <c r="AH193" s="239">
        <v>-327095</v>
      </c>
      <c r="AI193" s="239">
        <v>3165816</v>
      </c>
      <c r="AJ193" s="239">
        <v>3165816</v>
      </c>
      <c r="AK193" s="239">
        <v>1260524</v>
      </c>
      <c r="AL193" s="239">
        <v>0</v>
      </c>
      <c r="AM193" s="239">
        <v>0</v>
      </c>
      <c r="AN193" s="239">
        <v>0</v>
      </c>
      <c r="AO193" s="239">
        <v>0</v>
      </c>
      <c r="AP193" s="239">
        <v>1081902</v>
      </c>
      <c r="AQ193" s="239">
        <v>1081902</v>
      </c>
      <c r="AR193" s="239">
        <v>0</v>
      </c>
      <c r="AS193" s="239">
        <v>0</v>
      </c>
      <c r="AT193" s="239">
        <v>0</v>
      </c>
      <c r="AU193" s="239">
        <v>0</v>
      </c>
      <c r="AV193" s="239">
        <v>0</v>
      </c>
      <c r="AW193" s="239">
        <v>0</v>
      </c>
      <c r="AX193" s="239">
        <v>0</v>
      </c>
      <c r="AY193" s="239">
        <v>0</v>
      </c>
      <c r="AZ193" s="239">
        <v>0</v>
      </c>
      <c r="BA193" s="239">
        <v>1081902</v>
      </c>
      <c r="BB193" s="239">
        <v>1081902</v>
      </c>
      <c r="BC193" s="239">
        <v>4081355</v>
      </c>
      <c r="BD193" s="239">
        <v>-2323472</v>
      </c>
      <c r="BE193" s="214" t="s">
        <v>468</v>
      </c>
      <c r="BF193" s="214" t="s">
        <v>803</v>
      </c>
      <c r="BG193" s="214" t="s">
        <v>761</v>
      </c>
      <c r="BH193" s="214" t="s">
        <v>1038</v>
      </c>
      <c r="BI193" s="214" t="s">
        <v>1010</v>
      </c>
      <c r="BJ193" s="214" t="s">
        <v>1158</v>
      </c>
    </row>
    <row r="194" spans="1:62" x14ac:dyDescent="0.2">
      <c r="B194" s="602" t="s">
        <v>471</v>
      </c>
      <c r="C194" s="602" t="s">
        <v>470</v>
      </c>
      <c r="D194" s="239">
        <v>78375576</v>
      </c>
      <c r="E194" s="239">
        <v>129451</v>
      </c>
      <c r="F194" s="239">
        <v>78505027</v>
      </c>
      <c r="G194" s="239">
        <v>0</v>
      </c>
      <c r="H194" s="239">
        <v>0</v>
      </c>
      <c r="I194" s="239">
        <v>0</v>
      </c>
      <c r="J194" s="239">
        <v>-588381</v>
      </c>
      <c r="K194" s="239">
        <v>0</v>
      </c>
      <c r="L194" s="239">
        <v>-588381</v>
      </c>
      <c r="M194" s="239">
        <v>0</v>
      </c>
      <c r="N194" s="239">
        <v>0</v>
      </c>
      <c r="O194" s="239">
        <v>0</v>
      </c>
      <c r="P194" s="239">
        <v>-63446</v>
      </c>
      <c r="Q194" s="239">
        <v>0</v>
      </c>
      <c r="R194" s="239">
        <v>-63446</v>
      </c>
      <c r="S194" s="239">
        <v>6967195</v>
      </c>
      <c r="T194" s="239">
        <v>0</v>
      </c>
      <c r="U194" s="239">
        <v>6967195</v>
      </c>
      <c r="V194" s="239">
        <v>-8230085</v>
      </c>
      <c r="W194" s="239">
        <v>0</v>
      </c>
      <c r="X194" s="239">
        <v>-8230085</v>
      </c>
      <c r="Y194" s="239">
        <v>77049240</v>
      </c>
      <c r="Z194" s="239">
        <v>129451</v>
      </c>
      <c r="AA194" s="239">
        <v>77178691</v>
      </c>
      <c r="AB194" s="239">
        <v>129451</v>
      </c>
      <c r="AC194" s="239">
        <v>129451</v>
      </c>
      <c r="AD194" s="239">
        <v>2981307</v>
      </c>
      <c r="AE194" s="239">
        <v>0</v>
      </c>
      <c r="AF194" s="239">
        <v>2981307</v>
      </c>
      <c r="AG194" s="239">
        <v>29303</v>
      </c>
      <c r="AH194" s="239">
        <v>29303</v>
      </c>
      <c r="AI194" s="239">
        <v>34369</v>
      </c>
      <c r="AJ194" s="239">
        <v>34369</v>
      </c>
      <c r="AK194" s="239">
        <v>132378</v>
      </c>
      <c r="AL194" s="239">
        <v>0</v>
      </c>
      <c r="AM194" s="239">
        <v>0</v>
      </c>
      <c r="AN194" s="239">
        <v>0</v>
      </c>
      <c r="AO194" s="239">
        <v>0</v>
      </c>
      <c r="AP194" s="239">
        <v>182075</v>
      </c>
      <c r="AQ194" s="239">
        <v>182075</v>
      </c>
      <c r="AR194" s="239">
        <v>0</v>
      </c>
      <c r="AS194" s="239">
        <v>0</v>
      </c>
      <c r="AT194" s="239">
        <v>0</v>
      </c>
      <c r="AU194" s="239">
        <v>0</v>
      </c>
      <c r="AV194" s="239">
        <v>0</v>
      </c>
      <c r="AW194" s="239">
        <v>0</v>
      </c>
      <c r="AX194" s="239">
        <v>0</v>
      </c>
      <c r="AY194" s="239">
        <v>0</v>
      </c>
      <c r="AZ194" s="239">
        <v>0</v>
      </c>
      <c r="BA194" s="239">
        <v>182075</v>
      </c>
      <c r="BB194" s="239">
        <v>182075</v>
      </c>
      <c r="BC194" s="239">
        <v>2768986</v>
      </c>
      <c r="BD194" s="239">
        <v>-969608</v>
      </c>
      <c r="BE194" s="214" t="s">
        <v>470</v>
      </c>
      <c r="BF194" s="214" t="s">
        <v>746</v>
      </c>
      <c r="BG194" s="214" t="s">
        <v>761</v>
      </c>
      <c r="BH194" s="214" t="s">
        <v>1039</v>
      </c>
      <c r="BI194" s="214" t="s">
        <v>1010</v>
      </c>
      <c r="BJ194" s="214" t="s">
        <v>746</v>
      </c>
    </row>
    <row r="195" spans="1:62" x14ac:dyDescent="0.2">
      <c r="B195" s="602" t="s">
        <v>473</v>
      </c>
      <c r="C195" s="602" t="s">
        <v>472</v>
      </c>
      <c r="D195" s="239">
        <v>75608038</v>
      </c>
      <c r="E195" s="239">
        <v>0</v>
      </c>
      <c r="F195" s="239">
        <v>75608038</v>
      </c>
      <c r="G195" s="239">
        <v>0</v>
      </c>
      <c r="H195" s="239">
        <v>0</v>
      </c>
      <c r="I195" s="239">
        <v>0</v>
      </c>
      <c r="J195" s="239">
        <v>-670889</v>
      </c>
      <c r="K195" s="239">
        <v>0</v>
      </c>
      <c r="L195" s="239">
        <v>-670889</v>
      </c>
      <c r="M195" s="239">
        <v>0</v>
      </c>
      <c r="N195" s="239">
        <v>0</v>
      </c>
      <c r="O195" s="239">
        <v>0</v>
      </c>
      <c r="P195" s="239">
        <v>-198670</v>
      </c>
      <c r="Q195" s="239">
        <v>0</v>
      </c>
      <c r="R195" s="239">
        <v>-198670</v>
      </c>
      <c r="S195" s="239">
        <v>2799714</v>
      </c>
      <c r="T195" s="239">
        <v>0</v>
      </c>
      <c r="U195" s="239">
        <v>2799714</v>
      </c>
      <c r="V195" s="239">
        <v>-3696533</v>
      </c>
      <c r="W195" s="239">
        <v>0</v>
      </c>
      <c r="X195" s="239">
        <v>-3696533</v>
      </c>
      <c r="Y195" s="239">
        <v>74512549</v>
      </c>
      <c r="Z195" s="239">
        <v>0</v>
      </c>
      <c r="AA195" s="239">
        <v>74512549</v>
      </c>
      <c r="AB195" s="239">
        <v>0</v>
      </c>
      <c r="AC195" s="239">
        <v>0</v>
      </c>
      <c r="AD195" s="239">
        <v>0</v>
      </c>
      <c r="AE195" s="239">
        <v>0</v>
      </c>
      <c r="AF195" s="239">
        <v>0</v>
      </c>
      <c r="AG195" s="239">
        <v>0</v>
      </c>
      <c r="AH195" s="239">
        <v>0</v>
      </c>
      <c r="AI195" s="239">
        <v>0</v>
      </c>
      <c r="AJ195" s="239">
        <v>0</v>
      </c>
      <c r="AK195" s="239">
        <v>0</v>
      </c>
      <c r="AL195" s="239">
        <v>0</v>
      </c>
      <c r="AM195" s="239">
        <v>0</v>
      </c>
      <c r="AN195" s="239">
        <v>0</v>
      </c>
      <c r="AO195" s="239">
        <v>0</v>
      </c>
      <c r="AP195" s="239">
        <v>0</v>
      </c>
      <c r="AQ195" s="239">
        <v>0</v>
      </c>
      <c r="AR195" s="239">
        <v>0</v>
      </c>
      <c r="AS195" s="239">
        <v>0</v>
      </c>
      <c r="AT195" s="239">
        <v>0</v>
      </c>
      <c r="AU195" s="239">
        <v>0</v>
      </c>
      <c r="AV195" s="239">
        <v>0</v>
      </c>
      <c r="AW195" s="239">
        <v>0</v>
      </c>
      <c r="AX195" s="239">
        <v>0</v>
      </c>
      <c r="AY195" s="239">
        <v>0</v>
      </c>
      <c r="AZ195" s="239">
        <v>0</v>
      </c>
      <c r="BA195" s="239">
        <v>0</v>
      </c>
      <c r="BB195" s="239">
        <v>0</v>
      </c>
      <c r="BC195" s="239">
        <v>3011596</v>
      </c>
      <c r="BD195" s="239">
        <v>-921485</v>
      </c>
      <c r="BE195" s="214" t="s">
        <v>472</v>
      </c>
      <c r="BF195" s="214" t="s">
        <v>847</v>
      </c>
      <c r="BG195" s="214" t="s">
        <v>761</v>
      </c>
      <c r="BH195" s="214" t="s">
        <v>1010</v>
      </c>
      <c r="BI195" s="214" t="s">
        <v>1010</v>
      </c>
      <c r="BJ195" s="214" t="s">
        <v>1158</v>
      </c>
    </row>
    <row r="196" spans="1:62" x14ac:dyDescent="0.2">
      <c r="B196" s="602" t="s">
        <v>475</v>
      </c>
      <c r="C196" s="602" t="s">
        <v>474</v>
      </c>
      <c r="D196" s="239">
        <v>119180341</v>
      </c>
      <c r="E196" s="239">
        <v>9452973</v>
      </c>
      <c r="F196" s="239">
        <v>128633314</v>
      </c>
      <c r="G196" s="239">
        <v>-2132</v>
      </c>
      <c r="H196" s="239">
        <v>0</v>
      </c>
      <c r="I196" s="239">
        <v>-2132</v>
      </c>
      <c r="J196" s="239">
        <v>-1496829</v>
      </c>
      <c r="K196" s="239">
        <v>-89436</v>
      </c>
      <c r="L196" s="239">
        <v>-1586265</v>
      </c>
      <c r="M196" s="239">
        <v>0</v>
      </c>
      <c r="N196" s="239">
        <v>0</v>
      </c>
      <c r="O196" s="239">
        <v>0</v>
      </c>
      <c r="P196" s="239">
        <v>-1610355</v>
      </c>
      <c r="Q196" s="239">
        <v>-121210</v>
      </c>
      <c r="R196" s="239">
        <v>-1731565</v>
      </c>
      <c r="S196" s="239">
        <v>6632113</v>
      </c>
      <c r="T196" s="239">
        <v>112031</v>
      </c>
      <c r="U196" s="239">
        <v>6744144</v>
      </c>
      <c r="V196" s="239">
        <v>-1449750</v>
      </c>
      <c r="W196" s="239">
        <v>-109121</v>
      </c>
      <c r="X196" s="239">
        <v>-1558871</v>
      </c>
      <c r="Y196" s="239">
        <v>122750217</v>
      </c>
      <c r="Z196" s="239">
        <v>9334673</v>
      </c>
      <c r="AA196" s="239">
        <v>132084890</v>
      </c>
      <c r="AB196" s="239">
        <v>9334673</v>
      </c>
      <c r="AC196" s="239">
        <v>9334673</v>
      </c>
      <c r="AD196" s="239">
        <v>0</v>
      </c>
      <c r="AE196" s="239">
        <v>0</v>
      </c>
      <c r="AF196" s="239">
        <v>0</v>
      </c>
      <c r="AG196" s="239">
        <v>442209</v>
      </c>
      <c r="AH196" s="239">
        <v>442209</v>
      </c>
      <c r="AI196" s="239">
        <v>10936279</v>
      </c>
      <c r="AJ196" s="239">
        <v>10936279</v>
      </c>
      <c r="AK196" s="239">
        <v>0</v>
      </c>
      <c r="AL196" s="239">
        <v>0</v>
      </c>
      <c r="AM196" s="239">
        <v>0</v>
      </c>
      <c r="AN196" s="239">
        <v>0</v>
      </c>
      <c r="AO196" s="239">
        <v>0</v>
      </c>
      <c r="AP196" s="239">
        <v>0</v>
      </c>
      <c r="AQ196" s="239">
        <v>0</v>
      </c>
      <c r="AR196" s="239">
        <v>0</v>
      </c>
      <c r="AS196" s="239">
        <v>0</v>
      </c>
      <c r="AT196" s="239">
        <v>0</v>
      </c>
      <c r="AU196" s="239">
        <v>0</v>
      </c>
      <c r="AV196" s="239">
        <v>0</v>
      </c>
      <c r="AW196" s="239">
        <v>0</v>
      </c>
      <c r="AX196" s="239">
        <v>0</v>
      </c>
      <c r="AY196" s="239">
        <v>0</v>
      </c>
      <c r="AZ196" s="239">
        <v>0</v>
      </c>
      <c r="BA196" s="239">
        <v>0</v>
      </c>
      <c r="BB196" s="239">
        <v>0</v>
      </c>
      <c r="BC196" s="239">
        <v>11033596</v>
      </c>
      <c r="BD196" s="239">
        <v>-4386497</v>
      </c>
      <c r="BE196" s="214" t="s">
        <v>886</v>
      </c>
      <c r="BF196" s="214" t="s">
        <v>746</v>
      </c>
      <c r="BG196" s="214" t="s">
        <v>870</v>
      </c>
      <c r="BH196" s="214" t="s">
        <v>1040</v>
      </c>
      <c r="BI196" s="214" t="s">
        <v>1041</v>
      </c>
      <c r="BJ196" s="214" t="s">
        <v>746</v>
      </c>
    </row>
    <row r="197" spans="1:62" x14ac:dyDescent="0.2">
      <c r="B197" s="602" t="s">
        <v>477</v>
      </c>
      <c r="C197" s="602" t="s">
        <v>476</v>
      </c>
      <c r="D197" s="239">
        <v>35264390</v>
      </c>
      <c r="E197" s="239">
        <v>0</v>
      </c>
      <c r="F197" s="239">
        <v>35264390</v>
      </c>
      <c r="G197" s="239">
        <v>0</v>
      </c>
      <c r="H197" s="239">
        <v>0</v>
      </c>
      <c r="I197" s="239">
        <v>0</v>
      </c>
      <c r="J197" s="239">
        <v>-226801</v>
      </c>
      <c r="K197" s="239">
        <v>0</v>
      </c>
      <c r="L197" s="239">
        <v>-226801</v>
      </c>
      <c r="M197" s="239">
        <v>0</v>
      </c>
      <c r="N197" s="239">
        <v>0</v>
      </c>
      <c r="O197" s="239">
        <v>0</v>
      </c>
      <c r="P197" s="239">
        <v>-309401</v>
      </c>
      <c r="Q197" s="239">
        <v>0</v>
      </c>
      <c r="R197" s="239">
        <v>-309401</v>
      </c>
      <c r="S197" s="239">
        <v>705684</v>
      </c>
      <c r="T197" s="239">
        <v>0</v>
      </c>
      <c r="U197" s="239">
        <v>705684</v>
      </c>
      <c r="V197" s="239">
        <v>-1257000</v>
      </c>
      <c r="W197" s="239">
        <v>0</v>
      </c>
      <c r="X197" s="239">
        <v>-1257000</v>
      </c>
      <c r="Y197" s="239">
        <v>34403673</v>
      </c>
      <c r="Z197" s="239">
        <v>0</v>
      </c>
      <c r="AA197" s="239">
        <v>34403673</v>
      </c>
      <c r="AB197" s="239">
        <v>0</v>
      </c>
      <c r="AC197" s="239">
        <v>0</v>
      </c>
      <c r="AD197" s="239">
        <v>0</v>
      </c>
      <c r="AE197" s="239">
        <v>0</v>
      </c>
      <c r="AF197" s="239">
        <v>0</v>
      </c>
      <c r="AG197" s="239">
        <v>0</v>
      </c>
      <c r="AH197" s="239">
        <v>0</v>
      </c>
      <c r="AI197" s="239">
        <v>0</v>
      </c>
      <c r="AJ197" s="239">
        <v>0</v>
      </c>
      <c r="AK197" s="239">
        <v>0</v>
      </c>
      <c r="AL197" s="239">
        <v>0</v>
      </c>
      <c r="AM197" s="239">
        <v>0</v>
      </c>
      <c r="AN197" s="239">
        <v>0</v>
      </c>
      <c r="AO197" s="239">
        <v>0</v>
      </c>
      <c r="AP197" s="239">
        <v>0</v>
      </c>
      <c r="AQ197" s="239">
        <v>0</v>
      </c>
      <c r="AR197" s="239">
        <v>0</v>
      </c>
      <c r="AS197" s="239">
        <v>0</v>
      </c>
      <c r="AT197" s="239">
        <v>0</v>
      </c>
      <c r="AU197" s="239">
        <v>0</v>
      </c>
      <c r="AV197" s="239">
        <v>0</v>
      </c>
      <c r="AW197" s="239">
        <v>0</v>
      </c>
      <c r="AX197" s="239">
        <v>0</v>
      </c>
      <c r="AY197" s="239">
        <v>0</v>
      </c>
      <c r="AZ197" s="239">
        <v>0</v>
      </c>
      <c r="BA197" s="239">
        <v>0</v>
      </c>
      <c r="BB197" s="239">
        <v>0</v>
      </c>
      <c r="BC197" s="239">
        <v>1134794</v>
      </c>
      <c r="BD197" s="239">
        <v>-43854</v>
      </c>
      <c r="BE197" s="214" t="s">
        <v>885</v>
      </c>
      <c r="BF197" s="214" t="s">
        <v>811</v>
      </c>
      <c r="BG197" s="214" t="s">
        <v>761</v>
      </c>
      <c r="BH197" s="214" t="s">
        <v>1010</v>
      </c>
      <c r="BI197" s="214" t="s">
        <v>1010</v>
      </c>
      <c r="BJ197" s="214" t="s">
        <v>1158</v>
      </c>
    </row>
    <row r="198" spans="1:62" x14ac:dyDescent="0.2">
      <c r="B198" s="602" t="s">
        <v>479</v>
      </c>
      <c r="C198" s="602" t="s">
        <v>478</v>
      </c>
      <c r="D198" s="239">
        <v>11812034</v>
      </c>
      <c r="E198" s="239">
        <v>0</v>
      </c>
      <c r="F198" s="239">
        <v>11812034</v>
      </c>
      <c r="G198" s="239">
        <v>0</v>
      </c>
      <c r="H198" s="239">
        <v>0</v>
      </c>
      <c r="I198" s="239">
        <v>0</v>
      </c>
      <c r="J198" s="239">
        <v>-255752</v>
      </c>
      <c r="K198" s="239">
        <v>0</v>
      </c>
      <c r="L198" s="239">
        <v>-255752</v>
      </c>
      <c r="M198" s="239">
        <v>0</v>
      </c>
      <c r="N198" s="239">
        <v>0</v>
      </c>
      <c r="O198" s="239">
        <v>0</v>
      </c>
      <c r="P198" s="239">
        <v>-260271</v>
      </c>
      <c r="Q198" s="239">
        <v>0</v>
      </c>
      <c r="R198" s="239">
        <v>-260271</v>
      </c>
      <c r="S198" s="239">
        <v>360000</v>
      </c>
      <c r="T198" s="239">
        <v>0</v>
      </c>
      <c r="U198" s="239">
        <v>360000</v>
      </c>
      <c r="V198" s="239">
        <v>-472481</v>
      </c>
      <c r="W198" s="239">
        <v>0</v>
      </c>
      <c r="X198" s="239">
        <v>-472481</v>
      </c>
      <c r="Y198" s="239">
        <v>11439282</v>
      </c>
      <c r="Z198" s="239">
        <v>0</v>
      </c>
      <c r="AA198" s="239">
        <v>11439282</v>
      </c>
      <c r="AB198" s="239">
        <v>0</v>
      </c>
      <c r="AC198" s="239">
        <v>0</v>
      </c>
      <c r="AD198" s="239">
        <v>8039</v>
      </c>
      <c r="AE198" s="239">
        <v>0</v>
      </c>
      <c r="AF198" s="239">
        <v>8039</v>
      </c>
      <c r="AG198" s="239">
        <v>0</v>
      </c>
      <c r="AH198" s="239">
        <v>0</v>
      </c>
      <c r="AI198" s="239">
        <v>0</v>
      </c>
      <c r="AJ198" s="239">
        <v>0</v>
      </c>
      <c r="AK198" s="239">
        <v>0</v>
      </c>
      <c r="AL198" s="239">
        <v>0</v>
      </c>
      <c r="AM198" s="239">
        <v>0</v>
      </c>
      <c r="AN198" s="239">
        <v>0</v>
      </c>
      <c r="AO198" s="239">
        <v>0</v>
      </c>
      <c r="AP198" s="239">
        <v>0</v>
      </c>
      <c r="AQ198" s="239">
        <v>0</v>
      </c>
      <c r="AR198" s="239">
        <v>0</v>
      </c>
      <c r="AS198" s="239">
        <v>0</v>
      </c>
      <c r="AT198" s="239">
        <v>0</v>
      </c>
      <c r="AU198" s="239">
        <v>0</v>
      </c>
      <c r="AV198" s="239">
        <v>0</v>
      </c>
      <c r="AW198" s="239">
        <v>0</v>
      </c>
      <c r="AX198" s="239">
        <v>0</v>
      </c>
      <c r="AY198" s="239">
        <v>0</v>
      </c>
      <c r="AZ198" s="239">
        <v>0</v>
      </c>
      <c r="BA198" s="239">
        <v>0</v>
      </c>
      <c r="BB198" s="239">
        <v>0</v>
      </c>
      <c r="BC198" s="239">
        <v>741140</v>
      </c>
      <c r="BD198" s="239">
        <v>-515305</v>
      </c>
      <c r="BE198" s="214" t="s">
        <v>884</v>
      </c>
      <c r="BF198" s="214" t="s">
        <v>882</v>
      </c>
      <c r="BG198" s="214" t="s">
        <v>867</v>
      </c>
      <c r="BH198" s="214" t="s">
        <v>1010</v>
      </c>
      <c r="BI198" s="214" t="s">
        <v>1010</v>
      </c>
      <c r="BJ198" s="214" t="s">
        <v>1158</v>
      </c>
    </row>
    <row r="199" spans="1:62" x14ac:dyDescent="0.2">
      <c r="B199" s="602" t="s">
        <v>481</v>
      </c>
      <c r="C199" s="602" t="s">
        <v>480</v>
      </c>
      <c r="D199" s="239">
        <v>60019039</v>
      </c>
      <c r="E199" s="239">
        <v>0</v>
      </c>
      <c r="F199" s="239">
        <v>60019039</v>
      </c>
      <c r="G199" s="239">
        <v>0</v>
      </c>
      <c r="H199" s="239">
        <v>0</v>
      </c>
      <c r="I199" s="239">
        <v>0</v>
      </c>
      <c r="J199" s="239">
        <v>-1435438</v>
      </c>
      <c r="K199" s="239">
        <v>0</v>
      </c>
      <c r="L199" s="239">
        <v>-1435438</v>
      </c>
      <c r="M199" s="239">
        <v>0</v>
      </c>
      <c r="N199" s="239">
        <v>0</v>
      </c>
      <c r="O199" s="239">
        <v>0</v>
      </c>
      <c r="P199" s="239">
        <v>-1740371</v>
      </c>
      <c r="Q199" s="239">
        <v>0</v>
      </c>
      <c r="R199" s="239">
        <v>-1740371</v>
      </c>
      <c r="S199" s="239">
        <v>624240</v>
      </c>
      <c r="T199" s="239">
        <v>0</v>
      </c>
      <c r="U199" s="239">
        <v>624240</v>
      </c>
      <c r="V199" s="239">
        <v>-9273</v>
      </c>
      <c r="W199" s="239">
        <v>0</v>
      </c>
      <c r="X199" s="239">
        <v>-9273</v>
      </c>
      <c r="Y199" s="239">
        <v>58893635</v>
      </c>
      <c r="Z199" s="239">
        <v>0</v>
      </c>
      <c r="AA199" s="239">
        <v>58893635</v>
      </c>
      <c r="AB199" s="239">
        <v>0</v>
      </c>
      <c r="AC199" s="239">
        <v>0</v>
      </c>
      <c r="AD199" s="239">
        <v>0</v>
      </c>
      <c r="AE199" s="239">
        <v>0</v>
      </c>
      <c r="AF199" s="239">
        <v>0</v>
      </c>
      <c r="AG199" s="239">
        <v>0</v>
      </c>
      <c r="AH199" s="239">
        <v>0</v>
      </c>
      <c r="AI199" s="239">
        <v>0</v>
      </c>
      <c r="AJ199" s="239">
        <v>0</v>
      </c>
      <c r="AK199" s="239">
        <v>0</v>
      </c>
      <c r="AL199" s="239">
        <v>0</v>
      </c>
      <c r="AM199" s="239">
        <v>0</v>
      </c>
      <c r="AN199" s="239">
        <v>0</v>
      </c>
      <c r="AO199" s="239">
        <v>0</v>
      </c>
      <c r="AP199" s="239">
        <v>0</v>
      </c>
      <c r="AQ199" s="239">
        <v>0</v>
      </c>
      <c r="AR199" s="239">
        <v>0</v>
      </c>
      <c r="AS199" s="239">
        <v>0</v>
      </c>
      <c r="AT199" s="239">
        <v>0</v>
      </c>
      <c r="AU199" s="239">
        <v>0</v>
      </c>
      <c r="AV199" s="239">
        <v>0</v>
      </c>
      <c r="AW199" s="239">
        <v>0</v>
      </c>
      <c r="AX199" s="239">
        <v>0</v>
      </c>
      <c r="AY199" s="239">
        <v>0</v>
      </c>
      <c r="AZ199" s="239">
        <v>0</v>
      </c>
      <c r="BA199" s="239">
        <v>0</v>
      </c>
      <c r="BB199" s="239">
        <v>0</v>
      </c>
      <c r="BC199" s="239">
        <v>6321441</v>
      </c>
      <c r="BD199" s="239">
        <v>-2265549</v>
      </c>
      <c r="BE199" s="214" t="s">
        <v>480</v>
      </c>
      <c r="BF199" s="214" t="s">
        <v>766</v>
      </c>
      <c r="BG199" s="214" t="s">
        <v>781</v>
      </c>
      <c r="BH199" s="214" t="s">
        <v>1010</v>
      </c>
      <c r="BI199" s="214" t="s">
        <v>1010</v>
      </c>
      <c r="BJ199" s="214" t="s">
        <v>1160</v>
      </c>
    </row>
    <row r="200" spans="1:62" x14ac:dyDescent="0.2">
      <c r="B200" s="602" t="s">
        <v>483</v>
      </c>
      <c r="C200" s="602" t="s">
        <v>482</v>
      </c>
      <c r="D200" s="239">
        <v>91501253</v>
      </c>
      <c r="E200" s="239">
        <v>0</v>
      </c>
      <c r="F200" s="239">
        <v>91501253</v>
      </c>
      <c r="G200" s="239">
        <v>0</v>
      </c>
      <c r="H200" s="239">
        <v>0</v>
      </c>
      <c r="I200" s="239">
        <v>0</v>
      </c>
      <c r="J200" s="239">
        <v>0</v>
      </c>
      <c r="K200" s="239">
        <v>0</v>
      </c>
      <c r="L200" s="239">
        <v>0</v>
      </c>
      <c r="M200" s="239">
        <v>-363232</v>
      </c>
      <c r="N200" s="239">
        <v>0</v>
      </c>
      <c r="O200" s="239">
        <v>-363232</v>
      </c>
      <c r="P200" s="239">
        <v>-472632</v>
      </c>
      <c r="Q200" s="239">
        <v>0</v>
      </c>
      <c r="R200" s="239">
        <v>-472632</v>
      </c>
      <c r="S200" s="239">
        <v>5127133</v>
      </c>
      <c r="T200" s="239">
        <v>0</v>
      </c>
      <c r="U200" s="239">
        <v>5127133</v>
      </c>
      <c r="V200" s="239">
        <v>-3350128</v>
      </c>
      <c r="W200" s="239">
        <v>0</v>
      </c>
      <c r="X200" s="239">
        <v>-3350128</v>
      </c>
      <c r="Y200" s="239">
        <v>92442394</v>
      </c>
      <c r="Z200" s="239">
        <v>0</v>
      </c>
      <c r="AA200" s="239">
        <v>92442394</v>
      </c>
      <c r="AB200" s="239">
        <v>0</v>
      </c>
      <c r="AC200" s="239">
        <v>0</v>
      </c>
      <c r="AD200" s="239">
        <v>12587</v>
      </c>
      <c r="AE200" s="239">
        <v>0</v>
      </c>
      <c r="AF200" s="239">
        <v>12587</v>
      </c>
      <c r="AG200" s="239">
        <v>0</v>
      </c>
      <c r="AH200" s="239">
        <v>0</v>
      </c>
      <c r="AI200" s="239">
        <v>0</v>
      </c>
      <c r="AJ200" s="239">
        <v>0</v>
      </c>
      <c r="AK200" s="239">
        <v>0</v>
      </c>
      <c r="AL200" s="239">
        <v>0</v>
      </c>
      <c r="AM200" s="239">
        <v>0</v>
      </c>
      <c r="AN200" s="239">
        <v>0</v>
      </c>
      <c r="AO200" s="239">
        <v>0</v>
      </c>
      <c r="AP200" s="239">
        <v>0</v>
      </c>
      <c r="AQ200" s="239">
        <v>0</v>
      </c>
      <c r="AR200" s="239">
        <v>0</v>
      </c>
      <c r="AS200" s="239">
        <v>0</v>
      </c>
      <c r="AT200" s="239">
        <v>0</v>
      </c>
      <c r="AU200" s="239">
        <v>0</v>
      </c>
      <c r="AV200" s="239">
        <v>0</v>
      </c>
      <c r="AW200" s="239">
        <v>0</v>
      </c>
      <c r="AX200" s="239">
        <v>0</v>
      </c>
      <c r="AY200" s="239">
        <v>0</v>
      </c>
      <c r="AZ200" s="239">
        <v>0</v>
      </c>
      <c r="BA200" s="239">
        <v>0</v>
      </c>
      <c r="BB200" s="239">
        <v>0</v>
      </c>
      <c r="BC200" s="239">
        <v>3768271</v>
      </c>
      <c r="BD200" s="239">
        <v>-3353384</v>
      </c>
      <c r="BE200" s="214" t="s">
        <v>482</v>
      </c>
      <c r="BF200" s="214" t="s">
        <v>794</v>
      </c>
      <c r="BG200" s="214" t="s">
        <v>761</v>
      </c>
      <c r="BH200" s="214" t="s">
        <v>1010</v>
      </c>
      <c r="BI200" s="214" t="s">
        <v>1010</v>
      </c>
      <c r="BJ200" s="214" t="s">
        <v>1158</v>
      </c>
    </row>
    <row r="201" spans="1:62" x14ac:dyDescent="0.2">
      <c r="B201" s="602" t="s">
        <v>485</v>
      </c>
      <c r="C201" s="602" t="s">
        <v>484</v>
      </c>
      <c r="D201" s="239">
        <v>18857616</v>
      </c>
      <c r="E201" s="239">
        <v>0</v>
      </c>
      <c r="F201" s="239">
        <v>18857616</v>
      </c>
      <c r="G201" s="239">
        <v>0</v>
      </c>
      <c r="H201" s="239">
        <v>0</v>
      </c>
      <c r="I201" s="239">
        <v>0</v>
      </c>
      <c r="J201" s="239">
        <v>0</v>
      </c>
      <c r="K201" s="239">
        <v>0</v>
      </c>
      <c r="L201" s="239">
        <v>0</v>
      </c>
      <c r="M201" s="239">
        <v>-98792</v>
      </c>
      <c r="N201" s="239">
        <v>0</v>
      </c>
      <c r="O201" s="239">
        <v>-98792</v>
      </c>
      <c r="P201" s="239">
        <v>30000</v>
      </c>
      <c r="Q201" s="239">
        <v>0</v>
      </c>
      <c r="R201" s="239">
        <v>30000</v>
      </c>
      <c r="S201" s="239">
        <v>616178</v>
      </c>
      <c r="T201" s="239">
        <v>0</v>
      </c>
      <c r="U201" s="239">
        <v>616178</v>
      </c>
      <c r="V201" s="239">
        <v>-558178</v>
      </c>
      <c r="W201" s="239">
        <v>0</v>
      </c>
      <c r="X201" s="239">
        <v>-558178</v>
      </c>
      <c r="Y201" s="239">
        <v>18846824</v>
      </c>
      <c r="Z201" s="239">
        <v>0</v>
      </c>
      <c r="AA201" s="239">
        <v>18846824</v>
      </c>
      <c r="AB201" s="239">
        <v>0</v>
      </c>
      <c r="AC201" s="239">
        <v>0</v>
      </c>
      <c r="AD201" s="239">
        <v>0</v>
      </c>
      <c r="AE201" s="239">
        <v>0</v>
      </c>
      <c r="AF201" s="239">
        <v>0</v>
      </c>
      <c r="AG201" s="239">
        <v>0</v>
      </c>
      <c r="AH201" s="239">
        <v>0</v>
      </c>
      <c r="AI201" s="239">
        <v>0</v>
      </c>
      <c r="AJ201" s="239">
        <v>0</v>
      </c>
      <c r="AK201" s="239">
        <v>0</v>
      </c>
      <c r="AL201" s="239">
        <v>0</v>
      </c>
      <c r="AM201" s="239">
        <v>0</v>
      </c>
      <c r="AN201" s="239">
        <v>0</v>
      </c>
      <c r="AO201" s="239">
        <v>0</v>
      </c>
      <c r="AP201" s="239">
        <v>0</v>
      </c>
      <c r="AQ201" s="239">
        <v>0</v>
      </c>
      <c r="AR201" s="239">
        <v>0</v>
      </c>
      <c r="AS201" s="239">
        <v>0</v>
      </c>
      <c r="AT201" s="239">
        <v>0</v>
      </c>
      <c r="AU201" s="239">
        <v>0</v>
      </c>
      <c r="AV201" s="239">
        <v>0</v>
      </c>
      <c r="AW201" s="239">
        <v>0</v>
      </c>
      <c r="AX201" s="239">
        <v>0</v>
      </c>
      <c r="AY201" s="239">
        <v>0</v>
      </c>
      <c r="AZ201" s="239">
        <v>0</v>
      </c>
      <c r="BA201" s="239">
        <v>0</v>
      </c>
      <c r="BB201" s="239">
        <v>0</v>
      </c>
      <c r="BC201" s="239">
        <v>601178</v>
      </c>
      <c r="BD201" s="239">
        <v>-270472</v>
      </c>
      <c r="BE201" s="214" t="s">
        <v>484</v>
      </c>
      <c r="BF201" s="214" t="s">
        <v>755</v>
      </c>
      <c r="BG201" s="214" t="s">
        <v>753</v>
      </c>
      <c r="BH201" s="214" t="s">
        <v>1010</v>
      </c>
      <c r="BI201" s="214" t="s">
        <v>1010</v>
      </c>
      <c r="BJ201" s="214" t="s">
        <v>1158</v>
      </c>
    </row>
    <row r="202" spans="1:62" x14ac:dyDescent="0.2">
      <c r="B202" s="602" t="s">
        <v>487</v>
      </c>
      <c r="C202" s="602" t="s">
        <v>486</v>
      </c>
      <c r="D202" s="239">
        <v>97877447</v>
      </c>
      <c r="E202" s="239">
        <v>0</v>
      </c>
      <c r="F202" s="239">
        <v>97877447</v>
      </c>
      <c r="G202" s="239">
        <v>0</v>
      </c>
      <c r="H202" s="239">
        <v>0</v>
      </c>
      <c r="I202" s="239">
        <v>0</v>
      </c>
      <c r="J202" s="239">
        <v>-3943549</v>
      </c>
      <c r="K202" s="239">
        <v>0</v>
      </c>
      <c r="L202" s="239">
        <v>-3943549</v>
      </c>
      <c r="M202" s="239">
        <v>0</v>
      </c>
      <c r="N202" s="239">
        <v>0</v>
      </c>
      <c r="O202" s="239">
        <v>0</v>
      </c>
      <c r="P202" s="239">
        <v>-378798</v>
      </c>
      <c r="Q202" s="239">
        <v>0</v>
      </c>
      <c r="R202" s="239">
        <v>-378798</v>
      </c>
      <c r="S202" s="239">
        <v>2408578</v>
      </c>
      <c r="T202" s="239">
        <v>0</v>
      </c>
      <c r="U202" s="239">
        <v>2408578</v>
      </c>
      <c r="V202" s="239">
        <v>-4323000</v>
      </c>
      <c r="W202" s="239">
        <v>0</v>
      </c>
      <c r="X202" s="239">
        <v>-4323000</v>
      </c>
      <c r="Y202" s="239">
        <v>95584227</v>
      </c>
      <c r="Z202" s="239">
        <v>0</v>
      </c>
      <c r="AA202" s="239">
        <v>95584227</v>
      </c>
      <c r="AB202" s="239">
        <v>0</v>
      </c>
      <c r="AC202" s="239">
        <v>0</v>
      </c>
      <c r="AD202" s="239">
        <v>326211</v>
      </c>
      <c r="AE202" s="239">
        <v>0</v>
      </c>
      <c r="AF202" s="239">
        <v>326211</v>
      </c>
      <c r="AG202" s="239">
        <v>0</v>
      </c>
      <c r="AH202" s="239">
        <v>0</v>
      </c>
      <c r="AI202" s="239">
        <v>0</v>
      </c>
      <c r="AJ202" s="239">
        <v>0</v>
      </c>
      <c r="AK202" s="239">
        <v>0</v>
      </c>
      <c r="AL202" s="239">
        <v>0</v>
      </c>
      <c r="AM202" s="239">
        <v>0</v>
      </c>
      <c r="AN202" s="239">
        <v>0</v>
      </c>
      <c r="AO202" s="239">
        <v>0</v>
      </c>
      <c r="AP202" s="239">
        <v>0</v>
      </c>
      <c r="AQ202" s="239">
        <v>0</v>
      </c>
      <c r="AR202" s="239">
        <v>94518804</v>
      </c>
      <c r="AS202" s="239">
        <v>94518804</v>
      </c>
      <c r="AT202" s="239">
        <v>97201202</v>
      </c>
      <c r="AU202" s="239">
        <v>97201202</v>
      </c>
      <c r="AV202" s="239">
        <v>0</v>
      </c>
      <c r="AW202" s="239">
        <v>0</v>
      </c>
      <c r="AX202" s="239">
        <v>0</v>
      </c>
      <c r="AY202" s="239">
        <v>0</v>
      </c>
      <c r="AZ202" s="239">
        <v>0</v>
      </c>
      <c r="BA202" s="239">
        <v>0</v>
      </c>
      <c r="BB202" s="239">
        <v>0</v>
      </c>
      <c r="BC202" s="239">
        <v>8860961</v>
      </c>
      <c r="BD202" s="239">
        <v>-1935798</v>
      </c>
      <c r="BE202" s="214" t="s">
        <v>881</v>
      </c>
      <c r="BF202" s="214" t="s">
        <v>746</v>
      </c>
      <c r="BG202" s="214" t="s">
        <v>858</v>
      </c>
      <c r="BH202" s="214" t="s">
        <v>1010</v>
      </c>
      <c r="BI202" s="214" t="s">
        <v>1010</v>
      </c>
      <c r="BJ202" s="214" t="s">
        <v>746</v>
      </c>
    </row>
    <row r="203" spans="1:62" x14ac:dyDescent="0.2">
      <c r="B203" s="602" t="s">
        <v>489</v>
      </c>
      <c r="C203" s="602" t="s">
        <v>488</v>
      </c>
      <c r="D203" s="239">
        <v>89827574</v>
      </c>
      <c r="E203" s="239">
        <v>0</v>
      </c>
      <c r="F203" s="239">
        <v>89827574</v>
      </c>
      <c r="G203" s="239">
        <v>0</v>
      </c>
      <c r="H203" s="239">
        <v>0</v>
      </c>
      <c r="I203" s="239">
        <v>0</v>
      </c>
      <c r="J203" s="239">
        <v>-504599</v>
      </c>
      <c r="K203" s="239">
        <v>0</v>
      </c>
      <c r="L203" s="239">
        <v>-504599</v>
      </c>
      <c r="M203" s="239">
        <v>0</v>
      </c>
      <c r="N203" s="239">
        <v>0</v>
      </c>
      <c r="O203" s="239">
        <v>0</v>
      </c>
      <c r="P203" s="239">
        <v>-236110</v>
      </c>
      <c r="Q203" s="239">
        <v>0</v>
      </c>
      <c r="R203" s="239">
        <v>-236110</v>
      </c>
      <c r="S203" s="239">
        <v>1426104</v>
      </c>
      <c r="T203" s="239">
        <v>0</v>
      </c>
      <c r="U203" s="239">
        <v>1426104</v>
      </c>
      <c r="V203" s="239">
        <v>-7390299</v>
      </c>
      <c r="W203" s="239">
        <v>0</v>
      </c>
      <c r="X203" s="239">
        <v>-7390299</v>
      </c>
      <c r="Y203" s="239">
        <v>83627269</v>
      </c>
      <c r="Z203" s="239">
        <v>0</v>
      </c>
      <c r="AA203" s="239">
        <v>83627269</v>
      </c>
      <c r="AB203" s="239">
        <v>0</v>
      </c>
      <c r="AC203" s="239">
        <v>0</v>
      </c>
      <c r="AD203" s="239">
        <v>193866</v>
      </c>
      <c r="AE203" s="239">
        <v>0</v>
      </c>
      <c r="AF203" s="239">
        <v>193866</v>
      </c>
      <c r="AG203" s="239">
        <v>0</v>
      </c>
      <c r="AH203" s="239">
        <v>0</v>
      </c>
      <c r="AI203" s="239">
        <v>528465</v>
      </c>
      <c r="AJ203" s="239">
        <v>528465</v>
      </c>
      <c r="AK203" s="239">
        <v>0</v>
      </c>
      <c r="AL203" s="239">
        <v>0</v>
      </c>
      <c r="AM203" s="239">
        <v>0</v>
      </c>
      <c r="AN203" s="239">
        <v>0</v>
      </c>
      <c r="AO203" s="239">
        <v>0</v>
      </c>
      <c r="AP203" s="239">
        <v>0</v>
      </c>
      <c r="AQ203" s="239">
        <v>0</v>
      </c>
      <c r="AR203" s="239">
        <v>0</v>
      </c>
      <c r="AS203" s="239">
        <v>0</v>
      </c>
      <c r="AT203" s="239">
        <v>0</v>
      </c>
      <c r="AU203" s="239">
        <v>0</v>
      </c>
      <c r="AV203" s="239">
        <v>0</v>
      </c>
      <c r="AW203" s="239">
        <v>0</v>
      </c>
      <c r="AX203" s="239">
        <v>0</v>
      </c>
      <c r="AY203" s="239">
        <v>0</v>
      </c>
      <c r="AZ203" s="239">
        <v>0</v>
      </c>
      <c r="BA203" s="239">
        <v>0</v>
      </c>
      <c r="BB203" s="239">
        <v>0</v>
      </c>
      <c r="BC203" s="239">
        <v>1850646</v>
      </c>
      <c r="BD203" s="239">
        <v>-1657213</v>
      </c>
      <c r="BE203" s="214" t="s">
        <v>880</v>
      </c>
      <c r="BF203" s="214" t="s">
        <v>746</v>
      </c>
      <c r="BG203" s="214" t="s">
        <v>790</v>
      </c>
      <c r="BH203" s="214" t="s">
        <v>1010</v>
      </c>
      <c r="BI203" s="214" t="s">
        <v>1010</v>
      </c>
      <c r="BJ203" s="214" t="s">
        <v>746</v>
      </c>
    </row>
    <row r="204" spans="1:62" x14ac:dyDescent="0.2">
      <c r="B204" s="602" t="s">
        <v>491</v>
      </c>
      <c r="C204" s="602" t="s">
        <v>490</v>
      </c>
      <c r="D204" s="239">
        <v>61562381</v>
      </c>
      <c r="E204" s="239">
        <v>0</v>
      </c>
      <c r="F204" s="239">
        <v>61562381</v>
      </c>
      <c r="G204" s="239">
        <v>0</v>
      </c>
      <c r="H204" s="239">
        <v>0</v>
      </c>
      <c r="I204" s="239">
        <v>0</v>
      </c>
      <c r="J204" s="239">
        <v>-262092</v>
      </c>
      <c r="K204" s="239">
        <v>0</v>
      </c>
      <c r="L204" s="239">
        <v>-262092</v>
      </c>
      <c r="M204" s="239">
        <v>0</v>
      </c>
      <c r="N204" s="239">
        <v>0</v>
      </c>
      <c r="O204" s="239">
        <v>0</v>
      </c>
      <c r="P204" s="239">
        <v>-313267</v>
      </c>
      <c r="Q204" s="239">
        <v>0</v>
      </c>
      <c r="R204" s="239">
        <v>-313267</v>
      </c>
      <c r="S204" s="239">
        <v>2156610</v>
      </c>
      <c r="T204" s="239">
        <v>0</v>
      </c>
      <c r="U204" s="239">
        <v>2156610</v>
      </c>
      <c r="V204" s="239">
        <v>-1134809</v>
      </c>
      <c r="W204" s="239">
        <v>0</v>
      </c>
      <c r="X204" s="239">
        <v>-1134809</v>
      </c>
      <c r="Y204" s="239">
        <v>62270915</v>
      </c>
      <c r="Z204" s="239">
        <v>0</v>
      </c>
      <c r="AA204" s="239">
        <v>62270915</v>
      </c>
      <c r="AB204" s="239">
        <v>0</v>
      </c>
      <c r="AC204" s="239">
        <v>0</v>
      </c>
      <c r="AD204" s="239">
        <v>395</v>
      </c>
      <c r="AE204" s="239">
        <v>0</v>
      </c>
      <c r="AF204" s="239">
        <v>395</v>
      </c>
      <c r="AG204" s="239">
        <v>0</v>
      </c>
      <c r="AH204" s="239">
        <v>0</v>
      </c>
      <c r="AI204" s="239">
        <v>0</v>
      </c>
      <c r="AJ204" s="239">
        <v>0</v>
      </c>
      <c r="AK204" s="239">
        <v>0</v>
      </c>
      <c r="AL204" s="239">
        <v>0</v>
      </c>
      <c r="AM204" s="239">
        <v>0</v>
      </c>
      <c r="AN204" s="239">
        <v>0</v>
      </c>
      <c r="AO204" s="239">
        <v>0</v>
      </c>
      <c r="AP204" s="239">
        <v>0</v>
      </c>
      <c r="AQ204" s="239">
        <v>0</v>
      </c>
      <c r="AR204" s="239">
        <v>0</v>
      </c>
      <c r="AS204" s="239">
        <v>0</v>
      </c>
      <c r="AT204" s="239">
        <v>0</v>
      </c>
      <c r="AU204" s="239">
        <v>0</v>
      </c>
      <c r="AV204" s="239">
        <v>0</v>
      </c>
      <c r="AW204" s="239">
        <v>0</v>
      </c>
      <c r="AX204" s="239">
        <v>0</v>
      </c>
      <c r="AY204" s="239">
        <v>0</v>
      </c>
      <c r="AZ204" s="239">
        <v>0</v>
      </c>
      <c r="BA204" s="239">
        <v>0</v>
      </c>
      <c r="BB204" s="239">
        <v>0</v>
      </c>
      <c r="BC204" s="239">
        <v>1188582</v>
      </c>
      <c r="BD204" s="239">
        <v>-1330629</v>
      </c>
      <c r="BE204" s="214" t="s">
        <v>879</v>
      </c>
      <c r="BF204" s="214" t="s">
        <v>746</v>
      </c>
      <c r="BG204" s="214" t="s">
        <v>783</v>
      </c>
      <c r="BH204" s="214" t="s">
        <v>1010</v>
      </c>
      <c r="BI204" s="214" t="s">
        <v>1010</v>
      </c>
      <c r="BJ204" s="214" t="s">
        <v>746</v>
      </c>
    </row>
    <row r="205" spans="1:62" x14ac:dyDescent="0.2">
      <c r="B205" s="602" t="s">
        <v>493</v>
      </c>
      <c r="C205" s="602" t="s">
        <v>492</v>
      </c>
      <c r="D205" s="239">
        <v>84742376</v>
      </c>
      <c r="E205" s="239">
        <v>0</v>
      </c>
      <c r="F205" s="239">
        <v>84742376</v>
      </c>
      <c r="G205" s="239">
        <v>-3724</v>
      </c>
      <c r="H205" s="239">
        <v>0</v>
      </c>
      <c r="I205" s="239">
        <v>-3724</v>
      </c>
      <c r="J205" s="239">
        <v>-548606</v>
      </c>
      <c r="K205" s="239">
        <v>0</v>
      </c>
      <c r="L205" s="239">
        <v>-548606</v>
      </c>
      <c r="M205" s="239">
        <v>0</v>
      </c>
      <c r="N205" s="239">
        <v>0</v>
      </c>
      <c r="O205" s="239">
        <v>0</v>
      </c>
      <c r="P205" s="239">
        <v>-1034485</v>
      </c>
      <c r="Q205" s="239">
        <v>0</v>
      </c>
      <c r="R205" s="239">
        <v>-1034485</v>
      </c>
      <c r="S205" s="239">
        <v>4005314</v>
      </c>
      <c r="T205" s="239">
        <v>0</v>
      </c>
      <c r="U205" s="239">
        <v>4005314</v>
      </c>
      <c r="V205" s="239">
        <v>-4792058</v>
      </c>
      <c r="W205" s="239">
        <v>0</v>
      </c>
      <c r="X205" s="239">
        <v>-4792058</v>
      </c>
      <c r="Y205" s="239">
        <v>82917423</v>
      </c>
      <c r="Z205" s="239">
        <v>0</v>
      </c>
      <c r="AA205" s="239">
        <v>82917423</v>
      </c>
      <c r="AB205" s="239">
        <v>0</v>
      </c>
      <c r="AC205" s="239">
        <v>0</v>
      </c>
      <c r="AD205" s="239">
        <v>0</v>
      </c>
      <c r="AE205" s="239">
        <v>0</v>
      </c>
      <c r="AF205" s="239">
        <v>0</v>
      </c>
      <c r="AG205" s="239">
        <v>0</v>
      </c>
      <c r="AH205" s="239">
        <v>0</v>
      </c>
      <c r="AI205" s="239">
        <v>0</v>
      </c>
      <c r="AJ205" s="239">
        <v>0</v>
      </c>
      <c r="AK205" s="239">
        <v>0</v>
      </c>
      <c r="AL205" s="239">
        <v>0</v>
      </c>
      <c r="AM205" s="239">
        <v>0</v>
      </c>
      <c r="AN205" s="239">
        <v>0</v>
      </c>
      <c r="AO205" s="239">
        <v>0</v>
      </c>
      <c r="AP205" s="239">
        <v>0</v>
      </c>
      <c r="AQ205" s="239">
        <v>0</v>
      </c>
      <c r="AR205" s="239">
        <v>0</v>
      </c>
      <c r="AS205" s="239">
        <v>0</v>
      </c>
      <c r="AT205" s="239">
        <v>0</v>
      </c>
      <c r="AU205" s="239">
        <v>0</v>
      </c>
      <c r="AV205" s="239">
        <v>0</v>
      </c>
      <c r="AW205" s="239">
        <v>0</v>
      </c>
      <c r="AX205" s="239">
        <v>0</v>
      </c>
      <c r="AY205" s="239">
        <v>0</v>
      </c>
      <c r="AZ205" s="239">
        <v>0</v>
      </c>
      <c r="BA205" s="239">
        <v>0</v>
      </c>
      <c r="BB205" s="239">
        <v>0</v>
      </c>
      <c r="BC205" s="239">
        <v>5179750</v>
      </c>
      <c r="BD205" s="239">
        <v>-7325583</v>
      </c>
      <c r="BE205" s="214" t="s">
        <v>878</v>
      </c>
      <c r="BF205" s="214" t="s">
        <v>746</v>
      </c>
      <c r="BG205" s="214" t="s">
        <v>775</v>
      </c>
      <c r="BH205" s="214" t="s">
        <v>1010</v>
      </c>
      <c r="BI205" s="214" t="s">
        <v>1010</v>
      </c>
      <c r="BJ205" s="214" t="s">
        <v>746</v>
      </c>
    </row>
    <row r="206" spans="1:62" x14ac:dyDescent="0.2">
      <c r="B206" s="602" t="s">
        <v>495</v>
      </c>
      <c r="C206" s="602" t="s">
        <v>494</v>
      </c>
      <c r="D206" s="239">
        <v>63220591</v>
      </c>
      <c r="E206" s="239">
        <v>0</v>
      </c>
      <c r="F206" s="239">
        <v>63220591</v>
      </c>
      <c r="G206" s="239">
        <v>0</v>
      </c>
      <c r="H206" s="239">
        <v>0</v>
      </c>
      <c r="I206" s="239">
        <v>0</v>
      </c>
      <c r="J206" s="239">
        <v>-701837</v>
      </c>
      <c r="K206" s="239">
        <v>0</v>
      </c>
      <c r="L206" s="239">
        <v>-701837</v>
      </c>
      <c r="M206" s="239">
        <v>0</v>
      </c>
      <c r="N206" s="239">
        <v>0</v>
      </c>
      <c r="O206" s="239">
        <v>0</v>
      </c>
      <c r="P206" s="239">
        <v>-1279111</v>
      </c>
      <c r="Q206" s="239">
        <v>0</v>
      </c>
      <c r="R206" s="239">
        <v>-1279111</v>
      </c>
      <c r="S206" s="239">
        <v>4683010</v>
      </c>
      <c r="T206" s="239">
        <v>0</v>
      </c>
      <c r="U206" s="239">
        <v>4683010</v>
      </c>
      <c r="V206" s="239">
        <v>-6175402</v>
      </c>
      <c r="W206" s="239">
        <v>0</v>
      </c>
      <c r="X206" s="239">
        <v>-6175402</v>
      </c>
      <c r="Y206" s="239">
        <v>60449088</v>
      </c>
      <c r="Z206" s="239">
        <v>0</v>
      </c>
      <c r="AA206" s="239">
        <v>60449088</v>
      </c>
      <c r="AB206" s="239">
        <v>0</v>
      </c>
      <c r="AC206" s="239">
        <v>0</v>
      </c>
      <c r="AD206" s="239">
        <v>36337</v>
      </c>
      <c r="AE206" s="239">
        <v>0</v>
      </c>
      <c r="AF206" s="239">
        <v>36337</v>
      </c>
      <c r="AG206" s="239">
        <v>0</v>
      </c>
      <c r="AH206" s="239">
        <v>0</v>
      </c>
      <c r="AI206" s="239">
        <v>0</v>
      </c>
      <c r="AJ206" s="239">
        <v>0</v>
      </c>
      <c r="AK206" s="239">
        <v>0</v>
      </c>
      <c r="AL206" s="239">
        <v>0</v>
      </c>
      <c r="AM206" s="239">
        <v>0</v>
      </c>
      <c r="AN206" s="239">
        <v>0</v>
      </c>
      <c r="AO206" s="239">
        <v>0</v>
      </c>
      <c r="AP206" s="239">
        <v>0</v>
      </c>
      <c r="AQ206" s="239">
        <v>0</v>
      </c>
      <c r="AR206" s="239">
        <v>0</v>
      </c>
      <c r="AS206" s="239">
        <v>0</v>
      </c>
      <c r="AT206" s="239">
        <v>0</v>
      </c>
      <c r="AU206" s="239">
        <v>0</v>
      </c>
      <c r="AV206" s="239">
        <v>0</v>
      </c>
      <c r="AW206" s="239">
        <v>0</v>
      </c>
      <c r="AX206" s="239">
        <v>0</v>
      </c>
      <c r="AY206" s="239">
        <v>0</v>
      </c>
      <c r="AZ206" s="239">
        <v>0</v>
      </c>
      <c r="BA206" s="239">
        <v>0</v>
      </c>
      <c r="BB206" s="239">
        <v>0</v>
      </c>
      <c r="BC206" s="239">
        <v>6844953</v>
      </c>
      <c r="BD206" s="239">
        <v>-1672006</v>
      </c>
      <c r="BE206" s="214" t="s">
        <v>494</v>
      </c>
      <c r="BF206" s="214" t="s">
        <v>755</v>
      </c>
      <c r="BG206" s="214" t="s">
        <v>753</v>
      </c>
      <c r="BH206" s="214" t="s">
        <v>1010</v>
      </c>
      <c r="BI206" s="214" t="s">
        <v>1010</v>
      </c>
      <c r="BJ206" s="214" t="s">
        <v>1158</v>
      </c>
    </row>
    <row r="207" spans="1:62" x14ac:dyDescent="0.2">
      <c r="B207" s="602" t="s">
        <v>497</v>
      </c>
      <c r="C207" s="602" t="s">
        <v>496</v>
      </c>
      <c r="D207" s="239">
        <v>12904440</v>
      </c>
      <c r="E207" s="239">
        <v>388368</v>
      </c>
      <c r="F207" s="239">
        <v>13292808</v>
      </c>
      <c r="G207" s="239">
        <v>0</v>
      </c>
      <c r="H207" s="239">
        <v>0</v>
      </c>
      <c r="I207" s="239">
        <v>0</v>
      </c>
      <c r="J207" s="239">
        <v>-46647</v>
      </c>
      <c r="K207" s="239">
        <v>0</v>
      </c>
      <c r="L207" s="239">
        <v>-46647</v>
      </c>
      <c r="M207" s="239">
        <v>0</v>
      </c>
      <c r="N207" s="239">
        <v>0</v>
      </c>
      <c r="O207" s="239">
        <v>0</v>
      </c>
      <c r="P207" s="239">
        <v>-14000</v>
      </c>
      <c r="Q207" s="239">
        <v>6754</v>
      </c>
      <c r="R207" s="239">
        <v>-7246</v>
      </c>
      <c r="S207" s="239">
        <v>2238311</v>
      </c>
      <c r="T207" s="239">
        <v>0</v>
      </c>
      <c r="U207" s="239">
        <v>2238311</v>
      </c>
      <c r="V207" s="239">
        <v>300000</v>
      </c>
      <c r="W207" s="239">
        <v>-8943</v>
      </c>
      <c r="X207" s="239">
        <v>291057</v>
      </c>
      <c r="Y207" s="239">
        <v>15428751</v>
      </c>
      <c r="Z207" s="239">
        <v>386179</v>
      </c>
      <c r="AA207" s="239">
        <v>15814930</v>
      </c>
      <c r="AB207" s="239">
        <v>386179</v>
      </c>
      <c r="AC207" s="239">
        <v>386179</v>
      </c>
      <c r="AD207" s="239">
        <v>148076</v>
      </c>
      <c r="AE207" s="239">
        <v>0</v>
      </c>
      <c r="AF207" s="239">
        <v>148076</v>
      </c>
      <c r="AG207" s="239">
        <v>-37009</v>
      </c>
      <c r="AH207" s="239">
        <v>-37009</v>
      </c>
      <c r="AI207" s="239">
        <v>263396</v>
      </c>
      <c r="AJ207" s="239">
        <v>263396</v>
      </c>
      <c r="AK207" s="239">
        <v>85774</v>
      </c>
      <c r="AL207" s="239">
        <v>0</v>
      </c>
      <c r="AM207" s="239">
        <v>0</v>
      </c>
      <c r="AN207" s="239">
        <v>0</v>
      </c>
      <c r="AO207" s="239">
        <v>0</v>
      </c>
      <c r="AP207" s="239">
        <v>0</v>
      </c>
      <c r="AQ207" s="239">
        <v>0</v>
      </c>
      <c r="AR207" s="239">
        <v>0</v>
      </c>
      <c r="AS207" s="239">
        <v>0</v>
      </c>
      <c r="AT207" s="239">
        <v>0</v>
      </c>
      <c r="AU207" s="239">
        <v>0</v>
      </c>
      <c r="AV207" s="239">
        <v>0</v>
      </c>
      <c r="AW207" s="239">
        <v>0</v>
      </c>
      <c r="AX207" s="239">
        <v>0</v>
      </c>
      <c r="AY207" s="239">
        <v>0</v>
      </c>
      <c r="AZ207" s="239">
        <v>0</v>
      </c>
      <c r="BA207" s="239">
        <v>0</v>
      </c>
      <c r="BB207" s="239">
        <v>0</v>
      </c>
      <c r="BC207" s="239">
        <v>361029</v>
      </c>
      <c r="BD207" s="239">
        <v>-2498675</v>
      </c>
      <c r="BE207" s="214" t="s">
        <v>496</v>
      </c>
      <c r="BF207" s="214" t="s">
        <v>785</v>
      </c>
      <c r="BG207" s="214" t="s">
        <v>783</v>
      </c>
      <c r="BH207" s="214" t="s">
        <v>1010</v>
      </c>
      <c r="BI207" s="214" t="s">
        <v>1010</v>
      </c>
      <c r="BJ207" s="214" t="s">
        <v>1158</v>
      </c>
    </row>
    <row r="208" spans="1:62" x14ac:dyDescent="0.2">
      <c r="A208" s="215" t="s">
        <v>1668</v>
      </c>
      <c r="B208" s="602" t="s">
        <v>499</v>
      </c>
      <c r="C208" s="602" t="s">
        <v>498</v>
      </c>
      <c r="D208" s="239">
        <v>125993102</v>
      </c>
      <c r="E208" s="239">
        <v>0</v>
      </c>
      <c r="F208" s="239">
        <v>125993102</v>
      </c>
      <c r="G208" s="239">
        <v>0</v>
      </c>
      <c r="H208" s="239">
        <v>0</v>
      </c>
      <c r="I208" s="239">
        <v>0</v>
      </c>
      <c r="J208" s="239">
        <v>-617070</v>
      </c>
      <c r="K208" s="239">
        <v>0</v>
      </c>
      <c r="L208" s="239">
        <v>-617070</v>
      </c>
      <c r="M208" s="239">
        <v>0</v>
      </c>
      <c r="N208" s="239">
        <v>0</v>
      </c>
      <c r="O208" s="239">
        <v>0</v>
      </c>
      <c r="P208" s="239">
        <v>-1385440</v>
      </c>
      <c r="Q208" s="239">
        <v>0</v>
      </c>
      <c r="R208" s="239">
        <v>-1385440</v>
      </c>
      <c r="S208" s="239">
        <v>6210000</v>
      </c>
      <c r="T208" s="239">
        <v>0</v>
      </c>
      <c r="U208" s="239">
        <v>6210000</v>
      </c>
      <c r="V208" s="239">
        <v>-7610000</v>
      </c>
      <c r="W208" s="239">
        <v>0</v>
      </c>
      <c r="X208" s="239">
        <v>-7610000</v>
      </c>
      <c r="Y208" s="239">
        <v>123207662</v>
      </c>
      <c r="Z208" s="239">
        <v>0</v>
      </c>
      <c r="AA208" s="239">
        <v>123207662</v>
      </c>
      <c r="AB208" s="239">
        <v>0</v>
      </c>
      <c r="AC208" s="239">
        <v>0</v>
      </c>
      <c r="AD208" s="239">
        <v>0</v>
      </c>
      <c r="AE208" s="239">
        <v>0</v>
      </c>
      <c r="AF208" s="239">
        <v>0</v>
      </c>
      <c r="AG208" s="239">
        <v>0</v>
      </c>
      <c r="AH208" s="239">
        <v>0</v>
      </c>
      <c r="AI208" s="239">
        <v>0</v>
      </c>
      <c r="AJ208" s="239">
        <v>0</v>
      </c>
      <c r="AK208" s="239">
        <v>0</v>
      </c>
      <c r="AL208" s="239">
        <v>0</v>
      </c>
      <c r="AM208" s="239">
        <v>0</v>
      </c>
      <c r="AN208" s="239">
        <v>0</v>
      </c>
      <c r="AO208" s="239">
        <v>0</v>
      </c>
      <c r="AP208" s="239">
        <v>0</v>
      </c>
      <c r="AQ208" s="239">
        <v>0</v>
      </c>
      <c r="AR208" s="239">
        <v>0</v>
      </c>
      <c r="AS208" s="239">
        <v>0</v>
      </c>
      <c r="AT208" s="239">
        <v>0</v>
      </c>
      <c r="AU208" s="239">
        <v>0</v>
      </c>
      <c r="AV208" s="239">
        <v>0</v>
      </c>
      <c r="AW208" s="239">
        <v>0</v>
      </c>
      <c r="AX208" s="239">
        <v>0</v>
      </c>
      <c r="AY208" s="239">
        <v>0</v>
      </c>
      <c r="AZ208" s="239">
        <v>0</v>
      </c>
      <c r="BA208" s="239">
        <v>0</v>
      </c>
      <c r="BB208" s="239">
        <v>0</v>
      </c>
      <c r="BC208" s="239">
        <v>8654301</v>
      </c>
      <c r="BD208" s="239">
        <v>-4540155</v>
      </c>
      <c r="BE208" s="214" t="s">
        <v>877</v>
      </c>
      <c r="BF208" s="214" t="s">
        <v>746</v>
      </c>
      <c r="BG208" s="214" t="s">
        <v>767</v>
      </c>
      <c r="BH208" s="214" t="s">
        <v>1010</v>
      </c>
      <c r="BI208" s="214" t="s">
        <v>1010</v>
      </c>
      <c r="BJ208" s="214" t="s">
        <v>746</v>
      </c>
    </row>
    <row r="209" spans="2:62" x14ac:dyDescent="0.2">
      <c r="B209" s="602" t="s">
        <v>501</v>
      </c>
      <c r="C209" s="602" t="s">
        <v>500</v>
      </c>
      <c r="D209" s="239">
        <v>53287623</v>
      </c>
      <c r="E209" s="239">
        <v>0</v>
      </c>
      <c r="F209" s="239">
        <v>53287623</v>
      </c>
      <c r="G209" s="239">
        <v>0</v>
      </c>
      <c r="H209" s="239">
        <v>0</v>
      </c>
      <c r="I209" s="239">
        <v>0</v>
      </c>
      <c r="J209" s="239">
        <v>0</v>
      </c>
      <c r="K209" s="239">
        <v>0</v>
      </c>
      <c r="L209" s="239">
        <v>0</v>
      </c>
      <c r="M209" s="239">
        <v>-1144002</v>
      </c>
      <c r="N209" s="239">
        <v>0</v>
      </c>
      <c r="O209" s="239">
        <v>-1144002</v>
      </c>
      <c r="P209" s="239">
        <v>842797</v>
      </c>
      <c r="Q209" s="239">
        <v>0</v>
      </c>
      <c r="R209" s="239">
        <v>842797</v>
      </c>
      <c r="S209" s="239">
        <v>550000</v>
      </c>
      <c r="T209" s="239">
        <v>0</v>
      </c>
      <c r="U209" s="239">
        <v>550000</v>
      </c>
      <c r="V209" s="239">
        <v>-7436000</v>
      </c>
      <c r="W209" s="239">
        <v>0</v>
      </c>
      <c r="X209" s="239">
        <v>-7436000</v>
      </c>
      <c r="Y209" s="239">
        <v>46100418</v>
      </c>
      <c r="Z209" s="239">
        <v>0</v>
      </c>
      <c r="AA209" s="239">
        <v>46100418</v>
      </c>
      <c r="AB209" s="239">
        <v>0</v>
      </c>
      <c r="AC209" s="239">
        <v>0</v>
      </c>
      <c r="AD209" s="239">
        <v>0</v>
      </c>
      <c r="AE209" s="239">
        <v>0</v>
      </c>
      <c r="AF209" s="239">
        <v>0</v>
      </c>
      <c r="AG209" s="239">
        <v>0</v>
      </c>
      <c r="AH209" s="239">
        <v>0</v>
      </c>
      <c r="AI209" s="239">
        <v>0</v>
      </c>
      <c r="AJ209" s="239">
        <v>0</v>
      </c>
      <c r="AK209" s="239">
        <v>0</v>
      </c>
      <c r="AL209" s="239">
        <v>0</v>
      </c>
      <c r="AM209" s="239">
        <v>0</v>
      </c>
      <c r="AN209" s="239">
        <v>0</v>
      </c>
      <c r="AO209" s="239">
        <v>0</v>
      </c>
      <c r="AP209" s="239">
        <v>0</v>
      </c>
      <c r="AQ209" s="239">
        <v>0</v>
      </c>
      <c r="AR209" s="239">
        <v>0</v>
      </c>
      <c r="AS209" s="239">
        <v>0</v>
      </c>
      <c r="AT209" s="239">
        <v>0</v>
      </c>
      <c r="AU209" s="239">
        <v>0</v>
      </c>
      <c r="AV209" s="239">
        <v>0</v>
      </c>
      <c r="AW209" s="239">
        <v>0</v>
      </c>
      <c r="AX209" s="239">
        <v>0</v>
      </c>
      <c r="AY209" s="239">
        <v>0</v>
      </c>
      <c r="AZ209" s="239">
        <v>0</v>
      </c>
      <c r="BA209" s="239">
        <v>0</v>
      </c>
      <c r="BB209" s="239">
        <v>0</v>
      </c>
      <c r="BC209" s="239">
        <v>9281966</v>
      </c>
      <c r="BD209" s="239">
        <v>-4172017</v>
      </c>
      <c r="BE209" s="214" t="s">
        <v>500</v>
      </c>
      <c r="BF209" s="214" t="s">
        <v>788</v>
      </c>
      <c r="BG209" s="214" t="s">
        <v>747</v>
      </c>
      <c r="BH209" s="214" t="s">
        <v>1010</v>
      </c>
      <c r="BI209" s="214" t="s">
        <v>1010</v>
      </c>
      <c r="BJ209" s="214" t="s">
        <v>1159</v>
      </c>
    </row>
    <row r="210" spans="2:62" x14ac:dyDescent="0.2">
      <c r="B210" s="602" t="s">
        <v>503</v>
      </c>
      <c r="C210" s="602" t="s">
        <v>502</v>
      </c>
      <c r="D210" s="239">
        <v>36717079</v>
      </c>
      <c r="E210" s="239">
        <v>2250026</v>
      </c>
      <c r="F210" s="239">
        <v>38967105</v>
      </c>
      <c r="G210" s="239">
        <v>0</v>
      </c>
      <c r="H210" s="239">
        <v>0</v>
      </c>
      <c r="I210" s="239">
        <v>0</v>
      </c>
      <c r="J210" s="239">
        <v>-146095</v>
      </c>
      <c r="K210" s="239">
        <v>0</v>
      </c>
      <c r="L210" s="239">
        <v>-146095</v>
      </c>
      <c r="M210" s="239">
        <v>0</v>
      </c>
      <c r="N210" s="239">
        <v>0</v>
      </c>
      <c r="O210" s="239">
        <v>0</v>
      </c>
      <c r="P210" s="239">
        <v>-183541</v>
      </c>
      <c r="Q210" s="239">
        <v>0</v>
      </c>
      <c r="R210" s="239">
        <v>-183541</v>
      </c>
      <c r="S210" s="239">
        <v>544254</v>
      </c>
      <c r="T210" s="239">
        <v>0</v>
      </c>
      <c r="U210" s="239">
        <v>544254</v>
      </c>
      <c r="V210" s="239">
        <v>577517</v>
      </c>
      <c r="W210" s="239">
        <v>0</v>
      </c>
      <c r="X210" s="239">
        <v>577517</v>
      </c>
      <c r="Y210" s="239">
        <v>37655309</v>
      </c>
      <c r="Z210" s="239">
        <v>2250026</v>
      </c>
      <c r="AA210" s="239">
        <v>39905335</v>
      </c>
      <c r="AB210" s="239">
        <v>2250026</v>
      </c>
      <c r="AC210" s="239">
        <v>2250026</v>
      </c>
      <c r="AD210" s="239">
        <v>0</v>
      </c>
      <c r="AE210" s="239">
        <v>0</v>
      </c>
      <c r="AF210" s="239">
        <v>0</v>
      </c>
      <c r="AG210" s="239">
        <v>-157904</v>
      </c>
      <c r="AH210" s="239">
        <v>-157904</v>
      </c>
      <c r="AI210" s="239">
        <v>0</v>
      </c>
      <c r="AJ210" s="239">
        <v>0</v>
      </c>
      <c r="AK210" s="239">
        <v>2092122</v>
      </c>
      <c r="AL210" s="239">
        <v>0</v>
      </c>
      <c r="AM210" s="239">
        <v>0</v>
      </c>
      <c r="AN210" s="239">
        <v>0</v>
      </c>
      <c r="AO210" s="239">
        <v>0</v>
      </c>
      <c r="AP210" s="239">
        <v>0</v>
      </c>
      <c r="AQ210" s="239">
        <v>0</v>
      </c>
      <c r="AR210" s="239">
        <v>0</v>
      </c>
      <c r="AS210" s="239">
        <v>0</v>
      </c>
      <c r="AT210" s="239">
        <v>0</v>
      </c>
      <c r="AU210" s="239">
        <v>0</v>
      </c>
      <c r="AV210" s="239">
        <v>0</v>
      </c>
      <c r="AW210" s="239">
        <v>0</v>
      </c>
      <c r="AX210" s="239">
        <v>0</v>
      </c>
      <c r="AY210" s="239">
        <v>0</v>
      </c>
      <c r="AZ210" s="239">
        <v>0</v>
      </c>
      <c r="BA210" s="239">
        <v>0</v>
      </c>
      <c r="BB210" s="239">
        <v>0</v>
      </c>
      <c r="BC210" s="239">
        <v>13075266</v>
      </c>
      <c r="BD210" s="239">
        <v>-1628413</v>
      </c>
      <c r="BE210" s="214" t="s">
        <v>876</v>
      </c>
      <c r="BF210" s="214" t="s">
        <v>746</v>
      </c>
      <c r="BG210" s="214" t="s">
        <v>842</v>
      </c>
      <c r="BH210" s="214" t="s">
        <v>1027</v>
      </c>
      <c r="BI210" s="214" t="s">
        <v>1010</v>
      </c>
      <c r="BJ210" s="214" t="s">
        <v>746</v>
      </c>
    </row>
    <row r="211" spans="2:62" x14ac:dyDescent="0.2">
      <c r="B211" s="602" t="s">
        <v>505</v>
      </c>
      <c r="C211" s="602" t="s">
        <v>504</v>
      </c>
      <c r="D211" s="239">
        <v>37747027</v>
      </c>
      <c r="E211" s="239">
        <v>0</v>
      </c>
      <c r="F211" s="239">
        <v>37747027</v>
      </c>
      <c r="G211" s="239">
        <v>0</v>
      </c>
      <c r="H211" s="239">
        <v>0</v>
      </c>
      <c r="I211" s="239">
        <v>0</v>
      </c>
      <c r="J211" s="239">
        <v>-312505</v>
      </c>
      <c r="K211" s="239">
        <v>0</v>
      </c>
      <c r="L211" s="239">
        <v>-312505</v>
      </c>
      <c r="M211" s="239">
        <v>0</v>
      </c>
      <c r="N211" s="239">
        <v>0</v>
      </c>
      <c r="O211" s="239">
        <v>0</v>
      </c>
      <c r="P211" s="239">
        <v>-977672</v>
      </c>
      <c r="Q211" s="239">
        <v>0</v>
      </c>
      <c r="R211" s="239">
        <v>-977672</v>
      </c>
      <c r="S211" s="239">
        <v>1190738</v>
      </c>
      <c r="T211" s="239">
        <v>0</v>
      </c>
      <c r="U211" s="239">
        <v>1190738</v>
      </c>
      <c r="V211" s="239">
        <v>-3524664</v>
      </c>
      <c r="W211" s="239">
        <v>0</v>
      </c>
      <c r="X211" s="239">
        <v>-3524664</v>
      </c>
      <c r="Y211" s="239">
        <v>34435429</v>
      </c>
      <c r="Z211" s="239">
        <v>0</v>
      </c>
      <c r="AA211" s="239">
        <v>34435429</v>
      </c>
      <c r="AB211" s="239">
        <v>0</v>
      </c>
      <c r="AC211" s="239">
        <v>0</v>
      </c>
      <c r="AD211" s="239">
        <v>0</v>
      </c>
      <c r="AE211" s="239">
        <v>0</v>
      </c>
      <c r="AF211" s="239">
        <v>0</v>
      </c>
      <c r="AG211" s="239">
        <v>0</v>
      </c>
      <c r="AH211" s="239">
        <v>0</v>
      </c>
      <c r="AI211" s="239">
        <v>0</v>
      </c>
      <c r="AJ211" s="239">
        <v>0</v>
      </c>
      <c r="AK211" s="239">
        <v>0</v>
      </c>
      <c r="AL211" s="239">
        <v>0</v>
      </c>
      <c r="AM211" s="239">
        <v>0</v>
      </c>
      <c r="AN211" s="239">
        <v>0</v>
      </c>
      <c r="AO211" s="239">
        <v>0</v>
      </c>
      <c r="AP211" s="239">
        <v>0</v>
      </c>
      <c r="AQ211" s="239">
        <v>0</v>
      </c>
      <c r="AR211" s="239">
        <v>0</v>
      </c>
      <c r="AS211" s="239">
        <v>0</v>
      </c>
      <c r="AT211" s="239">
        <v>0</v>
      </c>
      <c r="AU211" s="239">
        <v>0</v>
      </c>
      <c r="AV211" s="239">
        <v>0</v>
      </c>
      <c r="AW211" s="239">
        <v>0</v>
      </c>
      <c r="AX211" s="239">
        <v>0</v>
      </c>
      <c r="AY211" s="239">
        <v>0</v>
      </c>
      <c r="AZ211" s="239">
        <v>0</v>
      </c>
      <c r="BA211" s="239">
        <v>0</v>
      </c>
      <c r="BB211" s="239">
        <v>0</v>
      </c>
      <c r="BC211" s="239">
        <v>5461371</v>
      </c>
      <c r="BD211" s="239">
        <v>-1440139</v>
      </c>
      <c r="BE211" s="214" t="s">
        <v>504</v>
      </c>
      <c r="BF211" s="214" t="s">
        <v>751</v>
      </c>
      <c r="BG211" s="214" t="s">
        <v>749</v>
      </c>
      <c r="BH211" s="214" t="s">
        <v>1010</v>
      </c>
      <c r="BI211" s="214" t="s">
        <v>1010</v>
      </c>
      <c r="BJ211" s="214" t="s">
        <v>1158</v>
      </c>
    </row>
    <row r="212" spans="2:62" x14ac:dyDescent="0.2">
      <c r="B212" s="602" t="s">
        <v>507</v>
      </c>
      <c r="C212" s="602" t="s">
        <v>506</v>
      </c>
      <c r="D212" s="239">
        <v>52958744</v>
      </c>
      <c r="E212" s="239">
        <v>0</v>
      </c>
      <c r="F212" s="239">
        <v>52958744</v>
      </c>
      <c r="G212" s="239">
        <v>0</v>
      </c>
      <c r="H212" s="239">
        <v>0</v>
      </c>
      <c r="I212" s="239">
        <v>0</v>
      </c>
      <c r="J212" s="239">
        <v>-14602</v>
      </c>
      <c r="K212" s="239">
        <v>0</v>
      </c>
      <c r="L212" s="239">
        <v>-14602</v>
      </c>
      <c r="M212" s="239">
        <v>0</v>
      </c>
      <c r="N212" s="239">
        <v>0</v>
      </c>
      <c r="O212" s="239">
        <v>0</v>
      </c>
      <c r="P212" s="239">
        <v>-113982</v>
      </c>
      <c r="Q212" s="239">
        <v>0</v>
      </c>
      <c r="R212" s="239">
        <v>-113982</v>
      </c>
      <c r="S212" s="239">
        <v>1257546</v>
      </c>
      <c r="T212" s="239">
        <v>0</v>
      </c>
      <c r="U212" s="239">
        <v>1257546</v>
      </c>
      <c r="V212" s="239">
        <v>-1994040</v>
      </c>
      <c r="W212" s="239">
        <v>0</v>
      </c>
      <c r="X212" s="239">
        <v>-1994040</v>
      </c>
      <c r="Y212" s="239">
        <v>52108268</v>
      </c>
      <c r="Z212" s="239">
        <v>0</v>
      </c>
      <c r="AA212" s="239">
        <v>52108268</v>
      </c>
      <c r="AB212" s="239">
        <v>0</v>
      </c>
      <c r="AC212" s="239">
        <v>0</v>
      </c>
      <c r="AD212" s="239">
        <v>0</v>
      </c>
      <c r="AE212" s="239">
        <v>0</v>
      </c>
      <c r="AF212" s="239">
        <v>0</v>
      </c>
      <c r="AG212" s="239">
        <v>0</v>
      </c>
      <c r="AH212" s="239">
        <v>0</v>
      </c>
      <c r="AI212" s="239">
        <v>0</v>
      </c>
      <c r="AJ212" s="239">
        <v>0</v>
      </c>
      <c r="AK212" s="239">
        <v>0</v>
      </c>
      <c r="AL212" s="239">
        <v>0</v>
      </c>
      <c r="AM212" s="239">
        <v>0</v>
      </c>
      <c r="AN212" s="239">
        <v>0</v>
      </c>
      <c r="AO212" s="239">
        <v>0</v>
      </c>
      <c r="AP212" s="239">
        <v>0</v>
      </c>
      <c r="AQ212" s="239">
        <v>0</v>
      </c>
      <c r="AR212" s="239">
        <v>0</v>
      </c>
      <c r="AS212" s="239">
        <v>0</v>
      </c>
      <c r="AT212" s="239">
        <v>0</v>
      </c>
      <c r="AU212" s="239">
        <v>0</v>
      </c>
      <c r="AV212" s="239">
        <v>0</v>
      </c>
      <c r="AW212" s="239">
        <v>0</v>
      </c>
      <c r="AX212" s="239">
        <v>0</v>
      </c>
      <c r="AY212" s="239">
        <v>0</v>
      </c>
      <c r="AZ212" s="239">
        <v>0</v>
      </c>
      <c r="BA212" s="239">
        <v>0</v>
      </c>
      <c r="BB212" s="239">
        <v>0</v>
      </c>
      <c r="BC212" s="239">
        <v>841710</v>
      </c>
      <c r="BD212" s="239">
        <v>-1800799</v>
      </c>
      <c r="BE212" s="214" t="s">
        <v>875</v>
      </c>
      <c r="BF212" s="214" t="s">
        <v>770</v>
      </c>
      <c r="BG212" s="214" t="s">
        <v>761</v>
      </c>
      <c r="BH212" s="214" t="s">
        <v>1010</v>
      </c>
      <c r="BI212" s="214" t="s">
        <v>1010</v>
      </c>
      <c r="BJ212" s="214" t="s">
        <v>1158</v>
      </c>
    </row>
    <row r="213" spans="2:62" x14ac:dyDescent="0.2">
      <c r="B213" s="602" t="s">
        <v>509</v>
      </c>
      <c r="C213" s="602" t="s">
        <v>508</v>
      </c>
      <c r="D213" s="239">
        <v>12496166</v>
      </c>
      <c r="E213" s="239">
        <v>2166584</v>
      </c>
      <c r="F213" s="239">
        <v>14662750</v>
      </c>
      <c r="G213" s="239">
        <v>0</v>
      </c>
      <c r="H213" s="239">
        <v>0</v>
      </c>
      <c r="I213" s="239">
        <v>0</v>
      </c>
      <c r="J213" s="239">
        <v>-70998</v>
      </c>
      <c r="K213" s="239">
        <v>0</v>
      </c>
      <c r="L213" s="239">
        <v>-70998</v>
      </c>
      <c r="M213" s="239">
        <v>0</v>
      </c>
      <c r="N213" s="239">
        <v>0</v>
      </c>
      <c r="O213" s="239">
        <v>0</v>
      </c>
      <c r="P213" s="239">
        <v>-80998</v>
      </c>
      <c r="Q213" s="239">
        <v>0</v>
      </c>
      <c r="R213" s="239">
        <v>-80998</v>
      </c>
      <c r="S213" s="239">
        <v>593490</v>
      </c>
      <c r="T213" s="239">
        <v>0</v>
      </c>
      <c r="U213" s="239">
        <v>593490</v>
      </c>
      <c r="V213" s="239">
        <v>-294490</v>
      </c>
      <c r="W213" s="239">
        <v>-1500</v>
      </c>
      <c r="X213" s="239">
        <v>-295990</v>
      </c>
      <c r="Y213" s="239">
        <v>12714168</v>
      </c>
      <c r="Z213" s="239">
        <v>2165084</v>
      </c>
      <c r="AA213" s="239">
        <v>14879252</v>
      </c>
      <c r="AB213" s="239">
        <v>2165084</v>
      </c>
      <c r="AC213" s="239">
        <v>2165084</v>
      </c>
      <c r="AD213" s="239">
        <v>53547</v>
      </c>
      <c r="AE213" s="239">
        <v>46367</v>
      </c>
      <c r="AF213" s="239">
        <v>99914</v>
      </c>
      <c r="AG213" s="239">
        <v>-21343</v>
      </c>
      <c r="AH213" s="239">
        <v>-21343</v>
      </c>
      <c r="AI213" s="239">
        <v>1840050</v>
      </c>
      <c r="AJ213" s="239">
        <v>1840050</v>
      </c>
      <c r="AK213" s="239">
        <v>257324</v>
      </c>
      <c r="AL213" s="239">
        <v>0</v>
      </c>
      <c r="AM213" s="239">
        <v>0</v>
      </c>
      <c r="AN213" s="239">
        <v>0</v>
      </c>
      <c r="AO213" s="239">
        <v>0</v>
      </c>
      <c r="AP213" s="239">
        <v>0</v>
      </c>
      <c r="AQ213" s="239">
        <v>0</v>
      </c>
      <c r="AR213" s="239">
        <v>0</v>
      </c>
      <c r="AS213" s="239">
        <v>0</v>
      </c>
      <c r="AT213" s="239">
        <v>0</v>
      </c>
      <c r="AU213" s="239">
        <v>0</v>
      </c>
      <c r="AV213" s="239">
        <v>0</v>
      </c>
      <c r="AW213" s="239">
        <v>0</v>
      </c>
      <c r="AX213" s="239">
        <v>0</v>
      </c>
      <c r="AY213" s="239">
        <v>0</v>
      </c>
      <c r="AZ213" s="239">
        <v>0</v>
      </c>
      <c r="BA213" s="239">
        <v>0</v>
      </c>
      <c r="BB213" s="239">
        <v>0</v>
      </c>
      <c r="BC213" s="239">
        <v>655308</v>
      </c>
      <c r="BD213" s="239">
        <v>-215323</v>
      </c>
      <c r="BE213" s="214" t="s">
        <v>508</v>
      </c>
      <c r="BF213" s="214" t="s">
        <v>755</v>
      </c>
      <c r="BG213" s="214" t="s">
        <v>753</v>
      </c>
      <c r="BH213" s="214" t="s">
        <v>1023</v>
      </c>
      <c r="BI213" s="214" t="s">
        <v>1010</v>
      </c>
      <c r="BJ213" s="214" t="s">
        <v>1158</v>
      </c>
    </row>
    <row r="214" spans="2:62" x14ac:dyDescent="0.2">
      <c r="B214" s="602" t="s">
        <v>511</v>
      </c>
      <c r="C214" s="602" t="s">
        <v>510</v>
      </c>
      <c r="D214" s="239">
        <v>84327714</v>
      </c>
      <c r="E214" s="239">
        <v>0</v>
      </c>
      <c r="F214" s="239">
        <v>84327714</v>
      </c>
      <c r="G214" s="239">
        <v>0</v>
      </c>
      <c r="H214" s="239">
        <v>0</v>
      </c>
      <c r="I214" s="239">
        <v>0</v>
      </c>
      <c r="J214" s="239">
        <v>-245752</v>
      </c>
      <c r="K214" s="239">
        <v>0</v>
      </c>
      <c r="L214" s="239">
        <v>-245752</v>
      </c>
      <c r="M214" s="239">
        <v>0</v>
      </c>
      <c r="N214" s="239">
        <v>0</v>
      </c>
      <c r="O214" s="239">
        <v>0</v>
      </c>
      <c r="P214" s="239">
        <v>-22458</v>
      </c>
      <c r="Q214" s="239">
        <v>0</v>
      </c>
      <c r="R214" s="239">
        <v>-22458</v>
      </c>
      <c r="S214" s="239">
        <v>5467372</v>
      </c>
      <c r="T214" s="239">
        <v>0</v>
      </c>
      <c r="U214" s="239">
        <v>5467372</v>
      </c>
      <c r="V214" s="239">
        <v>-1325653</v>
      </c>
      <c r="W214" s="239">
        <v>0</v>
      </c>
      <c r="X214" s="239">
        <v>-1325653</v>
      </c>
      <c r="Y214" s="239">
        <v>88446975</v>
      </c>
      <c r="Z214" s="239">
        <v>0</v>
      </c>
      <c r="AA214" s="239">
        <v>88446975</v>
      </c>
      <c r="AB214" s="239">
        <v>0</v>
      </c>
      <c r="AC214" s="239">
        <v>0</v>
      </c>
      <c r="AD214" s="239">
        <v>0</v>
      </c>
      <c r="AE214" s="239">
        <v>0</v>
      </c>
      <c r="AF214" s="239">
        <v>0</v>
      </c>
      <c r="AG214" s="239">
        <v>0</v>
      </c>
      <c r="AH214" s="239">
        <v>0</v>
      </c>
      <c r="AI214" s="239">
        <v>0</v>
      </c>
      <c r="AJ214" s="239">
        <v>0</v>
      </c>
      <c r="AK214" s="239">
        <v>0</v>
      </c>
      <c r="AL214" s="239">
        <v>0</v>
      </c>
      <c r="AM214" s="239">
        <v>0</v>
      </c>
      <c r="AN214" s="239">
        <v>0</v>
      </c>
      <c r="AO214" s="239">
        <v>0</v>
      </c>
      <c r="AP214" s="239">
        <v>0</v>
      </c>
      <c r="AQ214" s="239">
        <v>0</v>
      </c>
      <c r="AR214" s="239">
        <v>0</v>
      </c>
      <c r="AS214" s="239">
        <v>0</v>
      </c>
      <c r="AT214" s="239">
        <v>0</v>
      </c>
      <c r="AU214" s="239">
        <v>0</v>
      </c>
      <c r="AV214" s="239">
        <v>0</v>
      </c>
      <c r="AW214" s="239">
        <v>0</v>
      </c>
      <c r="AX214" s="239">
        <v>0</v>
      </c>
      <c r="AY214" s="239">
        <v>0</v>
      </c>
      <c r="AZ214" s="239">
        <v>0</v>
      </c>
      <c r="BA214" s="239">
        <v>0</v>
      </c>
      <c r="BB214" s="239">
        <v>0</v>
      </c>
      <c r="BC214" s="239">
        <v>3274396</v>
      </c>
      <c r="BD214" s="239">
        <v>-3470240</v>
      </c>
      <c r="BE214" s="214" t="s">
        <v>874</v>
      </c>
      <c r="BF214" s="214" t="s">
        <v>788</v>
      </c>
      <c r="BG214" s="214" t="s">
        <v>747</v>
      </c>
      <c r="BH214" s="214" t="s">
        <v>1010</v>
      </c>
      <c r="BI214" s="214" t="s">
        <v>1010</v>
      </c>
      <c r="BJ214" s="214" t="s">
        <v>1159</v>
      </c>
    </row>
    <row r="215" spans="2:62" x14ac:dyDescent="0.2">
      <c r="B215" s="602" t="s">
        <v>513</v>
      </c>
      <c r="C215" s="602" t="s">
        <v>512</v>
      </c>
      <c r="D215" s="239">
        <v>12995559</v>
      </c>
      <c r="E215" s="239">
        <v>0</v>
      </c>
      <c r="F215" s="239">
        <v>12995559</v>
      </c>
      <c r="G215" s="239">
        <v>0</v>
      </c>
      <c r="H215" s="239">
        <v>0</v>
      </c>
      <c r="I215" s="239">
        <v>0</v>
      </c>
      <c r="J215" s="239">
        <v>-24612</v>
      </c>
      <c r="K215" s="239">
        <v>0</v>
      </c>
      <c r="L215" s="239">
        <v>-24612</v>
      </c>
      <c r="M215" s="239">
        <v>0</v>
      </c>
      <c r="N215" s="239">
        <v>0</v>
      </c>
      <c r="O215" s="239">
        <v>0</v>
      </c>
      <c r="P215" s="239">
        <v>-81172</v>
      </c>
      <c r="Q215" s="239">
        <v>0</v>
      </c>
      <c r="R215" s="239">
        <v>-81172</v>
      </c>
      <c r="S215" s="239">
        <v>276595</v>
      </c>
      <c r="T215" s="239">
        <v>0</v>
      </c>
      <c r="U215" s="239">
        <v>276595</v>
      </c>
      <c r="V215" s="239">
        <v>-912094</v>
      </c>
      <c r="W215" s="239">
        <v>0</v>
      </c>
      <c r="X215" s="239">
        <v>-912094</v>
      </c>
      <c r="Y215" s="239">
        <v>12278888</v>
      </c>
      <c r="Z215" s="239">
        <v>0</v>
      </c>
      <c r="AA215" s="239">
        <v>12278888</v>
      </c>
      <c r="AB215" s="239">
        <v>0</v>
      </c>
      <c r="AC215" s="239">
        <v>0</v>
      </c>
      <c r="AD215" s="239">
        <v>0</v>
      </c>
      <c r="AE215" s="239">
        <v>0</v>
      </c>
      <c r="AF215" s="239">
        <v>0</v>
      </c>
      <c r="AG215" s="239">
        <v>0</v>
      </c>
      <c r="AH215" s="239">
        <v>0</v>
      </c>
      <c r="AI215" s="239">
        <v>0</v>
      </c>
      <c r="AJ215" s="239">
        <v>0</v>
      </c>
      <c r="AK215" s="239">
        <v>0</v>
      </c>
      <c r="AL215" s="239">
        <v>0</v>
      </c>
      <c r="AM215" s="239">
        <v>0</v>
      </c>
      <c r="AN215" s="239">
        <v>0</v>
      </c>
      <c r="AO215" s="239">
        <v>0</v>
      </c>
      <c r="AP215" s="239">
        <v>0</v>
      </c>
      <c r="AQ215" s="239">
        <v>0</v>
      </c>
      <c r="AR215" s="239">
        <v>0</v>
      </c>
      <c r="AS215" s="239">
        <v>0</v>
      </c>
      <c r="AT215" s="239">
        <v>0</v>
      </c>
      <c r="AU215" s="239">
        <v>0</v>
      </c>
      <c r="AV215" s="239">
        <v>0</v>
      </c>
      <c r="AW215" s="239">
        <v>0</v>
      </c>
      <c r="AX215" s="239">
        <v>0</v>
      </c>
      <c r="AY215" s="239">
        <v>0</v>
      </c>
      <c r="AZ215" s="239">
        <v>0</v>
      </c>
      <c r="BA215" s="239">
        <v>0</v>
      </c>
      <c r="BB215" s="239">
        <v>0</v>
      </c>
      <c r="BC215" s="239">
        <v>420318</v>
      </c>
      <c r="BD215" s="239">
        <v>-187051</v>
      </c>
      <c r="BE215" s="214" t="s">
        <v>512</v>
      </c>
      <c r="BF215" s="214" t="s">
        <v>865</v>
      </c>
      <c r="BG215" s="214" t="s">
        <v>744</v>
      </c>
      <c r="BH215" s="214" t="s">
        <v>1010</v>
      </c>
      <c r="BI215" s="214" t="s">
        <v>1010</v>
      </c>
      <c r="BJ215" s="214" t="s">
        <v>1158</v>
      </c>
    </row>
    <row r="216" spans="2:62" x14ac:dyDescent="0.2">
      <c r="B216" s="602" t="s">
        <v>515</v>
      </c>
      <c r="C216" s="602" t="s">
        <v>514</v>
      </c>
      <c r="D216" s="239">
        <v>62417355</v>
      </c>
      <c r="E216" s="239">
        <v>0</v>
      </c>
      <c r="F216" s="239">
        <v>62417355</v>
      </c>
      <c r="G216" s="239">
        <v>0</v>
      </c>
      <c r="H216" s="239">
        <v>0</v>
      </c>
      <c r="I216" s="239">
        <v>0</v>
      </c>
      <c r="J216" s="239">
        <v>-698655</v>
      </c>
      <c r="K216" s="239">
        <v>0</v>
      </c>
      <c r="L216" s="239">
        <v>-698655</v>
      </c>
      <c r="M216" s="239">
        <v>-161413</v>
      </c>
      <c r="N216" s="239">
        <v>0</v>
      </c>
      <c r="O216" s="239">
        <v>-161413</v>
      </c>
      <c r="P216" s="239">
        <v>-571778</v>
      </c>
      <c r="Q216" s="239">
        <v>0</v>
      </c>
      <c r="R216" s="239">
        <v>-571778</v>
      </c>
      <c r="S216" s="239">
        <v>3897613</v>
      </c>
      <c r="T216" s="239">
        <v>0</v>
      </c>
      <c r="U216" s="239">
        <v>3897613</v>
      </c>
      <c r="V216" s="239">
        <v>-3445386</v>
      </c>
      <c r="W216" s="239">
        <v>0</v>
      </c>
      <c r="X216" s="239">
        <v>-3445386</v>
      </c>
      <c r="Y216" s="239">
        <v>62136391</v>
      </c>
      <c r="Z216" s="239">
        <v>0</v>
      </c>
      <c r="AA216" s="239">
        <v>62136391</v>
      </c>
      <c r="AB216" s="239">
        <v>0</v>
      </c>
      <c r="AC216" s="239">
        <v>0</v>
      </c>
      <c r="AD216" s="239">
        <v>491294</v>
      </c>
      <c r="AE216" s="239">
        <v>0</v>
      </c>
      <c r="AF216" s="239">
        <v>491294</v>
      </c>
      <c r="AG216" s="239">
        <v>0</v>
      </c>
      <c r="AH216" s="239">
        <v>0</v>
      </c>
      <c r="AI216" s="239">
        <v>0</v>
      </c>
      <c r="AJ216" s="239">
        <v>0</v>
      </c>
      <c r="AK216" s="239">
        <v>0</v>
      </c>
      <c r="AL216" s="239">
        <v>0</v>
      </c>
      <c r="AM216" s="239">
        <v>0</v>
      </c>
      <c r="AN216" s="239">
        <v>0</v>
      </c>
      <c r="AO216" s="239">
        <v>0</v>
      </c>
      <c r="AP216" s="239">
        <v>0</v>
      </c>
      <c r="AQ216" s="239">
        <v>0</v>
      </c>
      <c r="AR216" s="239">
        <v>0</v>
      </c>
      <c r="AS216" s="239">
        <v>0</v>
      </c>
      <c r="AT216" s="239">
        <v>0</v>
      </c>
      <c r="AU216" s="239">
        <v>0</v>
      </c>
      <c r="AV216" s="239">
        <v>0</v>
      </c>
      <c r="AW216" s="239">
        <v>0</v>
      </c>
      <c r="AX216" s="239">
        <v>0</v>
      </c>
      <c r="AY216" s="239">
        <v>0</v>
      </c>
      <c r="AZ216" s="239">
        <v>0</v>
      </c>
      <c r="BA216" s="239">
        <v>0</v>
      </c>
      <c r="BB216" s="239">
        <v>0</v>
      </c>
      <c r="BC216" s="239">
        <v>1490998</v>
      </c>
      <c r="BD216" s="239">
        <v>-1091086</v>
      </c>
      <c r="BE216" s="214" t="s">
        <v>514</v>
      </c>
      <c r="BF216" s="214" t="s">
        <v>766</v>
      </c>
      <c r="BG216" s="214" t="s">
        <v>781</v>
      </c>
      <c r="BH216" s="214" t="s">
        <v>1010</v>
      </c>
      <c r="BI216" s="214" t="s">
        <v>1010</v>
      </c>
      <c r="BJ216" s="214" t="s">
        <v>1160</v>
      </c>
    </row>
    <row r="217" spans="2:62" x14ac:dyDescent="0.2">
      <c r="B217" s="602" t="s">
        <v>517</v>
      </c>
      <c r="C217" s="602" t="s">
        <v>516</v>
      </c>
      <c r="D217" s="239">
        <v>14409565</v>
      </c>
      <c r="E217" s="239">
        <v>0</v>
      </c>
      <c r="F217" s="239">
        <v>14409565</v>
      </c>
      <c r="G217" s="239">
        <v>0</v>
      </c>
      <c r="H217" s="239">
        <v>0</v>
      </c>
      <c r="I217" s="239">
        <v>0</v>
      </c>
      <c r="J217" s="239">
        <v>0</v>
      </c>
      <c r="K217" s="239">
        <v>0</v>
      </c>
      <c r="L217" s="239">
        <v>0</v>
      </c>
      <c r="M217" s="239">
        <v>-58464</v>
      </c>
      <c r="N217" s="239">
        <v>0</v>
      </c>
      <c r="O217" s="239">
        <v>-58464</v>
      </c>
      <c r="P217" s="239">
        <v>-195519</v>
      </c>
      <c r="Q217" s="239">
        <v>0</v>
      </c>
      <c r="R217" s="239">
        <v>-195519</v>
      </c>
      <c r="S217" s="239">
        <v>1184819</v>
      </c>
      <c r="T217" s="239">
        <v>0</v>
      </c>
      <c r="U217" s="239">
        <v>1184819</v>
      </c>
      <c r="V217" s="239">
        <v>-1293491</v>
      </c>
      <c r="W217" s="239">
        <v>0</v>
      </c>
      <c r="X217" s="239">
        <v>-1293491</v>
      </c>
      <c r="Y217" s="239">
        <v>14046910</v>
      </c>
      <c r="Z217" s="239">
        <v>0</v>
      </c>
      <c r="AA217" s="239">
        <v>14046910</v>
      </c>
      <c r="AB217" s="239">
        <v>0</v>
      </c>
      <c r="AC217" s="239">
        <v>0</v>
      </c>
      <c r="AD217" s="239">
        <v>63392</v>
      </c>
      <c r="AE217" s="239">
        <v>0</v>
      </c>
      <c r="AF217" s="239">
        <v>63392</v>
      </c>
      <c r="AG217" s="239">
        <v>0</v>
      </c>
      <c r="AH217" s="239">
        <v>0</v>
      </c>
      <c r="AI217" s="239">
        <v>0</v>
      </c>
      <c r="AJ217" s="239">
        <v>0</v>
      </c>
      <c r="AK217" s="239">
        <v>0</v>
      </c>
      <c r="AL217" s="239">
        <v>0</v>
      </c>
      <c r="AM217" s="239">
        <v>0</v>
      </c>
      <c r="AN217" s="239">
        <v>0</v>
      </c>
      <c r="AO217" s="239">
        <v>0</v>
      </c>
      <c r="AP217" s="239">
        <v>0</v>
      </c>
      <c r="AQ217" s="239">
        <v>0</v>
      </c>
      <c r="AR217" s="239">
        <v>0</v>
      </c>
      <c r="AS217" s="239">
        <v>0</v>
      </c>
      <c r="AT217" s="239">
        <v>0</v>
      </c>
      <c r="AU217" s="239">
        <v>0</v>
      </c>
      <c r="AV217" s="239">
        <v>0</v>
      </c>
      <c r="AW217" s="239">
        <v>0</v>
      </c>
      <c r="AX217" s="239">
        <v>0</v>
      </c>
      <c r="AY217" s="239">
        <v>0</v>
      </c>
      <c r="AZ217" s="239">
        <v>0</v>
      </c>
      <c r="BA217" s="239">
        <v>0</v>
      </c>
      <c r="BB217" s="239">
        <v>0</v>
      </c>
      <c r="BC217" s="239">
        <v>502387</v>
      </c>
      <c r="BD217" s="239">
        <v>-108248</v>
      </c>
      <c r="BE217" s="214" t="s">
        <v>516</v>
      </c>
      <c r="BF217" s="214" t="s">
        <v>820</v>
      </c>
      <c r="BG217" s="214" t="s">
        <v>818</v>
      </c>
      <c r="BH217" s="214" t="s">
        <v>1010</v>
      </c>
      <c r="BI217" s="214" t="s">
        <v>1010</v>
      </c>
      <c r="BJ217" s="214" t="s">
        <v>1158</v>
      </c>
    </row>
    <row r="218" spans="2:62" x14ac:dyDescent="0.2">
      <c r="B218" s="602" t="s">
        <v>519</v>
      </c>
      <c r="C218" s="602" t="s">
        <v>518</v>
      </c>
      <c r="D218" s="239">
        <v>12494949</v>
      </c>
      <c r="E218" s="239">
        <v>0</v>
      </c>
      <c r="F218" s="239">
        <v>12494949</v>
      </c>
      <c r="G218" s="239">
        <v>0</v>
      </c>
      <c r="H218" s="239">
        <v>0</v>
      </c>
      <c r="I218" s="239">
        <v>0</v>
      </c>
      <c r="J218" s="239">
        <v>-140224</v>
      </c>
      <c r="K218" s="239">
        <v>0</v>
      </c>
      <c r="L218" s="239">
        <v>-140224</v>
      </c>
      <c r="M218" s="239">
        <v>0</v>
      </c>
      <c r="N218" s="239">
        <v>0</v>
      </c>
      <c r="O218" s="239">
        <v>0</v>
      </c>
      <c r="P218" s="239">
        <v>0</v>
      </c>
      <c r="Q218" s="239">
        <v>0</v>
      </c>
      <c r="R218" s="239">
        <v>0</v>
      </c>
      <c r="S218" s="239">
        <v>444522</v>
      </c>
      <c r="T218" s="239">
        <v>0</v>
      </c>
      <c r="U218" s="239">
        <v>444522</v>
      </c>
      <c r="V218" s="239">
        <v>0</v>
      </c>
      <c r="W218" s="239">
        <v>0</v>
      </c>
      <c r="X218" s="239">
        <v>0</v>
      </c>
      <c r="Y218" s="239">
        <v>12939471</v>
      </c>
      <c r="Z218" s="239">
        <v>0</v>
      </c>
      <c r="AA218" s="239">
        <v>12939471</v>
      </c>
      <c r="AB218" s="239">
        <v>0</v>
      </c>
      <c r="AC218" s="239">
        <v>0</v>
      </c>
      <c r="AD218" s="239">
        <v>159159</v>
      </c>
      <c r="AE218" s="239">
        <v>0</v>
      </c>
      <c r="AF218" s="239">
        <v>159159</v>
      </c>
      <c r="AG218" s="239">
        <v>0</v>
      </c>
      <c r="AH218" s="239">
        <v>0</v>
      </c>
      <c r="AI218" s="239">
        <v>0</v>
      </c>
      <c r="AJ218" s="239">
        <v>0</v>
      </c>
      <c r="AK218" s="239">
        <v>0</v>
      </c>
      <c r="AL218" s="239">
        <v>0</v>
      </c>
      <c r="AM218" s="239">
        <v>0</v>
      </c>
      <c r="AN218" s="239">
        <v>0</v>
      </c>
      <c r="AO218" s="239">
        <v>0</v>
      </c>
      <c r="AP218" s="239">
        <v>0</v>
      </c>
      <c r="AQ218" s="239">
        <v>0</v>
      </c>
      <c r="AR218" s="239">
        <v>0</v>
      </c>
      <c r="AS218" s="239">
        <v>0</v>
      </c>
      <c r="AT218" s="239">
        <v>0</v>
      </c>
      <c r="AU218" s="239">
        <v>0</v>
      </c>
      <c r="AV218" s="239">
        <v>0</v>
      </c>
      <c r="AW218" s="239">
        <v>0</v>
      </c>
      <c r="AX218" s="239">
        <v>0</v>
      </c>
      <c r="AY218" s="239">
        <v>0</v>
      </c>
      <c r="AZ218" s="239">
        <v>0</v>
      </c>
      <c r="BA218" s="239">
        <v>0</v>
      </c>
      <c r="BB218" s="239">
        <v>0</v>
      </c>
      <c r="BC218" s="239">
        <v>1278861</v>
      </c>
      <c r="BD218" s="239">
        <v>-147962</v>
      </c>
      <c r="BE218" s="214" t="s">
        <v>518</v>
      </c>
      <c r="BF218" s="214" t="s">
        <v>755</v>
      </c>
      <c r="BG218" s="214" t="s">
        <v>753</v>
      </c>
      <c r="BH218" s="214" t="s">
        <v>1023</v>
      </c>
      <c r="BI218" s="214" t="s">
        <v>1010</v>
      </c>
      <c r="BJ218" s="214" t="s">
        <v>1158</v>
      </c>
    </row>
    <row r="219" spans="2:62" x14ac:dyDescent="0.2">
      <c r="B219" s="602" t="s">
        <v>521</v>
      </c>
      <c r="C219" s="602" t="s">
        <v>520</v>
      </c>
      <c r="D219" s="239">
        <v>16519822</v>
      </c>
      <c r="E219" s="239">
        <v>0</v>
      </c>
      <c r="F219" s="239">
        <v>16519822</v>
      </c>
      <c r="G219" s="239">
        <v>0</v>
      </c>
      <c r="H219" s="239">
        <v>0</v>
      </c>
      <c r="I219" s="239">
        <v>0</v>
      </c>
      <c r="J219" s="239">
        <v>-55407</v>
      </c>
      <c r="K219" s="239">
        <v>0</v>
      </c>
      <c r="L219" s="239">
        <v>-55407</v>
      </c>
      <c r="M219" s="239">
        <v>-7971</v>
      </c>
      <c r="N219" s="239">
        <v>0</v>
      </c>
      <c r="O219" s="239">
        <v>-7971</v>
      </c>
      <c r="P219" s="239">
        <v>-137999</v>
      </c>
      <c r="Q219" s="239">
        <v>0</v>
      </c>
      <c r="R219" s="239">
        <v>-137999</v>
      </c>
      <c r="S219" s="239">
        <v>1192691</v>
      </c>
      <c r="T219" s="239">
        <v>0</v>
      </c>
      <c r="U219" s="239">
        <v>1192691</v>
      </c>
      <c r="V219" s="239">
        <v>-1221989</v>
      </c>
      <c r="W219" s="239">
        <v>0</v>
      </c>
      <c r="X219" s="239">
        <v>-1221989</v>
      </c>
      <c r="Y219" s="239">
        <v>16344554</v>
      </c>
      <c r="Z219" s="239">
        <v>0</v>
      </c>
      <c r="AA219" s="239">
        <v>16344554</v>
      </c>
      <c r="AB219" s="239">
        <v>0</v>
      </c>
      <c r="AC219" s="239">
        <v>0</v>
      </c>
      <c r="AD219" s="239">
        <v>0</v>
      </c>
      <c r="AE219" s="239">
        <v>0</v>
      </c>
      <c r="AF219" s="239">
        <v>0</v>
      </c>
      <c r="AG219" s="239">
        <v>0</v>
      </c>
      <c r="AH219" s="239">
        <v>0</v>
      </c>
      <c r="AI219" s="239">
        <v>0</v>
      </c>
      <c r="AJ219" s="239">
        <v>0</v>
      </c>
      <c r="AK219" s="239">
        <v>0</v>
      </c>
      <c r="AL219" s="239">
        <v>0</v>
      </c>
      <c r="AM219" s="239">
        <v>0</v>
      </c>
      <c r="AN219" s="239">
        <v>0</v>
      </c>
      <c r="AO219" s="239">
        <v>0</v>
      </c>
      <c r="AP219" s="239">
        <v>0</v>
      </c>
      <c r="AQ219" s="239">
        <v>0</v>
      </c>
      <c r="AR219" s="239">
        <v>0</v>
      </c>
      <c r="AS219" s="239">
        <v>0</v>
      </c>
      <c r="AT219" s="239">
        <v>0</v>
      </c>
      <c r="AU219" s="239">
        <v>0</v>
      </c>
      <c r="AV219" s="239">
        <v>0</v>
      </c>
      <c r="AW219" s="239">
        <v>0</v>
      </c>
      <c r="AX219" s="239">
        <v>0</v>
      </c>
      <c r="AY219" s="239">
        <v>0</v>
      </c>
      <c r="AZ219" s="239">
        <v>0</v>
      </c>
      <c r="BA219" s="239">
        <v>0</v>
      </c>
      <c r="BB219" s="239">
        <v>0</v>
      </c>
      <c r="BC219" s="239">
        <v>639454</v>
      </c>
      <c r="BD219" s="239">
        <v>-173350</v>
      </c>
      <c r="BE219" s="214" t="s">
        <v>520</v>
      </c>
      <c r="BF219" s="214" t="s">
        <v>807</v>
      </c>
      <c r="BG219" s="214" t="s">
        <v>805</v>
      </c>
      <c r="BH219" s="214" t="s">
        <v>1010</v>
      </c>
      <c r="BI219" s="214" t="s">
        <v>1010</v>
      </c>
      <c r="BJ219" s="214" t="s">
        <v>1158</v>
      </c>
    </row>
    <row r="220" spans="2:62" x14ac:dyDescent="0.2">
      <c r="B220" s="602" t="s">
        <v>523</v>
      </c>
      <c r="C220" s="602" t="s">
        <v>522</v>
      </c>
      <c r="D220" s="239">
        <v>76528050</v>
      </c>
      <c r="E220" s="239">
        <v>574299</v>
      </c>
      <c r="F220" s="239">
        <v>77102349</v>
      </c>
      <c r="G220" s="239">
        <v>0</v>
      </c>
      <c r="H220" s="239">
        <v>0</v>
      </c>
      <c r="I220" s="239">
        <v>0</v>
      </c>
      <c r="J220" s="239">
        <v>-295441</v>
      </c>
      <c r="K220" s="239">
        <v>0</v>
      </c>
      <c r="L220" s="239">
        <v>-295441</v>
      </c>
      <c r="M220" s="239">
        <v>0</v>
      </c>
      <c r="N220" s="239">
        <v>0</v>
      </c>
      <c r="O220" s="239">
        <v>0</v>
      </c>
      <c r="P220" s="239">
        <v>-673842</v>
      </c>
      <c r="Q220" s="239">
        <v>0</v>
      </c>
      <c r="R220" s="239">
        <v>-673842</v>
      </c>
      <c r="S220" s="239">
        <v>932999</v>
      </c>
      <c r="T220" s="239">
        <v>0</v>
      </c>
      <c r="U220" s="239">
        <v>932999</v>
      </c>
      <c r="V220" s="239">
        <v>-3158660</v>
      </c>
      <c r="W220" s="239">
        <v>0</v>
      </c>
      <c r="X220" s="239">
        <v>-3158660</v>
      </c>
      <c r="Y220" s="239">
        <v>73628547</v>
      </c>
      <c r="Z220" s="239">
        <v>574299</v>
      </c>
      <c r="AA220" s="239">
        <v>74202846</v>
      </c>
      <c r="AB220" s="239">
        <v>574299</v>
      </c>
      <c r="AC220" s="239">
        <v>574299</v>
      </c>
      <c r="AD220" s="239">
        <v>190327</v>
      </c>
      <c r="AE220" s="239">
        <v>0</v>
      </c>
      <c r="AF220" s="239">
        <v>190327</v>
      </c>
      <c r="AG220" s="239">
        <v>-503</v>
      </c>
      <c r="AH220" s="239">
        <v>-503</v>
      </c>
      <c r="AI220" s="239">
        <v>321615</v>
      </c>
      <c r="AJ220" s="239">
        <v>321615</v>
      </c>
      <c r="AK220" s="239">
        <v>252181</v>
      </c>
      <c r="AL220" s="239">
        <v>0</v>
      </c>
      <c r="AM220" s="239">
        <v>0</v>
      </c>
      <c r="AN220" s="239">
        <v>0</v>
      </c>
      <c r="AO220" s="239">
        <v>0</v>
      </c>
      <c r="AP220" s="239">
        <v>208909</v>
      </c>
      <c r="AQ220" s="239">
        <v>208909</v>
      </c>
      <c r="AR220" s="239">
        <v>0</v>
      </c>
      <c r="AS220" s="239">
        <v>0</v>
      </c>
      <c r="AT220" s="239">
        <v>0</v>
      </c>
      <c r="AU220" s="239">
        <v>0</v>
      </c>
      <c r="AV220" s="239">
        <v>0</v>
      </c>
      <c r="AW220" s="239">
        <v>0</v>
      </c>
      <c r="AX220" s="239">
        <v>0</v>
      </c>
      <c r="AY220" s="239">
        <v>0</v>
      </c>
      <c r="AZ220" s="239">
        <v>0</v>
      </c>
      <c r="BA220" s="239">
        <v>208909</v>
      </c>
      <c r="BB220" s="239">
        <v>208909</v>
      </c>
      <c r="BC220" s="239">
        <v>2971135</v>
      </c>
      <c r="BD220" s="239">
        <v>-270584</v>
      </c>
      <c r="BE220" s="214" t="s">
        <v>522</v>
      </c>
      <c r="BF220" s="214" t="s">
        <v>766</v>
      </c>
      <c r="BG220" s="214" t="s">
        <v>863</v>
      </c>
      <c r="BH220" s="214" t="s">
        <v>1017</v>
      </c>
      <c r="BI220" s="214" t="s">
        <v>1010</v>
      </c>
      <c r="BJ220" s="214" t="s">
        <v>1160</v>
      </c>
    </row>
    <row r="221" spans="2:62" x14ac:dyDescent="0.2">
      <c r="B221" s="602" t="s">
        <v>525</v>
      </c>
      <c r="C221" s="602" t="s">
        <v>524</v>
      </c>
      <c r="D221" s="239">
        <v>51676990</v>
      </c>
      <c r="E221" s="239">
        <v>0</v>
      </c>
      <c r="F221" s="239">
        <v>51676990</v>
      </c>
      <c r="G221" s="239">
        <v>0</v>
      </c>
      <c r="H221" s="239">
        <v>0</v>
      </c>
      <c r="I221" s="239">
        <v>0</v>
      </c>
      <c r="J221" s="239">
        <v>-133380</v>
      </c>
      <c r="K221" s="239">
        <v>0</v>
      </c>
      <c r="L221" s="239">
        <v>-133380</v>
      </c>
      <c r="M221" s="239">
        <v>0</v>
      </c>
      <c r="N221" s="239">
        <v>0</v>
      </c>
      <c r="O221" s="239">
        <v>0</v>
      </c>
      <c r="P221" s="239">
        <v>-142427</v>
      </c>
      <c r="Q221" s="239">
        <v>0</v>
      </c>
      <c r="R221" s="239">
        <v>-142427</v>
      </c>
      <c r="S221" s="239">
        <v>731584</v>
      </c>
      <c r="T221" s="239">
        <v>0</v>
      </c>
      <c r="U221" s="239">
        <v>731584</v>
      </c>
      <c r="V221" s="239">
        <v>-6881875</v>
      </c>
      <c r="W221" s="239">
        <v>0</v>
      </c>
      <c r="X221" s="239">
        <v>-6881875</v>
      </c>
      <c r="Y221" s="239">
        <v>45384272</v>
      </c>
      <c r="Z221" s="239">
        <v>0</v>
      </c>
      <c r="AA221" s="239">
        <v>45384272</v>
      </c>
      <c r="AB221" s="239">
        <v>0</v>
      </c>
      <c r="AC221" s="239">
        <v>0</v>
      </c>
      <c r="AD221" s="239">
        <v>0</v>
      </c>
      <c r="AE221" s="239">
        <v>0</v>
      </c>
      <c r="AF221" s="239">
        <v>0</v>
      </c>
      <c r="AG221" s="239">
        <v>0</v>
      </c>
      <c r="AH221" s="239">
        <v>0</v>
      </c>
      <c r="AI221" s="239">
        <v>0</v>
      </c>
      <c r="AJ221" s="239">
        <v>0</v>
      </c>
      <c r="AK221" s="239">
        <v>0</v>
      </c>
      <c r="AL221" s="239">
        <v>0</v>
      </c>
      <c r="AM221" s="239">
        <v>0</v>
      </c>
      <c r="AN221" s="239">
        <v>0</v>
      </c>
      <c r="AO221" s="239">
        <v>0</v>
      </c>
      <c r="AP221" s="239">
        <v>0</v>
      </c>
      <c r="AQ221" s="239">
        <v>0</v>
      </c>
      <c r="AR221" s="239">
        <v>0</v>
      </c>
      <c r="AS221" s="239">
        <v>0</v>
      </c>
      <c r="AT221" s="239">
        <v>0</v>
      </c>
      <c r="AU221" s="239">
        <v>0</v>
      </c>
      <c r="AV221" s="239">
        <v>0</v>
      </c>
      <c r="AW221" s="239">
        <v>0</v>
      </c>
      <c r="AX221" s="239">
        <v>0</v>
      </c>
      <c r="AY221" s="239">
        <v>0</v>
      </c>
      <c r="AZ221" s="239">
        <v>0</v>
      </c>
      <c r="BA221" s="239">
        <v>0</v>
      </c>
      <c r="BB221" s="239">
        <v>0</v>
      </c>
      <c r="BC221" s="239">
        <v>1652654</v>
      </c>
      <c r="BD221" s="239">
        <v>-447886</v>
      </c>
      <c r="BE221" s="214" t="s">
        <v>524</v>
      </c>
      <c r="BF221" s="214" t="s">
        <v>811</v>
      </c>
      <c r="BG221" s="214" t="s">
        <v>761</v>
      </c>
      <c r="BH221" s="214" t="s">
        <v>1010</v>
      </c>
      <c r="BI221" s="214" t="s">
        <v>1010</v>
      </c>
      <c r="BJ221" s="214" t="s">
        <v>1158</v>
      </c>
    </row>
    <row r="222" spans="2:62" x14ac:dyDescent="0.2">
      <c r="B222" s="602" t="s">
        <v>527</v>
      </c>
      <c r="C222" s="602" t="s">
        <v>526</v>
      </c>
      <c r="D222" s="239">
        <v>51567527</v>
      </c>
      <c r="E222" s="239">
        <v>717514</v>
      </c>
      <c r="F222" s="239">
        <v>52285041</v>
      </c>
      <c r="G222" s="239">
        <v>0</v>
      </c>
      <c r="H222" s="239">
        <v>0</v>
      </c>
      <c r="I222" s="239">
        <v>0</v>
      </c>
      <c r="J222" s="239">
        <v>0</v>
      </c>
      <c r="K222" s="239">
        <v>0</v>
      </c>
      <c r="L222" s="239">
        <v>0</v>
      </c>
      <c r="M222" s="239">
        <v>-224436</v>
      </c>
      <c r="N222" s="239">
        <v>0</v>
      </c>
      <c r="O222" s="239">
        <v>-224436</v>
      </c>
      <c r="P222" s="239">
        <v>-8316400</v>
      </c>
      <c r="Q222" s="239">
        <v>0</v>
      </c>
      <c r="R222" s="239">
        <v>-8316400</v>
      </c>
      <c r="S222" s="239">
        <v>0</v>
      </c>
      <c r="T222" s="239">
        <v>0</v>
      </c>
      <c r="U222" s="239">
        <v>0</v>
      </c>
      <c r="V222" s="239">
        <v>-1047000</v>
      </c>
      <c r="W222" s="239">
        <v>0</v>
      </c>
      <c r="X222" s="239">
        <v>-1047000</v>
      </c>
      <c r="Y222" s="239">
        <v>41979691</v>
      </c>
      <c r="Z222" s="239">
        <v>717514</v>
      </c>
      <c r="AA222" s="239">
        <v>42697205</v>
      </c>
      <c r="AB222" s="239">
        <v>717514</v>
      </c>
      <c r="AC222" s="239">
        <v>717514</v>
      </c>
      <c r="AD222" s="239">
        <v>0</v>
      </c>
      <c r="AE222" s="239">
        <v>0</v>
      </c>
      <c r="AF222" s="239">
        <v>0</v>
      </c>
      <c r="AG222" s="239">
        <v>1517</v>
      </c>
      <c r="AH222" s="239">
        <v>1517</v>
      </c>
      <c r="AI222" s="239">
        <v>602682</v>
      </c>
      <c r="AJ222" s="239">
        <v>602682</v>
      </c>
      <c r="AK222" s="239">
        <v>116349</v>
      </c>
      <c r="AL222" s="239">
        <v>0</v>
      </c>
      <c r="AM222" s="239">
        <v>0</v>
      </c>
      <c r="AN222" s="239">
        <v>0</v>
      </c>
      <c r="AO222" s="239">
        <v>0</v>
      </c>
      <c r="AP222" s="239">
        <v>0</v>
      </c>
      <c r="AQ222" s="239">
        <v>0</v>
      </c>
      <c r="AR222" s="239">
        <v>0</v>
      </c>
      <c r="AS222" s="239">
        <v>0</v>
      </c>
      <c r="AT222" s="239">
        <v>0</v>
      </c>
      <c r="AU222" s="239">
        <v>0</v>
      </c>
      <c r="AV222" s="239">
        <v>0</v>
      </c>
      <c r="AW222" s="239">
        <v>0</v>
      </c>
      <c r="AX222" s="239">
        <v>0</v>
      </c>
      <c r="AY222" s="239">
        <v>0</v>
      </c>
      <c r="AZ222" s="239">
        <v>0</v>
      </c>
      <c r="BA222" s="239">
        <v>0</v>
      </c>
      <c r="BB222" s="239">
        <v>0</v>
      </c>
      <c r="BC222" s="239">
        <v>1307785</v>
      </c>
      <c r="BD222" s="239">
        <v>-2706545</v>
      </c>
      <c r="BE222" s="214" t="s">
        <v>526</v>
      </c>
      <c r="BF222" s="214" t="s">
        <v>770</v>
      </c>
      <c r="BG222" s="214" t="s">
        <v>761</v>
      </c>
      <c r="BH222" s="214" t="s">
        <v>1010</v>
      </c>
      <c r="BI222" s="214" t="s">
        <v>1010</v>
      </c>
      <c r="BJ222" s="214" t="s">
        <v>1158</v>
      </c>
    </row>
    <row r="223" spans="2:62" x14ac:dyDescent="0.2">
      <c r="B223" s="602" t="s">
        <v>529</v>
      </c>
      <c r="C223" s="602" t="s">
        <v>528</v>
      </c>
      <c r="D223" s="239">
        <v>25828739</v>
      </c>
      <c r="E223" s="239">
        <v>0</v>
      </c>
      <c r="F223" s="239">
        <v>25828739</v>
      </c>
      <c r="G223" s="239">
        <v>0</v>
      </c>
      <c r="H223" s="239">
        <v>0</v>
      </c>
      <c r="I223" s="239">
        <v>0</v>
      </c>
      <c r="J223" s="239">
        <v>-123704</v>
      </c>
      <c r="K223" s="239">
        <v>0</v>
      </c>
      <c r="L223" s="239">
        <v>-123704</v>
      </c>
      <c r="M223" s="239">
        <v>0</v>
      </c>
      <c r="N223" s="239">
        <v>0</v>
      </c>
      <c r="O223" s="239">
        <v>0</v>
      </c>
      <c r="P223" s="239">
        <v>43795</v>
      </c>
      <c r="Q223" s="239">
        <v>0</v>
      </c>
      <c r="R223" s="239">
        <v>43795</v>
      </c>
      <c r="S223" s="239">
        <v>2797702</v>
      </c>
      <c r="T223" s="239">
        <v>0</v>
      </c>
      <c r="U223" s="239">
        <v>2797702</v>
      </c>
      <c r="V223" s="239">
        <v>-2200000</v>
      </c>
      <c r="W223" s="239">
        <v>0</v>
      </c>
      <c r="X223" s="239">
        <v>-2200000</v>
      </c>
      <c r="Y223" s="239">
        <v>26470236</v>
      </c>
      <c r="Z223" s="239">
        <v>0</v>
      </c>
      <c r="AA223" s="239">
        <v>26470236</v>
      </c>
      <c r="AB223" s="239">
        <v>0</v>
      </c>
      <c r="AC223" s="239">
        <v>0</v>
      </c>
      <c r="AD223" s="239">
        <v>186983</v>
      </c>
      <c r="AE223" s="239">
        <v>0</v>
      </c>
      <c r="AF223" s="239">
        <v>186983</v>
      </c>
      <c r="AG223" s="239">
        <v>0</v>
      </c>
      <c r="AH223" s="239">
        <v>0</v>
      </c>
      <c r="AI223" s="239">
        <v>0</v>
      </c>
      <c r="AJ223" s="239">
        <v>0</v>
      </c>
      <c r="AK223" s="239">
        <v>0</v>
      </c>
      <c r="AL223" s="239">
        <v>0</v>
      </c>
      <c r="AM223" s="239">
        <v>0</v>
      </c>
      <c r="AN223" s="239">
        <v>0</v>
      </c>
      <c r="AO223" s="239">
        <v>0</v>
      </c>
      <c r="AP223" s="239">
        <v>0</v>
      </c>
      <c r="AQ223" s="239">
        <v>0</v>
      </c>
      <c r="AR223" s="239">
        <v>0</v>
      </c>
      <c r="AS223" s="239">
        <v>0</v>
      </c>
      <c r="AT223" s="239">
        <v>0</v>
      </c>
      <c r="AU223" s="239">
        <v>0</v>
      </c>
      <c r="AV223" s="239">
        <v>0</v>
      </c>
      <c r="AW223" s="239">
        <v>0</v>
      </c>
      <c r="AX223" s="239">
        <v>0</v>
      </c>
      <c r="AY223" s="239">
        <v>0</v>
      </c>
      <c r="AZ223" s="239">
        <v>0</v>
      </c>
      <c r="BA223" s="239">
        <v>0</v>
      </c>
      <c r="BB223" s="239">
        <v>0</v>
      </c>
      <c r="BC223" s="239">
        <v>374023</v>
      </c>
      <c r="BD223" s="239">
        <v>-86253</v>
      </c>
      <c r="BE223" s="214" t="s">
        <v>528</v>
      </c>
      <c r="BF223" s="214" t="s">
        <v>872</v>
      </c>
      <c r="BG223" s="214" t="s">
        <v>870</v>
      </c>
      <c r="BH223" s="214" t="s">
        <v>1010</v>
      </c>
      <c r="BI223" s="214" t="s">
        <v>1010</v>
      </c>
      <c r="BJ223" s="214" t="s">
        <v>1158</v>
      </c>
    </row>
    <row r="224" spans="2:62" x14ac:dyDescent="0.2">
      <c r="B224" s="602" t="s">
        <v>531</v>
      </c>
      <c r="C224" s="602" t="s">
        <v>530</v>
      </c>
      <c r="D224" s="239">
        <v>48145135</v>
      </c>
      <c r="E224" s="239">
        <v>0</v>
      </c>
      <c r="F224" s="239">
        <v>48145135</v>
      </c>
      <c r="G224" s="239">
        <v>-24155</v>
      </c>
      <c r="H224" s="239">
        <v>0</v>
      </c>
      <c r="I224" s="239">
        <v>-24155</v>
      </c>
      <c r="J224" s="239">
        <v>-458284</v>
      </c>
      <c r="K224" s="239">
        <v>0</v>
      </c>
      <c r="L224" s="239">
        <v>-458284</v>
      </c>
      <c r="M224" s="239">
        <v>0</v>
      </c>
      <c r="N224" s="239">
        <v>0</v>
      </c>
      <c r="O224" s="239">
        <v>0</v>
      </c>
      <c r="P224" s="239">
        <v>-213610</v>
      </c>
      <c r="Q224" s="239">
        <v>0</v>
      </c>
      <c r="R224" s="239">
        <v>-213610</v>
      </c>
      <c r="S224" s="239">
        <v>2488115</v>
      </c>
      <c r="T224" s="239">
        <v>0</v>
      </c>
      <c r="U224" s="239">
        <v>2488115</v>
      </c>
      <c r="V224" s="239">
        <v>-3837000</v>
      </c>
      <c r="W224" s="239">
        <v>0</v>
      </c>
      <c r="X224" s="239">
        <v>-3837000</v>
      </c>
      <c r="Y224" s="239">
        <v>46558485</v>
      </c>
      <c r="Z224" s="239">
        <v>0</v>
      </c>
      <c r="AA224" s="239">
        <v>46558485</v>
      </c>
      <c r="AB224" s="239">
        <v>0</v>
      </c>
      <c r="AC224" s="239">
        <v>0</v>
      </c>
      <c r="AD224" s="239">
        <v>0</v>
      </c>
      <c r="AE224" s="239">
        <v>0</v>
      </c>
      <c r="AF224" s="239">
        <v>0</v>
      </c>
      <c r="AG224" s="239">
        <v>0</v>
      </c>
      <c r="AH224" s="239">
        <v>0</v>
      </c>
      <c r="AI224" s="239">
        <v>0</v>
      </c>
      <c r="AJ224" s="239">
        <v>0</v>
      </c>
      <c r="AK224" s="239">
        <v>0</v>
      </c>
      <c r="AL224" s="239">
        <v>0</v>
      </c>
      <c r="AM224" s="239">
        <v>0</v>
      </c>
      <c r="AN224" s="239">
        <v>0</v>
      </c>
      <c r="AO224" s="239">
        <v>0</v>
      </c>
      <c r="AP224" s="239">
        <v>0</v>
      </c>
      <c r="AQ224" s="239">
        <v>0</v>
      </c>
      <c r="AR224" s="239">
        <v>0</v>
      </c>
      <c r="AS224" s="239">
        <v>0</v>
      </c>
      <c r="AT224" s="239">
        <v>0</v>
      </c>
      <c r="AU224" s="239">
        <v>0</v>
      </c>
      <c r="AV224" s="239">
        <v>0</v>
      </c>
      <c r="AW224" s="239">
        <v>0</v>
      </c>
      <c r="AX224" s="239">
        <v>0</v>
      </c>
      <c r="AY224" s="239">
        <v>0</v>
      </c>
      <c r="AZ224" s="239">
        <v>0</v>
      </c>
      <c r="BA224" s="239">
        <v>0</v>
      </c>
      <c r="BB224" s="239">
        <v>0</v>
      </c>
      <c r="BC224" s="239">
        <v>1115557</v>
      </c>
      <c r="BD224" s="239">
        <v>-1332042</v>
      </c>
      <c r="BE224" s="214" t="s">
        <v>530</v>
      </c>
      <c r="BF224" s="214" t="s">
        <v>777</v>
      </c>
      <c r="BG224" s="214" t="s">
        <v>775</v>
      </c>
      <c r="BH224" s="214" t="s">
        <v>1010</v>
      </c>
      <c r="BI224" s="214" t="s">
        <v>1010</v>
      </c>
      <c r="BJ224" s="214" t="s">
        <v>1158</v>
      </c>
    </row>
    <row r="225" spans="1:62" x14ac:dyDescent="0.2">
      <c r="B225" s="602" t="s">
        <v>533</v>
      </c>
      <c r="C225" s="602" t="s">
        <v>532</v>
      </c>
      <c r="D225" s="239">
        <v>10563551</v>
      </c>
      <c r="E225" s="239">
        <v>0</v>
      </c>
      <c r="F225" s="239">
        <v>10563551</v>
      </c>
      <c r="G225" s="239">
        <v>0</v>
      </c>
      <c r="H225" s="239">
        <v>0</v>
      </c>
      <c r="I225" s="239">
        <v>0</v>
      </c>
      <c r="J225" s="239">
        <v>-19423</v>
      </c>
      <c r="K225" s="239">
        <v>0</v>
      </c>
      <c r="L225" s="239">
        <v>-19423</v>
      </c>
      <c r="M225" s="239">
        <v>0</v>
      </c>
      <c r="N225" s="239">
        <v>0</v>
      </c>
      <c r="O225" s="239">
        <v>0</v>
      </c>
      <c r="P225" s="239">
        <v>-54484</v>
      </c>
      <c r="Q225" s="239">
        <v>0</v>
      </c>
      <c r="R225" s="239">
        <v>-54484</v>
      </c>
      <c r="S225" s="239">
        <v>248369</v>
      </c>
      <c r="T225" s="239">
        <v>0</v>
      </c>
      <c r="U225" s="239">
        <v>248369</v>
      </c>
      <c r="V225" s="239">
        <v>-765832</v>
      </c>
      <c r="W225" s="239">
        <v>0</v>
      </c>
      <c r="X225" s="239">
        <v>-765832</v>
      </c>
      <c r="Y225" s="239">
        <v>9991604</v>
      </c>
      <c r="Z225" s="239">
        <v>0</v>
      </c>
      <c r="AA225" s="239">
        <v>9991604</v>
      </c>
      <c r="AB225" s="239">
        <v>0</v>
      </c>
      <c r="AC225" s="239">
        <v>0</v>
      </c>
      <c r="AD225" s="239">
        <v>78972</v>
      </c>
      <c r="AE225" s="239">
        <v>0</v>
      </c>
      <c r="AF225" s="239">
        <v>78972</v>
      </c>
      <c r="AG225" s="239">
        <v>0</v>
      </c>
      <c r="AH225" s="239">
        <v>0</v>
      </c>
      <c r="AI225" s="239">
        <v>0</v>
      </c>
      <c r="AJ225" s="239">
        <v>0</v>
      </c>
      <c r="AK225" s="239">
        <v>0</v>
      </c>
      <c r="AL225" s="239">
        <v>0</v>
      </c>
      <c r="AM225" s="239">
        <v>0</v>
      </c>
      <c r="AN225" s="239">
        <v>0</v>
      </c>
      <c r="AO225" s="239">
        <v>0</v>
      </c>
      <c r="AP225" s="239">
        <v>0</v>
      </c>
      <c r="AQ225" s="239">
        <v>0</v>
      </c>
      <c r="AR225" s="239">
        <v>0</v>
      </c>
      <c r="AS225" s="239">
        <v>0</v>
      </c>
      <c r="AT225" s="239">
        <v>0</v>
      </c>
      <c r="AU225" s="239">
        <v>0</v>
      </c>
      <c r="AV225" s="239">
        <v>0</v>
      </c>
      <c r="AW225" s="239">
        <v>0</v>
      </c>
      <c r="AX225" s="239">
        <v>0</v>
      </c>
      <c r="AY225" s="239">
        <v>0</v>
      </c>
      <c r="AZ225" s="239">
        <v>0</v>
      </c>
      <c r="BA225" s="239">
        <v>0</v>
      </c>
      <c r="BB225" s="239">
        <v>0</v>
      </c>
      <c r="BC225" s="239">
        <v>105055</v>
      </c>
      <c r="BD225" s="239">
        <v>-112915</v>
      </c>
      <c r="BE225" s="214" t="s">
        <v>869</v>
      </c>
      <c r="BF225" s="214" t="s">
        <v>746</v>
      </c>
      <c r="BG225" s="214" t="s">
        <v>867</v>
      </c>
      <c r="BH225" s="214" t="s">
        <v>1010</v>
      </c>
      <c r="BI225" s="214" t="s">
        <v>1010</v>
      </c>
      <c r="BJ225" s="214" t="s">
        <v>746</v>
      </c>
    </row>
    <row r="226" spans="1:62" x14ac:dyDescent="0.2">
      <c r="B226" s="602" t="s">
        <v>535</v>
      </c>
      <c r="C226" s="602" t="s">
        <v>534</v>
      </c>
      <c r="D226" s="239">
        <v>16188768</v>
      </c>
      <c r="E226" s="239">
        <v>0</v>
      </c>
      <c r="F226" s="239">
        <v>16188768</v>
      </c>
      <c r="G226" s="239">
        <v>0</v>
      </c>
      <c r="H226" s="239">
        <v>0</v>
      </c>
      <c r="I226" s="239">
        <v>0</v>
      </c>
      <c r="J226" s="239">
        <v>3408</v>
      </c>
      <c r="K226" s="239">
        <v>0</v>
      </c>
      <c r="L226" s="239">
        <v>3408</v>
      </c>
      <c r="M226" s="239">
        <v>0</v>
      </c>
      <c r="N226" s="239">
        <v>0</v>
      </c>
      <c r="O226" s="239">
        <v>0</v>
      </c>
      <c r="P226" s="239">
        <v>13408</v>
      </c>
      <c r="Q226" s="239">
        <v>0</v>
      </c>
      <c r="R226" s="239">
        <v>13408</v>
      </c>
      <c r="S226" s="239">
        <v>1045029</v>
      </c>
      <c r="T226" s="239">
        <v>0</v>
      </c>
      <c r="U226" s="239">
        <v>1045029</v>
      </c>
      <c r="V226" s="239">
        <v>-2111029</v>
      </c>
      <c r="W226" s="239">
        <v>0</v>
      </c>
      <c r="X226" s="239">
        <v>-2111029</v>
      </c>
      <c r="Y226" s="239">
        <v>15136176</v>
      </c>
      <c r="Z226" s="239">
        <v>0</v>
      </c>
      <c r="AA226" s="239">
        <v>15136176</v>
      </c>
      <c r="AB226" s="239">
        <v>0</v>
      </c>
      <c r="AC226" s="239">
        <v>0</v>
      </c>
      <c r="AD226" s="239">
        <v>35545</v>
      </c>
      <c r="AE226" s="239">
        <v>0</v>
      </c>
      <c r="AF226" s="239">
        <v>35545</v>
      </c>
      <c r="AG226" s="239">
        <v>0</v>
      </c>
      <c r="AH226" s="239">
        <v>0</v>
      </c>
      <c r="AI226" s="239">
        <v>0</v>
      </c>
      <c r="AJ226" s="239">
        <v>0</v>
      </c>
      <c r="AK226" s="239">
        <v>0</v>
      </c>
      <c r="AL226" s="239">
        <v>0</v>
      </c>
      <c r="AM226" s="239">
        <v>0</v>
      </c>
      <c r="AN226" s="239">
        <v>0</v>
      </c>
      <c r="AO226" s="239">
        <v>0</v>
      </c>
      <c r="AP226" s="239">
        <v>0</v>
      </c>
      <c r="AQ226" s="239">
        <v>0</v>
      </c>
      <c r="AR226" s="239">
        <v>0</v>
      </c>
      <c r="AS226" s="239">
        <v>0</v>
      </c>
      <c r="AT226" s="239">
        <v>0</v>
      </c>
      <c r="AU226" s="239">
        <v>0</v>
      </c>
      <c r="AV226" s="239">
        <v>0</v>
      </c>
      <c r="AW226" s="239">
        <v>0</v>
      </c>
      <c r="AX226" s="239">
        <v>0</v>
      </c>
      <c r="AY226" s="239">
        <v>0</v>
      </c>
      <c r="AZ226" s="239">
        <v>0</v>
      </c>
      <c r="BA226" s="239">
        <v>0</v>
      </c>
      <c r="BB226" s="239">
        <v>0</v>
      </c>
      <c r="BC226" s="239">
        <v>92316</v>
      </c>
      <c r="BD226" s="239">
        <v>-128550</v>
      </c>
      <c r="BE226" s="214" t="s">
        <v>534</v>
      </c>
      <c r="BF226" s="214" t="s">
        <v>865</v>
      </c>
      <c r="BG226" s="214" t="s">
        <v>744</v>
      </c>
      <c r="BH226" s="214" t="s">
        <v>1010</v>
      </c>
      <c r="BI226" s="214" t="s">
        <v>1010</v>
      </c>
      <c r="BJ226" s="214" t="s">
        <v>1158</v>
      </c>
    </row>
    <row r="227" spans="1:62" x14ac:dyDescent="0.2">
      <c r="B227" s="602" t="s">
        <v>537</v>
      </c>
      <c r="C227" s="602" t="s">
        <v>536</v>
      </c>
      <c r="D227" s="239">
        <v>92708635</v>
      </c>
      <c r="E227" s="239">
        <v>0</v>
      </c>
      <c r="F227" s="239">
        <v>92708635</v>
      </c>
      <c r="G227" s="239">
        <v>-16</v>
      </c>
      <c r="H227" s="239">
        <v>0</v>
      </c>
      <c r="I227" s="239">
        <v>-16</v>
      </c>
      <c r="J227" s="239">
        <v>-2569519</v>
      </c>
      <c r="K227" s="239">
        <v>0</v>
      </c>
      <c r="L227" s="239">
        <v>-2569519</v>
      </c>
      <c r="M227" s="239">
        <v>0</v>
      </c>
      <c r="N227" s="239">
        <v>0</v>
      </c>
      <c r="O227" s="239">
        <v>0</v>
      </c>
      <c r="P227" s="239">
        <v>-4884284</v>
      </c>
      <c r="Q227" s="239">
        <v>0</v>
      </c>
      <c r="R227" s="239">
        <v>-4884284</v>
      </c>
      <c r="S227" s="239">
        <v>8472365</v>
      </c>
      <c r="T227" s="239">
        <v>0</v>
      </c>
      <c r="U227" s="239">
        <v>8472365</v>
      </c>
      <c r="V227" s="239">
        <v>-3889573</v>
      </c>
      <c r="W227" s="239">
        <v>0</v>
      </c>
      <c r="X227" s="239">
        <v>-3889573</v>
      </c>
      <c r="Y227" s="239">
        <v>92407127</v>
      </c>
      <c r="Z227" s="239">
        <v>0</v>
      </c>
      <c r="AA227" s="239">
        <v>92407127</v>
      </c>
      <c r="AB227" s="239">
        <v>0</v>
      </c>
      <c r="AC227" s="239">
        <v>0</v>
      </c>
      <c r="AD227" s="239">
        <v>0</v>
      </c>
      <c r="AE227" s="239">
        <v>0</v>
      </c>
      <c r="AF227" s="239">
        <v>0</v>
      </c>
      <c r="AG227" s="239">
        <v>0</v>
      </c>
      <c r="AH227" s="239">
        <v>0</v>
      </c>
      <c r="AI227" s="239">
        <v>0</v>
      </c>
      <c r="AJ227" s="239">
        <v>0</v>
      </c>
      <c r="AK227" s="239">
        <v>0</v>
      </c>
      <c r="AL227" s="239">
        <v>0</v>
      </c>
      <c r="AM227" s="239">
        <v>0</v>
      </c>
      <c r="AN227" s="239">
        <v>0</v>
      </c>
      <c r="AO227" s="239">
        <v>0</v>
      </c>
      <c r="AP227" s="239">
        <v>0</v>
      </c>
      <c r="AQ227" s="239">
        <v>0</v>
      </c>
      <c r="AR227" s="239">
        <v>0</v>
      </c>
      <c r="AS227" s="239">
        <v>0</v>
      </c>
      <c r="AT227" s="239">
        <v>0</v>
      </c>
      <c r="AU227" s="239">
        <v>0</v>
      </c>
      <c r="AV227" s="239">
        <v>0</v>
      </c>
      <c r="AW227" s="239">
        <v>0</v>
      </c>
      <c r="AX227" s="239">
        <v>0</v>
      </c>
      <c r="AY227" s="239">
        <v>0</v>
      </c>
      <c r="AZ227" s="239">
        <v>0</v>
      </c>
      <c r="BA227" s="239">
        <v>0</v>
      </c>
      <c r="BB227" s="239">
        <v>0</v>
      </c>
      <c r="BC227" s="239">
        <v>27307625</v>
      </c>
      <c r="BD227" s="239">
        <v>-6343781</v>
      </c>
      <c r="BE227" s="214" t="s">
        <v>536</v>
      </c>
      <c r="BF227" s="214" t="s">
        <v>766</v>
      </c>
      <c r="BG227" s="214" t="s">
        <v>781</v>
      </c>
      <c r="BH227" s="214" t="s">
        <v>1010</v>
      </c>
      <c r="BI227" s="214" t="s">
        <v>1010</v>
      </c>
      <c r="BJ227" s="214" t="s">
        <v>1160</v>
      </c>
    </row>
    <row r="228" spans="1:62" x14ac:dyDescent="0.2">
      <c r="B228" s="602" t="s">
        <v>539</v>
      </c>
      <c r="C228" s="602" t="s">
        <v>538</v>
      </c>
      <c r="D228" s="239">
        <v>96298671</v>
      </c>
      <c r="E228" s="239">
        <v>0</v>
      </c>
      <c r="F228" s="239">
        <v>96298671</v>
      </c>
      <c r="G228" s="239">
        <v>0</v>
      </c>
      <c r="H228" s="239">
        <v>0</v>
      </c>
      <c r="I228" s="239">
        <v>0</v>
      </c>
      <c r="J228" s="239">
        <v>-1333792</v>
      </c>
      <c r="K228" s="239">
        <v>0</v>
      </c>
      <c r="L228" s="239">
        <v>-1333792</v>
      </c>
      <c r="M228" s="239">
        <v>-294333</v>
      </c>
      <c r="N228" s="239">
        <v>0</v>
      </c>
      <c r="O228" s="239">
        <v>-294333</v>
      </c>
      <c r="P228" s="239">
        <v>-2612100</v>
      </c>
      <c r="Q228" s="239">
        <v>0</v>
      </c>
      <c r="R228" s="239">
        <v>-2612100</v>
      </c>
      <c r="S228" s="239">
        <v>0</v>
      </c>
      <c r="T228" s="239">
        <v>0</v>
      </c>
      <c r="U228" s="239">
        <v>0</v>
      </c>
      <c r="V228" s="239">
        <v>-517637</v>
      </c>
      <c r="W228" s="239">
        <v>0</v>
      </c>
      <c r="X228" s="239">
        <v>-517637</v>
      </c>
      <c r="Y228" s="239">
        <v>92874601</v>
      </c>
      <c r="Z228" s="239">
        <v>0</v>
      </c>
      <c r="AA228" s="239">
        <v>92874601</v>
      </c>
      <c r="AB228" s="239">
        <v>0</v>
      </c>
      <c r="AC228" s="239">
        <v>0</v>
      </c>
      <c r="AD228" s="239">
        <v>0</v>
      </c>
      <c r="AE228" s="239">
        <v>0</v>
      </c>
      <c r="AF228" s="239">
        <v>0</v>
      </c>
      <c r="AG228" s="239">
        <v>0</v>
      </c>
      <c r="AH228" s="239">
        <v>0</v>
      </c>
      <c r="AI228" s="239">
        <v>0</v>
      </c>
      <c r="AJ228" s="239">
        <v>0</v>
      </c>
      <c r="AK228" s="239">
        <v>0</v>
      </c>
      <c r="AL228" s="239">
        <v>0</v>
      </c>
      <c r="AM228" s="239">
        <v>0</v>
      </c>
      <c r="AN228" s="239">
        <v>0</v>
      </c>
      <c r="AO228" s="239">
        <v>0</v>
      </c>
      <c r="AP228" s="239">
        <v>0</v>
      </c>
      <c r="AQ228" s="239">
        <v>0</v>
      </c>
      <c r="AR228" s="239">
        <v>0</v>
      </c>
      <c r="AS228" s="239">
        <v>0</v>
      </c>
      <c r="AT228" s="239">
        <v>0</v>
      </c>
      <c r="AU228" s="239">
        <v>0</v>
      </c>
      <c r="AV228" s="239">
        <v>0</v>
      </c>
      <c r="AW228" s="239">
        <v>0</v>
      </c>
      <c r="AX228" s="239">
        <v>0</v>
      </c>
      <c r="AY228" s="239">
        <v>0</v>
      </c>
      <c r="AZ228" s="239">
        <v>0</v>
      </c>
      <c r="BA228" s="239">
        <v>0</v>
      </c>
      <c r="BB228" s="239">
        <v>0</v>
      </c>
      <c r="BC228" s="239">
        <v>4680723</v>
      </c>
      <c r="BD228" s="239">
        <v>-1476381</v>
      </c>
      <c r="BE228" s="214" t="s">
        <v>538</v>
      </c>
      <c r="BF228" s="214" t="s">
        <v>766</v>
      </c>
      <c r="BG228" s="214" t="s">
        <v>764</v>
      </c>
      <c r="BH228" s="214" t="s">
        <v>1010</v>
      </c>
      <c r="BI228" s="214" t="s">
        <v>1010</v>
      </c>
      <c r="BJ228" s="214" t="s">
        <v>1160</v>
      </c>
    </row>
    <row r="229" spans="1:62" x14ac:dyDescent="0.2">
      <c r="B229" s="602" t="s">
        <v>541</v>
      </c>
      <c r="C229" s="602" t="s">
        <v>540</v>
      </c>
      <c r="D229" s="239">
        <v>33973408</v>
      </c>
      <c r="E229" s="239">
        <v>0</v>
      </c>
      <c r="F229" s="239">
        <v>33973408</v>
      </c>
      <c r="G229" s="239">
        <v>0</v>
      </c>
      <c r="H229" s="239">
        <v>0</v>
      </c>
      <c r="I229" s="239">
        <v>0</v>
      </c>
      <c r="J229" s="239">
        <v>-296893</v>
      </c>
      <c r="K229" s="239">
        <v>0</v>
      </c>
      <c r="L229" s="239">
        <v>-296893</v>
      </c>
      <c r="M229" s="239">
        <v>0</v>
      </c>
      <c r="N229" s="239">
        <v>0</v>
      </c>
      <c r="O229" s="239">
        <v>0</v>
      </c>
      <c r="P229" s="239">
        <v>5593.71</v>
      </c>
      <c r="Q229" s="239">
        <v>0</v>
      </c>
      <c r="R229" s="239">
        <v>5593.71</v>
      </c>
      <c r="S229" s="239">
        <v>1913808</v>
      </c>
      <c r="T229" s="239">
        <v>0</v>
      </c>
      <c r="U229" s="239">
        <v>1913808</v>
      </c>
      <c r="V229" s="239">
        <v>-2823369</v>
      </c>
      <c r="W229" s="239">
        <v>0</v>
      </c>
      <c r="X229" s="239">
        <v>-2823369</v>
      </c>
      <c r="Y229" s="239">
        <v>33069440.710000001</v>
      </c>
      <c r="Z229" s="239">
        <v>0</v>
      </c>
      <c r="AA229" s="239">
        <v>33069440.710000001</v>
      </c>
      <c r="AB229" s="239">
        <v>0</v>
      </c>
      <c r="AC229" s="239">
        <v>0</v>
      </c>
      <c r="AD229" s="239">
        <v>0</v>
      </c>
      <c r="AE229" s="239">
        <v>0</v>
      </c>
      <c r="AF229" s="239">
        <v>0</v>
      </c>
      <c r="AG229" s="239">
        <v>0</v>
      </c>
      <c r="AH229" s="239">
        <v>0</v>
      </c>
      <c r="AI229" s="239">
        <v>0</v>
      </c>
      <c r="AJ229" s="239">
        <v>0</v>
      </c>
      <c r="AK229" s="239">
        <v>0</v>
      </c>
      <c r="AL229" s="239">
        <v>0</v>
      </c>
      <c r="AM229" s="239">
        <v>0</v>
      </c>
      <c r="AN229" s="239">
        <v>0</v>
      </c>
      <c r="AO229" s="239">
        <v>0</v>
      </c>
      <c r="AP229" s="239">
        <v>0</v>
      </c>
      <c r="AQ229" s="239">
        <v>0</v>
      </c>
      <c r="AR229" s="239">
        <v>0</v>
      </c>
      <c r="AS229" s="239">
        <v>0</v>
      </c>
      <c r="AT229" s="239">
        <v>0</v>
      </c>
      <c r="AU229" s="239">
        <v>0</v>
      </c>
      <c r="AV229" s="239">
        <v>0</v>
      </c>
      <c r="AW229" s="239">
        <v>0</v>
      </c>
      <c r="AX229" s="239">
        <v>0</v>
      </c>
      <c r="AY229" s="239">
        <v>0</v>
      </c>
      <c r="AZ229" s="239">
        <v>0</v>
      </c>
      <c r="BA229" s="239">
        <v>0</v>
      </c>
      <c r="BB229" s="239">
        <v>0</v>
      </c>
      <c r="BC229" s="239">
        <v>1409256</v>
      </c>
      <c r="BD229" s="239">
        <v>-893358</v>
      </c>
      <c r="BE229" s="214" t="s">
        <v>540</v>
      </c>
      <c r="BF229" s="214" t="s">
        <v>865</v>
      </c>
      <c r="BG229" s="214" t="s">
        <v>744</v>
      </c>
      <c r="BH229" s="214" t="s">
        <v>1010</v>
      </c>
      <c r="BI229" s="214" t="s">
        <v>1010</v>
      </c>
      <c r="BJ229" s="214" t="s">
        <v>1158</v>
      </c>
    </row>
    <row r="230" spans="1:62" x14ac:dyDescent="0.2">
      <c r="B230" s="602" t="s">
        <v>543</v>
      </c>
      <c r="C230" s="602" t="s">
        <v>542</v>
      </c>
      <c r="D230" s="239">
        <v>39501485</v>
      </c>
      <c r="E230" s="239">
        <v>17242</v>
      </c>
      <c r="F230" s="239">
        <v>39518727</v>
      </c>
      <c r="G230" s="239">
        <v>0</v>
      </c>
      <c r="H230" s="239">
        <v>0</v>
      </c>
      <c r="I230" s="239">
        <v>0</v>
      </c>
      <c r="J230" s="239">
        <v>0</v>
      </c>
      <c r="K230" s="239">
        <v>0</v>
      </c>
      <c r="L230" s="239">
        <v>0</v>
      </c>
      <c r="M230" s="239">
        <v>-100002</v>
      </c>
      <c r="N230" s="239">
        <v>0</v>
      </c>
      <c r="O230" s="239">
        <v>-100002</v>
      </c>
      <c r="P230" s="239">
        <v>-132724</v>
      </c>
      <c r="Q230" s="239">
        <v>0</v>
      </c>
      <c r="R230" s="239">
        <v>-132724</v>
      </c>
      <c r="S230" s="239">
        <v>1805646</v>
      </c>
      <c r="T230" s="239">
        <v>0</v>
      </c>
      <c r="U230" s="239">
        <v>1805646</v>
      </c>
      <c r="V230" s="239">
        <v>-1435406</v>
      </c>
      <c r="W230" s="239">
        <v>0</v>
      </c>
      <c r="X230" s="239">
        <v>-1435406</v>
      </c>
      <c r="Y230" s="239">
        <v>39638999</v>
      </c>
      <c r="Z230" s="239">
        <v>17242</v>
      </c>
      <c r="AA230" s="239">
        <v>39656241</v>
      </c>
      <c r="AB230" s="239">
        <v>17242</v>
      </c>
      <c r="AC230" s="239">
        <v>17242</v>
      </c>
      <c r="AD230" s="239">
        <v>461552</v>
      </c>
      <c r="AE230" s="239">
        <v>0</v>
      </c>
      <c r="AF230" s="239">
        <v>461552</v>
      </c>
      <c r="AG230" s="239">
        <v>0</v>
      </c>
      <c r="AH230" s="239">
        <v>0</v>
      </c>
      <c r="AI230" s="239">
        <v>20741</v>
      </c>
      <c r="AJ230" s="239">
        <v>20741</v>
      </c>
      <c r="AK230" s="239">
        <v>0</v>
      </c>
      <c r="AL230" s="239">
        <v>0</v>
      </c>
      <c r="AM230" s="239">
        <v>0</v>
      </c>
      <c r="AN230" s="239">
        <v>0</v>
      </c>
      <c r="AO230" s="239">
        <v>0</v>
      </c>
      <c r="AP230" s="239">
        <v>0</v>
      </c>
      <c r="AQ230" s="239">
        <v>0</v>
      </c>
      <c r="AR230" s="239">
        <v>0</v>
      </c>
      <c r="AS230" s="239">
        <v>0</v>
      </c>
      <c r="AT230" s="239">
        <v>0</v>
      </c>
      <c r="AU230" s="239">
        <v>0</v>
      </c>
      <c r="AV230" s="239">
        <v>0</v>
      </c>
      <c r="AW230" s="239">
        <v>0</v>
      </c>
      <c r="AX230" s="239">
        <v>0</v>
      </c>
      <c r="AY230" s="239">
        <v>0</v>
      </c>
      <c r="AZ230" s="239">
        <v>0</v>
      </c>
      <c r="BA230" s="239">
        <v>0</v>
      </c>
      <c r="BB230" s="239">
        <v>0</v>
      </c>
      <c r="BC230" s="239">
        <v>1068599</v>
      </c>
      <c r="BD230" s="239">
        <v>-646299</v>
      </c>
      <c r="BE230" s="214" t="s">
        <v>542</v>
      </c>
      <c r="BF230" s="214" t="s">
        <v>792</v>
      </c>
      <c r="BG230" s="214" t="s">
        <v>790</v>
      </c>
      <c r="BH230" s="214" t="s">
        <v>1010</v>
      </c>
      <c r="BI230" s="214" t="s">
        <v>1010</v>
      </c>
      <c r="BJ230" s="214" t="s">
        <v>1158</v>
      </c>
    </row>
    <row r="231" spans="1:62" x14ac:dyDescent="0.2">
      <c r="B231" s="602" t="s">
        <v>545</v>
      </c>
      <c r="C231" s="602" t="s">
        <v>544</v>
      </c>
      <c r="D231" s="239">
        <v>69027028</v>
      </c>
      <c r="E231" s="239">
        <v>0</v>
      </c>
      <c r="F231" s="239">
        <v>69027028</v>
      </c>
      <c r="G231" s="239">
        <v>0</v>
      </c>
      <c r="H231" s="239">
        <v>0</v>
      </c>
      <c r="I231" s="239">
        <v>0</v>
      </c>
      <c r="J231" s="239">
        <v>-585035</v>
      </c>
      <c r="K231" s="239">
        <v>0</v>
      </c>
      <c r="L231" s="239">
        <v>-585035</v>
      </c>
      <c r="M231" s="239">
        <v>0</v>
      </c>
      <c r="N231" s="239">
        <v>0</v>
      </c>
      <c r="O231" s="239">
        <v>0</v>
      </c>
      <c r="P231" s="239">
        <v>-1320335</v>
      </c>
      <c r="Q231" s="239">
        <v>0</v>
      </c>
      <c r="R231" s="239">
        <v>-1320335</v>
      </c>
      <c r="S231" s="239">
        <v>3351835</v>
      </c>
      <c r="T231" s="239">
        <v>0</v>
      </c>
      <c r="U231" s="239">
        <v>3351835</v>
      </c>
      <c r="V231" s="239">
        <v>1647965</v>
      </c>
      <c r="W231" s="239">
        <v>0</v>
      </c>
      <c r="X231" s="239">
        <v>1647965</v>
      </c>
      <c r="Y231" s="239">
        <v>72706493</v>
      </c>
      <c r="Z231" s="239">
        <v>0</v>
      </c>
      <c r="AA231" s="239">
        <v>72706493</v>
      </c>
      <c r="AB231" s="239">
        <v>0</v>
      </c>
      <c r="AC231" s="239">
        <v>0</v>
      </c>
      <c r="AD231" s="239">
        <v>0</v>
      </c>
      <c r="AE231" s="239">
        <v>0</v>
      </c>
      <c r="AF231" s="239">
        <v>0</v>
      </c>
      <c r="AG231" s="239">
        <v>0</v>
      </c>
      <c r="AH231" s="239">
        <v>0</v>
      </c>
      <c r="AI231" s="239">
        <v>0</v>
      </c>
      <c r="AJ231" s="239">
        <v>0</v>
      </c>
      <c r="AK231" s="239">
        <v>0</v>
      </c>
      <c r="AL231" s="239">
        <v>0</v>
      </c>
      <c r="AM231" s="239">
        <v>0</v>
      </c>
      <c r="AN231" s="239">
        <v>0</v>
      </c>
      <c r="AO231" s="239">
        <v>0</v>
      </c>
      <c r="AP231" s="239">
        <v>0</v>
      </c>
      <c r="AQ231" s="239">
        <v>0</v>
      </c>
      <c r="AR231" s="239">
        <v>0</v>
      </c>
      <c r="AS231" s="239">
        <v>0</v>
      </c>
      <c r="AT231" s="239">
        <v>0</v>
      </c>
      <c r="AU231" s="239">
        <v>0</v>
      </c>
      <c r="AV231" s="239">
        <v>0</v>
      </c>
      <c r="AW231" s="239">
        <v>0</v>
      </c>
      <c r="AX231" s="239">
        <v>0</v>
      </c>
      <c r="AY231" s="239">
        <v>0</v>
      </c>
      <c r="AZ231" s="239">
        <v>0</v>
      </c>
      <c r="BA231" s="239">
        <v>0</v>
      </c>
      <c r="BB231" s="239">
        <v>0</v>
      </c>
      <c r="BC231" s="239">
        <v>2996766</v>
      </c>
      <c r="BD231" s="239">
        <v>-1322277</v>
      </c>
      <c r="BE231" s="214" t="s">
        <v>544</v>
      </c>
      <c r="BF231" s="214" t="s">
        <v>766</v>
      </c>
      <c r="BG231" s="214" t="s">
        <v>772</v>
      </c>
      <c r="BH231" s="214" t="s">
        <v>1010</v>
      </c>
      <c r="BI231" s="214" t="s">
        <v>1010</v>
      </c>
      <c r="BJ231" s="214" t="s">
        <v>1160</v>
      </c>
    </row>
    <row r="232" spans="1:62" x14ac:dyDescent="0.2">
      <c r="B232" s="602" t="s">
        <v>547</v>
      </c>
      <c r="C232" s="602" t="s">
        <v>546</v>
      </c>
      <c r="D232" s="239">
        <v>41408405</v>
      </c>
      <c r="E232" s="239">
        <v>0</v>
      </c>
      <c r="F232" s="239">
        <v>41408405</v>
      </c>
      <c r="G232" s="239">
        <v>0</v>
      </c>
      <c r="H232" s="239">
        <v>0</v>
      </c>
      <c r="I232" s="239">
        <v>0</v>
      </c>
      <c r="J232" s="239">
        <v>-54277</v>
      </c>
      <c r="K232" s="239">
        <v>0</v>
      </c>
      <c r="L232" s="239">
        <v>-54277</v>
      </c>
      <c r="M232" s="239">
        <v>0</v>
      </c>
      <c r="N232" s="239">
        <v>0</v>
      </c>
      <c r="O232" s="239">
        <v>0</v>
      </c>
      <c r="P232" s="239">
        <v>-87069</v>
      </c>
      <c r="Q232" s="239">
        <v>0</v>
      </c>
      <c r="R232" s="239">
        <v>-87069</v>
      </c>
      <c r="S232" s="239">
        <v>1312101</v>
      </c>
      <c r="T232" s="239">
        <v>0</v>
      </c>
      <c r="U232" s="239">
        <v>1312101</v>
      </c>
      <c r="V232" s="239">
        <v>-835635</v>
      </c>
      <c r="W232" s="239">
        <v>0</v>
      </c>
      <c r="X232" s="239">
        <v>-835635</v>
      </c>
      <c r="Y232" s="239">
        <v>41797802</v>
      </c>
      <c r="Z232" s="239">
        <v>0</v>
      </c>
      <c r="AA232" s="239">
        <v>41797802</v>
      </c>
      <c r="AB232" s="239">
        <v>0</v>
      </c>
      <c r="AC232" s="239">
        <v>0</v>
      </c>
      <c r="AD232" s="239">
        <v>7596528</v>
      </c>
      <c r="AE232" s="239">
        <v>0</v>
      </c>
      <c r="AF232" s="239">
        <v>7596528</v>
      </c>
      <c r="AG232" s="239">
        <v>0</v>
      </c>
      <c r="AH232" s="239">
        <v>0</v>
      </c>
      <c r="AI232" s="239">
        <v>0</v>
      </c>
      <c r="AJ232" s="239">
        <v>0</v>
      </c>
      <c r="AK232" s="239">
        <v>0</v>
      </c>
      <c r="AL232" s="239">
        <v>0</v>
      </c>
      <c r="AM232" s="239">
        <v>0</v>
      </c>
      <c r="AN232" s="239">
        <v>0</v>
      </c>
      <c r="AO232" s="239">
        <v>0</v>
      </c>
      <c r="AP232" s="239">
        <v>0</v>
      </c>
      <c r="AQ232" s="239">
        <v>0</v>
      </c>
      <c r="AR232" s="239">
        <v>0</v>
      </c>
      <c r="AS232" s="239">
        <v>0</v>
      </c>
      <c r="AT232" s="239">
        <v>0</v>
      </c>
      <c r="AU232" s="239">
        <v>0</v>
      </c>
      <c r="AV232" s="239">
        <v>0</v>
      </c>
      <c r="AW232" s="239">
        <v>0</v>
      </c>
      <c r="AX232" s="239">
        <v>0</v>
      </c>
      <c r="AY232" s="239">
        <v>0</v>
      </c>
      <c r="AZ232" s="239">
        <v>0</v>
      </c>
      <c r="BA232" s="239">
        <v>0</v>
      </c>
      <c r="BB232" s="239">
        <v>0</v>
      </c>
      <c r="BC232" s="239">
        <v>662677</v>
      </c>
      <c r="BD232" s="239">
        <v>-605400</v>
      </c>
      <c r="BE232" s="214" t="s">
        <v>546</v>
      </c>
      <c r="BF232" s="214" t="s">
        <v>865</v>
      </c>
      <c r="BG232" s="214" t="s">
        <v>744</v>
      </c>
      <c r="BH232" s="214" t="s">
        <v>1010</v>
      </c>
      <c r="BI232" s="214" t="s">
        <v>1010</v>
      </c>
      <c r="BJ232" s="214" t="s">
        <v>1158</v>
      </c>
    </row>
    <row r="233" spans="1:62" x14ac:dyDescent="0.2">
      <c r="B233" s="602" t="s">
        <v>549</v>
      </c>
      <c r="C233" s="602" t="s">
        <v>548</v>
      </c>
      <c r="D233" s="239">
        <v>33502741</v>
      </c>
      <c r="E233" s="239">
        <v>0</v>
      </c>
      <c r="F233" s="239">
        <v>33502741</v>
      </c>
      <c r="G233" s="239">
        <v>0</v>
      </c>
      <c r="H233" s="239">
        <v>0</v>
      </c>
      <c r="I233" s="239">
        <v>0</v>
      </c>
      <c r="J233" s="239">
        <v>-148715</v>
      </c>
      <c r="K233" s="239">
        <v>0</v>
      </c>
      <c r="L233" s="239">
        <v>-148715</v>
      </c>
      <c r="M233" s="239">
        <v>0</v>
      </c>
      <c r="N233" s="239">
        <v>0</v>
      </c>
      <c r="O233" s="239">
        <v>0</v>
      </c>
      <c r="P233" s="239">
        <v>162685</v>
      </c>
      <c r="Q233" s="239">
        <v>0</v>
      </c>
      <c r="R233" s="239">
        <v>162685</v>
      </c>
      <c r="S233" s="239">
        <v>1993768</v>
      </c>
      <c r="T233" s="239">
        <v>0</v>
      </c>
      <c r="U233" s="239">
        <v>1993768</v>
      </c>
      <c r="V233" s="239">
        <v>-1400821</v>
      </c>
      <c r="W233" s="239">
        <v>0</v>
      </c>
      <c r="X233" s="239">
        <v>-1400821</v>
      </c>
      <c r="Y233" s="239">
        <v>34258373</v>
      </c>
      <c r="Z233" s="239">
        <v>0</v>
      </c>
      <c r="AA233" s="239">
        <v>34258373</v>
      </c>
      <c r="AB233" s="239">
        <v>0</v>
      </c>
      <c r="AC233" s="239">
        <v>0</v>
      </c>
      <c r="AD233" s="239">
        <v>0</v>
      </c>
      <c r="AE233" s="239">
        <v>0</v>
      </c>
      <c r="AF233" s="239">
        <v>0</v>
      </c>
      <c r="AG233" s="239">
        <v>0</v>
      </c>
      <c r="AH233" s="239">
        <v>0</v>
      </c>
      <c r="AI233" s="239">
        <v>0</v>
      </c>
      <c r="AJ233" s="239">
        <v>0</v>
      </c>
      <c r="AK233" s="239">
        <v>0</v>
      </c>
      <c r="AL233" s="239">
        <v>0</v>
      </c>
      <c r="AM233" s="239">
        <v>0</v>
      </c>
      <c r="AN233" s="239">
        <v>0</v>
      </c>
      <c r="AO233" s="239">
        <v>0</v>
      </c>
      <c r="AP233" s="239">
        <v>0</v>
      </c>
      <c r="AQ233" s="239">
        <v>0</v>
      </c>
      <c r="AR233" s="239">
        <v>0</v>
      </c>
      <c r="AS233" s="239">
        <v>0</v>
      </c>
      <c r="AT233" s="239">
        <v>0</v>
      </c>
      <c r="AU233" s="239">
        <v>0</v>
      </c>
      <c r="AV233" s="239">
        <v>0</v>
      </c>
      <c r="AW233" s="239">
        <v>0</v>
      </c>
      <c r="AX233" s="239">
        <v>0</v>
      </c>
      <c r="AY233" s="239">
        <v>0</v>
      </c>
      <c r="AZ233" s="239">
        <v>0</v>
      </c>
      <c r="BA233" s="239">
        <v>0</v>
      </c>
      <c r="BB233" s="239">
        <v>0</v>
      </c>
      <c r="BC233" s="239">
        <v>1745102</v>
      </c>
      <c r="BD233" s="239">
        <v>-2010477</v>
      </c>
      <c r="BE233" s="214" t="s">
        <v>548</v>
      </c>
      <c r="BF233" s="214" t="s">
        <v>824</v>
      </c>
      <c r="BG233" s="214" t="s">
        <v>822</v>
      </c>
      <c r="BH233" s="214" t="s">
        <v>1010</v>
      </c>
      <c r="BI233" s="214" t="s">
        <v>1010</v>
      </c>
      <c r="BJ233" s="214" t="s">
        <v>1158</v>
      </c>
    </row>
    <row r="234" spans="1:62" x14ac:dyDescent="0.2">
      <c r="B234" s="602" t="s">
        <v>551</v>
      </c>
      <c r="C234" s="602" t="s">
        <v>550</v>
      </c>
      <c r="D234" s="239">
        <v>209398380</v>
      </c>
      <c r="E234" s="239">
        <v>2458269</v>
      </c>
      <c r="F234" s="239">
        <v>211856649</v>
      </c>
      <c r="G234" s="239">
        <v>0</v>
      </c>
      <c r="H234" s="239">
        <v>0</v>
      </c>
      <c r="I234" s="239">
        <v>0</v>
      </c>
      <c r="J234" s="239">
        <v>-2124709</v>
      </c>
      <c r="K234" s="239">
        <v>0</v>
      </c>
      <c r="L234" s="239">
        <v>-2124709</v>
      </c>
      <c r="M234" s="239">
        <v>0</v>
      </c>
      <c r="N234" s="239">
        <v>0</v>
      </c>
      <c r="O234" s="239">
        <v>0</v>
      </c>
      <c r="P234" s="239">
        <v>-1642302</v>
      </c>
      <c r="Q234" s="239">
        <v>0</v>
      </c>
      <c r="R234" s="239">
        <v>-1642302</v>
      </c>
      <c r="S234" s="239">
        <v>9781212</v>
      </c>
      <c r="T234" s="239">
        <v>0</v>
      </c>
      <c r="U234" s="239">
        <v>9781212</v>
      </c>
      <c r="V234" s="239">
        <v>-17525139</v>
      </c>
      <c r="W234" s="239">
        <v>0</v>
      </c>
      <c r="X234" s="239">
        <v>-17525139</v>
      </c>
      <c r="Y234" s="239">
        <v>200012151</v>
      </c>
      <c r="Z234" s="239">
        <v>2458269</v>
      </c>
      <c r="AA234" s="239">
        <v>202470420</v>
      </c>
      <c r="AB234" s="239">
        <v>2458269</v>
      </c>
      <c r="AC234" s="239">
        <v>2458269</v>
      </c>
      <c r="AD234" s="239">
        <v>1072960</v>
      </c>
      <c r="AE234" s="239">
        <v>0</v>
      </c>
      <c r="AF234" s="239">
        <v>1072960</v>
      </c>
      <c r="AG234" s="239">
        <v>-264551</v>
      </c>
      <c r="AH234" s="239">
        <v>-264551</v>
      </c>
      <c r="AI234" s="239">
        <v>3313264</v>
      </c>
      <c r="AJ234" s="239">
        <v>3313264</v>
      </c>
      <c r="AK234" s="239">
        <v>757817</v>
      </c>
      <c r="AL234" s="239">
        <v>0</v>
      </c>
      <c r="AM234" s="239">
        <v>0</v>
      </c>
      <c r="AN234" s="239">
        <v>0</v>
      </c>
      <c r="AO234" s="239">
        <v>0</v>
      </c>
      <c r="AP234" s="239">
        <v>-4230</v>
      </c>
      <c r="AQ234" s="239">
        <v>-4230</v>
      </c>
      <c r="AR234" s="239">
        <v>0</v>
      </c>
      <c r="AS234" s="239">
        <v>0</v>
      </c>
      <c r="AT234" s="239">
        <v>0</v>
      </c>
      <c r="AU234" s="239">
        <v>0</v>
      </c>
      <c r="AV234" s="239">
        <v>0</v>
      </c>
      <c r="AW234" s="239">
        <v>0</v>
      </c>
      <c r="AX234" s="239">
        <v>0</v>
      </c>
      <c r="AY234" s="239">
        <v>0</v>
      </c>
      <c r="AZ234" s="239">
        <v>0</v>
      </c>
      <c r="BA234" s="239">
        <v>-4230</v>
      </c>
      <c r="BB234" s="239">
        <v>-4230</v>
      </c>
      <c r="BC234" s="239">
        <v>15860014</v>
      </c>
      <c r="BD234" s="239">
        <v>-3101847</v>
      </c>
      <c r="BE234" s="214" t="s">
        <v>550</v>
      </c>
      <c r="BF234" s="214" t="s">
        <v>766</v>
      </c>
      <c r="BG234" s="214" t="s">
        <v>863</v>
      </c>
      <c r="BH234" s="214" t="s">
        <v>1017</v>
      </c>
      <c r="BI234" s="214" t="s">
        <v>1024</v>
      </c>
      <c r="BJ234" s="214" t="s">
        <v>1160</v>
      </c>
    </row>
    <row r="235" spans="1:62" x14ac:dyDescent="0.2">
      <c r="B235" s="602" t="s">
        <v>553</v>
      </c>
      <c r="C235" s="602" t="s">
        <v>552</v>
      </c>
      <c r="D235" s="239">
        <v>28245692</v>
      </c>
      <c r="E235" s="239">
        <v>0</v>
      </c>
      <c r="F235" s="239">
        <v>28245692</v>
      </c>
      <c r="G235" s="239">
        <v>0</v>
      </c>
      <c r="H235" s="239">
        <v>0</v>
      </c>
      <c r="I235" s="239">
        <v>0</v>
      </c>
      <c r="J235" s="239">
        <v>-150150</v>
      </c>
      <c r="K235" s="239">
        <v>0</v>
      </c>
      <c r="L235" s="239">
        <v>-150150</v>
      </c>
      <c r="M235" s="239">
        <v>0</v>
      </c>
      <c r="N235" s="239">
        <v>0</v>
      </c>
      <c r="O235" s="239">
        <v>0</v>
      </c>
      <c r="P235" s="239">
        <v>-203496</v>
      </c>
      <c r="Q235" s="239">
        <v>0</v>
      </c>
      <c r="R235" s="239">
        <v>-203496</v>
      </c>
      <c r="S235" s="239">
        <v>2298521</v>
      </c>
      <c r="T235" s="239">
        <v>0</v>
      </c>
      <c r="U235" s="239">
        <v>2298521</v>
      </c>
      <c r="V235" s="239">
        <v>-3612758</v>
      </c>
      <c r="W235" s="239">
        <v>0</v>
      </c>
      <c r="X235" s="239">
        <v>-3612758</v>
      </c>
      <c r="Y235" s="239">
        <v>26727959</v>
      </c>
      <c r="Z235" s="239">
        <v>0</v>
      </c>
      <c r="AA235" s="239">
        <v>26727959</v>
      </c>
      <c r="AB235" s="239">
        <v>0</v>
      </c>
      <c r="AC235" s="239">
        <v>0</v>
      </c>
      <c r="AD235" s="239">
        <v>0</v>
      </c>
      <c r="AE235" s="239">
        <v>0</v>
      </c>
      <c r="AF235" s="239">
        <v>0</v>
      </c>
      <c r="AG235" s="239">
        <v>0</v>
      </c>
      <c r="AH235" s="239">
        <v>0</v>
      </c>
      <c r="AI235" s="239">
        <v>0</v>
      </c>
      <c r="AJ235" s="239">
        <v>0</v>
      </c>
      <c r="AK235" s="239">
        <v>0</v>
      </c>
      <c r="AL235" s="239">
        <v>0</v>
      </c>
      <c r="AM235" s="239">
        <v>0</v>
      </c>
      <c r="AN235" s="239">
        <v>0</v>
      </c>
      <c r="AO235" s="239">
        <v>0</v>
      </c>
      <c r="AP235" s="239">
        <v>0</v>
      </c>
      <c r="AQ235" s="239">
        <v>0</v>
      </c>
      <c r="AR235" s="239">
        <v>0</v>
      </c>
      <c r="AS235" s="239">
        <v>0</v>
      </c>
      <c r="AT235" s="239">
        <v>0</v>
      </c>
      <c r="AU235" s="239">
        <v>0</v>
      </c>
      <c r="AV235" s="239">
        <v>0</v>
      </c>
      <c r="AW235" s="239">
        <v>0</v>
      </c>
      <c r="AX235" s="239">
        <v>0</v>
      </c>
      <c r="AY235" s="239">
        <v>0</v>
      </c>
      <c r="AZ235" s="239">
        <v>0</v>
      </c>
      <c r="BA235" s="239">
        <v>0</v>
      </c>
      <c r="BB235" s="239">
        <v>0</v>
      </c>
      <c r="BC235" s="239">
        <v>809517</v>
      </c>
      <c r="BD235" s="239">
        <v>-635318</v>
      </c>
      <c r="BE235" s="214" t="s">
        <v>552</v>
      </c>
      <c r="BF235" s="214" t="s">
        <v>824</v>
      </c>
      <c r="BG235" s="214" t="s">
        <v>822</v>
      </c>
      <c r="BH235" s="214" t="s">
        <v>1010</v>
      </c>
      <c r="BI235" s="214" t="s">
        <v>1010</v>
      </c>
      <c r="BJ235" s="214" t="s">
        <v>1158</v>
      </c>
    </row>
    <row r="236" spans="1:62" x14ac:dyDescent="0.2">
      <c r="B236" s="602" t="s">
        <v>555</v>
      </c>
      <c r="C236" s="602" t="s">
        <v>554</v>
      </c>
      <c r="D236" s="239">
        <v>75200285</v>
      </c>
      <c r="E236" s="239">
        <v>0</v>
      </c>
      <c r="F236" s="239">
        <v>75200285</v>
      </c>
      <c r="G236" s="239">
        <v>0</v>
      </c>
      <c r="H236" s="239">
        <v>0</v>
      </c>
      <c r="I236" s="239">
        <v>0</v>
      </c>
      <c r="J236" s="239">
        <v>-320530</v>
      </c>
      <c r="K236" s="239">
        <v>0</v>
      </c>
      <c r="L236" s="239">
        <v>-320530</v>
      </c>
      <c r="M236" s="239">
        <v>0</v>
      </c>
      <c r="N236" s="239">
        <v>0</v>
      </c>
      <c r="O236" s="239">
        <v>0</v>
      </c>
      <c r="P236" s="239">
        <v>-424521</v>
      </c>
      <c r="Q236" s="239">
        <v>0</v>
      </c>
      <c r="R236" s="239">
        <v>-424521</v>
      </c>
      <c r="S236" s="239">
        <v>7484158</v>
      </c>
      <c r="T236" s="239">
        <v>0</v>
      </c>
      <c r="U236" s="239">
        <v>7484158</v>
      </c>
      <c r="V236" s="239">
        <v>-7914018</v>
      </c>
      <c r="W236" s="239">
        <v>0</v>
      </c>
      <c r="X236" s="239">
        <v>-7914018</v>
      </c>
      <c r="Y236" s="239">
        <v>74345904</v>
      </c>
      <c r="Z236" s="239">
        <v>0</v>
      </c>
      <c r="AA236" s="239">
        <v>74345904</v>
      </c>
      <c r="AB236" s="239">
        <v>0</v>
      </c>
      <c r="AC236" s="239">
        <v>0</v>
      </c>
      <c r="AD236" s="239">
        <v>533724</v>
      </c>
      <c r="AE236" s="239">
        <v>0</v>
      </c>
      <c r="AF236" s="239">
        <v>533724</v>
      </c>
      <c r="AG236" s="239">
        <v>0</v>
      </c>
      <c r="AH236" s="239">
        <v>0</v>
      </c>
      <c r="AI236" s="239">
        <v>0</v>
      </c>
      <c r="AJ236" s="239">
        <v>0</v>
      </c>
      <c r="AK236" s="239">
        <v>0</v>
      </c>
      <c r="AL236" s="239">
        <v>0</v>
      </c>
      <c r="AM236" s="239">
        <v>0</v>
      </c>
      <c r="AN236" s="239">
        <v>0</v>
      </c>
      <c r="AO236" s="239">
        <v>0</v>
      </c>
      <c r="AP236" s="239">
        <v>0</v>
      </c>
      <c r="AQ236" s="239">
        <v>0</v>
      </c>
      <c r="AR236" s="239">
        <v>0</v>
      </c>
      <c r="AS236" s="239">
        <v>0</v>
      </c>
      <c r="AT236" s="239">
        <v>0</v>
      </c>
      <c r="AU236" s="239">
        <v>0</v>
      </c>
      <c r="AV236" s="239">
        <v>0</v>
      </c>
      <c r="AW236" s="239">
        <v>0</v>
      </c>
      <c r="AX236" s="239">
        <v>0</v>
      </c>
      <c r="AY236" s="239">
        <v>0</v>
      </c>
      <c r="AZ236" s="239">
        <v>0</v>
      </c>
      <c r="BA236" s="239">
        <v>0</v>
      </c>
      <c r="BB236" s="239">
        <v>0</v>
      </c>
      <c r="BC236" s="239">
        <v>4413737</v>
      </c>
      <c r="BD236" s="239">
        <v>-5153011</v>
      </c>
      <c r="BE236" s="214" t="s">
        <v>554</v>
      </c>
      <c r="BF236" s="214" t="s">
        <v>746</v>
      </c>
      <c r="BG236" s="214" t="s">
        <v>831</v>
      </c>
      <c r="BH236" s="214" t="s">
        <v>1010</v>
      </c>
      <c r="BI236" s="214" t="s">
        <v>1010</v>
      </c>
      <c r="BJ236" s="214" t="s">
        <v>746</v>
      </c>
    </row>
    <row r="237" spans="1:62" x14ac:dyDescent="0.2">
      <c r="B237" s="602" t="s">
        <v>557</v>
      </c>
      <c r="C237" s="602" t="s">
        <v>556</v>
      </c>
      <c r="D237" s="239">
        <v>103884730</v>
      </c>
      <c r="E237" s="239">
        <v>0</v>
      </c>
      <c r="F237" s="239">
        <v>103884730</v>
      </c>
      <c r="G237" s="239">
        <v>0</v>
      </c>
      <c r="H237" s="239">
        <v>0</v>
      </c>
      <c r="I237" s="239">
        <v>0</v>
      </c>
      <c r="J237" s="239">
        <v>-910719</v>
      </c>
      <c r="K237" s="239">
        <v>0</v>
      </c>
      <c r="L237" s="239">
        <v>-910719</v>
      </c>
      <c r="M237" s="239">
        <v>0</v>
      </c>
      <c r="N237" s="239">
        <v>0</v>
      </c>
      <c r="O237" s="239">
        <v>0</v>
      </c>
      <c r="P237" s="239">
        <v>-802486</v>
      </c>
      <c r="Q237" s="239">
        <v>0</v>
      </c>
      <c r="R237" s="239">
        <v>-802486</v>
      </c>
      <c r="S237" s="239">
        <v>3148637</v>
      </c>
      <c r="T237" s="239">
        <v>0</v>
      </c>
      <c r="U237" s="239">
        <v>3148637</v>
      </c>
      <c r="V237" s="239">
        <v>-4609491</v>
      </c>
      <c r="W237" s="239">
        <v>0</v>
      </c>
      <c r="X237" s="239">
        <v>-4609491</v>
      </c>
      <c r="Y237" s="239">
        <v>101621390</v>
      </c>
      <c r="Z237" s="239">
        <v>0</v>
      </c>
      <c r="AA237" s="239">
        <v>101621390</v>
      </c>
      <c r="AB237" s="239">
        <v>0</v>
      </c>
      <c r="AC237" s="239">
        <v>0</v>
      </c>
      <c r="AD237" s="239">
        <v>0</v>
      </c>
      <c r="AE237" s="239">
        <v>0</v>
      </c>
      <c r="AF237" s="239">
        <v>0</v>
      </c>
      <c r="AG237" s="239">
        <v>0</v>
      </c>
      <c r="AH237" s="239">
        <v>0</v>
      </c>
      <c r="AI237" s="239">
        <v>0</v>
      </c>
      <c r="AJ237" s="239">
        <v>0</v>
      </c>
      <c r="AK237" s="239">
        <v>0</v>
      </c>
      <c r="AL237" s="239">
        <v>0</v>
      </c>
      <c r="AM237" s="239">
        <v>0</v>
      </c>
      <c r="AN237" s="239">
        <v>0</v>
      </c>
      <c r="AO237" s="239">
        <v>0</v>
      </c>
      <c r="AP237" s="239">
        <v>0</v>
      </c>
      <c r="AQ237" s="239">
        <v>0</v>
      </c>
      <c r="AR237" s="239">
        <v>0</v>
      </c>
      <c r="AS237" s="239">
        <v>0</v>
      </c>
      <c r="AT237" s="239">
        <v>0</v>
      </c>
      <c r="AU237" s="239">
        <v>0</v>
      </c>
      <c r="AV237" s="239">
        <v>0</v>
      </c>
      <c r="AW237" s="239">
        <v>0</v>
      </c>
      <c r="AX237" s="239">
        <v>0</v>
      </c>
      <c r="AY237" s="239">
        <v>0</v>
      </c>
      <c r="AZ237" s="239">
        <v>0</v>
      </c>
      <c r="BA237" s="239">
        <v>0</v>
      </c>
      <c r="BB237" s="239">
        <v>0</v>
      </c>
      <c r="BC237" s="239">
        <v>4171773</v>
      </c>
      <c r="BD237" s="239">
        <v>-446631</v>
      </c>
      <c r="BE237" s="214" t="s">
        <v>862</v>
      </c>
      <c r="BF237" s="214" t="s">
        <v>746</v>
      </c>
      <c r="BG237" s="214" t="s">
        <v>767</v>
      </c>
      <c r="BH237" s="214" t="s">
        <v>1010</v>
      </c>
      <c r="BI237" s="214" t="s">
        <v>1010</v>
      </c>
      <c r="BJ237" s="214" t="s">
        <v>746</v>
      </c>
    </row>
    <row r="238" spans="1:62" x14ac:dyDescent="0.2">
      <c r="B238" s="602" t="s">
        <v>559</v>
      </c>
      <c r="C238" s="602" t="s">
        <v>558</v>
      </c>
      <c r="D238" s="239">
        <v>115422172</v>
      </c>
      <c r="E238" s="239">
        <v>0</v>
      </c>
      <c r="F238" s="239">
        <v>115422172</v>
      </c>
      <c r="G238" s="239">
        <v>0</v>
      </c>
      <c r="H238" s="239">
        <v>0</v>
      </c>
      <c r="I238" s="239">
        <v>0</v>
      </c>
      <c r="J238" s="239">
        <v>-764400</v>
      </c>
      <c r="K238" s="239">
        <v>0</v>
      </c>
      <c r="L238" s="239">
        <v>-764400</v>
      </c>
      <c r="M238" s="239">
        <v>0</v>
      </c>
      <c r="N238" s="239">
        <v>0</v>
      </c>
      <c r="O238" s="239">
        <v>0</v>
      </c>
      <c r="P238" s="239">
        <v>-778972</v>
      </c>
      <c r="Q238" s="239">
        <v>0</v>
      </c>
      <c r="R238" s="239">
        <v>-778972</v>
      </c>
      <c r="S238" s="239">
        <v>4244258</v>
      </c>
      <c r="T238" s="239">
        <v>0</v>
      </c>
      <c r="U238" s="239">
        <v>4244258</v>
      </c>
      <c r="V238" s="239">
        <v>-6125180</v>
      </c>
      <c r="W238" s="239">
        <v>0</v>
      </c>
      <c r="X238" s="239">
        <v>-6125180</v>
      </c>
      <c r="Y238" s="239">
        <v>112762278</v>
      </c>
      <c r="Z238" s="239">
        <v>0</v>
      </c>
      <c r="AA238" s="239">
        <v>112762278</v>
      </c>
      <c r="AB238" s="239">
        <v>0</v>
      </c>
      <c r="AC238" s="239">
        <v>0</v>
      </c>
      <c r="AD238" s="239">
        <v>0</v>
      </c>
      <c r="AE238" s="239">
        <v>0</v>
      </c>
      <c r="AF238" s="239">
        <v>0</v>
      </c>
      <c r="AG238" s="239">
        <v>0</v>
      </c>
      <c r="AH238" s="239">
        <v>0</v>
      </c>
      <c r="AI238" s="239">
        <v>0</v>
      </c>
      <c r="AJ238" s="239">
        <v>0</v>
      </c>
      <c r="AK238" s="239">
        <v>0</v>
      </c>
      <c r="AL238" s="239">
        <v>0</v>
      </c>
      <c r="AM238" s="239">
        <v>0</v>
      </c>
      <c r="AN238" s="239">
        <v>0</v>
      </c>
      <c r="AO238" s="239">
        <v>0</v>
      </c>
      <c r="AP238" s="239">
        <v>0</v>
      </c>
      <c r="AQ238" s="239">
        <v>0</v>
      </c>
      <c r="AR238" s="239">
        <v>0</v>
      </c>
      <c r="AS238" s="239">
        <v>0</v>
      </c>
      <c r="AT238" s="239">
        <v>0</v>
      </c>
      <c r="AU238" s="239">
        <v>0</v>
      </c>
      <c r="AV238" s="239">
        <v>0</v>
      </c>
      <c r="AW238" s="239">
        <v>0</v>
      </c>
      <c r="AX238" s="239">
        <v>0</v>
      </c>
      <c r="AY238" s="239">
        <v>0</v>
      </c>
      <c r="AZ238" s="239">
        <v>0</v>
      </c>
      <c r="BA238" s="239">
        <v>0</v>
      </c>
      <c r="BB238" s="239">
        <v>0</v>
      </c>
      <c r="BC238" s="239">
        <v>2844192</v>
      </c>
      <c r="BD238" s="239">
        <v>-4471892</v>
      </c>
      <c r="BE238" s="214" t="s">
        <v>558</v>
      </c>
      <c r="BF238" s="214" t="s">
        <v>766</v>
      </c>
      <c r="BG238" s="214" t="s">
        <v>764</v>
      </c>
      <c r="BH238" s="214" t="s">
        <v>1010</v>
      </c>
      <c r="BI238" s="214" t="s">
        <v>1010</v>
      </c>
      <c r="BJ238" s="214" t="s">
        <v>1160</v>
      </c>
    </row>
    <row r="239" spans="1:62" x14ac:dyDescent="0.2">
      <c r="B239" s="602" t="s">
        <v>561</v>
      </c>
      <c r="C239" s="602" t="s">
        <v>560</v>
      </c>
      <c r="D239" s="239">
        <v>32734766</v>
      </c>
      <c r="E239" s="239">
        <v>0</v>
      </c>
      <c r="F239" s="239">
        <v>32734766</v>
      </c>
      <c r="G239" s="239">
        <v>0</v>
      </c>
      <c r="H239" s="239">
        <v>0</v>
      </c>
      <c r="I239" s="239">
        <v>0</v>
      </c>
      <c r="J239" s="239">
        <v>-61348</v>
      </c>
      <c r="K239" s="239">
        <v>0</v>
      </c>
      <c r="L239" s="239">
        <v>-61348</v>
      </c>
      <c r="M239" s="239">
        <v>0</v>
      </c>
      <c r="N239" s="239">
        <v>0</v>
      </c>
      <c r="O239" s="239">
        <v>0</v>
      </c>
      <c r="P239" s="239">
        <v>6652</v>
      </c>
      <c r="Q239" s="239">
        <v>0</v>
      </c>
      <c r="R239" s="239">
        <v>6652</v>
      </c>
      <c r="S239" s="239">
        <v>454462</v>
      </c>
      <c r="T239" s="239">
        <v>0</v>
      </c>
      <c r="U239" s="239">
        <v>454462</v>
      </c>
      <c r="V239" s="239">
        <v>-103858</v>
      </c>
      <c r="W239" s="239">
        <v>0</v>
      </c>
      <c r="X239" s="239">
        <v>-103858</v>
      </c>
      <c r="Y239" s="239">
        <v>33092022</v>
      </c>
      <c r="Z239" s="239">
        <v>0</v>
      </c>
      <c r="AA239" s="239">
        <v>33092022</v>
      </c>
      <c r="AB239" s="239">
        <v>0</v>
      </c>
      <c r="AC239" s="239">
        <v>0</v>
      </c>
      <c r="AD239" s="239">
        <v>0</v>
      </c>
      <c r="AE239" s="239">
        <v>0</v>
      </c>
      <c r="AF239" s="239">
        <v>0</v>
      </c>
      <c r="AG239" s="239">
        <v>0</v>
      </c>
      <c r="AH239" s="239">
        <v>0</v>
      </c>
      <c r="AI239" s="239">
        <v>0</v>
      </c>
      <c r="AJ239" s="239">
        <v>0</v>
      </c>
      <c r="AK239" s="239">
        <v>0</v>
      </c>
      <c r="AL239" s="239">
        <v>0</v>
      </c>
      <c r="AM239" s="239">
        <v>0</v>
      </c>
      <c r="AN239" s="239">
        <v>0</v>
      </c>
      <c r="AO239" s="239">
        <v>0</v>
      </c>
      <c r="AP239" s="239">
        <v>0</v>
      </c>
      <c r="AQ239" s="239">
        <v>0</v>
      </c>
      <c r="AR239" s="239">
        <v>0</v>
      </c>
      <c r="AS239" s="239">
        <v>0</v>
      </c>
      <c r="AT239" s="239">
        <v>0</v>
      </c>
      <c r="AU239" s="239">
        <v>0</v>
      </c>
      <c r="AV239" s="239">
        <v>0</v>
      </c>
      <c r="AW239" s="239">
        <v>0</v>
      </c>
      <c r="AX239" s="239">
        <v>0</v>
      </c>
      <c r="AY239" s="239">
        <v>0</v>
      </c>
      <c r="AZ239" s="239">
        <v>0</v>
      </c>
      <c r="BA239" s="239">
        <v>0</v>
      </c>
      <c r="BB239" s="239">
        <v>0</v>
      </c>
      <c r="BC239" s="239">
        <v>1791996</v>
      </c>
      <c r="BD239" s="239">
        <v>-710082</v>
      </c>
      <c r="BE239" s="214" t="s">
        <v>560</v>
      </c>
      <c r="BF239" s="214" t="s">
        <v>759</v>
      </c>
      <c r="BG239" s="214" t="s">
        <v>757</v>
      </c>
      <c r="BH239" s="214" t="s">
        <v>1010</v>
      </c>
      <c r="BI239" s="214" t="s">
        <v>1010</v>
      </c>
      <c r="BJ239" s="214" t="s">
        <v>1158</v>
      </c>
    </row>
    <row r="240" spans="1:62" x14ac:dyDescent="0.2">
      <c r="A240" s="215" t="s">
        <v>1667</v>
      </c>
      <c r="B240" s="602" t="s">
        <v>563</v>
      </c>
      <c r="C240" s="602" t="s">
        <v>562</v>
      </c>
      <c r="D240" s="239">
        <v>79787740</v>
      </c>
      <c r="E240" s="239">
        <v>560807</v>
      </c>
      <c r="F240" s="239">
        <v>80348547</v>
      </c>
      <c r="G240" s="239">
        <v>0</v>
      </c>
      <c r="H240" s="239">
        <v>0</v>
      </c>
      <c r="I240" s="239">
        <v>0</v>
      </c>
      <c r="J240" s="239">
        <v>0</v>
      </c>
      <c r="K240" s="239">
        <v>0</v>
      </c>
      <c r="L240" s="239">
        <v>0</v>
      </c>
      <c r="M240" s="239">
        <v>-515090</v>
      </c>
      <c r="N240" s="239">
        <v>0</v>
      </c>
      <c r="O240" s="239">
        <v>-515090</v>
      </c>
      <c r="P240" s="239">
        <v>-559</v>
      </c>
      <c r="Q240" s="239">
        <v>0</v>
      </c>
      <c r="R240" s="239">
        <v>-559</v>
      </c>
      <c r="S240" s="239">
        <v>726450</v>
      </c>
      <c r="T240" s="239">
        <v>0</v>
      </c>
      <c r="U240" s="239">
        <v>726450</v>
      </c>
      <c r="V240" s="239">
        <v>-759823</v>
      </c>
      <c r="W240" s="239">
        <v>0</v>
      </c>
      <c r="X240" s="239">
        <v>-759823</v>
      </c>
      <c r="Y240" s="239">
        <v>79238718</v>
      </c>
      <c r="Z240" s="239">
        <v>560807</v>
      </c>
      <c r="AA240" s="239">
        <v>79799525</v>
      </c>
      <c r="AB240" s="239">
        <v>560807</v>
      </c>
      <c r="AC240" s="239">
        <v>560807</v>
      </c>
      <c r="AD240" s="239">
        <v>981382</v>
      </c>
      <c r="AE240" s="239">
        <v>0</v>
      </c>
      <c r="AF240" s="239">
        <v>981382</v>
      </c>
      <c r="AG240" s="239">
        <v>0</v>
      </c>
      <c r="AH240" s="239">
        <v>0</v>
      </c>
      <c r="AI240" s="239">
        <v>0</v>
      </c>
      <c r="AJ240" s="239">
        <v>0</v>
      </c>
      <c r="AK240" s="239">
        <v>560807</v>
      </c>
      <c r="AL240" s="239">
        <v>0</v>
      </c>
      <c r="AM240" s="239">
        <v>0</v>
      </c>
      <c r="AN240" s="239">
        <v>0</v>
      </c>
      <c r="AO240" s="239">
        <v>0</v>
      </c>
      <c r="AP240" s="239">
        <v>0</v>
      </c>
      <c r="AQ240" s="239">
        <v>0</v>
      </c>
      <c r="AR240" s="239">
        <v>80236075</v>
      </c>
      <c r="AS240" s="239">
        <v>80236075</v>
      </c>
      <c r="AT240" s="239">
        <v>77681959</v>
      </c>
      <c r="AU240" s="239">
        <v>77681959</v>
      </c>
      <c r="AV240" s="239">
        <v>1277058</v>
      </c>
      <c r="AW240" s="239">
        <v>1277058</v>
      </c>
      <c r="AX240" s="239">
        <v>0</v>
      </c>
      <c r="AY240" s="239">
        <v>0</v>
      </c>
      <c r="AZ240" s="239">
        <v>1277058</v>
      </c>
      <c r="BA240" s="239">
        <v>0</v>
      </c>
      <c r="BB240" s="239">
        <v>1277058</v>
      </c>
      <c r="BC240" s="239">
        <v>742895</v>
      </c>
      <c r="BD240" s="239">
        <v>-2010483</v>
      </c>
      <c r="BE240" s="214" t="s">
        <v>562</v>
      </c>
      <c r="BF240" s="214" t="s">
        <v>860</v>
      </c>
      <c r="BG240" s="214" t="s">
        <v>858</v>
      </c>
      <c r="BH240" s="214" t="s">
        <v>1010</v>
      </c>
      <c r="BI240" s="214" t="s">
        <v>1010</v>
      </c>
      <c r="BJ240" s="214" t="s">
        <v>1158</v>
      </c>
    </row>
    <row r="241" spans="2:62" x14ac:dyDescent="0.2">
      <c r="B241" s="602" t="s">
        <v>565</v>
      </c>
      <c r="C241" s="602" t="s">
        <v>564</v>
      </c>
      <c r="D241" s="239">
        <v>24457049</v>
      </c>
      <c r="E241" s="239">
        <v>0</v>
      </c>
      <c r="F241" s="239">
        <v>24457049</v>
      </c>
      <c r="G241" s="239">
        <v>0</v>
      </c>
      <c r="H241" s="239">
        <v>0</v>
      </c>
      <c r="I241" s="239">
        <v>0</v>
      </c>
      <c r="J241" s="239">
        <v>-290944</v>
      </c>
      <c r="K241" s="239">
        <v>0</v>
      </c>
      <c r="L241" s="239">
        <v>-290944</v>
      </c>
      <c r="M241" s="239">
        <v>0</v>
      </c>
      <c r="N241" s="239">
        <v>0</v>
      </c>
      <c r="O241" s="239">
        <v>0</v>
      </c>
      <c r="P241" s="239">
        <v>-145163</v>
      </c>
      <c r="Q241" s="239">
        <v>0</v>
      </c>
      <c r="R241" s="239">
        <v>-145163</v>
      </c>
      <c r="S241" s="239">
        <v>0</v>
      </c>
      <c r="T241" s="239">
        <v>0</v>
      </c>
      <c r="U241" s="239">
        <v>0</v>
      </c>
      <c r="V241" s="239">
        <v>427802</v>
      </c>
      <c r="W241" s="239">
        <v>0</v>
      </c>
      <c r="X241" s="239">
        <v>427802</v>
      </c>
      <c r="Y241" s="239">
        <v>24739688</v>
      </c>
      <c r="Z241" s="239">
        <v>0</v>
      </c>
      <c r="AA241" s="239">
        <v>24739688</v>
      </c>
      <c r="AB241" s="239">
        <v>0</v>
      </c>
      <c r="AC241" s="239">
        <v>0</v>
      </c>
      <c r="AD241" s="239">
        <v>0</v>
      </c>
      <c r="AE241" s="239">
        <v>0</v>
      </c>
      <c r="AF241" s="239">
        <v>0</v>
      </c>
      <c r="AG241" s="239">
        <v>0</v>
      </c>
      <c r="AH241" s="239">
        <v>0</v>
      </c>
      <c r="AI241" s="239">
        <v>0</v>
      </c>
      <c r="AJ241" s="239">
        <v>0</v>
      </c>
      <c r="AK241" s="239">
        <v>0</v>
      </c>
      <c r="AL241" s="239">
        <v>0</v>
      </c>
      <c r="AM241" s="239">
        <v>0</v>
      </c>
      <c r="AN241" s="239">
        <v>0</v>
      </c>
      <c r="AO241" s="239">
        <v>0</v>
      </c>
      <c r="AP241" s="239">
        <v>0</v>
      </c>
      <c r="AQ241" s="239">
        <v>0</v>
      </c>
      <c r="AR241" s="239">
        <v>0</v>
      </c>
      <c r="AS241" s="239">
        <v>0</v>
      </c>
      <c r="AT241" s="239">
        <v>0</v>
      </c>
      <c r="AU241" s="239">
        <v>0</v>
      </c>
      <c r="AV241" s="239">
        <v>0</v>
      </c>
      <c r="AW241" s="239">
        <v>0</v>
      </c>
      <c r="AX241" s="239">
        <v>0</v>
      </c>
      <c r="AY241" s="239">
        <v>0</v>
      </c>
      <c r="AZ241" s="239">
        <v>0</v>
      </c>
      <c r="BA241" s="239">
        <v>0</v>
      </c>
      <c r="BB241" s="239">
        <v>0</v>
      </c>
      <c r="BC241" s="239">
        <v>2114248</v>
      </c>
      <c r="BD241" s="239">
        <v>-609120</v>
      </c>
      <c r="BE241" s="214" t="s">
        <v>564</v>
      </c>
      <c r="BF241" s="214" t="s">
        <v>856</v>
      </c>
      <c r="BG241" s="214" t="s">
        <v>854</v>
      </c>
      <c r="BH241" s="214" t="s">
        <v>1010</v>
      </c>
      <c r="BI241" s="214" t="s">
        <v>1010</v>
      </c>
      <c r="BJ241" s="214" t="s">
        <v>1158</v>
      </c>
    </row>
    <row r="242" spans="2:62" x14ac:dyDescent="0.2">
      <c r="B242" s="602" t="s">
        <v>567</v>
      </c>
      <c r="C242" s="602" t="s">
        <v>566</v>
      </c>
      <c r="D242" s="239">
        <v>136778658</v>
      </c>
      <c r="E242" s="239">
        <v>10773689</v>
      </c>
      <c r="F242" s="239">
        <v>147552347</v>
      </c>
      <c r="G242" s="239">
        <v>0</v>
      </c>
      <c r="H242" s="239">
        <v>0</v>
      </c>
      <c r="I242" s="239">
        <v>0</v>
      </c>
      <c r="J242" s="239">
        <v>-145707</v>
      </c>
      <c r="K242" s="239">
        <v>0</v>
      </c>
      <c r="L242" s="239">
        <v>-145707</v>
      </c>
      <c r="M242" s="239">
        <v>0</v>
      </c>
      <c r="N242" s="239">
        <v>0</v>
      </c>
      <c r="O242" s="239">
        <v>0</v>
      </c>
      <c r="P242" s="239">
        <v>-268595</v>
      </c>
      <c r="Q242" s="239">
        <v>0</v>
      </c>
      <c r="R242" s="239">
        <v>-268595</v>
      </c>
      <c r="S242" s="239">
        <v>1824888</v>
      </c>
      <c r="T242" s="239">
        <v>17646</v>
      </c>
      <c r="U242" s="239">
        <v>1842534</v>
      </c>
      <c r="V242" s="239">
        <v>-4840988</v>
      </c>
      <c r="W242" s="239">
        <v>-432748</v>
      </c>
      <c r="X242" s="239">
        <v>-5273736</v>
      </c>
      <c r="Y242" s="239">
        <v>133493963</v>
      </c>
      <c r="Z242" s="239">
        <v>10358587</v>
      </c>
      <c r="AA242" s="239">
        <v>143852550</v>
      </c>
      <c r="AB242" s="239">
        <v>10358587</v>
      </c>
      <c r="AC242" s="239">
        <v>10358587</v>
      </c>
      <c r="AD242" s="239">
        <v>213128</v>
      </c>
      <c r="AE242" s="239">
        <v>343218</v>
      </c>
      <c r="AF242" s="239">
        <v>556346</v>
      </c>
      <c r="AG242" s="239">
        <v>-158993</v>
      </c>
      <c r="AH242" s="239">
        <v>-158993</v>
      </c>
      <c r="AI242" s="239">
        <v>693418</v>
      </c>
      <c r="AJ242" s="239">
        <v>693418</v>
      </c>
      <c r="AK242" s="239">
        <v>9162958</v>
      </c>
      <c r="AL242" s="239">
        <v>0</v>
      </c>
      <c r="AM242" s="239">
        <v>0</v>
      </c>
      <c r="AN242" s="239">
        <v>0</v>
      </c>
      <c r="AO242" s="239">
        <v>0</v>
      </c>
      <c r="AP242" s="239">
        <v>0</v>
      </c>
      <c r="AQ242" s="239">
        <v>0</v>
      </c>
      <c r="AR242" s="239">
        <v>0</v>
      </c>
      <c r="AS242" s="239">
        <v>0</v>
      </c>
      <c r="AT242" s="239">
        <v>0</v>
      </c>
      <c r="AU242" s="239">
        <v>0</v>
      </c>
      <c r="AV242" s="239">
        <v>0</v>
      </c>
      <c r="AW242" s="239">
        <v>0</v>
      </c>
      <c r="AX242" s="239">
        <v>0</v>
      </c>
      <c r="AY242" s="239">
        <v>0</v>
      </c>
      <c r="AZ242" s="239">
        <v>0</v>
      </c>
      <c r="BA242" s="239">
        <v>0</v>
      </c>
      <c r="BB242" s="239">
        <v>0</v>
      </c>
      <c r="BC242" s="239">
        <v>2559398</v>
      </c>
      <c r="BD242" s="239">
        <v>-3484669</v>
      </c>
      <c r="BE242" s="214" t="s">
        <v>853</v>
      </c>
      <c r="BF242" s="214" t="s">
        <v>746</v>
      </c>
      <c r="BG242" s="214" t="s">
        <v>851</v>
      </c>
      <c r="BH242" s="214" t="s">
        <v>1013</v>
      </c>
      <c r="BI242" s="214" t="s">
        <v>1010</v>
      </c>
      <c r="BJ242" s="214" t="s">
        <v>746</v>
      </c>
    </row>
    <row r="243" spans="2:62" x14ac:dyDescent="0.2">
      <c r="B243" s="602" t="s">
        <v>569</v>
      </c>
      <c r="C243" s="602" t="s">
        <v>568</v>
      </c>
      <c r="D243" s="239">
        <v>29830977</v>
      </c>
      <c r="E243" s="239">
        <v>0</v>
      </c>
      <c r="F243" s="239">
        <v>29830977</v>
      </c>
      <c r="G243" s="239">
        <v>0</v>
      </c>
      <c r="H243" s="239">
        <v>0</v>
      </c>
      <c r="I243" s="239">
        <v>0</v>
      </c>
      <c r="J243" s="239">
        <v>-11103</v>
      </c>
      <c r="K243" s="239">
        <v>0</v>
      </c>
      <c r="L243" s="239">
        <v>-11103</v>
      </c>
      <c r="M243" s="239">
        <v>0</v>
      </c>
      <c r="N243" s="239">
        <v>0</v>
      </c>
      <c r="O243" s="239">
        <v>0</v>
      </c>
      <c r="P243" s="239">
        <v>130906</v>
      </c>
      <c r="Q243" s="239">
        <v>0</v>
      </c>
      <c r="R243" s="239">
        <v>130906</v>
      </c>
      <c r="S243" s="239">
        <v>790449</v>
      </c>
      <c r="T243" s="239">
        <v>0</v>
      </c>
      <c r="U243" s="239">
        <v>790449</v>
      </c>
      <c r="V243" s="239">
        <v>-3384082</v>
      </c>
      <c r="W243" s="239">
        <v>0</v>
      </c>
      <c r="X243" s="239">
        <v>-3384082</v>
      </c>
      <c r="Y243" s="239">
        <v>27368250</v>
      </c>
      <c r="Z243" s="239">
        <v>0</v>
      </c>
      <c r="AA243" s="239">
        <v>27368250</v>
      </c>
      <c r="AB243" s="239">
        <v>0</v>
      </c>
      <c r="AC243" s="239">
        <v>0</v>
      </c>
      <c r="AD243" s="239">
        <v>0</v>
      </c>
      <c r="AE243" s="239">
        <v>0</v>
      </c>
      <c r="AF243" s="239">
        <v>0</v>
      </c>
      <c r="AG243" s="239">
        <v>0</v>
      </c>
      <c r="AH243" s="239">
        <v>0</v>
      </c>
      <c r="AI243" s="239">
        <v>0</v>
      </c>
      <c r="AJ243" s="239">
        <v>0</v>
      </c>
      <c r="AK243" s="239">
        <v>0</v>
      </c>
      <c r="AL243" s="239">
        <v>0</v>
      </c>
      <c r="AM243" s="239">
        <v>0</v>
      </c>
      <c r="AN243" s="239">
        <v>0</v>
      </c>
      <c r="AO243" s="239">
        <v>0</v>
      </c>
      <c r="AP243" s="239">
        <v>0</v>
      </c>
      <c r="AQ243" s="239">
        <v>0</v>
      </c>
      <c r="AR243" s="239">
        <v>0</v>
      </c>
      <c r="AS243" s="239">
        <v>0</v>
      </c>
      <c r="AT243" s="239">
        <v>0</v>
      </c>
      <c r="AU243" s="239">
        <v>0</v>
      </c>
      <c r="AV243" s="239">
        <v>0</v>
      </c>
      <c r="AW243" s="239">
        <v>0</v>
      </c>
      <c r="AX243" s="239">
        <v>0</v>
      </c>
      <c r="AY243" s="239">
        <v>0</v>
      </c>
      <c r="AZ243" s="239">
        <v>0</v>
      </c>
      <c r="BA243" s="239">
        <v>0</v>
      </c>
      <c r="BB243" s="239">
        <v>0</v>
      </c>
      <c r="BC243" s="239">
        <v>1728034</v>
      </c>
      <c r="BD243" s="239">
        <v>-766132</v>
      </c>
      <c r="BE243" s="214" t="s">
        <v>568</v>
      </c>
      <c r="BF243" s="214" t="s">
        <v>798</v>
      </c>
      <c r="BG243" s="214" t="s">
        <v>790</v>
      </c>
      <c r="BH243" s="214" t="s">
        <v>1010</v>
      </c>
      <c r="BI243" s="214" t="s">
        <v>1010</v>
      </c>
      <c r="BJ243" s="214" t="s">
        <v>1158</v>
      </c>
    </row>
    <row r="244" spans="2:62" x14ac:dyDescent="0.2">
      <c r="B244" s="602" t="s">
        <v>571</v>
      </c>
      <c r="C244" s="602" t="s">
        <v>570</v>
      </c>
      <c r="D244" s="239">
        <v>25955236</v>
      </c>
      <c r="E244" s="239">
        <v>0</v>
      </c>
      <c r="F244" s="239">
        <v>25955236</v>
      </c>
      <c r="G244" s="239">
        <v>0</v>
      </c>
      <c r="H244" s="239">
        <v>0</v>
      </c>
      <c r="I244" s="239">
        <v>0</v>
      </c>
      <c r="J244" s="239">
        <v>-91001</v>
      </c>
      <c r="K244" s="239">
        <v>0</v>
      </c>
      <c r="L244" s="239">
        <v>-91001</v>
      </c>
      <c r="M244" s="239">
        <v>0</v>
      </c>
      <c r="N244" s="239">
        <v>0</v>
      </c>
      <c r="O244" s="239">
        <v>0</v>
      </c>
      <c r="P244" s="239">
        <v>-16002</v>
      </c>
      <c r="Q244" s="239">
        <v>0</v>
      </c>
      <c r="R244" s="239">
        <v>-16002</v>
      </c>
      <c r="S244" s="239">
        <v>593839</v>
      </c>
      <c r="T244" s="239">
        <v>0</v>
      </c>
      <c r="U244" s="239">
        <v>593839</v>
      </c>
      <c r="V244" s="239">
        <v>161334</v>
      </c>
      <c r="W244" s="239">
        <v>0</v>
      </c>
      <c r="X244" s="239">
        <v>161334</v>
      </c>
      <c r="Y244" s="239">
        <v>26694407</v>
      </c>
      <c r="Z244" s="239">
        <v>0</v>
      </c>
      <c r="AA244" s="239">
        <v>26694407</v>
      </c>
      <c r="AB244" s="239">
        <v>0</v>
      </c>
      <c r="AC244" s="239">
        <v>0</v>
      </c>
      <c r="AD244" s="239">
        <v>311957</v>
      </c>
      <c r="AE244" s="239">
        <v>0</v>
      </c>
      <c r="AF244" s="239">
        <v>311957</v>
      </c>
      <c r="AG244" s="239">
        <v>0</v>
      </c>
      <c r="AH244" s="239">
        <v>0</v>
      </c>
      <c r="AI244" s="239">
        <v>0</v>
      </c>
      <c r="AJ244" s="239">
        <v>0</v>
      </c>
      <c r="AK244" s="239">
        <v>0</v>
      </c>
      <c r="AL244" s="239">
        <v>0</v>
      </c>
      <c r="AM244" s="239">
        <v>0</v>
      </c>
      <c r="AN244" s="239">
        <v>0</v>
      </c>
      <c r="AO244" s="239">
        <v>0</v>
      </c>
      <c r="AP244" s="239">
        <v>0</v>
      </c>
      <c r="AQ244" s="239">
        <v>0</v>
      </c>
      <c r="AR244" s="239">
        <v>0</v>
      </c>
      <c r="AS244" s="239">
        <v>0</v>
      </c>
      <c r="AT244" s="239">
        <v>0</v>
      </c>
      <c r="AU244" s="239">
        <v>0</v>
      </c>
      <c r="AV244" s="239">
        <v>0</v>
      </c>
      <c r="AW244" s="239">
        <v>0</v>
      </c>
      <c r="AX244" s="239">
        <v>0</v>
      </c>
      <c r="AY244" s="239">
        <v>0</v>
      </c>
      <c r="AZ244" s="239">
        <v>0</v>
      </c>
      <c r="BA244" s="239">
        <v>0</v>
      </c>
      <c r="BB244" s="239">
        <v>0</v>
      </c>
      <c r="BC244" s="239">
        <v>795216</v>
      </c>
      <c r="BD244" s="239">
        <v>-411536</v>
      </c>
      <c r="BE244" s="214" t="s">
        <v>570</v>
      </c>
      <c r="BF244" s="214" t="s">
        <v>796</v>
      </c>
      <c r="BG244" s="214" t="s">
        <v>761</v>
      </c>
      <c r="BH244" s="214" t="s">
        <v>1010</v>
      </c>
      <c r="BI244" s="214" t="s">
        <v>1010</v>
      </c>
      <c r="BJ244" s="214" t="s">
        <v>1158</v>
      </c>
    </row>
    <row r="245" spans="2:62" x14ac:dyDescent="0.2">
      <c r="B245" s="602" t="s">
        <v>573</v>
      </c>
      <c r="C245" s="602" t="s">
        <v>572</v>
      </c>
      <c r="D245" s="239">
        <v>40616347</v>
      </c>
      <c r="E245" s="239">
        <v>0</v>
      </c>
      <c r="F245" s="239">
        <v>40616347</v>
      </c>
      <c r="G245" s="239">
        <v>0</v>
      </c>
      <c r="H245" s="239">
        <v>0</v>
      </c>
      <c r="I245" s="239">
        <v>0</v>
      </c>
      <c r="J245" s="239">
        <v>0</v>
      </c>
      <c r="K245" s="239">
        <v>0</v>
      </c>
      <c r="L245" s="239">
        <v>0</v>
      </c>
      <c r="M245" s="239">
        <v>-125718</v>
      </c>
      <c r="N245" s="239">
        <v>0</v>
      </c>
      <c r="O245" s="239">
        <v>-125718</v>
      </c>
      <c r="P245" s="239">
        <v>86000</v>
      </c>
      <c r="Q245" s="239">
        <v>0</v>
      </c>
      <c r="R245" s="239">
        <v>86000</v>
      </c>
      <c r="S245" s="239">
        <v>1481523</v>
      </c>
      <c r="T245" s="239">
        <v>0</v>
      </c>
      <c r="U245" s="239">
        <v>1481523</v>
      </c>
      <c r="V245" s="239">
        <v>-2002000</v>
      </c>
      <c r="W245" s="239">
        <v>0</v>
      </c>
      <c r="X245" s="239">
        <v>-2002000</v>
      </c>
      <c r="Y245" s="239">
        <v>40056152</v>
      </c>
      <c r="Z245" s="239">
        <v>0</v>
      </c>
      <c r="AA245" s="239">
        <v>40056152</v>
      </c>
      <c r="AB245" s="239">
        <v>0</v>
      </c>
      <c r="AC245" s="239">
        <v>0</v>
      </c>
      <c r="AD245" s="239">
        <v>5905</v>
      </c>
      <c r="AE245" s="239">
        <v>0</v>
      </c>
      <c r="AF245" s="239">
        <v>5905</v>
      </c>
      <c r="AG245" s="239">
        <v>0</v>
      </c>
      <c r="AH245" s="239">
        <v>0</v>
      </c>
      <c r="AI245" s="239">
        <v>0</v>
      </c>
      <c r="AJ245" s="239">
        <v>0</v>
      </c>
      <c r="AK245" s="239">
        <v>0</v>
      </c>
      <c r="AL245" s="239">
        <v>0</v>
      </c>
      <c r="AM245" s="239">
        <v>0</v>
      </c>
      <c r="AN245" s="239">
        <v>0</v>
      </c>
      <c r="AO245" s="239">
        <v>0</v>
      </c>
      <c r="AP245" s="239">
        <v>0</v>
      </c>
      <c r="AQ245" s="239">
        <v>0</v>
      </c>
      <c r="AR245" s="239">
        <v>0</v>
      </c>
      <c r="AS245" s="239">
        <v>0</v>
      </c>
      <c r="AT245" s="239">
        <v>0</v>
      </c>
      <c r="AU245" s="239">
        <v>0</v>
      </c>
      <c r="AV245" s="239">
        <v>0</v>
      </c>
      <c r="AW245" s="239">
        <v>0</v>
      </c>
      <c r="AX245" s="239">
        <v>0</v>
      </c>
      <c r="AY245" s="239">
        <v>0</v>
      </c>
      <c r="AZ245" s="239">
        <v>0</v>
      </c>
      <c r="BA245" s="239">
        <v>0</v>
      </c>
      <c r="BB245" s="239">
        <v>0</v>
      </c>
      <c r="BC245" s="239">
        <v>1171952</v>
      </c>
      <c r="BD245" s="239">
        <v>-1008169</v>
      </c>
      <c r="BE245" s="214" t="s">
        <v>572</v>
      </c>
      <c r="BF245" s="214" t="s">
        <v>796</v>
      </c>
      <c r="BG245" s="214" t="s">
        <v>761</v>
      </c>
      <c r="BH245" s="214" t="s">
        <v>1010</v>
      </c>
      <c r="BI245" s="214" t="s">
        <v>1010</v>
      </c>
      <c r="BJ245" s="214" t="s">
        <v>1158</v>
      </c>
    </row>
    <row r="246" spans="2:62" x14ac:dyDescent="0.2">
      <c r="B246" s="602" t="s">
        <v>575</v>
      </c>
      <c r="C246" s="602" t="s">
        <v>574</v>
      </c>
      <c r="D246" s="239">
        <v>40575816</v>
      </c>
      <c r="E246" s="239">
        <v>0</v>
      </c>
      <c r="F246" s="239">
        <v>40575816</v>
      </c>
      <c r="G246" s="239">
        <v>0</v>
      </c>
      <c r="H246" s="239">
        <v>0</v>
      </c>
      <c r="I246" s="239">
        <v>0</v>
      </c>
      <c r="J246" s="239">
        <v>-157405</v>
      </c>
      <c r="K246" s="239">
        <v>0</v>
      </c>
      <c r="L246" s="239">
        <v>-157405</v>
      </c>
      <c r="M246" s="239">
        <v>0</v>
      </c>
      <c r="N246" s="239">
        <v>0</v>
      </c>
      <c r="O246" s="239">
        <v>0</v>
      </c>
      <c r="P246" s="239">
        <v>-131961</v>
      </c>
      <c r="Q246" s="239">
        <v>0</v>
      </c>
      <c r="R246" s="239">
        <v>-131961</v>
      </c>
      <c r="S246" s="239">
        <v>1757625</v>
      </c>
      <c r="T246" s="239">
        <v>0</v>
      </c>
      <c r="U246" s="239">
        <v>1757625</v>
      </c>
      <c r="V246" s="239">
        <v>-1977454</v>
      </c>
      <c r="W246" s="239">
        <v>0</v>
      </c>
      <c r="X246" s="239">
        <v>-1977454</v>
      </c>
      <c r="Y246" s="239">
        <v>40224026</v>
      </c>
      <c r="Z246" s="239">
        <v>0</v>
      </c>
      <c r="AA246" s="239">
        <v>40224026</v>
      </c>
      <c r="AB246" s="239">
        <v>0</v>
      </c>
      <c r="AC246" s="239">
        <v>0</v>
      </c>
      <c r="AD246" s="239">
        <v>0</v>
      </c>
      <c r="AE246" s="239">
        <v>0</v>
      </c>
      <c r="AF246" s="239">
        <v>0</v>
      </c>
      <c r="AG246" s="239">
        <v>0</v>
      </c>
      <c r="AH246" s="239">
        <v>0</v>
      </c>
      <c r="AI246" s="239">
        <v>0</v>
      </c>
      <c r="AJ246" s="239">
        <v>0</v>
      </c>
      <c r="AK246" s="239">
        <v>0</v>
      </c>
      <c r="AL246" s="239">
        <v>0</v>
      </c>
      <c r="AM246" s="239">
        <v>0</v>
      </c>
      <c r="AN246" s="239">
        <v>0</v>
      </c>
      <c r="AO246" s="239">
        <v>0</v>
      </c>
      <c r="AP246" s="239">
        <v>0</v>
      </c>
      <c r="AQ246" s="239">
        <v>0</v>
      </c>
      <c r="AR246" s="239">
        <v>0</v>
      </c>
      <c r="AS246" s="239">
        <v>0</v>
      </c>
      <c r="AT246" s="239">
        <v>0</v>
      </c>
      <c r="AU246" s="239">
        <v>0</v>
      </c>
      <c r="AV246" s="239">
        <v>0</v>
      </c>
      <c r="AW246" s="239">
        <v>0</v>
      </c>
      <c r="AX246" s="239">
        <v>0</v>
      </c>
      <c r="AY246" s="239">
        <v>0</v>
      </c>
      <c r="AZ246" s="239">
        <v>0</v>
      </c>
      <c r="BA246" s="239">
        <v>0</v>
      </c>
      <c r="BB246" s="239">
        <v>0</v>
      </c>
      <c r="BC246" s="239">
        <v>1669590</v>
      </c>
      <c r="BD246" s="239">
        <v>-627575</v>
      </c>
      <c r="BE246" s="214" t="s">
        <v>574</v>
      </c>
      <c r="BF246" s="214" t="s">
        <v>849</v>
      </c>
      <c r="BG246" s="214" t="s">
        <v>761</v>
      </c>
      <c r="BH246" s="214" t="s">
        <v>1010</v>
      </c>
      <c r="BI246" s="214" t="s">
        <v>1010</v>
      </c>
      <c r="BJ246" s="214" t="s">
        <v>1158</v>
      </c>
    </row>
    <row r="247" spans="2:62" x14ac:dyDescent="0.2">
      <c r="B247" s="602" t="s">
        <v>577</v>
      </c>
      <c r="C247" s="602" t="s">
        <v>576</v>
      </c>
      <c r="D247" s="239">
        <v>27927755</v>
      </c>
      <c r="E247" s="239">
        <v>-3123</v>
      </c>
      <c r="F247" s="239">
        <v>27924632</v>
      </c>
      <c r="G247" s="239">
        <v>0</v>
      </c>
      <c r="H247" s="239">
        <v>0</v>
      </c>
      <c r="I247" s="239">
        <v>0</v>
      </c>
      <c r="J247" s="239">
        <v>-125898</v>
      </c>
      <c r="K247" s="239">
        <v>0</v>
      </c>
      <c r="L247" s="239">
        <v>-125898</v>
      </c>
      <c r="M247" s="239">
        <v>0</v>
      </c>
      <c r="N247" s="239">
        <v>0</v>
      </c>
      <c r="O247" s="239">
        <v>0</v>
      </c>
      <c r="P247" s="239">
        <v>-274290</v>
      </c>
      <c r="Q247" s="239">
        <v>0</v>
      </c>
      <c r="R247" s="239">
        <v>-274290</v>
      </c>
      <c r="S247" s="239">
        <v>1221869</v>
      </c>
      <c r="T247" s="239">
        <v>0</v>
      </c>
      <c r="U247" s="239">
        <v>1221869</v>
      </c>
      <c r="V247" s="239">
        <v>-117985</v>
      </c>
      <c r="W247" s="239">
        <v>0</v>
      </c>
      <c r="X247" s="239">
        <v>-117985</v>
      </c>
      <c r="Y247" s="239">
        <v>28757349</v>
      </c>
      <c r="Z247" s="239">
        <v>-3123</v>
      </c>
      <c r="AA247" s="239">
        <v>28754226</v>
      </c>
      <c r="AB247" s="239">
        <v>-3123</v>
      </c>
      <c r="AC247" s="239">
        <v>-3123</v>
      </c>
      <c r="AD247" s="239">
        <v>156880</v>
      </c>
      <c r="AE247" s="239">
        <v>0</v>
      </c>
      <c r="AF247" s="239">
        <v>156880</v>
      </c>
      <c r="AG247" s="239">
        <v>-11930</v>
      </c>
      <c r="AH247" s="239">
        <v>-11930</v>
      </c>
      <c r="AI247" s="239">
        <v>197644</v>
      </c>
      <c r="AJ247" s="239">
        <v>197644</v>
      </c>
      <c r="AK247" s="239">
        <v>0</v>
      </c>
      <c r="AL247" s="239">
        <v>0</v>
      </c>
      <c r="AM247" s="239">
        <v>0</v>
      </c>
      <c r="AN247" s="239">
        <v>0</v>
      </c>
      <c r="AO247" s="239">
        <v>0</v>
      </c>
      <c r="AP247" s="239">
        <v>227686</v>
      </c>
      <c r="AQ247" s="239">
        <v>227686</v>
      </c>
      <c r="AR247" s="239">
        <v>0</v>
      </c>
      <c r="AS247" s="239">
        <v>0</v>
      </c>
      <c r="AT247" s="239">
        <v>0</v>
      </c>
      <c r="AU247" s="239">
        <v>0</v>
      </c>
      <c r="AV247" s="239">
        <v>0</v>
      </c>
      <c r="AW247" s="239">
        <v>0</v>
      </c>
      <c r="AX247" s="239">
        <v>0</v>
      </c>
      <c r="AY247" s="239">
        <v>0</v>
      </c>
      <c r="AZ247" s="239">
        <v>0</v>
      </c>
      <c r="BA247" s="239">
        <v>227686</v>
      </c>
      <c r="BB247" s="239">
        <v>227686</v>
      </c>
      <c r="BC247" s="239">
        <v>1259502</v>
      </c>
      <c r="BD247" s="239">
        <v>-429653</v>
      </c>
      <c r="BE247" s="214" t="s">
        <v>576</v>
      </c>
      <c r="BF247" s="214" t="s">
        <v>847</v>
      </c>
      <c r="BG247" s="214" t="s">
        <v>761</v>
      </c>
      <c r="BH247" s="214" t="s">
        <v>1010</v>
      </c>
      <c r="BI247" s="214" t="s">
        <v>1010</v>
      </c>
      <c r="BJ247" s="214" t="s">
        <v>1158</v>
      </c>
    </row>
    <row r="248" spans="2:62" x14ac:dyDescent="0.2">
      <c r="B248" s="602" t="s">
        <v>579</v>
      </c>
      <c r="C248" s="602" t="s">
        <v>578</v>
      </c>
      <c r="D248" s="239">
        <v>22877288</v>
      </c>
      <c r="E248" s="239">
        <v>0</v>
      </c>
      <c r="F248" s="239">
        <v>22877288</v>
      </c>
      <c r="G248" s="239">
        <v>0</v>
      </c>
      <c r="H248" s="239">
        <v>0</v>
      </c>
      <c r="I248" s="239">
        <v>0</v>
      </c>
      <c r="J248" s="239">
        <v>0</v>
      </c>
      <c r="K248" s="239">
        <v>0</v>
      </c>
      <c r="L248" s="239">
        <v>0</v>
      </c>
      <c r="M248" s="239">
        <v>-143452</v>
      </c>
      <c r="N248" s="239">
        <v>0</v>
      </c>
      <c r="O248" s="239">
        <v>-143452</v>
      </c>
      <c r="P248" s="239">
        <v>58331</v>
      </c>
      <c r="Q248" s="239">
        <v>0</v>
      </c>
      <c r="R248" s="239">
        <v>58331</v>
      </c>
      <c r="S248" s="239">
        <v>1365767</v>
      </c>
      <c r="T248" s="239">
        <v>0</v>
      </c>
      <c r="U248" s="239">
        <v>1365767</v>
      </c>
      <c r="V248" s="239">
        <v>-998036</v>
      </c>
      <c r="W248" s="239">
        <v>0</v>
      </c>
      <c r="X248" s="239">
        <v>-998036</v>
      </c>
      <c r="Y248" s="239">
        <v>23159898</v>
      </c>
      <c r="Z248" s="239">
        <v>0</v>
      </c>
      <c r="AA248" s="239">
        <v>23159898</v>
      </c>
      <c r="AB248" s="239">
        <v>0</v>
      </c>
      <c r="AC248" s="239">
        <v>0</v>
      </c>
      <c r="AD248" s="239">
        <v>340967</v>
      </c>
      <c r="AE248" s="239">
        <v>0</v>
      </c>
      <c r="AF248" s="239">
        <v>340967</v>
      </c>
      <c r="AG248" s="239">
        <v>0</v>
      </c>
      <c r="AH248" s="239">
        <v>0</v>
      </c>
      <c r="AI248" s="239">
        <v>0</v>
      </c>
      <c r="AJ248" s="239">
        <v>0</v>
      </c>
      <c r="AK248" s="239">
        <v>0</v>
      </c>
      <c r="AL248" s="239">
        <v>0</v>
      </c>
      <c r="AM248" s="239">
        <v>0</v>
      </c>
      <c r="AN248" s="239">
        <v>0</v>
      </c>
      <c r="AO248" s="239">
        <v>0</v>
      </c>
      <c r="AP248" s="239">
        <v>0</v>
      </c>
      <c r="AQ248" s="239">
        <v>0</v>
      </c>
      <c r="AR248" s="239">
        <v>0</v>
      </c>
      <c r="AS248" s="239">
        <v>0</v>
      </c>
      <c r="AT248" s="239">
        <v>0</v>
      </c>
      <c r="AU248" s="239">
        <v>0</v>
      </c>
      <c r="AV248" s="239">
        <v>0</v>
      </c>
      <c r="AW248" s="239">
        <v>0</v>
      </c>
      <c r="AX248" s="239">
        <v>0</v>
      </c>
      <c r="AY248" s="239">
        <v>0</v>
      </c>
      <c r="AZ248" s="239">
        <v>0</v>
      </c>
      <c r="BA248" s="239">
        <v>0</v>
      </c>
      <c r="BB248" s="239">
        <v>0</v>
      </c>
      <c r="BC248" s="239">
        <v>862503</v>
      </c>
      <c r="BD248" s="239">
        <v>-943820</v>
      </c>
      <c r="BE248" s="214" t="s">
        <v>578</v>
      </c>
      <c r="BF248" s="214" t="s">
        <v>803</v>
      </c>
      <c r="BG248" s="214" t="s">
        <v>761</v>
      </c>
      <c r="BH248" s="214" t="s">
        <v>1010</v>
      </c>
      <c r="BI248" s="214" t="s">
        <v>1010</v>
      </c>
      <c r="BJ248" s="214" t="s">
        <v>1158</v>
      </c>
    </row>
    <row r="249" spans="2:62" x14ac:dyDescent="0.2">
      <c r="B249" s="602" t="s">
        <v>581</v>
      </c>
      <c r="C249" s="602" t="s">
        <v>580</v>
      </c>
      <c r="D249" s="239">
        <v>42295814</v>
      </c>
      <c r="E249" s="239">
        <v>232473</v>
      </c>
      <c r="F249" s="239">
        <v>42528287</v>
      </c>
      <c r="G249" s="239">
        <v>0</v>
      </c>
      <c r="H249" s="239">
        <v>0</v>
      </c>
      <c r="I249" s="239">
        <v>0</v>
      </c>
      <c r="J249" s="239">
        <v>-41121</v>
      </c>
      <c r="K249" s="239">
        <v>0</v>
      </c>
      <c r="L249" s="239">
        <v>-41121</v>
      </c>
      <c r="M249" s="239">
        <v>0</v>
      </c>
      <c r="N249" s="239">
        <v>0</v>
      </c>
      <c r="O249" s="239">
        <v>0</v>
      </c>
      <c r="P249" s="239">
        <v>-189981</v>
      </c>
      <c r="Q249" s="239">
        <v>0</v>
      </c>
      <c r="R249" s="239">
        <v>-189981</v>
      </c>
      <c r="S249" s="239">
        <v>1957261</v>
      </c>
      <c r="T249" s="239">
        <v>0</v>
      </c>
      <c r="U249" s="239">
        <v>1957261</v>
      </c>
      <c r="V249" s="239">
        <v>-3511752</v>
      </c>
      <c r="W249" s="239">
        <v>0</v>
      </c>
      <c r="X249" s="239">
        <v>-3511752</v>
      </c>
      <c r="Y249" s="239">
        <v>40551342</v>
      </c>
      <c r="Z249" s="239">
        <v>232473</v>
      </c>
      <c r="AA249" s="239">
        <v>40783815</v>
      </c>
      <c r="AB249" s="239">
        <v>232473</v>
      </c>
      <c r="AC249" s="239">
        <v>232473</v>
      </c>
      <c r="AD249" s="239">
        <v>90098</v>
      </c>
      <c r="AE249" s="239">
        <v>0</v>
      </c>
      <c r="AF249" s="239">
        <v>90098</v>
      </c>
      <c r="AG249" s="239">
        <v>-1116</v>
      </c>
      <c r="AH249" s="239">
        <v>-1116</v>
      </c>
      <c r="AI249" s="239">
        <v>182915</v>
      </c>
      <c r="AJ249" s="239">
        <v>182915</v>
      </c>
      <c r="AK249" s="239">
        <v>48442</v>
      </c>
      <c r="AL249" s="239">
        <v>0</v>
      </c>
      <c r="AM249" s="239">
        <v>0</v>
      </c>
      <c r="AN249" s="239">
        <v>0</v>
      </c>
      <c r="AO249" s="239">
        <v>0</v>
      </c>
      <c r="AP249" s="239">
        <v>0</v>
      </c>
      <c r="AQ249" s="239">
        <v>0</v>
      </c>
      <c r="AR249" s="239">
        <v>0</v>
      </c>
      <c r="AS249" s="239">
        <v>0</v>
      </c>
      <c r="AT249" s="239">
        <v>0</v>
      </c>
      <c r="AU249" s="239">
        <v>0</v>
      </c>
      <c r="AV249" s="239">
        <v>0</v>
      </c>
      <c r="AW249" s="239">
        <v>0</v>
      </c>
      <c r="AX249" s="239">
        <v>0</v>
      </c>
      <c r="AY249" s="239">
        <v>0</v>
      </c>
      <c r="AZ249" s="239">
        <v>0</v>
      </c>
      <c r="BA249" s="239">
        <v>0</v>
      </c>
      <c r="BB249" s="239">
        <v>0</v>
      </c>
      <c r="BC249" s="239">
        <v>2049059</v>
      </c>
      <c r="BD249" s="239">
        <v>-1359186</v>
      </c>
      <c r="BE249" s="214" t="s">
        <v>580</v>
      </c>
      <c r="BF249" s="214" t="s">
        <v>794</v>
      </c>
      <c r="BG249" s="214" t="s">
        <v>761</v>
      </c>
      <c r="BH249" s="214" t="s">
        <v>1010</v>
      </c>
      <c r="BI249" s="214" t="s">
        <v>1010</v>
      </c>
      <c r="BJ249" s="214" t="s">
        <v>1158</v>
      </c>
    </row>
    <row r="250" spans="2:62" x14ac:dyDescent="0.2">
      <c r="B250" s="602" t="s">
        <v>583</v>
      </c>
      <c r="C250" s="602" t="s">
        <v>582</v>
      </c>
      <c r="D250" s="239">
        <v>37930178</v>
      </c>
      <c r="E250" s="239">
        <v>0</v>
      </c>
      <c r="F250" s="239">
        <v>37930178</v>
      </c>
      <c r="G250" s="239">
        <v>0</v>
      </c>
      <c r="H250" s="239">
        <v>0</v>
      </c>
      <c r="I250" s="239">
        <v>0</v>
      </c>
      <c r="J250" s="239">
        <v>-278601</v>
      </c>
      <c r="K250" s="239">
        <v>0</v>
      </c>
      <c r="L250" s="239">
        <v>-278601</v>
      </c>
      <c r="M250" s="239">
        <v>-41148</v>
      </c>
      <c r="N250" s="239">
        <v>0</v>
      </c>
      <c r="O250" s="239">
        <v>-41148</v>
      </c>
      <c r="P250" s="239">
        <v>-335254</v>
      </c>
      <c r="Q250" s="239">
        <v>0</v>
      </c>
      <c r="R250" s="239">
        <v>-335254</v>
      </c>
      <c r="S250" s="239">
        <v>790294</v>
      </c>
      <c r="T250" s="239">
        <v>0</v>
      </c>
      <c r="U250" s="239">
        <v>790294</v>
      </c>
      <c r="V250" s="239">
        <v>-2040294</v>
      </c>
      <c r="W250" s="239">
        <v>0</v>
      </c>
      <c r="X250" s="239">
        <v>-2040294</v>
      </c>
      <c r="Y250" s="239">
        <v>36303776</v>
      </c>
      <c r="Z250" s="239">
        <v>0</v>
      </c>
      <c r="AA250" s="239">
        <v>36303776</v>
      </c>
      <c r="AB250" s="239">
        <v>0</v>
      </c>
      <c r="AC250" s="239">
        <v>0</v>
      </c>
      <c r="AD250" s="239">
        <v>9302</v>
      </c>
      <c r="AE250" s="239">
        <v>0</v>
      </c>
      <c r="AF250" s="239">
        <v>9302</v>
      </c>
      <c r="AG250" s="239">
        <v>0</v>
      </c>
      <c r="AH250" s="239">
        <v>0</v>
      </c>
      <c r="AI250" s="239">
        <v>0</v>
      </c>
      <c r="AJ250" s="239">
        <v>0</v>
      </c>
      <c r="AK250" s="239">
        <v>0</v>
      </c>
      <c r="AL250" s="239">
        <v>0</v>
      </c>
      <c r="AM250" s="239">
        <v>0</v>
      </c>
      <c r="AN250" s="239">
        <v>0</v>
      </c>
      <c r="AO250" s="239">
        <v>0</v>
      </c>
      <c r="AP250" s="239">
        <v>0</v>
      </c>
      <c r="AQ250" s="239">
        <v>0</v>
      </c>
      <c r="AR250" s="239">
        <v>0</v>
      </c>
      <c r="AS250" s="239">
        <v>0</v>
      </c>
      <c r="AT250" s="239">
        <v>0</v>
      </c>
      <c r="AU250" s="239">
        <v>0</v>
      </c>
      <c r="AV250" s="239">
        <v>0</v>
      </c>
      <c r="AW250" s="239">
        <v>0</v>
      </c>
      <c r="AX250" s="239">
        <v>0</v>
      </c>
      <c r="AY250" s="239">
        <v>0</v>
      </c>
      <c r="AZ250" s="239">
        <v>0</v>
      </c>
      <c r="BA250" s="239">
        <v>0</v>
      </c>
      <c r="BB250" s="239">
        <v>0</v>
      </c>
      <c r="BC250" s="239">
        <v>1222934</v>
      </c>
      <c r="BD250" s="239">
        <v>-584120</v>
      </c>
      <c r="BE250" s="214" t="s">
        <v>582</v>
      </c>
      <c r="BF250" s="214" t="s">
        <v>755</v>
      </c>
      <c r="BG250" s="214" t="s">
        <v>753</v>
      </c>
      <c r="BH250" s="214" t="s">
        <v>1010</v>
      </c>
      <c r="BI250" s="214" t="s">
        <v>1010</v>
      </c>
      <c r="BJ250" s="214" t="s">
        <v>1158</v>
      </c>
    </row>
    <row r="251" spans="2:62" x14ac:dyDescent="0.2">
      <c r="B251" s="602" t="s">
        <v>585</v>
      </c>
      <c r="C251" s="602" t="s">
        <v>584</v>
      </c>
      <c r="D251" s="239">
        <v>39986271</v>
      </c>
      <c r="E251" s="239">
        <v>0</v>
      </c>
      <c r="F251" s="239">
        <v>39986271</v>
      </c>
      <c r="G251" s="239">
        <v>0</v>
      </c>
      <c r="H251" s="239">
        <v>0</v>
      </c>
      <c r="I251" s="239">
        <v>0</v>
      </c>
      <c r="J251" s="239">
        <v>-544875</v>
      </c>
      <c r="K251" s="239">
        <v>0</v>
      </c>
      <c r="L251" s="239">
        <v>-544875</v>
      </c>
      <c r="M251" s="239">
        <v>0</v>
      </c>
      <c r="N251" s="239">
        <v>0</v>
      </c>
      <c r="O251" s="239">
        <v>0</v>
      </c>
      <c r="P251" s="239">
        <v>-441475</v>
      </c>
      <c r="Q251" s="239">
        <v>0</v>
      </c>
      <c r="R251" s="239">
        <v>-441475</v>
      </c>
      <c r="S251" s="239">
        <v>4001485</v>
      </c>
      <c r="T251" s="239">
        <v>0</v>
      </c>
      <c r="U251" s="239">
        <v>4001485</v>
      </c>
      <c r="V251" s="239">
        <v>-2384056</v>
      </c>
      <c r="W251" s="239">
        <v>0</v>
      </c>
      <c r="X251" s="239">
        <v>-2384056</v>
      </c>
      <c r="Y251" s="239">
        <v>41162225</v>
      </c>
      <c r="Z251" s="239">
        <v>0</v>
      </c>
      <c r="AA251" s="239">
        <v>41162225</v>
      </c>
      <c r="AB251" s="239">
        <v>0</v>
      </c>
      <c r="AC251" s="239">
        <v>0</v>
      </c>
      <c r="AD251" s="239">
        <v>521513</v>
      </c>
      <c r="AE251" s="239">
        <v>0</v>
      </c>
      <c r="AF251" s="239">
        <v>521513</v>
      </c>
      <c r="AG251" s="239">
        <v>0</v>
      </c>
      <c r="AH251" s="239">
        <v>0</v>
      </c>
      <c r="AI251" s="239">
        <v>0</v>
      </c>
      <c r="AJ251" s="239">
        <v>0</v>
      </c>
      <c r="AK251" s="239">
        <v>0</v>
      </c>
      <c r="AL251" s="239">
        <v>0</v>
      </c>
      <c r="AM251" s="239">
        <v>0</v>
      </c>
      <c r="AN251" s="239">
        <v>0</v>
      </c>
      <c r="AO251" s="239">
        <v>0</v>
      </c>
      <c r="AP251" s="239">
        <v>0</v>
      </c>
      <c r="AQ251" s="239">
        <v>0</v>
      </c>
      <c r="AR251" s="239">
        <v>0</v>
      </c>
      <c r="AS251" s="239">
        <v>0</v>
      </c>
      <c r="AT251" s="239">
        <v>0</v>
      </c>
      <c r="AU251" s="239">
        <v>0</v>
      </c>
      <c r="AV251" s="239">
        <v>0</v>
      </c>
      <c r="AW251" s="239">
        <v>0</v>
      </c>
      <c r="AX251" s="239">
        <v>0</v>
      </c>
      <c r="AY251" s="239">
        <v>0</v>
      </c>
      <c r="AZ251" s="239">
        <v>0</v>
      </c>
      <c r="BA251" s="239">
        <v>0</v>
      </c>
      <c r="BB251" s="239">
        <v>0</v>
      </c>
      <c r="BC251" s="239">
        <v>2301053</v>
      </c>
      <c r="BD251" s="239">
        <v>-613591</v>
      </c>
      <c r="BE251" s="214" t="s">
        <v>584</v>
      </c>
      <c r="BF251" s="214" t="s">
        <v>792</v>
      </c>
      <c r="BG251" s="214" t="s">
        <v>790</v>
      </c>
      <c r="BH251" s="214" t="s">
        <v>1010</v>
      </c>
      <c r="BI251" s="214" t="s">
        <v>1010</v>
      </c>
      <c r="BJ251" s="214" t="s">
        <v>1158</v>
      </c>
    </row>
    <row r="252" spans="2:62" x14ac:dyDescent="0.2">
      <c r="B252" s="602" t="s">
        <v>587</v>
      </c>
      <c r="C252" s="602" t="s">
        <v>586</v>
      </c>
      <c r="D252" s="239">
        <v>22015858</v>
      </c>
      <c r="E252" s="239">
        <v>2822330</v>
      </c>
      <c r="F252" s="239">
        <v>24838188</v>
      </c>
      <c r="G252" s="239">
        <v>0</v>
      </c>
      <c r="H252" s="239">
        <v>0</v>
      </c>
      <c r="I252" s="239">
        <v>0</v>
      </c>
      <c r="J252" s="239">
        <v>-175420</v>
      </c>
      <c r="K252" s="239">
        <v>0</v>
      </c>
      <c r="L252" s="239">
        <v>-175420</v>
      </c>
      <c r="M252" s="239">
        <v>0</v>
      </c>
      <c r="N252" s="239">
        <v>0</v>
      </c>
      <c r="O252" s="239">
        <v>0</v>
      </c>
      <c r="P252" s="239">
        <v>-159420</v>
      </c>
      <c r="Q252" s="239">
        <v>0</v>
      </c>
      <c r="R252" s="239">
        <v>-159420</v>
      </c>
      <c r="S252" s="239">
        <v>637155</v>
      </c>
      <c r="T252" s="239">
        <v>0</v>
      </c>
      <c r="U252" s="239">
        <v>637155</v>
      </c>
      <c r="V252" s="239">
        <v>5331</v>
      </c>
      <c r="W252" s="239">
        <v>-308865</v>
      </c>
      <c r="X252" s="239">
        <v>-303534</v>
      </c>
      <c r="Y252" s="239">
        <v>22498924</v>
      </c>
      <c r="Z252" s="239">
        <v>2513465</v>
      </c>
      <c r="AA252" s="239">
        <v>25012389</v>
      </c>
      <c r="AB252" s="239">
        <v>2513465</v>
      </c>
      <c r="AC252" s="239">
        <v>2513465</v>
      </c>
      <c r="AD252" s="239">
        <v>227784</v>
      </c>
      <c r="AE252" s="239">
        <v>0</v>
      </c>
      <c r="AF252" s="239">
        <v>227784</v>
      </c>
      <c r="AG252" s="239">
        <v>-146019</v>
      </c>
      <c r="AH252" s="239">
        <v>-146019</v>
      </c>
      <c r="AI252" s="239">
        <v>0</v>
      </c>
      <c r="AJ252" s="239">
        <v>0</v>
      </c>
      <c r="AK252" s="239">
        <v>2367446</v>
      </c>
      <c r="AL252" s="239">
        <v>0</v>
      </c>
      <c r="AM252" s="239">
        <v>0</v>
      </c>
      <c r="AN252" s="239">
        <v>0</v>
      </c>
      <c r="AO252" s="239">
        <v>0</v>
      </c>
      <c r="AP252" s="239">
        <v>77645</v>
      </c>
      <c r="AQ252" s="239">
        <v>77645</v>
      </c>
      <c r="AR252" s="239">
        <v>0</v>
      </c>
      <c r="AS252" s="239">
        <v>0</v>
      </c>
      <c r="AT252" s="239">
        <v>0</v>
      </c>
      <c r="AU252" s="239">
        <v>0</v>
      </c>
      <c r="AV252" s="239">
        <v>0</v>
      </c>
      <c r="AW252" s="239">
        <v>0</v>
      </c>
      <c r="AX252" s="239">
        <v>0</v>
      </c>
      <c r="AY252" s="239">
        <v>0</v>
      </c>
      <c r="AZ252" s="239">
        <v>0</v>
      </c>
      <c r="BA252" s="239">
        <v>77645</v>
      </c>
      <c r="BB252" s="239">
        <v>77645</v>
      </c>
      <c r="BC252" s="239">
        <v>839618</v>
      </c>
      <c r="BD252" s="239">
        <v>-571263</v>
      </c>
      <c r="BE252" s="214" t="s">
        <v>586</v>
      </c>
      <c r="BF252" s="214" t="s">
        <v>836</v>
      </c>
      <c r="BG252" s="214" t="s">
        <v>834</v>
      </c>
      <c r="BH252" s="214" t="s">
        <v>1042</v>
      </c>
      <c r="BI252" s="214" t="s">
        <v>1010</v>
      </c>
      <c r="BJ252" s="214" t="s">
        <v>1158</v>
      </c>
    </row>
    <row r="253" spans="2:62" x14ac:dyDescent="0.2">
      <c r="B253" s="602" t="s">
        <v>589</v>
      </c>
      <c r="C253" s="602" t="s">
        <v>588</v>
      </c>
      <c r="D253" s="239">
        <v>30067542</v>
      </c>
      <c r="E253" s="239">
        <v>0</v>
      </c>
      <c r="F253" s="239">
        <v>30067542</v>
      </c>
      <c r="G253" s="239">
        <v>0</v>
      </c>
      <c r="H253" s="239">
        <v>0</v>
      </c>
      <c r="I253" s="239">
        <v>0</v>
      </c>
      <c r="J253" s="239">
        <v>-216586</v>
      </c>
      <c r="K253" s="239">
        <v>0</v>
      </c>
      <c r="L253" s="239">
        <v>-216586</v>
      </c>
      <c r="M253" s="239">
        <v>0</v>
      </c>
      <c r="N253" s="239">
        <v>0</v>
      </c>
      <c r="O253" s="239">
        <v>0</v>
      </c>
      <c r="P253" s="239">
        <v>-292604</v>
      </c>
      <c r="Q253" s="239">
        <v>0</v>
      </c>
      <c r="R253" s="239">
        <v>-292604</v>
      </c>
      <c r="S253" s="239">
        <v>1042816</v>
      </c>
      <c r="T253" s="239">
        <v>0</v>
      </c>
      <c r="U253" s="239">
        <v>1042816</v>
      </c>
      <c r="V253" s="239">
        <v>-1273283</v>
      </c>
      <c r="W253" s="239">
        <v>0</v>
      </c>
      <c r="X253" s="239">
        <v>-1273283</v>
      </c>
      <c r="Y253" s="239">
        <v>29544471</v>
      </c>
      <c r="Z253" s="239">
        <v>0</v>
      </c>
      <c r="AA253" s="239">
        <v>29544471</v>
      </c>
      <c r="AB253" s="239">
        <v>0</v>
      </c>
      <c r="AC253" s="239">
        <v>0</v>
      </c>
      <c r="AD253" s="239">
        <v>0</v>
      </c>
      <c r="AE253" s="239">
        <v>0</v>
      </c>
      <c r="AF253" s="239">
        <v>0</v>
      </c>
      <c r="AG253" s="239">
        <v>0</v>
      </c>
      <c r="AH253" s="239">
        <v>0</v>
      </c>
      <c r="AI253" s="239">
        <v>0</v>
      </c>
      <c r="AJ253" s="239">
        <v>0</v>
      </c>
      <c r="AK253" s="239">
        <v>0</v>
      </c>
      <c r="AL253" s="239">
        <v>0</v>
      </c>
      <c r="AM253" s="239">
        <v>0</v>
      </c>
      <c r="AN253" s="239">
        <v>0</v>
      </c>
      <c r="AO253" s="239">
        <v>0</v>
      </c>
      <c r="AP253" s="239">
        <v>0</v>
      </c>
      <c r="AQ253" s="239">
        <v>0</v>
      </c>
      <c r="AR253" s="239">
        <v>0</v>
      </c>
      <c r="AS253" s="239">
        <v>0</v>
      </c>
      <c r="AT253" s="239">
        <v>0</v>
      </c>
      <c r="AU253" s="239">
        <v>0</v>
      </c>
      <c r="AV253" s="239">
        <v>0</v>
      </c>
      <c r="AW253" s="239">
        <v>0</v>
      </c>
      <c r="AX253" s="239">
        <v>0</v>
      </c>
      <c r="AY253" s="239">
        <v>0</v>
      </c>
      <c r="AZ253" s="239">
        <v>0</v>
      </c>
      <c r="BA253" s="239">
        <v>0</v>
      </c>
      <c r="BB253" s="239">
        <v>0</v>
      </c>
      <c r="BC253" s="239">
        <v>1883796</v>
      </c>
      <c r="BD253" s="239">
        <v>-1161510</v>
      </c>
      <c r="BE253" s="214" t="s">
        <v>588</v>
      </c>
      <c r="BF253" s="214" t="s">
        <v>766</v>
      </c>
      <c r="BG253" s="214" t="s">
        <v>839</v>
      </c>
      <c r="BH253" s="214" t="s">
        <v>1010</v>
      </c>
      <c r="BI253" s="214" t="s">
        <v>1010</v>
      </c>
      <c r="BJ253" s="214" t="s">
        <v>1160</v>
      </c>
    </row>
    <row r="254" spans="2:62" x14ac:dyDescent="0.2">
      <c r="B254" s="602" t="s">
        <v>591</v>
      </c>
      <c r="C254" s="602" t="s">
        <v>590</v>
      </c>
      <c r="D254" s="239">
        <v>106289264</v>
      </c>
      <c r="E254" s="239">
        <v>0</v>
      </c>
      <c r="F254" s="239">
        <v>106289264</v>
      </c>
      <c r="G254" s="239">
        <v>-38</v>
      </c>
      <c r="H254" s="239">
        <v>0</v>
      </c>
      <c r="I254" s="239">
        <v>-38</v>
      </c>
      <c r="J254" s="239">
        <v>-624597</v>
      </c>
      <c r="K254" s="239">
        <v>0</v>
      </c>
      <c r="L254" s="239">
        <v>-624597</v>
      </c>
      <c r="M254" s="239">
        <v>0</v>
      </c>
      <c r="N254" s="239">
        <v>0</v>
      </c>
      <c r="O254" s="239">
        <v>0</v>
      </c>
      <c r="P254" s="239">
        <v>-2229683</v>
      </c>
      <c r="Q254" s="239">
        <v>0</v>
      </c>
      <c r="R254" s="239">
        <v>-2229683</v>
      </c>
      <c r="S254" s="239">
        <v>7180732</v>
      </c>
      <c r="T254" s="239">
        <v>0</v>
      </c>
      <c r="U254" s="239">
        <v>7180732</v>
      </c>
      <c r="V254" s="239">
        <v>-8020257</v>
      </c>
      <c r="W254" s="239">
        <v>0</v>
      </c>
      <c r="X254" s="239">
        <v>-8020257</v>
      </c>
      <c r="Y254" s="239">
        <v>103220018</v>
      </c>
      <c r="Z254" s="239">
        <v>0</v>
      </c>
      <c r="AA254" s="239">
        <v>103220018</v>
      </c>
      <c r="AB254" s="239">
        <v>0</v>
      </c>
      <c r="AC254" s="239">
        <v>0</v>
      </c>
      <c r="AD254" s="239">
        <v>0</v>
      </c>
      <c r="AE254" s="239">
        <v>0</v>
      </c>
      <c r="AF254" s="239">
        <v>0</v>
      </c>
      <c r="AG254" s="239">
        <v>0</v>
      </c>
      <c r="AH254" s="239">
        <v>0</v>
      </c>
      <c r="AI254" s="239">
        <v>0</v>
      </c>
      <c r="AJ254" s="239">
        <v>0</v>
      </c>
      <c r="AK254" s="239">
        <v>0</v>
      </c>
      <c r="AL254" s="239">
        <v>0</v>
      </c>
      <c r="AM254" s="239">
        <v>0</v>
      </c>
      <c r="AN254" s="239">
        <v>0</v>
      </c>
      <c r="AO254" s="239">
        <v>0</v>
      </c>
      <c r="AP254" s="239">
        <v>0</v>
      </c>
      <c r="AQ254" s="239">
        <v>0</v>
      </c>
      <c r="AR254" s="239">
        <v>0</v>
      </c>
      <c r="AS254" s="239">
        <v>0</v>
      </c>
      <c r="AT254" s="239">
        <v>0</v>
      </c>
      <c r="AU254" s="239">
        <v>0</v>
      </c>
      <c r="AV254" s="239">
        <v>0</v>
      </c>
      <c r="AW254" s="239">
        <v>0</v>
      </c>
      <c r="AX254" s="239">
        <v>0</v>
      </c>
      <c r="AY254" s="239">
        <v>0</v>
      </c>
      <c r="AZ254" s="239">
        <v>0</v>
      </c>
      <c r="BA254" s="239">
        <v>0</v>
      </c>
      <c r="BB254" s="239">
        <v>0</v>
      </c>
      <c r="BC254" s="239">
        <v>7187340</v>
      </c>
      <c r="BD254" s="239">
        <v>-5595371</v>
      </c>
      <c r="BE254" s="214" t="s">
        <v>846</v>
      </c>
      <c r="BF254" s="214" t="s">
        <v>746</v>
      </c>
      <c r="BG254" s="214" t="s">
        <v>775</v>
      </c>
      <c r="BH254" s="214" t="s">
        <v>1010</v>
      </c>
      <c r="BI254" s="214" t="s">
        <v>1010</v>
      </c>
      <c r="BJ254" s="214" t="s">
        <v>746</v>
      </c>
    </row>
    <row r="255" spans="2:62" x14ac:dyDescent="0.2">
      <c r="B255" s="602" t="s">
        <v>593</v>
      </c>
      <c r="C255" s="602" t="s">
        <v>592</v>
      </c>
      <c r="D255" s="239">
        <v>42513041</v>
      </c>
      <c r="E255" s="239">
        <v>0</v>
      </c>
      <c r="F255" s="239">
        <v>42513041</v>
      </c>
      <c r="G255" s="239">
        <v>-1102</v>
      </c>
      <c r="H255" s="239">
        <v>0</v>
      </c>
      <c r="I255" s="239">
        <v>-1102</v>
      </c>
      <c r="J255" s="239">
        <v>-343202</v>
      </c>
      <c r="K255" s="239">
        <v>0</v>
      </c>
      <c r="L255" s="239">
        <v>-343202</v>
      </c>
      <c r="M255" s="239">
        <v>-76225</v>
      </c>
      <c r="N255" s="239">
        <v>0</v>
      </c>
      <c r="O255" s="239">
        <v>-76225</v>
      </c>
      <c r="P255" s="239">
        <v>-415372</v>
      </c>
      <c r="Q255" s="239">
        <v>0</v>
      </c>
      <c r="R255" s="239">
        <v>-415372</v>
      </c>
      <c r="S255" s="239">
        <v>4036598</v>
      </c>
      <c r="T255" s="239">
        <v>0</v>
      </c>
      <c r="U255" s="239">
        <v>4036598</v>
      </c>
      <c r="V255" s="239">
        <v>-2519782.77</v>
      </c>
      <c r="W255" s="239">
        <v>0</v>
      </c>
      <c r="X255" s="239">
        <v>-2519782.77</v>
      </c>
      <c r="Y255" s="239">
        <v>43537157.229999997</v>
      </c>
      <c r="Z255" s="239">
        <v>0</v>
      </c>
      <c r="AA255" s="239">
        <v>43537157.229999997</v>
      </c>
      <c r="AB255" s="239">
        <v>0</v>
      </c>
      <c r="AC255" s="239">
        <v>0</v>
      </c>
      <c r="AD255" s="239">
        <v>0</v>
      </c>
      <c r="AE255" s="239">
        <v>0</v>
      </c>
      <c r="AF255" s="239">
        <v>0</v>
      </c>
      <c r="AG255" s="239">
        <v>0</v>
      </c>
      <c r="AH255" s="239">
        <v>0</v>
      </c>
      <c r="AI255" s="239">
        <v>0</v>
      </c>
      <c r="AJ255" s="239">
        <v>0</v>
      </c>
      <c r="AK255" s="239">
        <v>0</v>
      </c>
      <c r="AL255" s="239">
        <v>0</v>
      </c>
      <c r="AM255" s="239">
        <v>0</v>
      </c>
      <c r="AN255" s="239">
        <v>0</v>
      </c>
      <c r="AO255" s="239">
        <v>0</v>
      </c>
      <c r="AP255" s="239">
        <v>0</v>
      </c>
      <c r="AQ255" s="239">
        <v>0</v>
      </c>
      <c r="AR255" s="239">
        <v>0</v>
      </c>
      <c r="AS255" s="239">
        <v>0</v>
      </c>
      <c r="AT255" s="239">
        <v>0</v>
      </c>
      <c r="AU255" s="239">
        <v>0</v>
      </c>
      <c r="AV255" s="239">
        <v>0</v>
      </c>
      <c r="AW255" s="239">
        <v>0</v>
      </c>
      <c r="AX255" s="239">
        <v>0</v>
      </c>
      <c r="AY255" s="239">
        <v>0</v>
      </c>
      <c r="AZ255" s="239">
        <v>0</v>
      </c>
      <c r="BA255" s="239">
        <v>0</v>
      </c>
      <c r="BB255" s="239">
        <v>0</v>
      </c>
      <c r="BC255" s="239">
        <v>1805885</v>
      </c>
      <c r="BD255" s="239">
        <v>-1643482</v>
      </c>
      <c r="BE255" s="214" t="s">
        <v>845</v>
      </c>
      <c r="BF255" s="214" t="s">
        <v>746</v>
      </c>
      <c r="BG255" s="214" t="s">
        <v>818</v>
      </c>
      <c r="BH255" s="214" t="s">
        <v>1010</v>
      </c>
      <c r="BI255" s="214" t="s">
        <v>1010</v>
      </c>
      <c r="BJ255" s="214" t="s">
        <v>746</v>
      </c>
    </row>
    <row r="256" spans="2:62" x14ac:dyDescent="0.2">
      <c r="B256" s="602" t="s">
        <v>595</v>
      </c>
      <c r="C256" s="602" t="s">
        <v>594</v>
      </c>
      <c r="D256" s="239">
        <v>273161427</v>
      </c>
      <c r="E256" s="239">
        <v>0</v>
      </c>
      <c r="F256" s="239">
        <v>273161427</v>
      </c>
      <c r="G256" s="239">
        <v>0</v>
      </c>
      <c r="H256" s="239">
        <v>0</v>
      </c>
      <c r="I256" s="239">
        <v>0</v>
      </c>
      <c r="J256" s="239">
        <v>-71642</v>
      </c>
      <c r="K256" s="239">
        <v>0</v>
      </c>
      <c r="L256" s="239">
        <v>-71642</v>
      </c>
      <c r="M256" s="239">
        <v>0</v>
      </c>
      <c r="N256" s="239">
        <v>0</v>
      </c>
      <c r="O256" s="239">
        <v>0</v>
      </c>
      <c r="P256" s="239">
        <v>-306300</v>
      </c>
      <c r="Q256" s="239">
        <v>0</v>
      </c>
      <c r="R256" s="239">
        <v>-306300</v>
      </c>
      <c r="S256" s="239">
        <v>2201789</v>
      </c>
      <c r="T256" s="239">
        <v>0</v>
      </c>
      <c r="U256" s="239">
        <v>2201789</v>
      </c>
      <c r="V256" s="239">
        <v>4816954</v>
      </c>
      <c r="W256" s="239">
        <v>0</v>
      </c>
      <c r="X256" s="239">
        <v>4816954</v>
      </c>
      <c r="Y256" s="239">
        <v>279873870</v>
      </c>
      <c r="Z256" s="239">
        <v>0</v>
      </c>
      <c r="AA256" s="239">
        <v>279873870</v>
      </c>
      <c r="AB256" s="239">
        <v>0</v>
      </c>
      <c r="AC256" s="239">
        <v>0</v>
      </c>
      <c r="AD256" s="239">
        <v>0</v>
      </c>
      <c r="AE256" s="239">
        <v>0</v>
      </c>
      <c r="AF256" s="239">
        <v>0</v>
      </c>
      <c r="AG256" s="239">
        <v>0</v>
      </c>
      <c r="AH256" s="239">
        <v>0</v>
      </c>
      <c r="AI256" s="239">
        <v>0</v>
      </c>
      <c r="AJ256" s="239">
        <v>0</v>
      </c>
      <c r="AK256" s="239">
        <v>0</v>
      </c>
      <c r="AL256" s="239">
        <v>0</v>
      </c>
      <c r="AM256" s="239">
        <v>0</v>
      </c>
      <c r="AN256" s="239">
        <v>0</v>
      </c>
      <c r="AO256" s="239">
        <v>0</v>
      </c>
      <c r="AP256" s="239">
        <v>0</v>
      </c>
      <c r="AQ256" s="239">
        <v>0</v>
      </c>
      <c r="AR256" s="239">
        <v>0</v>
      </c>
      <c r="AS256" s="239">
        <v>0</v>
      </c>
      <c r="AT256" s="239">
        <v>0</v>
      </c>
      <c r="AU256" s="239">
        <v>0</v>
      </c>
      <c r="AV256" s="239">
        <v>0</v>
      </c>
      <c r="AW256" s="239">
        <v>0</v>
      </c>
      <c r="AX256" s="239">
        <v>0</v>
      </c>
      <c r="AY256" s="239">
        <v>0</v>
      </c>
      <c r="AZ256" s="239">
        <v>0</v>
      </c>
      <c r="BA256" s="239">
        <v>0</v>
      </c>
      <c r="BB256" s="239">
        <v>0</v>
      </c>
      <c r="BC256" s="239">
        <v>38122033</v>
      </c>
      <c r="BD256" s="239">
        <v>-23825742</v>
      </c>
      <c r="BE256" s="214" t="s">
        <v>594</v>
      </c>
      <c r="BF256" s="214" t="s">
        <v>788</v>
      </c>
      <c r="BG256" s="214" t="s">
        <v>747</v>
      </c>
      <c r="BH256" s="214" t="s">
        <v>1010</v>
      </c>
      <c r="BI256" s="214" t="s">
        <v>1010</v>
      </c>
      <c r="BJ256" s="214" t="s">
        <v>1161</v>
      </c>
    </row>
    <row r="257" spans="1:62" x14ac:dyDescent="0.2">
      <c r="A257" s="215" t="s">
        <v>1668</v>
      </c>
      <c r="B257" s="602" t="s">
        <v>597</v>
      </c>
      <c r="C257" s="602" t="s">
        <v>596</v>
      </c>
      <c r="D257" s="239">
        <v>45469089</v>
      </c>
      <c r="E257" s="239">
        <v>0</v>
      </c>
      <c r="F257" s="239">
        <v>45469089</v>
      </c>
      <c r="G257" s="239">
        <v>0</v>
      </c>
      <c r="H257" s="239">
        <v>0</v>
      </c>
      <c r="I257" s="239">
        <v>0</v>
      </c>
      <c r="J257" s="239">
        <v>0</v>
      </c>
      <c r="K257" s="239">
        <v>0</v>
      </c>
      <c r="L257" s="239">
        <v>0</v>
      </c>
      <c r="M257" s="239">
        <v>6774</v>
      </c>
      <c r="N257" s="239">
        <v>0</v>
      </c>
      <c r="O257" s="239">
        <v>6774</v>
      </c>
      <c r="P257" s="239">
        <v>-303000</v>
      </c>
      <c r="Q257" s="239">
        <v>0</v>
      </c>
      <c r="R257" s="239">
        <v>-303000</v>
      </c>
      <c r="S257" s="239">
        <v>2435302</v>
      </c>
      <c r="T257" s="239">
        <v>0</v>
      </c>
      <c r="U257" s="239">
        <v>2435302</v>
      </c>
      <c r="V257" s="239">
        <v>-4500000</v>
      </c>
      <c r="W257" s="239">
        <v>0</v>
      </c>
      <c r="X257" s="239">
        <v>-4500000</v>
      </c>
      <c r="Y257" s="239">
        <v>43108165</v>
      </c>
      <c r="Z257" s="239">
        <v>0</v>
      </c>
      <c r="AA257" s="239">
        <v>43108165</v>
      </c>
      <c r="AB257" s="239">
        <v>0</v>
      </c>
      <c r="AC257" s="239">
        <v>0</v>
      </c>
      <c r="AD257" s="239">
        <v>0</v>
      </c>
      <c r="AE257" s="239">
        <v>0</v>
      </c>
      <c r="AF257" s="239">
        <v>0</v>
      </c>
      <c r="AG257" s="239">
        <v>0</v>
      </c>
      <c r="AH257" s="239">
        <v>0</v>
      </c>
      <c r="AI257" s="239">
        <v>0</v>
      </c>
      <c r="AJ257" s="239">
        <v>0</v>
      </c>
      <c r="AK257" s="239">
        <v>0</v>
      </c>
      <c r="AL257" s="239">
        <v>0</v>
      </c>
      <c r="AM257" s="239">
        <v>0</v>
      </c>
      <c r="AN257" s="239">
        <v>0</v>
      </c>
      <c r="AO257" s="239">
        <v>0</v>
      </c>
      <c r="AP257" s="239">
        <v>0</v>
      </c>
      <c r="AQ257" s="239">
        <v>0</v>
      </c>
      <c r="AR257" s="239">
        <v>0</v>
      </c>
      <c r="AS257" s="239">
        <v>0</v>
      </c>
      <c r="AT257" s="239">
        <v>0</v>
      </c>
      <c r="AU257" s="239">
        <v>0</v>
      </c>
      <c r="AV257" s="239">
        <v>0</v>
      </c>
      <c r="AW257" s="239">
        <v>0</v>
      </c>
      <c r="AX257" s="239">
        <v>0</v>
      </c>
      <c r="AY257" s="239">
        <v>0</v>
      </c>
      <c r="AZ257" s="239">
        <v>0</v>
      </c>
      <c r="BA257" s="239">
        <v>0</v>
      </c>
      <c r="BB257" s="239">
        <v>0</v>
      </c>
      <c r="BC257" s="239">
        <v>1325468</v>
      </c>
      <c r="BD257" s="239">
        <v>-1910525</v>
      </c>
      <c r="BE257" s="214" t="s">
        <v>596</v>
      </c>
      <c r="BF257" s="214" t="s">
        <v>770</v>
      </c>
      <c r="BG257" s="214" t="s">
        <v>761</v>
      </c>
      <c r="BH257" s="214" t="s">
        <v>1010</v>
      </c>
      <c r="BI257" s="214" t="s">
        <v>1010</v>
      </c>
      <c r="BJ257" s="214" t="s">
        <v>1158</v>
      </c>
    </row>
    <row r="258" spans="1:62" x14ac:dyDescent="0.2">
      <c r="B258" s="602" t="s">
        <v>599</v>
      </c>
      <c r="C258" s="602" t="s">
        <v>598</v>
      </c>
      <c r="D258" s="239">
        <v>60363161</v>
      </c>
      <c r="E258" s="239">
        <v>1147331</v>
      </c>
      <c r="F258" s="239">
        <v>61510492</v>
      </c>
      <c r="G258" s="239">
        <v>0</v>
      </c>
      <c r="H258" s="239">
        <v>0</v>
      </c>
      <c r="I258" s="239">
        <v>0</v>
      </c>
      <c r="J258" s="239">
        <v>-1312049</v>
      </c>
      <c r="K258" s="239">
        <v>0</v>
      </c>
      <c r="L258" s="239">
        <v>-1312049</v>
      </c>
      <c r="M258" s="239">
        <v>0</v>
      </c>
      <c r="N258" s="239">
        <v>0</v>
      </c>
      <c r="O258" s="239">
        <v>0</v>
      </c>
      <c r="P258" s="239">
        <v>-466049</v>
      </c>
      <c r="Q258" s="239">
        <v>0</v>
      </c>
      <c r="R258" s="239">
        <v>-466049</v>
      </c>
      <c r="S258" s="239">
        <v>1812760</v>
      </c>
      <c r="T258" s="239">
        <v>0</v>
      </c>
      <c r="U258" s="239">
        <v>1812760</v>
      </c>
      <c r="V258" s="239">
        <v>-250760</v>
      </c>
      <c r="W258" s="239">
        <v>0</v>
      </c>
      <c r="X258" s="239">
        <v>-250760</v>
      </c>
      <c r="Y258" s="239">
        <v>61459112</v>
      </c>
      <c r="Z258" s="239">
        <v>1147331</v>
      </c>
      <c r="AA258" s="239">
        <v>62606443</v>
      </c>
      <c r="AB258" s="239">
        <v>1147331</v>
      </c>
      <c r="AC258" s="239">
        <v>1147331</v>
      </c>
      <c r="AD258" s="239">
        <v>0</v>
      </c>
      <c r="AE258" s="239">
        <v>0</v>
      </c>
      <c r="AF258" s="239">
        <v>0</v>
      </c>
      <c r="AG258" s="239">
        <v>-152574</v>
      </c>
      <c r="AH258" s="239">
        <v>-152574</v>
      </c>
      <c r="AI258" s="239">
        <v>997112</v>
      </c>
      <c r="AJ258" s="239">
        <v>997112</v>
      </c>
      <c r="AK258" s="239">
        <v>4941</v>
      </c>
      <c r="AL258" s="239">
        <v>0</v>
      </c>
      <c r="AM258" s="239">
        <v>0</v>
      </c>
      <c r="AN258" s="239">
        <v>0</v>
      </c>
      <c r="AO258" s="239">
        <v>0</v>
      </c>
      <c r="AP258" s="239">
        <v>0</v>
      </c>
      <c r="AQ258" s="239">
        <v>0</v>
      </c>
      <c r="AR258" s="239">
        <v>0</v>
      </c>
      <c r="AS258" s="239">
        <v>0</v>
      </c>
      <c r="AT258" s="239">
        <v>0</v>
      </c>
      <c r="AU258" s="239">
        <v>0</v>
      </c>
      <c r="AV258" s="239">
        <v>0</v>
      </c>
      <c r="AW258" s="239">
        <v>0</v>
      </c>
      <c r="AX258" s="239">
        <v>0</v>
      </c>
      <c r="AY258" s="239">
        <v>0</v>
      </c>
      <c r="AZ258" s="239">
        <v>0</v>
      </c>
      <c r="BA258" s="239">
        <v>0</v>
      </c>
      <c r="BB258" s="239">
        <v>0</v>
      </c>
      <c r="BC258" s="239">
        <v>1173863</v>
      </c>
      <c r="BD258" s="239">
        <v>-842002</v>
      </c>
      <c r="BE258" s="214" t="s">
        <v>598</v>
      </c>
      <c r="BF258" s="214" t="s">
        <v>801</v>
      </c>
      <c r="BG258" s="214" t="s">
        <v>761</v>
      </c>
      <c r="BH258" s="214" t="s">
        <v>1010</v>
      </c>
      <c r="BI258" s="214" t="s">
        <v>1010</v>
      </c>
      <c r="BJ258" s="214" t="s">
        <v>1158</v>
      </c>
    </row>
    <row r="259" spans="1:62" x14ac:dyDescent="0.2">
      <c r="B259" s="602" t="s">
        <v>601</v>
      </c>
      <c r="C259" s="602" t="s">
        <v>600</v>
      </c>
      <c r="D259" s="239">
        <v>45500432</v>
      </c>
      <c r="E259" s="239">
        <v>0</v>
      </c>
      <c r="F259" s="239">
        <v>45500432</v>
      </c>
      <c r="G259" s="239">
        <v>0</v>
      </c>
      <c r="H259" s="239">
        <v>0</v>
      </c>
      <c r="I259" s="239">
        <v>0</v>
      </c>
      <c r="J259" s="239">
        <v>-416675</v>
      </c>
      <c r="K259" s="239">
        <v>0</v>
      </c>
      <c r="L259" s="239">
        <v>-416675</v>
      </c>
      <c r="M259" s="239">
        <v>0</v>
      </c>
      <c r="N259" s="239">
        <v>0</v>
      </c>
      <c r="O259" s="239">
        <v>0</v>
      </c>
      <c r="P259" s="239">
        <v>-354962</v>
      </c>
      <c r="Q259" s="239">
        <v>0</v>
      </c>
      <c r="R259" s="239">
        <v>-354962</v>
      </c>
      <c r="S259" s="239">
        <v>2598307</v>
      </c>
      <c r="T259" s="239">
        <v>0</v>
      </c>
      <c r="U259" s="239">
        <v>2598307</v>
      </c>
      <c r="V259" s="239">
        <v>-2809500</v>
      </c>
      <c r="W259" s="239">
        <v>0</v>
      </c>
      <c r="X259" s="239">
        <v>-2809500</v>
      </c>
      <c r="Y259" s="239">
        <v>44934277</v>
      </c>
      <c r="Z259" s="239">
        <v>0</v>
      </c>
      <c r="AA259" s="239">
        <v>44934277</v>
      </c>
      <c r="AB259" s="239">
        <v>0</v>
      </c>
      <c r="AC259" s="239">
        <v>0</v>
      </c>
      <c r="AD259" s="239">
        <v>252599</v>
      </c>
      <c r="AE259" s="239">
        <v>0</v>
      </c>
      <c r="AF259" s="239">
        <v>252599</v>
      </c>
      <c r="AG259" s="239">
        <v>0</v>
      </c>
      <c r="AH259" s="239">
        <v>0</v>
      </c>
      <c r="AI259" s="239">
        <v>0</v>
      </c>
      <c r="AJ259" s="239">
        <v>0</v>
      </c>
      <c r="AK259" s="239">
        <v>0</v>
      </c>
      <c r="AL259" s="239">
        <v>0</v>
      </c>
      <c r="AM259" s="239">
        <v>0</v>
      </c>
      <c r="AN259" s="239">
        <v>0</v>
      </c>
      <c r="AO259" s="239">
        <v>0</v>
      </c>
      <c r="AP259" s="239">
        <v>0</v>
      </c>
      <c r="AQ259" s="239">
        <v>0</v>
      </c>
      <c r="AR259" s="239">
        <v>0</v>
      </c>
      <c r="AS259" s="239">
        <v>0</v>
      </c>
      <c r="AT259" s="239">
        <v>0</v>
      </c>
      <c r="AU259" s="239">
        <v>0</v>
      </c>
      <c r="AV259" s="239">
        <v>0</v>
      </c>
      <c r="AW259" s="239">
        <v>0</v>
      </c>
      <c r="AX259" s="239">
        <v>0</v>
      </c>
      <c r="AY259" s="239">
        <v>0</v>
      </c>
      <c r="AZ259" s="239">
        <v>0</v>
      </c>
      <c r="BA259" s="239">
        <v>0</v>
      </c>
      <c r="BB259" s="239">
        <v>0</v>
      </c>
      <c r="BC259" s="239">
        <v>1753123</v>
      </c>
      <c r="BD259" s="239">
        <v>-927480</v>
      </c>
      <c r="BE259" s="214" t="s">
        <v>600</v>
      </c>
      <c r="BF259" s="214" t="s">
        <v>809</v>
      </c>
      <c r="BG259" s="214" t="s">
        <v>761</v>
      </c>
      <c r="BH259" s="214" t="s">
        <v>1010</v>
      </c>
      <c r="BI259" s="214" t="s">
        <v>1010</v>
      </c>
      <c r="BJ259" s="214" t="s">
        <v>1158</v>
      </c>
    </row>
    <row r="260" spans="1:62" x14ac:dyDescent="0.2">
      <c r="B260" s="602" t="s">
        <v>603</v>
      </c>
      <c r="C260" s="602" t="s">
        <v>602</v>
      </c>
      <c r="D260" s="239">
        <v>52501189</v>
      </c>
      <c r="E260" s="239">
        <v>0</v>
      </c>
      <c r="F260" s="239">
        <v>52501189</v>
      </c>
      <c r="G260" s="239">
        <v>0</v>
      </c>
      <c r="H260" s="239">
        <v>0</v>
      </c>
      <c r="I260" s="239">
        <v>0</v>
      </c>
      <c r="J260" s="239">
        <v>-569658</v>
      </c>
      <c r="K260" s="239">
        <v>0</v>
      </c>
      <c r="L260" s="239">
        <v>-569658</v>
      </c>
      <c r="M260" s="239">
        <v>0</v>
      </c>
      <c r="N260" s="239">
        <v>0</v>
      </c>
      <c r="O260" s="239">
        <v>0</v>
      </c>
      <c r="P260" s="239">
        <v>-966556</v>
      </c>
      <c r="Q260" s="239">
        <v>0</v>
      </c>
      <c r="R260" s="239">
        <v>-966556</v>
      </c>
      <c r="S260" s="239">
        <v>1033302</v>
      </c>
      <c r="T260" s="239">
        <v>0</v>
      </c>
      <c r="U260" s="239">
        <v>1033302</v>
      </c>
      <c r="V260" s="239">
        <v>-3951048</v>
      </c>
      <c r="W260" s="239">
        <v>0</v>
      </c>
      <c r="X260" s="239">
        <v>-3951048</v>
      </c>
      <c r="Y260" s="239">
        <v>48616887</v>
      </c>
      <c r="Z260" s="239">
        <v>0</v>
      </c>
      <c r="AA260" s="239">
        <v>48616887</v>
      </c>
      <c r="AB260" s="239">
        <v>0</v>
      </c>
      <c r="AC260" s="239">
        <v>0</v>
      </c>
      <c r="AD260" s="239">
        <v>0</v>
      </c>
      <c r="AE260" s="239">
        <v>0</v>
      </c>
      <c r="AF260" s="239">
        <v>0</v>
      </c>
      <c r="AG260" s="239">
        <v>0</v>
      </c>
      <c r="AH260" s="239">
        <v>0</v>
      </c>
      <c r="AI260" s="239">
        <v>0</v>
      </c>
      <c r="AJ260" s="239">
        <v>0</v>
      </c>
      <c r="AK260" s="239">
        <v>0</v>
      </c>
      <c r="AL260" s="239">
        <v>0</v>
      </c>
      <c r="AM260" s="239">
        <v>0</v>
      </c>
      <c r="AN260" s="239">
        <v>0</v>
      </c>
      <c r="AO260" s="239">
        <v>0</v>
      </c>
      <c r="AP260" s="239">
        <v>0</v>
      </c>
      <c r="AQ260" s="239">
        <v>0</v>
      </c>
      <c r="AR260" s="239">
        <v>0</v>
      </c>
      <c r="AS260" s="239">
        <v>0</v>
      </c>
      <c r="AT260" s="239">
        <v>0</v>
      </c>
      <c r="AU260" s="239">
        <v>0</v>
      </c>
      <c r="AV260" s="239">
        <v>0</v>
      </c>
      <c r="AW260" s="239">
        <v>0</v>
      </c>
      <c r="AX260" s="239">
        <v>0</v>
      </c>
      <c r="AY260" s="239">
        <v>0</v>
      </c>
      <c r="AZ260" s="239">
        <v>0</v>
      </c>
      <c r="BA260" s="239">
        <v>0</v>
      </c>
      <c r="BB260" s="239">
        <v>0</v>
      </c>
      <c r="BC260" s="239">
        <v>5252735</v>
      </c>
      <c r="BD260" s="239">
        <v>-1536189</v>
      </c>
      <c r="BE260" s="214" t="s">
        <v>602</v>
      </c>
      <c r="BF260" s="214" t="s">
        <v>766</v>
      </c>
      <c r="BG260" s="214" t="s">
        <v>772</v>
      </c>
      <c r="BH260" s="214" t="s">
        <v>1010</v>
      </c>
      <c r="BI260" s="214" t="s">
        <v>1010</v>
      </c>
      <c r="BJ260" s="214" t="s">
        <v>1160</v>
      </c>
    </row>
    <row r="261" spans="1:62" x14ac:dyDescent="0.2">
      <c r="B261" s="602" t="s">
        <v>605</v>
      </c>
      <c r="C261" s="602" t="s">
        <v>604</v>
      </c>
      <c r="D261" s="239">
        <v>49429580</v>
      </c>
      <c r="E261" s="239">
        <v>0</v>
      </c>
      <c r="F261" s="239">
        <v>49429580</v>
      </c>
      <c r="G261" s="239">
        <v>0</v>
      </c>
      <c r="H261" s="239">
        <v>0</v>
      </c>
      <c r="I261" s="239">
        <v>0</v>
      </c>
      <c r="J261" s="239">
        <v>-342292</v>
      </c>
      <c r="K261" s="239">
        <v>0</v>
      </c>
      <c r="L261" s="239">
        <v>-342292</v>
      </c>
      <c r="M261" s="239">
        <v>0</v>
      </c>
      <c r="N261" s="239">
        <v>0</v>
      </c>
      <c r="O261" s="239">
        <v>0</v>
      </c>
      <c r="P261" s="239">
        <v>-362668</v>
      </c>
      <c r="Q261" s="239">
        <v>0</v>
      </c>
      <c r="R261" s="239">
        <v>-362668</v>
      </c>
      <c r="S261" s="239">
        <v>1219111</v>
      </c>
      <c r="T261" s="239">
        <v>0</v>
      </c>
      <c r="U261" s="239">
        <v>1219111</v>
      </c>
      <c r="V261" s="239">
        <v>-2921480</v>
      </c>
      <c r="W261" s="239">
        <v>0</v>
      </c>
      <c r="X261" s="239">
        <v>-2921480</v>
      </c>
      <c r="Y261" s="239">
        <v>47364543</v>
      </c>
      <c r="Z261" s="239">
        <v>0</v>
      </c>
      <c r="AA261" s="239">
        <v>47364543</v>
      </c>
      <c r="AB261" s="239">
        <v>0</v>
      </c>
      <c r="AC261" s="239">
        <v>0</v>
      </c>
      <c r="AD261" s="239">
        <v>0</v>
      </c>
      <c r="AE261" s="239">
        <v>0</v>
      </c>
      <c r="AF261" s="239">
        <v>0</v>
      </c>
      <c r="AG261" s="239">
        <v>0</v>
      </c>
      <c r="AH261" s="239">
        <v>0</v>
      </c>
      <c r="AI261" s="239">
        <v>0</v>
      </c>
      <c r="AJ261" s="239">
        <v>0</v>
      </c>
      <c r="AK261" s="239">
        <v>0</v>
      </c>
      <c r="AL261" s="239">
        <v>0</v>
      </c>
      <c r="AM261" s="239">
        <v>0</v>
      </c>
      <c r="AN261" s="239">
        <v>0</v>
      </c>
      <c r="AO261" s="239">
        <v>0</v>
      </c>
      <c r="AP261" s="239">
        <v>0</v>
      </c>
      <c r="AQ261" s="239">
        <v>0</v>
      </c>
      <c r="AR261" s="239">
        <v>0</v>
      </c>
      <c r="AS261" s="239">
        <v>0</v>
      </c>
      <c r="AT261" s="239">
        <v>0</v>
      </c>
      <c r="AU261" s="239">
        <v>0</v>
      </c>
      <c r="AV261" s="239">
        <v>0</v>
      </c>
      <c r="AW261" s="239">
        <v>0</v>
      </c>
      <c r="AX261" s="239">
        <v>0</v>
      </c>
      <c r="AY261" s="239">
        <v>0</v>
      </c>
      <c r="AZ261" s="239">
        <v>0</v>
      </c>
      <c r="BA261" s="239">
        <v>0</v>
      </c>
      <c r="BB261" s="239">
        <v>0</v>
      </c>
      <c r="BC261" s="239">
        <v>1888251</v>
      </c>
      <c r="BD261" s="239">
        <v>-712693</v>
      </c>
      <c r="BE261" s="214" t="s">
        <v>604</v>
      </c>
      <c r="BF261" s="214" t="s">
        <v>836</v>
      </c>
      <c r="BG261" s="214" t="s">
        <v>834</v>
      </c>
      <c r="BH261" s="214" t="s">
        <v>1010</v>
      </c>
      <c r="BI261" s="214" t="s">
        <v>1010</v>
      </c>
      <c r="BJ261" s="214" t="s">
        <v>1158</v>
      </c>
    </row>
    <row r="262" spans="1:62" x14ac:dyDescent="0.2">
      <c r="B262" s="602" t="s">
        <v>607</v>
      </c>
      <c r="C262" s="602" t="s">
        <v>606</v>
      </c>
      <c r="D262" s="239">
        <v>19278948</v>
      </c>
      <c r="E262" s="239">
        <v>0</v>
      </c>
      <c r="F262" s="239">
        <v>19278948</v>
      </c>
      <c r="G262" s="239">
        <v>0</v>
      </c>
      <c r="H262" s="239">
        <v>0</v>
      </c>
      <c r="I262" s="239">
        <v>0</v>
      </c>
      <c r="J262" s="239">
        <v>-271805</v>
      </c>
      <c r="K262" s="239">
        <v>0</v>
      </c>
      <c r="L262" s="239">
        <v>-271805</v>
      </c>
      <c r="M262" s="239">
        <v>0</v>
      </c>
      <c r="N262" s="239">
        <v>0</v>
      </c>
      <c r="O262" s="239">
        <v>0</v>
      </c>
      <c r="P262" s="239">
        <v>-213290</v>
      </c>
      <c r="Q262" s="239">
        <v>0</v>
      </c>
      <c r="R262" s="239">
        <v>-213290</v>
      </c>
      <c r="S262" s="239">
        <v>328713</v>
      </c>
      <c r="T262" s="239">
        <v>0</v>
      </c>
      <c r="U262" s="239">
        <v>328713</v>
      </c>
      <c r="V262" s="239">
        <v>-1617748</v>
      </c>
      <c r="W262" s="239">
        <v>0</v>
      </c>
      <c r="X262" s="239">
        <v>-1617748</v>
      </c>
      <c r="Y262" s="239">
        <v>17776623</v>
      </c>
      <c r="Z262" s="239">
        <v>0</v>
      </c>
      <c r="AA262" s="239">
        <v>17776623</v>
      </c>
      <c r="AB262" s="239">
        <v>0</v>
      </c>
      <c r="AC262" s="239">
        <v>0</v>
      </c>
      <c r="AD262" s="239">
        <v>0</v>
      </c>
      <c r="AE262" s="239">
        <v>0</v>
      </c>
      <c r="AF262" s="239">
        <v>0</v>
      </c>
      <c r="AG262" s="239">
        <v>0</v>
      </c>
      <c r="AH262" s="239">
        <v>0</v>
      </c>
      <c r="AI262" s="239">
        <v>0</v>
      </c>
      <c r="AJ262" s="239">
        <v>0</v>
      </c>
      <c r="AK262" s="239">
        <v>0</v>
      </c>
      <c r="AL262" s="239">
        <v>0</v>
      </c>
      <c r="AM262" s="239">
        <v>0</v>
      </c>
      <c r="AN262" s="239">
        <v>0</v>
      </c>
      <c r="AO262" s="239">
        <v>0</v>
      </c>
      <c r="AP262" s="239">
        <v>0</v>
      </c>
      <c r="AQ262" s="239">
        <v>0</v>
      </c>
      <c r="AR262" s="239">
        <v>0</v>
      </c>
      <c r="AS262" s="239">
        <v>0</v>
      </c>
      <c r="AT262" s="239">
        <v>0</v>
      </c>
      <c r="AU262" s="239">
        <v>0</v>
      </c>
      <c r="AV262" s="239">
        <v>0</v>
      </c>
      <c r="AW262" s="239">
        <v>0</v>
      </c>
      <c r="AX262" s="239">
        <v>0</v>
      </c>
      <c r="AY262" s="239">
        <v>0</v>
      </c>
      <c r="AZ262" s="239">
        <v>0</v>
      </c>
      <c r="BA262" s="239">
        <v>0</v>
      </c>
      <c r="BB262" s="239">
        <v>0</v>
      </c>
      <c r="BC262" s="239">
        <v>641619</v>
      </c>
      <c r="BD262" s="239">
        <v>-532242</v>
      </c>
      <c r="BE262" s="214" t="s">
        <v>606</v>
      </c>
      <c r="BF262" s="214" t="s">
        <v>836</v>
      </c>
      <c r="BG262" s="214" t="s">
        <v>834</v>
      </c>
      <c r="BH262" s="214" t="s">
        <v>1010</v>
      </c>
      <c r="BI262" s="214" t="s">
        <v>1010</v>
      </c>
      <c r="BJ262" s="214" t="s">
        <v>1158</v>
      </c>
    </row>
    <row r="263" spans="1:62" x14ac:dyDescent="0.2">
      <c r="B263" s="602" t="s">
        <v>609</v>
      </c>
      <c r="C263" s="602" t="s">
        <v>608</v>
      </c>
      <c r="D263" s="239">
        <v>47497313</v>
      </c>
      <c r="E263" s="239">
        <v>0</v>
      </c>
      <c r="F263" s="239">
        <v>47497313</v>
      </c>
      <c r="G263" s="239">
        <v>0</v>
      </c>
      <c r="H263" s="239">
        <v>0</v>
      </c>
      <c r="I263" s="239">
        <v>0</v>
      </c>
      <c r="J263" s="239">
        <v>-509182</v>
      </c>
      <c r="K263" s="239">
        <v>0</v>
      </c>
      <c r="L263" s="239">
        <v>-509182</v>
      </c>
      <c r="M263" s="239">
        <v>0</v>
      </c>
      <c r="N263" s="239">
        <v>0</v>
      </c>
      <c r="O263" s="239">
        <v>0</v>
      </c>
      <c r="P263" s="239">
        <v>-66758</v>
      </c>
      <c r="Q263" s="239">
        <v>0</v>
      </c>
      <c r="R263" s="239">
        <v>-66758</v>
      </c>
      <c r="S263" s="239">
        <v>409933</v>
      </c>
      <c r="T263" s="239">
        <v>0</v>
      </c>
      <c r="U263" s="239">
        <v>409933</v>
      </c>
      <c r="V263" s="239">
        <v>-1558802</v>
      </c>
      <c r="W263" s="239">
        <v>0</v>
      </c>
      <c r="X263" s="239">
        <v>-1558802</v>
      </c>
      <c r="Y263" s="239">
        <v>46281686</v>
      </c>
      <c r="Z263" s="239">
        <v>0</v>
      </c>
      <c r="AA263" s="239">
        <v>46281686</v>
      </c>
      <c r="AB263" s="239">
        <v>0</v>
      </c>
      <c r="AC263" s="239">
        <v>0</v>
      </c>
      <c r="AD263" s="239">
        <v>0</v>
      </c>
      <c r="AE263" s="239">
        <v>0</v>
      </c>
      <c r="AF263" s="239">
        <v>0</v>
      </c>
      <c r="AG263" s="239">
        <v>0</v>
      </c>
      <c r="AH263" s="239">
        <v>0</v>
      </c>
      <c r="AI263" s="239">
        <v>0</v>
      </c>
      <c r="AJ263" s="239">
        <v>0</v>
      </c>
      <c r="AK263" s="239">
        <v>0</v>
      </c>
      <c r="AL263" s="239">
        <v>0</v>
      </c>
      <c r="AM263" s="239">
        <v>0</v>
      </c>
      <c r="AN263" s="239">
        <v>0</v>
      </c>
      <c r="AO263" s="239">
        <v>0</v>
      </c>
      <c r="AP263" s="239">
        <v>0</v>
      </c>
      <c r="AQ263" s="239">
        <v>0</v>
      </c>
      <c r="AR263" s="239">
        <v>0</v>
      </c>
      <c r="AS263" s="239">
        <v>0</v>
      </c>
      <c r="AT263" s="239">
        <v>0</v>
      </c>
      <c r="AU263" s="239">
        <v>0</v>
      </c>
      <c r="AV263" s="239">
        <v>0</v>
      </c>
      <c r="AW263" s="239">
        <v>0</v>
      </c>
      <c r="AX263" s="239">
        <v>0</v>
      </c>
      <c r="AY263" s="239">
        <v>0</v>
      </c>
      <c r="AZ263" s="239">
        <v>0</v>
      </c>
      <c r="BA263" s="239">
        <v>0</v>
      </c>
      <c r="BB263" s="239">
        <v>0</v>
      </c>
      <c r="BC263" s="239">
        <v>847562</v>
      </c>
      <c r="BD263" s="239">
        <v>-1579840</v>
      </c>
      <c r="BE263" s="214" t="s">
        <v>608</v>
      </c>
      <c r="BF263" s="214" t="s">
        <v>801</v>
      </c>
      <c r="BG263" s="214" t="s">
        <v>761</v>
      </c>
      <c r="BH263" s="214" t="s">
        <v>1010</v>
      </c>
      <c r="BI263" s="214" t="s">
        <v>1010</v>
      </c>
      <c r="BJ263" s="214" t="s">
        <v>1158</v>
      </c>
    </row>
    <row r="264" spans="1:62" x14ac:dyDescent="0.2">
      <c r="B264" s="602" t="s">
        <v>611</v>
      </c>
      <c r="C264" s="602" t="s">
        <v>610</v>
      </c>
      <c r="D264" s="239">
        <v>90891701</v>
      </c>
      <c r="E264" s="239">
        <v>0</v>
      </c>
      <c r="F264" s="239">
        <v>90891701</v>
      </c>
      <c r="G264" s="239">
        <v>-393</v>
      </c>
      <c r="H264" s="239">
        <v>0</v>
      </c>
      <c r="I264" s="239">
        <v>-393</v>
      </c>
      <c r="J264" s="239">
        <v>-1118554.47</v>
      </c>
      <c r="K264" s="239">
        <v>0</v>
      </c>
      <c r="L264" s="239">
        <v>-1118554.47</v>
      </c>
      <c r="M264" s="239">
        <v>0</v>
      </c>
      <c r="N264" s="239">
        <v>0</v>
      </c>
      <c r="O264" s="239">
        <v>0</v>
      </c>
      <c r="P264" s="239">
        <v>-862302.56</v>
      </c>
      <c r="Q264" s="239">
        <v>0</v>
      </c>
      <c r="R264" s="239">
        <v>-862302.56</v>
      </c>
      <c r="S264" s="239">
        <v>1929326</v>
      </c>
      <c r="T264" s="239">
        <v>0</v>
      </c>
      <c r="U264" s="239">
        <v>1929326</v>
      </c>
      <c r="V264" s="239">
        <v>-4293042.47</v>
      </c>
      <c r="W264" s="239">
        <v>0</v>
      </c>
      <c r="X264" s="239">
        <v>-4293042.47</v>
      </c>
      <c r="Y264" s="239">
        <v>87665288.969999999</v>
      </c>
      <c r="Z264" s="239">
        <v>0</v>
      </c>
      <c r="AA264" s="239">
        <v>87665288.969999999</v>
      </c>
      <c r="AB264" s="239">
        <v>0</v>
      </c>
      <c r="AC264" s="239">
        <v>0</v>
      </c>
      <c r="AD264" s="239">
        <v>0</v>
      </c>
      <c r="AE264" s="239">
        <v>0</v>
      </c>
      <c r="AF264" s="239">
        <v>0</v>
      </c>
      <c r="AG264" s="239">
        <v>0</v>
      </c>
      <c r="AH264" s="239">
        <v>0</v>
      </c>
      <c r="AI264" s="239">
        <v>0</v>
      </c>
      <c r="AJ264" s="239">
        <v>0</v>
      </c>
      <c r="AK264" s="239">
        <v>0</v>
      </c>
      <c r="AL264" s="239">
        <v>0</v>
      </c>
      <c r="AM264" s="239">
        <v>0</v>
      </c>
      <c r="AN264" s="239">
        <v>0</v>
      </c>
      <c r="AO264" s="239">
        <v>0</v>
      </c>
      <c r="AP264" s="239">
        <v>0</v>
      </c>
      <c r="AQ264" s="239">
        <v>0</v>
      </c>
      <c r="AR264" s="239">
        <v>0</v>
      </c>
      <c r="AS264" s="239">
        <v>0</v>
      </c>
      <c r="AT264" s="239">
        <v>0</v>
      </c>
      <c r="AU264" s="239">
        <v>0</v>
      </c>
      <c r="AV264" s="239">
        <v>0</v>
      </c>
      <c r="AW264" s="239">
        <v>0</v>
      </c>
      <c r="AX264" s="239">
        <v>0</v>
      </c>
      <c r="AY264" s="239">
        <v>0</v>
      </c>
      <c r="AZ264" s="239">
        <v>0</v>
      </c>
      <c r="BA264" s="239">
        <v>0</v>
      </c>
      <c r="BB264" s="239">
        <v>0</v>
      </c>
      <c r="BC264" s="239">
        <v>7893404</v>
      </c>
      <c r="BD264" s="239">
        <v>-3754801</v>
      </c>
      <c r="BE264" s="214" t="s">
        <v>610</v>
      </c>
      <c r="BF264" s="214" t="s">
        <v>766</v>
      </c>
      <c r="BG264" s="214" t="s">
        <v>781</v>
      </c>
      <c r="BH264" s="214" t="s">
        <v>1043</v>
      </c>
      <c r="BI264" s="214" t="s">
        <v>1010</v>
      </c>
      <c r="BJ264" s="214" t="s">
        <v>1160</v>
      </c>
    </row>
    <row r="265" spans="1:62" x14ac:dyDescent="0.2">
      <c r="B265" s="602" t="s">
        <v>613</v>
      </c>
      <c r="C265" s="602" t="s">
        <v>612</v>
      </c>
      <c r="D265" s="239">
        <v>83630915</v>
      </c>
      <c r="E265" s="239">
        <v>234232</v>
      </c>
      <c r="F265" s="239">
        <v>83865147</v>
      </c>
      <c r="G265" s="239">
        <v>0</v>
      </c>
      <c r="H265" s="239">
        <v>0</v>
      </c>
      <c r="I265" s="239">
        <v>0</v>
      </c>
      <c r="J265" s="239">
        <v>-331572</v>
      </c>
      <c r="K265" s="239">
        <v>0</v>
      </c>
      <c r="L265" s="239">
        <v>-331572</v>
      </c>
      <c r="M265" s="239">
        <v>0</v>
      </c>
      <c r="N265" s="239">
        <v>0</v>
      </c>
      <c r="O265" s="239">
        <v>0</v>
      </c>
      <c r="P265" s="239">
        <v>-131572</v>
      </c>
      <c r="Q265" s="239">
        <v>0</v>
      </c>
      <c r="R265" s="239">
        <v>-131572</v>
      </c>
      <c r="S265" s="239">
        <v>2760105</v>
      </c>
      <c r="T265" s="239">
        <v>0</v>
      </c>
      <c r="U265" s="239">
        <v>2760105</v>
      </c>
      <c r="V265" s="239">
        <v>-5087418</v>
      </c>
      <c r="W265" s="239">
        <v>0</v>
      </c>
      <c r="X265" s="239">
        <v>-5087418</v>
      </c>
      <c r="Y265" s="239">
        <v>81172030</v>
      </c>
      <c r="Z265" s="239">
        <v>234232</v>
      </c>
      <c r="AA265" s="239">
        <v>81406262</v>
      </c>
      <c r="AB265" s="239">
        <v>234232</v>
      </c>
      <c r="AC265" s="239">
        <v>234232</v>
      </c>
      <c r="AD265" s="239">
        <v>116586</v>
      </c>
      <c r="AE265" s="239">
        <v>0</v>
      </c>
      <c r="AF265" s="239">
        <v>116586</v>
      </c>
      <c r="AG265" s="239">
        <v>-93277</v>
      </c>
      <c r="AH265" s="239">
        <v>-93277</v>
      </c>
      <c r="AI265" s="239">
        <v>72460</v>
      </c>
      <c r="AJ265" s="239">
        <v>72460</v>
      </c>
      <c r="AK265" s="239">
        <v>154687</v>
      </c>
      <c r="AL265" s="239">
        <v>0</v>
      </c>
      <c r="AM265" s="239">
        <v>0</v>
      </c>
      <c r="AN265" s="239">
        <v>0</v>
      </c>
      <c r="AO265" s="239">
        <v>13701</v>
      </c>
      <c r="AP265" s="239">
        <v>86870</v>
      </c>
      <c r="AQ265" s="239">
        <v>100571</v>
      </c>
      <c r="AR265" s="239">
        <v>0</v>
      </c>
      <c r="AS265" s="239">
        <v>0</v>
      </c>
      <c r="AT265" s="239">
        <v>0</v>
      </c>
      <c r="AU265" s="239">
        <v>0</v>
      </c>
      <c r="AV265" s="239">
        <v>0</v>
      </c>
      <c r="AW265" s="239">
        <v>0</v>
      </c>
      <c r="AX265" s="239">
        <v>0</v>
      </c>
      <c r="AY265" s="239">
        <v>0</v>
      </c>
      <c r="AZ265" s="239">
        <v>13701</v>
      </c>
      <c r="BA265" s="239">
        <v>86870</v>
      </c>
      <c r="BB265" s="239">
        <v>100571</v>
      </c>
      <c r="BC265" s="239">
        <v>858876</v>
      </c>
      <c r="BD265" s="239">
        <v>-1300411</v>
      </c>
      <c r="BE265" s="214" t="s">
        <v>844</v>
      </c>
      <c r="BF265" s="214" t="s">
        <v>746</v>
      </c>
      <c r="BG265" s="214" t="s">
        <v>842</v>
      </c>
      <c r="BH265" s="214" t="s">
        <v>1027</v>
      </c>
      <c r="BI265" s="214" t="s">
        <v>1010</v>
      </c>
      <c r="BJ265" s="214" t="s">
        <v>746</v>
      </c>
    </row>
    <row r="266" spans="1:62" x14ac:dyDescent="0.2">
      <c r="B266" s="602" t="s">
        <v>615</v>
      </c>
      <c r="C266" s="602" t="s">
        <v>614</v>
      </c>
      <c r="D266" s="239">
        <v>89418732</v>
      </c>
      <c r="E266" s="239">
        <v>836381</v>
      </c>
      <c r="F266" s="239">
        <v>90255113</v>
      </c>
      <c r="G266" s="239">
        <v>0</v>
      </c>
      <c r="H266" s="239">
        <v>0</v>
      </c>
      <c r="I266" s="239">
        <v>0</v>
      </c>
      <c r="J266" s="239">
        <v>-1303543</v>
      </c>
      <c r="K266" s="239">
        <v>0</v>
      </c>
      <c r="L266" s="239">
        <v>-1303543</v>
      </c>
      <c r="M266" s="239">
        <v>0</v>
      </c>
      <c r="N266" s="239">
        <v>0</v>
      </c>
      <c r="O266" s="239">
        <v>0</v>
      </c>
      <c r="P266" s="239">
        <v>-1331938</v>
      </c>
      <c r="Q266" s="239">
        <v>0</v>
      </c>
      <c r="R266" s="239">
        <v>-1331938</v>
      </c>
      <c r="S266" s="239">
        <v>1767609</v>
      </c>
      <c r="T266" s="239">
        <v>0</v>
      </c>
      <c r="U266" s="239">
        <v>1767609</v>
      </c>
      <c r="V266" s="239">
        <v>-2449738</v>
      </c>
      <c r="W266" s="239">
        <v>0</v>
      </c>
      <c r="X266" s="239">
        <v>-2449738</v>
      </c>
      <c r="Y266" s="239">
        <v>87404665</v>
      </c>
      <c r="Z266" s="239">
        <v>836381</v>
      </c>
      <c r="AA266" s="239">
        <v>88241046</v>
      </c>
      <c r="AB266" s="239">
        <v>836381</v>
      </c>
      <c r="AC266" s="239">
        <v>836381</v>
      </c>
      <c r="AD266" s="239">
        <v>0</v>
      </c>
      <c r="AE266" s="239">
        <v>0</v>
      </c>
      <c r="AF266" s="239">
        <v>0</v>
      </c>
      <c r="AG266" s="239">
        <v>0</v>
      </c>
      <c r="AH266" s="239">
        <v>0</v>
      </c>
      <c r="AI266" s="239">
        <v>369739</v>
      </c>
      <c r="AJ266" s="239">
        <v>369739</v>
      </c>
      <c r="AK266" s="239">
        <v>466642</v>
      </c>
      <c r="AL266" s="239">
        <v>0</v>
      </c>
      <c r="AM266" s="239">
        <v>0</v>
      </c>
      <c r="AN266" s="239">
        <v>0</v>
      </c>
      <c r="AO266" s="239">
        <v>0</v>
      </c>
      <c r="AP266" s="239">
        <v>0</v>
      </c>
      <c r="AQ266" s="239">
        <v>0</v>
      </c>
      <c r="AR266" s="239">
        <v>0</v>
      </c>
      <c r="AS266" s="239">
        <v>0</v>
      </c>
      <c r="AT266" s="239">
        <v>0</v>
      </c>
      <c r="AU266" s="239">
        <v>0</v>
      </c>
      <c r="AV266" s="239">
        <v>0</v>
      </c>
      <c r="AW266" s="239">
        <v>0</v>
      </c>
      <c r="AX266" s="239">
        <v>0</v>
      </c>
      <c r="AY266" s="239">
        <v>0</v>
      </c>
      <c r="AZ266" s="239">
        <v>0</v>
      </c>
      <c r="BA266" s="239">
        <v>0</v>
      </c>
      <c r="BB266" s="239">
        <v>0</v>
      </c>
      <c r="BC266" s="239">
        <v>5564134</v>
      </c>
      <c r="BD266" s="239">
        <v>-2654853</v>
      </c>
      <c r="BE266" s="214" t="s">
        <v>841</v>
      </c>
      <c r="BF266" s="214" t="s">
        <v>746</v>
      </c>
      <c r="BG266" s="214" t="s">
        <v>834</v>
      </c>
      <c r="BH266" s="214" t="s">
        <v>1010</v>
      </c>
      <c r="BI266" s="214" t="s">
        <v>1010</v>
      </c>
      <c r="BJ266" s="214" t="s">
        <v>746</v>
      </c>
    </row>
    <row r="267" spans="1:62" x14ac:dyDescent="0.2">
      <c r="B267" s="602" t="s">
        <v>617</v>
      </c>
      <c r="C267" s="602" t="s">
        <v>616</v>
      </c>
      <c r="D267" s="239">
        <v>54945738</v>
      </c>
      <c r="E267" s="239">
        <v>0</v>
      </c>
      <c r="F267" s="239">
        <v>54945738</v>
      </c>
      <c r="G267" s="239">
        <v>0</v>
      </c>
      <c r="H267" s="239">
        <v>0</v>
      </c>
      <c r="I267" s="239">
        <v>0</v>
      </c>
      <c r="J267" s="239">
        <v>-350339</v>
      </c>
      <c r="K267" s="239">
        <v>0</v>
      </c>
      <c r="L267" s="239">
        <v>-350339</v>
      </c>
      <c r="M267" s="239">
        <v>0</v>
      </c>
      <c r="N267" s="239">
        <v>0</v>
      </c>
      <c r="O267" s="239">
        <v>0</v>
      </c>
      <c r="P267" s="239">
        <v>-524777</v>
      </c>
      <c r="Q267" s="239">
        <v>0</v>
      </c>
      <c r="R267" s="239">
        <v>-524777</v>
      </c>
      <c r="S267" s="239">
        <v>358212</v>
      </c>
      <c r="T267" s="239">
        <v>0</v>
      </c>
      <c r="U267" s="239">
        <v>358212</v>
      </c>
      <c r="V267" s="239">
        <v>-2111146</v>
      </c>
      <c r="W267" s="239">
        <v>0</v>
      </c>
      <c r="X267" s="239">
        <v>-2111146</v>
      </c>
      <c r="Y267" s="239">
        <v>52668027</v>
      </c>
      <c r="Z267" s="239">
        <v>0</v>
      </c>
      <c r="AA267" s="239">
        <v>52668027</v>
      </c>
      <c r="AB267" s="239">
        <v>0</v>
      </c>
      <c r="AC267" s="239">
        <v>0</v>
      </c>
      <c r="AD267" s="239">
        <v>32846</v>
      </c>
      <c r="AE267" s="239">
        <v>0</v>
      </c>
      <c r="AF267" s="239">
        <v>32846</v>
      </c>
      <c r="AG267" s="239">
        <v>0</v>
      </c>
      <c r="AH267" s="239">
        <v>0</v>
      </c>
      <c r="AI267" s="239">
        <v>0</v>
      </c>
      <c r="AJ267" s="239">
        <v>0</v>
      </c>
      <c r="AK267" s="239">
        <v>0</v>
      </c>
      <c r="AL267" s="239">
        <v>0</v>
      </c>
      <c r="AM267" s="239">
        <v>0</v>
      </c>
      <c r="AN267" s="239">
        <v>0</v>
      </c>
      <c r="AO267" s="239">
        <v>0</v>
      </c>
      <c r="AP267" s="239">
        <v>0</v>
      </c>
      <c r="AQ267" s="239">
        <v>0</v>
      </c>
      <c r="AR267" s="239">
        <v>0</v>
      </c>
      <c r="AS267" s="239">
        <v>0</v>
      </c>
      <c r="AT267" s="239">
        <v>0</v>
      </c>
      <c r="AU267" s="239">
        <v>0</v>
      </c>
      <c r="AV267" s="239">
        <v>0</v>
      </c>
      <c r="AW267" s="239">
        <v>0</v>
      </c>
      <c r="AX267" s="239">
        <v>0</v>
      </c>
      <c r="AY267" s="239">
        <v>0</v>
      </c>
      <c r="AZ267" s="239">
        <v>0</v>
      </c>
      <c r="BA267" s="239">
        <v>0</v>
      </c>
      <c r="BB267" s="239">
        <v>0</v>
      </c>
      <c r="BC267" s="239">
        <v>1702154</v>
      </c>
      <c r="BD267" s="239">
        <v>-521286</v>
      </c>
      <c r="BE267" s="214" t="s">
        <v>616</v>
      </c>
      <c r="BF267" s="214" t="s">
        <v>811</v>
      </c>
      <c r="BG267" s="214" t="s">
        <v>761</v>
      </c>
      <c r="BH267" s="214" t="s">
        <v>1010</v>
      </c>
      <c r="BI267" s="214" t="s">
        <v>1010</v>
      </c>
      <c r="BJ267" s="214" t="s">
        <v>1158</v>
      </c>
    </row>
    <row r="268" spans="1:62" x14ac:dyDescent="0.2">
      <c r="B268" s="602" t="s">
        <v>619</v>
      </c>
      <c r="C268" s="602" t="s">
        <v>618</v>
      </c>
      <c r="D268" s="239">
        <v>27379380</v>
      </c>
      <c r="E268" s="239">
        <v>0</v>
      </c>
      <c r="F268" s="239">
        <v>27379380</v>
      </c>
      <c r="G268" s="239">
        <v>0</v>
      </c>
      <c r="H268" s="239">
        <v>0</v>
      </c>
      <c r="I268" s="239">
        <v>0</v>
      </c>
      <c r="J268" s="239">
        <v>-256597</v>
      </c>
      <c r="K268" s="239">
        <v>0</v>
      </c>
      <c r="L268" s="239">
        <v>-256597</v>
      </c>
      <c r="M268" s="239">
        <v>-5674</v>
      </c>
      <c r="N268" s="239">
        <v>0</v>
      </c>
      <c r="O268" s="239">
        <v>-5674</v>
      </c>
      <c r="P268" s="239">
        <v>-267553</v>
      </c>
      <c r="Q268" s="239">
        <v>0</v>
      </c>
      <c r="R268" s="239">
        <v>-267553</v>
      </c>
      <c r="S268" s="239">
        <v>430050</v>
      </c>
      <c r="T268" s="239">
        <v>0</v>
      </c>
      <c r="U268" s="239">
        <v>430050</v>
      </c>
      <c r="V268" s="239">
        <v>-804203</v>
      </c>
      <c r="W268" s="239">
        <v>0</v>
      </c>
      <c r="X268" s="239">
        <v>-804203</v>
      </c>
      <c r="Y268" s="239">
        <v>26732000</v>
      </c>
      <c r="Z268" s="239">
        <v>0</v>
      </c>
      <c r="AA268" s="239">
        <v>26732000</v>
      </c>
      <c r="AB268" s="239">
        <v>0</v>
      </c>
      <c r="AC268" s="239">
        <v>0</v>
      </c>
      <c r="AD268" s="239">
        <v>107748</v>
      </c>
      <c r="AE268" s="239">
        <v>0</v>
      </c>
      <c r="AF268" s="239">
        <v>107748</v>
      </c>
      <c r="AG268" s="239">
        <v>0</v>
      </c>
      <c r="AH268" s="239">
        <v>0</v>
      </c>
      <c r="AI268" s="239">
        <v>0</v>
      </c>
      <c r="AJ268" s="239">
        <v>0</v>
      </c>
      <c r="AK268" s="239">
        <v>0</v>
      </c>
      <c r="AL268" s="239">
        <v>0</v>
      </c>
      <c r="AM268" s="239">
        <v>0</v>
      </c>
      <c r="AN268" s="239">
        <v>0</v>
      </c>
      <c r="AO268" s="239">
        <v>0</v>
      </c>
      <c r="AP268" s="239">
        <v>0</v>
      </c>
      <c r="AQ268" s="239">
        <v>0</v>
      </c>
      <c r="AR268" s="239">
        <v>0</v>
      </c>
      <c r="AS268" s="239">
        <v>0</v>
      </c>
      <c r="AT268" s="239">
        <v>0</v>
      </c>
      <c r="AU268" s="239">
        <v>0</v>
      </c>
      <c r="AV268" s="239">
        <v>0</v>
      </c>
      <c r="AW268" s="239">
        <v>0</v>
      </c>
      <c r="AX268" s="239">
        <v>0</v>
      </c>
      <c r="AY268" s="239">
        <v>0</v>
      </c>
      <c r="AZ268" s="239">
        <v>0</v>
      </c>
      <c r="BA268" s="239">
        <v>0</v>
      </c>
      <c r="BB268" s="239">
        <v>0</v>
      </c>
      <c r="BC268" s="239">
        <v>789514</v>
      </c>
      <c r="BD268" s="239">
        <v>-451447</v>
      </c>
      <c r="BE268" s="214" t="s">
        <v>618</v>
      </c>
      <c r="BF268" s="214" t="s">
        <v>829</v>
      </c>
      <c r="BG268" s="214" t="s">
        <v>761</v>
      </c>
      <c r="BH268" s="214" t="s">
        <v>1010</v>
      </c>
      <c r="BI268" s="214" t="s">
        <v>1010</v>
      </c>
      <c r="BJ268" s="214" t="s">
        <v>1158</v>
      </c>
    </row>
    <row r="269" spans="1:62" x14ac:dyDescent="0.2">
      <c r="B269" s="602" t="s">
        <v>621</v>
      </c>
      <c r="C269" s="602" t="s">
        <v>620</v>
      </c>
      <c r="D269" s="239">
        <v>68953736</v>
      </c>
      <c r="E269" s="239">
        <v>0</v>
      </c>
      <c r="F269" s="239">
        <v>68953736</v>
      </c>
      <c r="G269" s="239">
        <v>0</v>
      </c>
      <c r="H269" s="239">
        <v>0</v>
      </c>
      <c r="I269" s="239">
        <v>0</v>
      </c>
      <c r="J269" s="239">
        <v>-21480</v>
      </c>
      <c r="K269" s="239">
        <v>0</v>
      </c>
      <c r="L269" s="239">
        <v>-21480</v>
      </c>
      <c r="M269" s="239">
        <v>0</v>
      </c>
      <c r="N269" s="239">
        <v>0</v>
      </c>
      <c r="O269" s="239">
        <v>0</v>
      </c>
      <c r="P269" s="239">
        <v>-162698</v>
      </c>
      <c r="Q269" s="239">
        <v>0</v>
      </c>
      <c r="R269" s="239">
        <v>-162698</v>
      </c>
      <c r="S269" s="239">
        <v>1459570</v>
      </c>
      <c r="T269" s="239">
        <v>0</v>
      </c>
      <c r="U269" s="239">
        <v>1459570</v>
      </c>
      <c r="V269" s="239">
        <v>-2056084</v>
      </c>
      <c r="W269" s="239">
        <v>0</v>
      </c>
      <c r="X269" s="239">
        <v>-2056084</v>
      </c>
      <c r="Y269" s="239">
        <v>68194524</v>
      </c>
      <c r="Z269" s="239">
        <v>0</v>
      </c>
      <c r="AA269" s="239">
        <v>68194524</v>
      </c>
      <c r="AB269" s="239">
        <v>0</v>
      </c>
      <c r="AC269" s="239">
        <v>0</v>
      </c>
      <c r="AD269" s="239">
        <v>149175</v>
      </c>
      <c r="AE269" s="239">
        <v>0</v>
      </c>
      <c r="AF269" s="239">
        <v>149175</v>
      </c>
      <c r="AG269" s="239">
        <v>0</v>
      </c>
      <c r="AH269" s="239">
        <v>0</v>
      </c>
      <c r="AI269" s="239">
        <v>0</v>
      </c>
      <c r="AJ269" s="239">
        <v>0</v>
      </c>
      <c r="AK269" s="239">
        <v>0</v>
      </c>
      <c r="AL269" s="239">
        <v>0</v>
      </c>
      <c r="AM269" s="239">
        <v>0</v>
      </c>
      <c r="AN269" s="239">
        <v>0</v>
      </c>
      <c r="AO269" s="239">
        <v>0</v>
      </c>
      <c r="AP269" s="239">
        <v>0</v>
      </c>
      <c r="AQ269" s="239">
        <v>0</v>
      </c>
      <c r="AR269" s="239">
        <v>0</v>
      </c>
      <c r="AS269" s="239">
        <v>0</v>
      </c>
      <c r="AT269" s="239">
        <v>0</v>
      </c>
      <c r="AU269" s="239">
        <v>0</v>
      </c>
      <c r="AV269" s="239">
        <v>0</v>
      </c>
      <c r="AW269" s="239">
        <v>0</v>
      </c>
      <c r="AX269" s="239">
        <v>0</v>
      </c>
      <c r="AY269" s="239">
        <v>0</v>
      </c>
      <c r="AZ269" s="239">
        <v>0</v>
      </c>
      <c r="BA269" s="239">
        <v>0</v>
      </c>
      <c r="BB269" s="239">
        <v>0</v>
      </c>
      <c r="BC269" s="239">
        <v>1260883</v>
      </c>
      <c r="BD269" s="239">
        <v>-2212294</v>
      </c>
      <c r="BE269" s="214" t="s">
        <v>620</v>
      </c>
      <c r="BF269" s="214" t="s">
        <v>809</v>
      </c>
      <c r="BG269" s="214" t="s">
        <v>761</v>
      </c>
      <c r="BH269" s="214" t="s">
        <v>1010</v>
      </c>
      <c r="BI269" s="214" t="s">
        <v>1010</v>
      </c>
      <c r="BJ269" s="214" t="s">
        <v>1158</v>
      </c>
    </row>
    <row r="270" spans="1:62" x14ac:dyDescent="0.2">
      <c r="B270" s="602" t="s">
        <v>623</v>
      </c>
      <c r="C270" s="602" t="s">
        <v>622</v>
      </c>
      <c r="D270" s="239">
        <v>88833737</v>
      </c>
      <c r="E270" s="239">
        <v>854498</v>
      </c>
      <c r="F270" s="239">
        <v>89688235</v>
      </c>
      <c r="G270" s="239">
        <v>0</v>
      </c>
      <c r="H270" s="239">
        <v>0</v>
      </c>
      <c r="I270" s="239">
        <v>0</v>
      </c>
      <c r="J270" s="239">
        <v>-1461834</v>
      </c>
      <c r="K270" s="239">
        <v>0</v>
      </c>
      <c r="L270" s="239">
        <v>-1461834</v>
      </c>
      <c r="M270" s="239">
        <v>0</v>
      </c>
      <c r="N270" s="239">
        <v>0</v>
      </c>
      <c r="O270" s="239">
        <v>0</v>
      </c>
      <c r="P270" s="239">
        <v>-725247</v>
      </c>
      <c r="Q270" s="239">
        <v>0</v>
      </c>
      <c r="R270" s="239">
        <v>-725247</v>
      </c>
      <c r="S270" s="239">
        <v>5510534</v>
      </c>
      <c r="T270" s="239">
        <v>0</v>
      </c>
      <c r="U270" s="239">
        <v>5510534</v>
      </c>
      <c r="V270" s="239">
        <v>-5299867</v>
      </c>
      <c r="W270" s="239">
        <v>0</v>
      </c>
      <c r="X270" s="239">
        <v>-5299867</v>
      </c>
      <c r="Y270" s="239">
        <v>88319157</v>
      </c>
      <c r="Z270" s="239">
        <v>854498</v>
      </c>
      <c r="AA270" s="239">
        <v>89173655</v>
      </c>
      <c r="AB270" s="239">
        <v>854498</v>
      </c>
      <c r="AC270" s="239">
        <v>854498</v>
      </c>
      <c r="AD270" s="239">
        <v>0</v>
      </c>
      <c r="AE270" s="239">
        <v>0</v>
      </c>
      <c r="AF270" s="239">
        <v>0</v>
      </c>
      <c r="AG270" s="239">
        <v>-12211</v>
      </c>
      <c r="AH270" s="239">
        <v>-12211</v>
      </c>
      <c r="AI270" s="239">
        <v>134776</v>
      </c>
      <c r="AJ270" s="239">
        <v>134776</v>
      </c>
      <c r="AK270" s="239">
        <v>707511</v>
      </c>
      <c r="AL270" s="239">
        <v>0</v>
      </c>
      <c r="AM270" s="239">
        <v>0</v>
      </c>
      <c r="AN270" s="239">
        <v>0</v>
      </c>
      <c r="AO270" s="239">
        <v>0</v>
      </c>
      <c r="AP270" s="239">
        <v>0</v>
      </c>
      <c r="AQ270" s="239">
        <v>0</v>
      </c>
      <c r="AR270" s="239">
        <v>0</v>
      </c>
      <c r="AS270" s="239">
        <v>0</v>
      </c>
      <c r="AT270" s="239">
        <v>0</v>
      </c>
      <c r="AU270" s="239">
        <v>0</v>
      </c>
      <c r="AV270" s="239">
        <v>0</v>
      </c>
      <c r="AW270" s="239">
        <v>0</v>
      </c>
      <c r="AX270" s="239">
        <v>0</v>
      </c>
      <c r="AY270" s="239">
        <v>0</v>
      </c>
      <c r="AZ270" s="239">
        <v>0</v>
      </c>
      <c r="BA270" s="239">
        <v>0</v>
      </c>
      <c r="BB270" s="239">
        <v>0</v>
      </c>
      <c r="BC270" s="239">
        <v>5865950</v>
      </c>
      <c r="BD270" s="239">
        <v>-1827642</v>
      </c>
      <c r="BE270" s="214" t="s">
        <v>622</v>
      </c>
      <c r="BF270" s="214" t="s">
        <v>766</v>
      </c>
      <c r="BG270" s="214" t="s">
        <v>839</v>
      </c>
      <c r="BH270" s="214" t="s">
        <v>1039</v>
      </c>
      <c r="BI270" s="214" t="s">
        <v>1010</v>
      </c>
      <c r="BJ270" s="214" t="s">
        <v>1160</v>
      </c>
    </row>
    <row r="271" spans="1:62" x14ac:dyDescent="0.2">
      <c r="B271" s="602" t="s">
        <v>625</v>
      </c>
      <c r="C271" s="602" t="s">
        <v>624</v>
      </c>
      <c r="D271" s="239">
        <v>37608820</v>
      </c>
      <c r="E271" s="239">
        <v>0</v>
      </c>
      <c r="F271" s="239">
        <v>37608820</v>
      </c>
      <c r="G271" s="239">
        <v>0</v>
      </c>
      <c r="H271" s="239">
        <v>0</v>
      </c>
      <c r="I271" s="239">
        <v>0</v>
      </c>
      <c r="J271" s="239">
        <v>-424051</v>
      </c>
      <c r="K271" s="239">
        <v>0</v>
      </c>
      <c r="L271" s="239">
        <v>-424051</v>
      </c>
      <c r="M271" s="239">
        <v>0</v>
      </c>
      <c r="N271" s="239">
        <v>0</v>
      </c>
      <c r="O271" s="239">
        <v>0</v>
      </c>
      <c r="P271" s="239">
        <v>-732705</v>
      </c>
      <c r="Q271" s="239">
        <v>0</v>
      </c>
      <c r="R271" s="239">
        <v>-732705</v>
      </c>
      <c r="S271" s="239">
        <v>0</v>
      </c>
      <c r="T271" s="239">
        <v>0</v>
      </c>
      <c r="U271" s="239">
        <v>0</v>
      </c>
      <c r="V271" s="239">
        <v>-2873673</v>
      </c>
      <c r="W271" s="239">
        <v>0</v>
      </c>
      <c r="X271" s="239">
        <v>-2873673</v>
      </c>
      <c r="Y271" s="239">
        <v>34002442</v>
      </c>
      <c r="Z271" s="239">
        <v>0</v>
      </c>
      <c r="AA271" s="239">
        <v>34002442</v>
      </c>
      <c r="AB271" s="239">
        <v>0</v>
      </c>
      <c r="AC271" s="239">
        <v>0</v>
      </c>
      <c r="AD271" s="239">
        <v>0</v>
      </c>
      <c r="AE271" s="239">
        <v>0</v>
      </c>
      <c r="AF271" s="239">
        <v>0</v>
      </c>
      <c r="AG271" s="239">
        <v>0</v>
      </c>
      <c r="AH271" s="239">
        <v>0</v>
      </c>
      <c r="AI271" s="239">
        <v>0</v>
      </c>
      <c r="AJ271" s="239">
        <v>0</v>
      </c>
      <c r="AK271" s="239">
        <v>0</v>
      </c>
      <c r="AL271" s="239">
        <v>0</v>
      </c>
      <c r="AM271" s="239">
        <v>0</v>
      </c>
      <c r="AN271" s="239">
        <v>0</v>
      </c>
      <c r="AO271" s="239">
        <v>0</v>
      </c>
      <c r="AP271" s="239">
        <v>0</v>
      </c>
      <c r="AQ271" s="239">
        <v>0</v>
      </c>
      <c r="AR271" s="239">
        <v>0</v>
      </c>
      <c r="AS271" s="239">
        <v>0</v>
      </c>
      <c r="AT271" s="239">
        <v>0</v>
      </c>
      <c r="AU271" s="239">
        <v>0</v>
      </c>
      <c r="AV271" s="239">
        <v>0</v>
      </c>
      <c r="AW271" s="239">
        <v>0</v>
      </c>
      <c r="AX271" s="239">
        <v>0</v>
      </c>
      <c r="AY271" s="239">
        <v>0</v>
      </c>
      <c r="AZ271" s="239">
        <v>0</v>
      </c>
      <c r="BA271" s="239">
        <v>0</v>
      </c>
      <c r="BB271" s="239">
        <v>0</v>
      </c>
      <c r="BC271" s="239">
        <v>2133757</v>
      </c>
      <c r="BD271" s="239">
        <v>-840760</v>
      </c>
      <c r="BE271" s="214" t="s">
        <v>624</v>
      </c>
      <c r="BF271" s="214" t="s">
        <v>770</v>
      </c>
      <c r="BG271" s="214" t="s">
        <v>761</v>
      </c>
      <c r="BH271" s="214" t="s">
        <v>1010</v>
      </c>
      <c r="BI271" s="214" t="s">
        <v>1010</v>
      </c>
      <c r="BJ271" s="214" t="s">
        <v>1158</v>
      </c>
    </row>
    <row r="272" spans="1:62" x14ac:dyDescent="0.2">
      <c r="B272" s="602" t="s">
        <v>627</v>
      </c>
      <c r="C272" s="602" t="s">
        <v>626</v>
      </c>
      <c r="D272" s="239">
        <v>52397963</v>
      </c>
      <c r="E272" s="239">
        <v>0</v>
      </c>
      <c r="F272" s="239">
        <v>52397963</v>
      </c>
      <c r="G272" s="239">
        <v>0</v>
      </c>
      <c r="H272" s="239">
        <v>0</v>
      </c>
      <c r="I272" s="239">
        <v>0</v>
      </c>
      <c r="J272" s="239">
        <v>-611661</v>
      </c>
      <c r="K272" s="239">
        <v>0</v>
      </c>
      <c r="L272" s="239">
        <v>-611661</v>
      </c>
      <c r="M272" s="239">
        <v>0</v>
      </c>
      <c r="N272" s="239">
        <v>0</v>
      </c>
      <c r="O272" s="239">
        <v>0</v>
      </c>
      <c r="P272" s="239">
        <v>-797200</v>
      </c>
      <c r="Q272" s="239">
        <v>0</v>
      </c>
      <c r="R272" s="239">
        <v>-797200</v>
      </c>
      <c r="S272" s="239">
        <v>2323328</v>
      </c>
      <c r="T272" s="239">
        <v>0</v>
      </c>
      <c r="U272" s="239">
        <v>2323328</v>
      </c>
      <c r="V272" s="239">
        <v>-5664738</v>
      </c>
      <c r="W272" s="239">
        <v>0</v>
      </c>
      <c r="X272" s="239">
        <v>-5664738</v>
      </c>
      <c r="Y272" s="239">
        <v>48259353</v>
      </c>
      <c r="Z272" s="239">
        <v>0</v>
      </c>
      <c r="AA272" s="239">
        <v>48259353</v>
      </c>
      <c r="AB272" s="239">
        <v>0</v>
      </c>
      <c r="AC272" s="239">
        <v>0</v>
      </c>
      <c r="AD272" s="239">
        <v>0</v>
      </c>
      <c r="AE272" s="239">
        <v>0</v>
      </c>
      <c r="AF272" s="239">
        <v>0</v>
      </c>
      <c r="AG272" s="239">
        <v>0</v>
      </c>
      <c r="AH272" s="239">
        <v>0</v>
      </c>
      <c r="AI272" s="239">
        <v>0</v>
      </c>
      <c r="AJ272" s="239">
        <v>0</v>
      </c>
      <c r="AK272" s="239">
        <v>0</v>
      </c>
      <c r="AL272" s="239">
        <v>0</v>
      </c>
      <c r="AM272" s="239">
        <v>0</v>
      </c>
      <c r="AN272" s="239">
        <v>0</v>
      </c>
      <c r="AO272" s="239">
        <v>0</v>
      </c>
      <c r="AP272" s="239">
        <v>0</v>
      </c>
      <c r="AQ272" s="239">
        <v>0</v>
      </c>
      <c r="AR272" s="239">
        <v>0</v>
      </c>
      <c r="AS272" s="239">
        <v>0</v>
      </c>
      <c r="AT272" s="239">
        <v>0</v>
      </c>
      <c r="AU272" s="239">
        <v>0</v>
      </c>
      <c r="AV272" s="239">
        <v>0</v>
      </c>
      <c r="AW272" s="239">
        <v>0</v>
      </c>
      <c r="AX272" s="239">
        <v>0</v>
      </c>
      <c r="AY272" s="239">
        <v>0</v>
      </c>
      <c r="AZ272" s="239">
        <v>0</v>
      </c>
      <c r="BA272" s="239">
        <v>0</v>
      </c>
      <c r="BB272" s="239">
        <v>0</v>
      </c>
      <c r="BC272" s="239">
        <v>1911067</v>
      </c>
      <c r="BD272" s="239">
        <v>-991612</v>
      </c>
      <c r="BE272" s="214" t="s">
        <v>626</v>
      </c>
      <c r="BF272" s="214" t="s">
        <v>788</v>
      </c>
      <c r="BG272" s="214" t="s">
        <v>747</v>
      </c>
      <c r="BH272" s="214" t="s">
        <v>1010</v>
      </c>
      <c r="BI272" s="214" t="s">
        <v>1010</v>
      </c>
      <c r="BJ272" s="214" t="s">
        <v>1159</v>
      </c>
    </row>
    <row r="273" spans="2:62" x14ac:dyDescent="0.2">
      <c r="B273" s="602" t="s">
        <v>629</v>
      </c>
      <c r="C273" s="602" t="s">
        <v>628</v>
      </c>
      <c r="D273" s="239">
        <v>47131584</v>
      </c>
      <c r="E273" s="239">
        <v>0</v>
      </c>
      <c r="F273" s="239">
        <v>47131584</v>
      </c>
      <c r="G273" s="239">
        <v>0</v>
      </c>
      <c r="H273" s="239">
        <v>0</v>
      </c>
      <c r="I273" s="239">
        <v>0</v>
      </c>
      <c r="J273" s="239">
        <v>-174362</v>
      </c>
      <c r="K273" s="239">
        <v>0</v>
      </c>
      <c r="L273" s="239">
        <v>-174362</v>
      </c>
      <c r="M273" s="239">
        <v>0</v>
      </c>
      <c r="N273" s="239">
        <v>0</v>
      </c>
      <c r="O273" s="239">
        <v>0</v>
      </c>
      <c r="P273" s="239">
        <v>-528937</v>
      </c>
      <c r="Q273" s="239">
        <v>0</v>
      </c>
      <c r="R273" s="239">
        <v>-528937</v>
      </c>
      <c r="S273" s="239">
        <v>619751</v>
      </c>
      <c r="T273" s="239">
        <v>0</v>
      </c>
      <c r="U273" s="239">
        <v>619751</v>
      </c>
      <c r="V273" s="239">
        <v>-1401967</v>
      </c>
      <c r="W273" s="239">
        <v>0</v>
      </c>
      <c r="X273" s="239">
        <v>-1401967</v>
      </c>
      <c r="Y273" s="239">
        <v>45820431</v>
      </c>
      <c r="Z273" s="239">
        <v>0</v>
      </c>
      <c r="AA273" s="239">
        <v>45820431</v>
      </c>
      <c r="AB273" s="239">
        <v>0</v>
      </c>
      <c r="AC273" s="239">
        <v>0</v>
      </c>
      <c r="AD273" s="239">
        <v>1237802</v>
      </c>
      <c r="AE273" s="239">
        <v>0</v>
      </c>
      <c r="AF273" s="239">
        <v>1237802</v>
      </c>
      <c r="AG273" s="239">
        <v>0</v>
      </c>
      <c r="AH273" s="239">
        <v>0</v>
      </c>
      <c r="AI273" s="239">
        <v>0</v>
      </c>
      <c r="AJ273" s="239">
        <v>0</v>
      </c>
      <c r="AK273" s="239">
        <v>0</v>
      </c>
      <c r="AL273" s="239">
        <v>0</v>
      </c>
      <c r="AM273" s="239">
        <v>0</v>
      </c>
      <c r="AN273" s="239">
        <v>0</v>
      </c>
      <c r="AO273" s="239">
        <v>0</v>
      </c>
      <c r="AP273" s="239">
        <v>0</v>
      </c>
      <c r="AQ273" s="239">
        <v>0</v>
      </c>
      <c r="AR273" s="239">
        <v>0</v>
      </c>
      <c r="AS273" s="239">
        <v>0</v>
      </c>
      <c r="AT273" s="239">
        <v>0</v>
      </c>
      <c r="AU273" s="239">
        <v>0</v>
      </c>
      <c r="AV273" s="239">
        <v>0</v>
      </c>
      <c r="AW273" s="239">
        <v>0</v>
      </c>
      <c r="AX273" s="239">
        <v>0</v>
      </c>
      <c r="AY273" s="239">
        <v>0</v>
      </c>
      <c r="AZ273" s="239">
        <v>0</v>
      </c>
      <c r="BA273" s="239">
        <v>0</v>
      </c>
      <c r="BB273" s="239">
        <v>0</v>
      </c>
      <c r="BC273" s="239">
        <v>1904697</v>
      </c>
      <c r="BD273" s="239">
        <v>-923755</v>
      </c>
      <c r="BE273" s="214" t="s">
        <v>628</v>
      </c>
      <c r="BF273" s="214" t="s">
        <v>824</v>
      </c>
      <c r="BG273" s="214" t="s">
        <v>822</v>
      </c>
      <c r="BH273" s="214" t="s">
        <v>1010</v>
      </c>
      <c r="BI273" s="214" t="s">
        <v>1010</v>
      </c>
      <c r="BJ273" s="214" t="s">
        <v>1158</v>
      </c>
    </row>
    <row r="274" spans="2:62" x14ac:dyDescent="0.2">
      <c r="B274" s="602" t="s">
        <v>631</v>
      </c>
      <c r="C274" s="602" t="s">
        <v>630</v>
      </c>
      <c r="D274" s="239">
        <v>111635081</v>
      </c>
      <c r="E274" s="239">
        <v>0</v>
      </c>
      <c r="F274" s="239">
        <v>111635081</v>
      </c>
      <c r="G274" s="239">
        <v>0</v>
      </c>
      <c r="H274" s="239">
        <v>0</v>
      </c>
      <c r="I274" s="239">
        <v>0</v>
      </c>
      <c r="J274" s="239">
        <v>-948889</v>
      </c>
      <c r="K274" s="239">
        <v>0</v>
      </c>
      <c r="L274" s="239">
        <v>-948889</v>
      </c>
      <c r="M274" s="239">
        <v>0</v>
      </c>
      <c r="N274" s="239">
        <v>0</v>
      </c>
      <c r="O274" s="239">
        <v>0</v>
      </c>
      <c r="P274" s="239">
        <v>-772778</v>
      </c>
      <c r="Q274" s="239">
        <v>0</v>
      </c>
      <c r="R274" s="239">
        <v>-772778</v>
      </c>
      <c r="S274" s="239">
        <v>1886671</v>
      </c>
      <c r="T274" s="239">
        <v>0</v>
      </c>
      <c r="U274" s="239">
        <v>1886671</v>
      </c>
      <c r="V274" s="239">
        <v>-4492652</v>
      </c>
      <c r="W274" s="239">
        <v>0</v>
      </c>
      <c r="X274" s="239">
        <v>-4492652</v>
      </c>
      <c r="Y274" s="239">
        <v>108256322</v>
      </c>
      <c r="Z274" s="239">
        <v>0</v>
      </c>
      <c r="AA274" s="239">
        <v>108256322</v>
      </c>
      <c r="AB274" s="239">
        <v>0</v>
      </c>
      <c r="AC274" s="239">
        <v>0</v>
      </c>
      <c r="AD274" s="239">
        <v>558182</v>
      </c>
      <c r="AE274" s="239">
        <v>0</v>
      </c>
      <c r="AF274" s="239">
        <v>558182</v>
      </c>
      <c r="AG274" s="239">
        <v>0</v>
      </c>
      <c r="AH274" s="239">
        <v>0</v>
      </c>
      <c r="AI274" s="239">
        <v>0</v>
      </c>
      <c r="AJ274" s="239">
        <v>0</v>
      </c>
      <c r="AK274" s="239">
        <v>0</v>
      </c>
      <c r="AL274" s="239">
        <v>0</v>
      </c>
      <c r="AM274" s="239">
        <v>0</v>
      </c>
      <c r="AN274" s="239">
        <v>0</v>
      </c>
      <c r="AO274" s="239">
        <v>0</v>
      </c>
      <c r="AP274" s="239">
        <v>0</v>
      </c>
      <c r="AQ274" s="239">
        <v>0</v>
      </c>
      <c r="AR274" s="239">
        <v>0</v>
      </c>
      <c r="AS274" s="239">
        <v>0</v>
      </c>
      <c r="AT274" s="239">
        <v>0</v>
      </c>
      <c r="AU274" s="239">
        <v>0</v>
      </c>
      <c r="AV274" s="239">
        <v>0</v>
      </c>
      <c r="AW274" s="239">
        <v>0</v>
      </c>
      <c r="AX274" s="239">
        <v>0</v>
      </c>
      <c r="AY274" s="239">
        <v>0</v>
      </c>
      <c r="AZ274" s="239">
        <v>0</v>
      </c>
      <c r="BA274" s="239">
        <v>0</v>
      </c>
      <c r="BB274" s="239">
        <v>0</v>
      </c>
      <c r="BC274" s="239">
        <v>3623276</v>
      </c>
      <c r="BD274" s="239">
        <v>-1668963</v>
      </c>
      <c r="BE274" s="214" t="s">
        <v>838</v>
      </c>
      <c r="BF274" s="214" t="s">
        <v>746</v>
      </c>
      <c r="BG274" s="214" t="s">
        <v>779</v>
      </c>
      <c r="BH274" s="214" t="s">
        <v>1010</v>
      </c>
      <c r="BI274" s="214" t="s">
        <v>1010</v>
      </c>
      <c r="BJ274" s="214" t="s">
        <v>746</v>
      </c>
    </row>
    <row r="275" spans="2:62" x14ac:dyDescent="0.2">
      <c r="B275" s="602" t="s">
        <v>633</v>
      </c>
      <c r="C275" s="602" t="s">
        <v>632</v>
      </c>
      <c r="D275" s="239">
        <v>55998651</v>
      </c>
      <c r="E275" s="239">
        <v>0</v>
      </c>
      <c r="F275" s="239">
        <v>55998651</v>
      </c>
      <c r="G275" s="239">
        <v>0</v>
      </c>
      <c r="H275" s="239">
        <v>0</v>
      </c>
      <c r="I275" s="239">
        <v>0</v>
      </c>
      <c r="J275" s="239">
        <v>-817533</v>
      </c>
      <c r="K275" s="239">
        <v>0</v>
      </c>
      <c r="L275" s="239">
        <v>-817533</v>
      </c>
      <c r="M275" s="239">
        <v>0</v>
      </c>
      <c r="N275" s="239">
        <v>0</v>
      </c>
      <c r="O275" s="239">
        <v>0</v>
      </c>
      <c r="P275" s="239">
        <v>12088</v>
      </c>
      <c r="Q275" s="239">
        <v>0</v>
      </c>
      <c r="R275" s="239">
        <v>12088</v>
      </c>
      <c r="S275" s="239">
        <v>1893130</v>
      </c>
      <c r="T275" s="239">
        <v>0</v>
      </c>
      <c r="U275" s="239">
        <v>1893130</v>
      </c>
      <c r="V275" s="239">
        <v>-1180869</v>
      </c>
      <c r="W275" s="239">
        <v>0</v>
      </c>
      <c r="X275" s="239">
        <v>-1180869</v>
      </c>
      <c r="Y275" s="239">
        <v>56723000</v>
      </c>
      <c r="Z275" s="239">
        <v>0</v>
      </c>
      <c r="AA275" s="239">
        <v>56723000</v>
      </c>
      <c r="AB275" s="239">
        <v>0</v>
      </c>
      <c r="AC275" s="239">
        <v>0</v>
      </c>
      <c r="AD275" s="239">
        <v>0</v>
      </c>
      <c r="AE275" s="239">
        <v>0</v>
      </c>
      <c r="AF275" s="239">
        <v>0</v>
      </c>
      <c r="AG275" s="239">
        <v>0</v>
      </c>
      <c r="AH275" s="239">
        <v>0</v>
      </c>
      <c r="AI275" s="239">
        <v>0</v>
      </c>
      <c r="AJ275" s="239">
        <v>0</v>
      </c>
      <c r="AK275" s="239">
        <v>0</v>
      </c>
      <c r="AL275" s="239">
        <v>0</v>
      </c>
      <c r="AM275" s="239">
        <v>0</v>
      </c>
      <c r="AN275" s="239">
        <v>0</v>
      </c>
      <c r="AO275" s="239">
        <v>0</v>
      </c>
      <c r="AP275" s="239">
        <v>0</v>
      </c>
      <c r="AQ275" s="239">
        <v>0</v>
      </c>
      <c r="AR275" s="239">
        <v>0</v>
      </c>
      <c r="AS275" s="239">
        <v>0</v>
      </c>
      <c r="AT275" s="239">
        <v>0</v>
      </c>
      <c r="AU275" s="239">
        <v>0</v>
      </c>
      <c r="AV275" s="239">
        <v>0</v>
      </c>
      <c r="AW275" s="239">
        <v>0</v>
      </c>
      <c r="AX275" s="239">
        <v>0</v>
      </c>
      <c r="AY275" s="239">
        <v>0</v>
      </c>
      <c r="AZ275" s="239">
        <v>0</v>
      </c>
      <c r="BA275" s="239">
        <v>0</v>
      </c>
      <c r="BB275" s="239">
        <v>0</v>
      </c>
      <c r="BC275" s="239">
        <v>6349135</v>
      </c>
      <c r="BD275" s="239">
        <v>-2030614</v>
      </c>
      <c r="BE275" s="214" t="s">
        <v>632</v>
      </c>
      <c r="BF275" s="214" t="s">
        <v>766</v>
      </c>
      <c r="BG275" s="214" t="s">
        <v>781</v>
      </c>
      <c r="BH275" s="214" t="s">
        <v>1010</v>
      </c>
      <c r="BI275" s="214" t="s">
        <v>1010</v>
      </c>
      <c r="BJ275" s="214" t="s">
        <v>1160</v>
      </c>
    </row>
    <row r="276" spans="2:62" x14ac:dyDescent="0.2">
      <c r="B276" s="602" t="s">
        <v>635</v>
      </c>
      <c r="C276" s="602" t="s">
        <v>634</v>
      </c>
      <c r="D276" s="239">
        <v>34527249</v>
      </c>
      <c r="E276" s="239">
        <v>0</v>
      </c>
      <c r="F276" s="239">
        <v>34527249</v>
      </c>
      <c r="G276" s="239">
        <v>0</v>
      </c>
      <c r="H276" s="239">
        <v>0</v>
      </c>
      <c r="I276" s="239">
        <v>0</v>
      </c>
      <c r="J276" s="239">
        <v>-352172</v>
      </c>
      <c r="K276" s="239">
        <v>0</v>
      </c>
      <c r="L276" s="239">
        <v>-352172</v>
      </c>
      <c r="M276" s="239">
        <v>0</v>
      </c>
      <c r="N276" s="239">
        <v>0</v>
      </c>
      <c r="O276" s="239">
        <v>0</v>
      </c>
      <c r="P276" s="239">
        <v>-58522</v>
      </c>
      <c r="Q276" s="239">
        <v>0</v>
      </c>
      <c r="R276" s="239">
        <v>-58522</v>
      </c>
      <c r="S276" s="239">
        <v>875934</v>
      </c>
      <c r="T276" s="239">
        <v>0</v>
      </c>
      <c r="U276" s="239">
        <v>875934</v>
      </c>
      <c r="V276" s="239">
        <v>23671</v>
      </c>
      <c r="W276" s="239">
        <v>0</v>
      </c>
      <c r="X276" s="239">
        <v>23671</v>
      </c>
      <c r="Y276" s="239">
        <v>35368332</v>
      </c>
      <c r="Z276" s="239">
        <v>0</v>
      </c>
      <c r="AA276" s="239">
        <v>35368332</v>
      </c>
      <c r="AB276" s="239">
        <v>0</v>
      </c>
      <c r="AC276" s="239">
        <v>0</v>
      </c>
      <c r="AD276" s="239">
        <v>0</v>
      </c>
      <c r="AE276" s="239">
        <v>0</v>
      </c>
      <c r="AF276" s="239">
        <v>0</v>
      </c>
      <c r="AG276" s="239">
        <v>0</v>
      </c>
      <c r="AH276" s="239">
        <v>0</v>
      </c>
      <c r="AI276" s="239">
        <v>0</v>
      </c>
      <c r="AJ276" s="239">
        <v>0</v>
      </c>
      <c r="AK276" s="239">
        <v>0</v>
      </c>
      <c r="AL276" s="239">
        <v>0</v>
      </c>
      <c r="AM276" s="239">
        <v>0</v>
      </c>
      <c r="AN276" s="239">
        <v>0</v>
      </c>
      <c r="AO276" s="239">
        <v>0</v>
      </c>
      <c r="AP276" s="239">
        <v>0</v>
      </c>
      <c r="AQ276" s="239">
        <v>0</v>
      </c>
      <c r="AR276" s="239">
        <v>0</v>
      </c>
      <c r="AS276" s="239">
        <v>0</v>
      </c>
      <c r="AT276" s="239">
        <v>0</v>
      </c>
      <c r="AU276" s="239">
        <v>0</v>
      </c>
      <c r="AV276" s="239">
        <v>0</v>
      </c>
      <c r="AW276" s="239">
        <v>0</v>
      </c>
      <c r="AX276" s="239">
        <v>0</v>
      </c>
      <c r="AY276" s="239">
        <v>0</v>
      </c>
      <c r="AZ276" s="239">
        <v>0</v>
      </c>
      <c r="BA276" s="239">
        <v>0</v>
      </c>
      <c r="BB276" s="239">
        <v>0</v>
      </c>
      <c r="BC276" s="239">
        <v>846681</v>
      </c>
      <c r="BD276" s="239">
        <v>-1521380</v>
      </c>
      <c r="BE276" s="214" t="s">
        <v>634</v>
      </c>
      <c r="BF276" s="214" t="s">
        <v>836</v>
      </c>
      <c r="BG276" s="214" t="s">
        <v>834</v>
      </c>
      <c r="BH276" s="214" t="s">
        <v>1010</v>
      </c>
      <c r="BI276" s="214" t="s">
        <v>1010</v>
      </c>
      <c r="BJ276" s="214" t="s">
        <v>1158</v>
      </c>
    </row>
    <row r="277" spans="2:62" x14ac:dyDescent="0.2">
      <c r="B277" s="602" t="s">
        <v>637</v>
      </c>
      <c r="C277" s="602" t="s">
        <v>636</v>
      </c>
      <c r="D277" s="239">
        <v>18069069</v>
      </c>
      <c r="E277" s="239">
        <v>0</v>
      </c>
      <c r="F277" s="239">
        <v>18069069</v>
      </c>
      <c r="G277" s="239">
        <v>0</v>
      </c>
      <c r="H277" s="239">
        <v>0</v>
      </c>
      <c r="I277" s="239">
        <v>0</v>
      </c>
      <c r="J277" s="239">
        <v>-46608</v>
      </c>
      <c r="K277" s="239">
        <v>0</v>
      </c>
      <c r="L277" s="239">
        <v>-46608</v>
      </c>
      <c r="M277" s="239">
        <v>0</v>
      </c>
      <c r="N277" s="239">
        <v>0</v>
      </c>
      <c r="O277" s="239">
        <v>0</v>
      </c>
      <c r="P277" s="239">
        <v>-53439</v>
      </c>
      <c r="Q277" s="239">
        <v>0</v>
      </c>
      <c r="R277" s="239">
        <v>-53439</v>
      </c>
      <c r="S277" s="239">
        <v>1630700</v>
      </c>
      <c r="T277" s="239">
        <v>0</v>
      </c>
      <c r="U277" s="239">
        <v>1630700</v>
      </c>
      <c r="V277" s="239">
        <v>-1510630</v>
      </c>
      <c r="W277" s="239">
        <v>0</v>
      </c>
      <c r="X277" s="239">
        <v>-1510630</v>
      </c>
      <c r="Y277" s="239">
        <v>18135700</v>
      </c>
      <c r="Z277" s="239">
        <v>0</v>
      </c>
      <c r="AA277" s="239">
        <v>18135700</v>
      </c>
      <c r="AB277" s="239">
        <v>0</v>
      </c>
      <c r="AC277" s="239">
        <v>0</v>
      </c>
      <c r="AD277" s="239">
        <v>0</v>
      </c>
      <c r="AE277" s="239">
        <v>0</v>
      </c>
      <c r="AF277" s="239">
        <v>0</v>
      </c>
      <c r="AG277" s="239">
        <v>0</v>
      </c>
      <c r="AH277" s="239">
        <v>0</v>
      </c>
      <c r="AI277" s="239">
        <v>0</v>
      </c>
      <c r="AJ277" s="239">
        <v>0</v>
      </c>
      <c r="AK277" s="239">
        <v>0</v>
      </c>
      <c r="AL277" s="239">
        <v>0</v>
      </c>
      <c r="AM277" s="239">
        <v>0</v>
      </c>
      <c r="AN277" s="239">
        <v>0</v>
      </c>
      <c r="AO277" s="239">
        <v>0</v>
      </c>
      <c r="AP277" s="239">
        <v>0</v>
      </c>
      <c r="AQ277" s="239">
        <v>0</v>
      </c>
      <c r="AR277" s="239">
        <v>0</v>
      </c>
      <c r="AS277" s="239">
        <v>0</v>
      </c>
      <c r="AT277" s="239">
        <v>0</v>
      </c>
      <c r="AU277" s="239">
        <v>0</v>
      </c>
      <c r="AV277" s="239">
        <v>0</v>
      </c>
      <c r="AW277" s="239">
        <v>0</v>
      </c>
      <c r="AX277" s="239">
        <v>0</v>
      </c>
      <c r="AY277" s="239">
        <v>0</v>
      </c>
      <c r="AZ277" s="239">
        <v>0</v>
      </c>
      <c r="BA277" s="239">
        <v>0</v>
      </c>
      <c r="BB277" s="239">
        <v>0</v>
      </c>
      <c r="BC277" s="239">
        <v>1570766</v>
      </c>
      <c r="BD277" s="239">
        <v>-1669460</v>
      </c>
      <c r="BE277" s="214" t="s">
        <v>636</v>
      </c>
      <c r="BF277" s="214" t="s">
        <v>770</v>
      </c>
      <c r="BG277" s="214" t="s">
        <v>761</v>
      </c>
      <c r="BH277" s="214" t="s">
        <v>1010</v>
      </c>
      <c r="BI277" s="214" t="s">
        <v>1010</v>
      </c>
      <c r="BJ277" s="214" t="s">
        <v>1158</v>
      </c>
    </row>
    <row r="278" spans="2:62" x14ac:dyDescent="0.2">
      <c r="B278" s="602" t="s">
        <v>639</v>
      </c>
      <c r="C278" s="602" t="s">
        <v>638</v>
      </c>
      <c r="D278" s="239">
        <v>40159772</v>
      </c>
      <c r="E278" s="239">
        <v>0</v>
      </c>
      <c r="F278" s="239">
        <v>40159772</v>
      </c>
      <c r="G278" s="239">
        <v>-7122</v>
      </c>
      <c r="H278" s="239">
        <v>0</v>
      </c>
      <c r="I278" s="239">
        <v>-7122</v>
      </c>
      <c r="J278" s="239">
        <v>-300317</v>
      </c>
      <c r="K278" s="239">
        <v>0</v>
      </c>
      <c r="L278" s="239">
        <v>-300317</v>
      </c>
      <c r="M278" s="239">
        <v>0</v>
      </c>
      <c r="N278" s="239">
        <v>0</v>
      </c>
      <c r="O278" s="239">
        <v>0</v>
      </c>
      <c r="P278" s="239">
        <v>-390335</v>
      </c>
      <c r="Q278" s="239">
        <v>0</v>
      </c>
      <c r="R278" s="239">
        <v>-390335</v>
      </c>
      <c r="S278" s="239">
        <v>320710</v>
      </c>
      <c r="T278" s="239">
        <v>0</v>
      </c>
      <c r="U278" s="239">
        <v>320710</v>
      </c>
      <c r="V278" s="239">
        <v>-1805493</v>
      </c>
      <c r="W278" s="239">
        <v>0</v>
      </c>
      <c r="X278" s="239">
        <v>-1805493</v>
      </c>
      <c r="Y278" s="239">
        <v>38277532</v>
      </c>
      <c r="Z278" s="239">
        <v>0</v>
      </c>
      <c r="AA278" s="239">
        <v>38277532</v>
      </c>
      <c r="AB278" s="239">
        <v>0</v>
      </c>
      <c r="AC278" s="239">
        <v>0</v>
      </c>
      <c r="AD278" s="239">
        <v>355595</v>
      </c>
      <c r="AE278" s="239">
        <v>0</v>
      </c>
      <c r="AF278" s="239">
        <v>355595</v>
      </c>
      <c r="AG278" s="239">
        <v>0</v>
      </c>
      <c r="AH278" s="239">
        <v>0</v>
      </c>
      <c r="AI278" s="239">
        <v>0</v>
      </c>
      <c r="AJ278" s="239">
        <v>0</v>
      </c>
      <c r="AK278" s="239">
        <v>0</v>
      </c>
      <c r="AL278" s="239">
        <v>0</v>
      </c>
      <c r="AM278" s="239">
        <v>0</v>
      </c>
      <c r="AN278" s="239">
        <v>0</v>
      </c>
      <c r="AO278" s="239">
        <v>0</v>
      </c>
      <c r="AP278" s="239">
        <v>0</v>
      </c>
      <c r="AQ278" s="239">
        <v>0</v>
      </c>
      <c r="AR278" s="239">
        <v>0</v>
      </c>
      <c r="AS278" s="239">
        <v>0</v>
      </c>
      <c r="AT278" s="239">
        <v>0</v>
      </c>
      <c r="AU278" s="239">
        <v>0</v>
      </c>
      <c r="AV278" s="239">
        <v>0</v>
      </c>
      <c r="AW278" s="239">
        <v>0</v>
      </c>
      <c r="AX278" s="239">
        <v>0</v>
      </c>
      <c r="AY278" s="239">
        <v>0</v>
      </c>
      <c r="AZ278" s="239">
        <v>0</v>
      </c>
      <c r="BA278" s="239">
        <v>0</v>
      </c>
      <c r="BB278" s="239">
        <v>0</v>
      </c>
      <c r="BC278" s="239">
        <v>2134075</v>
      </c>
      <c r="BD278" s="239">
        <v>-1029108</v>
      </c>
      <c r="BE278" s="214" t="s">
        <v>638</v>
      </c>
      <c r="BF278" s="214" t="s">
        <v>792</v>
      </c>
      <c r="BG278" s="214" t="s">
        <v>790</v>
      </c>
      <c r="BH278" s="214" t="s">
        <v>1010</v>
      </c>
      <c r="BI278" s="214" t="s">
        <v>1010</v>
      </c>
      <c r="BJ278" s="214" t="s">
        <v>1158</v>
      </c>
    </row>
    <row r="279" spans="2:62" x14ac:dyDescent="0.2">
      <c r="B279" s="602" t="s">
        <v>641</v>
      </c>
      <c r="C279" s="602" t="s">
        <v>640</v>
      </c>
      <c r="D279" s="239">
        <v>29798760</v>
      </c>
      <c r="E279" s="239">
        <v>0</v>
      </c>
      <c r="F279" s="239">
        <v>29798760</v>
      </c>
      <c r="G279" s="239">
        <v>0</v>
      </c>
      <c r="H279" s="239">
        <v>0</v>
      </c>
      <c r="I279" s="239">
        <v>0</v>
      </c>
      <c r="J279" s="239">
        <v>-113580</v>
      </c>
      <c r="K279" s="239">
        <v>0</v>
      </c>
      <c r="L279" s="239">
        <v>-113580</v>
      </c>
      <c r="M279" s="239">
        <v>0</v>
      </c>
      <c r="N279" s="239">
        <v>0</v>
      </c>
      <c r="O279" s="239">
        <v>0</v>
      </c>
      <c r="P279" s="239">
        <v>-73580</v>
      </c>
      <c r="Q279" s="239">
        <v>0</v>
      </c>
      <c r="R279" s="239">
        <v>-73580</v>
      </c>
      <c r="S279" s="239">
        <v>1023963</v>
      </c>
      <c r="T279" s="239">
        <v>0</v>
      </c>
      <c r="U279" s="239">
        <v>1023963</v>
      </c>
      <c r="V279" s="239">
        <v>-2123963</v>
      </c>
      <c r="W279" s="239">
        <v>0</v>
      </c>
      <c r="X279" s="239">
        <v>-2123963</v>
      </c>
      <c r="Y279" s="239">
        <v>28625180</v>
      </c>
      <c r="Z279" s="239">
        <v>0</v>
      </c>
      <c r="AA279" s="239">
        <v>28625180</v>
      </c>
      <c r="AB279" s="239">
        <v>0</v>
      </c>
      <c r="AC279" s="239">
        <v>0</v>
      </c>
      <c r="AD279" s="239">
        <v>73316</v>
      </c>
      <c r="AE279" s="239">
        <v>0</v>
      </c>
      <c r="AF279" s="239">
        <v>73316</v>
      </c>
      <c r="AG279" s="239">
        <v>0</v>
      </c>
      <c r="AH279" s="239">
        <v>0</v>
      </c>
      <c r="AI279" s="239">
        <v>0</v>
      </c>
      <c r="AJ279" s="239">
        <v>0</v>
      </c>
      <c r="AK279" s="239">
        <v>0</v>
      </c>
      <c r="AL279" s="239">
        <v>0</v>
      </c>
      <c r="AM279" s="239">
        <v>0</v>
      </c>
      <c r="AN279" s="239">
        <v>0</v>
      </c>
      <c r="AO279" s="239">
        <v>0</v>
      </c>
      <c r="AP279" s="239">
        <v>0</v>
      </c>
      <c r="AQ279" s="239">
        <v>0</v>
      </c>
      <c r="AR279" s="239">
        <v>0</v>
      </c>
      <c r="AS279" s="239">
        <v>0</v>
      </c>
      <c r="AT279" s="239">
        <v>0</v>
      </c>
      <c r="AU279" s="239">
        <v>0</v>
      </c>
      <c r="AV279" s="239">
        <v>0</v>
      </c>
      <c r="AW279" s="239">
        <v>0</v>
      </c>
      <c r="AX279" s="239">
        <v>0</v>
      </c>
      <c r="AY279" s="239">
        <v>0</v>
      </c>
      <c r="AZ279" s="239">
        <v>0</v>
      </c>
      <c r="BA279" s="239">
        <v>0</v>
      </c>
      <c r="BB279" s="239">
        <v>0</v>
      </c>
      <c r="BC279" s="239">
        <v>397049</v>
      </c>
      <c r="BD279" s="239">
        <v>-438785</v>
      </c>
      <c r="BE279" s="214" t="s">
        <v>640</v>
      </c>
      <c r="BF279" s="214" t="s">
        <v>798</v>
      </c>
      <c r="BG279" s="214" t="s">
        <v>790</v>
      </c>
      <c r="BH279" s="214" t="s">
        <v>1010</v>
      </c>
      <c r="BI279" s="214" t="s">
        <v>1010</v>
      </c>
      <c r="BJ279" s="214" t="s">
        <v>1158</v>
      </c>
    </row>
    <row r="280" spans="2:62" x14ac:dyDescent="0.2">
      <c r="B280" s="602" t="s">
        <v>643</v>
      </c>
      <c r="C280" s="602" t="s">
        <v>642</v>
      </c>
      <c r="D280" s="239">
        <v>71816517</v>
      </c>
      <c r="E280" s="239">
        <v>0</v>
      </c>
      <c r="F280" s="239">
        <v>71816517</v>
      </c>
      <c r="G280" s="239">
        <v>0</v>
      </c>
      <c r="H280" s="239">
        <v>0</v>
      </c>
      <c r="I280" s="239">
        <v>0</v>
      </c>
      <c r="J280" s="239">
        <v>-633517</v>
      </c>
      <c r="K280" s="239">
        <v>0</v>
      </c>
      <c r="L280" s="239">
        <v>-633517</v>
      </c>
      <c r="M280" s="239">
        <v>0</v>
      </c>
      <c r="N280" s="239">
        <v>0</v>
      </c>
      <c r="O280" s="239">
        <v>0</v>
      </c>
      <c r="P280" s="239">
        <v>-592517</v>
      </c>
      <c r="Q280" s="239">
        <v>0</v>
      </c>
      <c r="R280" s="239">
        <v>-592517</v>
      </c>
      <c r="S280" s="239">
        <v>2102077</v>
      </c>
      <c r="T280" s="239">
        <v>0</v>
      </c>
      <c r="U280" s="239">
        <v>2102077</v>
      </c>
      <c r="V280" s="239">
        <v>-3154077</v>
      </c>
      <c r="W280" s="239">
        <v>0</v>
      </c>
      <c r="X280" s="239">
        <v>-3154077</v>
      </c>
      <c r="Y280" s="239">
        <v>70172000</v>
      </c>
      <c r="Z280" s="239">
        <v>0</v>
      </c>
      <c r="AA280" s="239">
        <v>70172000</v>
      </c>
      <c r="AB280" s="239">
        <v>0</v>
      </c>
      <c r="AC280" s="239">
        <v>0</v>
      </c>
      <c r="AD280" s="239">
        <v>90964</v>
      </c>
      <c r="AE280" s="239">
        <v>0</v>
      </c>
      <c r="AF280" s="239">
        <v>90964</v>
      </c>
      <c r="AG280" s="239">
        <v>0</v>
      </c>
      <c r="AH280" s="239">
        <v>0</v>
      </c>
      <c r="AI280" s="239">
        <v>0</v>
      </c>
      <c r="AJ280" s="239">
        <v>0</v>
      </c>
      <c r="AK280" s="239">
        <v>0</v>
      </c>
      <c r="AL280" s="239">
        <v>0</v>
      </c>
      <c r="AM280" s="239">
        <v>0</v>
      </c>
      <c r="AN280" s="239">
        <v>0</v>
      </c>
      <c r="AO280" s="239">
        <v>0</v>
      </c>
      <c r="AP280" s="239">
        <v>0</v>
      </c>
      <c r="AQ280" s="239">
        <v>0</v>
      </c>
      <c r="AR280" s="239">
        <v>0</v>
      </c>
      <c r="AS280" s="239">
        <v>0</v>
      </c>
      <c r="AT280" s="239">
        <v>0</v>
      </c>
      <c r="AU280" s="239">
        <v>0</v>
      </c>
      <c r="AV280" s="239">
        <v>0</v>
      </c>
      <c r="AW280" s="239">
        <v>0</v>
      </c>
      <c r="AX280" s="239">
        <v>0</v>
      </c>
      <c r="AY280" s="239">
        <v>0</v>
      </c>
      <c r="AZ280" s="239">
        <v>0</v>
      </c>
      <c r="BA280" s="239">
        <v>0</v>
      </c>
      <c r="BB280" s="239">
        <v>0</v>
      </c>
      <c r="BC280" s="239">
        <v>1986319</v>
      </c>
      <c r="BD280" s="239">
        <v>-3013253</v>
      </c>
      <c r="BE280" s="214" t="s">
        <v>833</v>
      </c>
      <c r="BF280" s="214" t="s">
        <v>746</v>
      </c>
      <c r="BG280" s="214" t="s">
        <v>831</v>
      </c>
      <c r="BH280" s="214" t="s">
        <v>1010</v>
      </c>
      <c r="BI280" s="214" t="s">
        <v>1010</v>
      </c>
      <c r="BJ280" s="214" t="s">
        <v>746</v>
      </c>
    </row>
    <row r="281" spans="2:62" x14ac:dyDescent="0.2">
      <c r="B281" s="602" t="s">
        <v>645</v>
      </c>
      <c r="C281" s="602" t="s">
        <v>644</v>
      </c>
      <c r="D281" s="239">
        <v>26867214</v>
      </c>
      <c r="E281" s="239">
        <v>0</v>
      </c>
      <c r="F281" s="239">
        <v>26867214</v>
      </c>
      <c r="G281" s="239">
        <v>0</v>
      </c>
      <c r="H281" s="239">
        <v>0</v>
      </c>
      <c r="I281" s="239">
        <v>0</v>
      </c>
      <c r="J281" s="239">
        <v>-272263</v>
      </c>
      <c r="K281" s="239">
        <v>0</v>
      </c>
      <c r="L281" s="239">
        <v>-272263</v>
      </c>
      <c r="M281" s="239">
        <v>0</v>
      </c>
      <c r="N281" s="239">
        <v>0</v>
      </c>
      <c r="O281" s="239">
        <v>0</v>
      </c>
      <c r="P281" s="239">
        <v>-304679</v>
      </c>
      <c r="Q281" s="239">
        <v>0</v>
      </c>
      <c r="R281" s="239">
        <v>-304679</v>
      </c>
      <c r="S281" s="239">
        <v>517000</v>
      </c>
      <c r="T281" s="239">
        <v>0</v>
      </c>
      <c r="U281" s="239">
        <v>517000</v>
      </c>
      <c r="V281" s="239">
        <v>-922000</v>
      </c>
      <c r="W281" s="239">
        <v>0</v>
      </c>
      <c r="X281" s="239">
        <v>-922000</v>
      </c>
      <c r="Y281" s="239">
        <v>26157535</v>
      </c>
      <c r="Z281" s="239">
        <v>0</v>
      </c>
      <c r="AA281" s="239">
        <v>26157535</v>
      </c>
      <c r="AB281" s="239">
        <v>0</v>
      </c>
      <c r="AC281" s="239">
        <v>0</v>
      </c>
      <c r="AD281" s="239">
        <v>288644</v>
      </c>
      <c r="AE281" s="239">
        <v>0</v>
      </c>
      <c r="AF281" s="239">
        <v>288644</v>
      </c>
      <c r="AG281" s="239">
        <v>0</v>
      </c>
      <c r="AH281" s="239">
        <v>0</v>
      </c>
      <c r="AI281" s="239">
        <v>0</v>
      </c>
      <c r="AJ281" s="239">
        <v>0</v>
      </c>
      <c r="AK281" s="239">
        <v>0</v>
      </c>
      <c r="AL281" s="239">
        <v>0</v>
      </c>
      <c r="AM281" s="239">
        <v>0</v>
      </c>
      <c r="AN281" s="239">
        <v>0</v>
      </c>
      <c r="AO281" s="239">
        <v>0</v>
      </c>
      <c r="AP281" s="239">
        <v>0</v>
      </c>
      <c r="AQ281" s="239">
        <v>0</v>
      </c>
      <c r="AR281" s="239">
        <v>0</v>
      </c>
      <c r="AS281" s="239">
        <v>0</v>
      </c>
      <c r="AT281" s="239">
        <v>0</v>
      </c>
      <c r="AU281" s="239">
        <v>0</v>
      </c>
      <c r="AV281" s="239">
        <v>0</v>
      </c>
      <c r="AW281" s="239">
        <v>0</v>
      </c>
      <c r="AX281" s="239">
        <v>0</v>
      </c>
      <c r="AY281" s="239">
        <v>0</v>
      </c>
      <c r="AZ281" s="239">
        <v>0</v>
      </c>
      <c r="BA281" s="239">
        <v>0</v>
      </c>
      <c r="BB281" s="239">
        <v>0</v>
      </c>
      <c r="BC281" s="239">
        <v>827133</v>
      </c>
      <c r="BD281" s="239">
        <v>-924915</v>
      </c>
      <c r="BE281" s="214" t="s">
        <v>644</v>
      </c>
      <c r="BF281" s="214" t="s">
        <v>820</v>
      </c>
      <c r="BG281" s="214" t="s">
        <v>818</v>
      </c>
      <c r="BH281" s="214" t="s">
        <v>1010</v>
      </c>
      <c r="BI281" s="214" t="s">
        <v>1010</v>
      </c>
      <c r="BJ281" s="214" t="s">
        <v>1158</v>
      </c>
    </row>
    <row r="282" spans="2:62" x14ac:dyDescent="0.2">
      <c r="B282" s="602" t="s">
        <v>647</v>
      </c>
      <c r="C282" s="602" t="s">
        <v>646</v>
      </c>
      <c r="D282" s="239">
        <v>54706003</v>
      </c>
      <c r="E282" s="239">
        <v>0</v>
      </c>
      <c r="F282" s="239">
        <v>54706003</v>
      </c>
      <c r="G282" s="239">
        <v>0</v>
      </c>
      <c r="H282" s="239">
        <v>0</v>
      </c>
      <c r="I282" s="239">
        <v>0</v>
      </c>
      <c r="J282" s="239">
        <v>-448040</v>
      </c>
      <c r="K282" s="239">
        <v>0</v>
      </c>
      <c r="L282" s="239">
        <v>-448040</v>
      </c>
      <c r="M282" s="239">
        <v>0</v>
      </c>
      <c r="N282" s="239">
        <v>0</v>
      </c>
      <c r="O282" s="239">
        <v>0</v>
      </c>
      <c r="P282" s="239">
        <v>-195677</v>
      </c>
      <c r="Q282" s="239">
        <v>0</v>
      </c>
      <c r="R282" s="239">
        <v>-195677</v>
      </c>
      <c r="S282" s="239">
        <v>845207</v>
      </c>
      <c r="T282" s="239">
        <v>0</v>
      </c>
      <c r="U282" s="239">
        <v>845207</v>
      </c>
      <c r="V282" s="239">
        <v>279974</v>
      </c>
      <c r="W282" s="239">
        <v>0</v>
      </c>
      <c r="X282" s="239">
        <v>279974</v>
      </c>
      <c r="Y282" s="239">
        <v>55635507</v>
      </c>
      <c r="Z282" s="239">
        <v>0</v>
      </c>
      <c r="AA282" s="239">
        <v>55635507</v>
      </c>
      <c r="AB282" s="239">
        <v>0</v>
      </c>
      <c r="AC282" s="239">
        <v>0</v>
      </c>
      <c r="AD282" s="239">
        <v>675417</v>
      </c>
      <c r="AE282" s="239">
        <v>0</v>
      </c>
      <c r="AF282" s="239">
        <v>675417</v>
      </c>
      <c r="AG282" s="239">
        <v>0</v>
      </c>
      <c r="AH282" s="239">
        <v>0</v>
      </c>
      <c r="AI282" s="239">
        <v>0</v>
      </c>
      <c r="AJ282" s="239">
        <v>0</v>
      </c>
      <c r="AK282" s="239">
        <v>0</v>
      </c>
      <c r="AL282" s="239">
        <v>0</v>
      </c>
      <c r="AM282" s="239">
        <v>0</v>
      </c>
      <c r="AN282" s="239">
        <v>0</v>
      </c>
      <c r="AO282" s="239">
        <v>0</v>
      </c>
      <c r="AP282" s="239">
        <v>0</v>
      </c>
      <c r="AQ282" s="239">
        <v>0</v>
      </c>
      <c r="AR282" s="239">
        <v>0</v>
      </c>
      <c r="AS282" s="239">
        <v>0</v>
      </c>
      <c r="AT282" s="239">
        <v>0</v>
      </c>
      <c r="AU282" s="239">
        <v>0</v>
      </c>
      <c r="AV282" s="239">
        <v>0</v>
      </c>
      <c r="AW282" s="239">
        <v>0</v>
      </c>
      <c r="AX282" s="239">
        <v>0</v>
      </c>
      <c r="AY282" s="239">
        <v>0</v>
      </c>
      <c r="AZ282" s="239">
        <v>0</v>
      </c>
      <c r="BA282" s="239">
        <v>0</v>
      </c>
      <c r="BB282" s="239">
        <v>0</v>
      </c>
      <c r="BC282" s="239">
        <v>2101520</v>
      </c>
      <c r="BD282" s="239">
        <v>-765639</v>
      </c>
      <c r="BE282" s="214" t="s">
        <v>646</v>
      </c>
      <c r="BF282" s="214" t="s">
        <v>777</v>
      </c>
      <c r="BG282" s="214" t="s">
        <v>775</v>
      </c>
      <c r="BH282" s="214" t="s">
        <v>1010</v>
      </c>
      <c r="BI282" s="214" t="s">
        <v>1010</v>
      </c>
      <c r="BJ282" s="214" t="s">
        <v>1158</v>
      </c>
    </row>
    <row r="283" spans="2:62" x14ac:dyDescent="0.2">
      <c r="B283" s="602" t="s">
        <v>649</v>
      </c>
      <c r="C283" s="602" t="s">
        <v>648</v>
      </c>
      <c r="D283" s="239">
        <v>36859378</v>
      </c>
      <c r="E283" s="239">
        <v>0</v>
      </c>
      <c r="F283" s="239">
        <v>36859378</v>
      </c>
      <c r="G283" s="239">
        <v>0</v>
      </c>
      <c r="H283" s="239">
        <v>0</v>
      </c>
      <c r="I283" s="239">
        <v>0</v>
      </c>
      <c r="J283" s="239">
        <v>-47979</v>
      </c>
      <c r="K283" s="239">
        <v>0</v>
      </c>
      <c r="L283" s="239">
        <v>-47979</v>
      </c>
      <c r="M283" s="239">
        <v>-6336</v>
      </c>
      <c r="N283" s="239">
        <v>0</v>
      </c>
      <c r="O283" s="239">
        <v>-6336</v>
      </c>
      <c r="P283" s="239">
        <v>-79234</v>
      </c>
      <c r="Q283" s="239">
        <v>0</v>
      </c>
      <c r="R283" s="239">
        <v>-79234</v>
      </c>
      <c r="S283" s="239">
        <v>704428</v>
      </c>
      <c r="T283" s="239">
        <v>0</v>
      </c>
      <c r="U283" s="239">
        <v>704428</v>
      </c>
      <c r="V283" s="239">
        <v>-2417515</v>
      </c>
      <c r="W283" s="239">
        <v>0</v>
      </c>
      <c r="X283" s="239">
        <v>-2417515</v>
      </c>
      <c r="Y283" s="239">
        <v>35060721</v>
      </c>
      <c r="Z283" s="239">
        <v>0</v>
      </c>
      <c r="AA283" s="239">
        <v>35060721</v>
      </c>
      <c r="AB283" s="239">
        <v>0</v>
      </c>
      <c r="AC283" s="239">
        <v>0</v>
      </c>
      <c r="AD283" s="239">
        <v>479699</v>
      </c>
      <c r="AE283" s="239">
        <v>0</v>
      </c>
      <c r="AF283" s="239">
        <v>479699</v>
      </c>
      <c r="AG283" s="239">
        <v>0</v>
      </c>
      <c r="AH283" s="239">
        <v>0</v>
      </c>
      <c r="AI283" s="239">
        <v>0</v>
      </c>
      <c r="AJ283" s="239">
        <v>0</v>
      </c>
      <c r="AK283" s="239">
        <v>0</v>
      </c>
      <c r="AL283" s="239">
        <v>0</v>
      </c>
      <c r="AM283" s="239">
        <v>0</v>
      </c>
      <c r="AN283" s="239">
        <v>0</v>
      </c>
      <c r="AO283" s="239">
        <v>0</v>
      </c>
      <c r="AP283" s="239">
        <v>0</v>
      </c>
      <c r="AQ283" s="239">
        <v>0</v>
      </c>
      <c r="AR283" s="239">
        <v>0</v>
      </c>
      <c r="AS283" s="239">
        <v>0</v>
      </c>
      <c r="AT283" s="239">
        <v>0</v>
      </c>
      <c r="AU283" s="239">
        <v>0</v>
      </c>
      <c r="AV283" s="239">
        <v>0</v>
      </c>
      <c r="AW283" s="239">
        <v>0</v>
      </c>
      <c r="AX283" s="239">
        <v>0</v>
      </c>
      <c r="AY283" s="239">
        <v>0</v>
      </c>
      <c r="AZ283" s="239">
        <v>0</v>
      </c>
      <c r="BA283" s="239">
        <v>0</v>
      </c>
      <c r="BB283" s="239">
        <v>0</v>
      </c>
      <c r="BC283" s="239">
        <v>399906</v>
      </c>
      <c r="BD283" s="239">
        <v>-213074</v>
      </c>
      <c r="BE283" s="214" t="s">
        <v>648</v>
      </c>
      <c r="BF283" s="214" t="s">
        <v>829</v>
      </c>
      <c r="BG283" s="214" t="s">
        <v>761</v>
      </c>
      <c r="BH283" s="214" t="s">
        <v>1010</v>
      </c>
      <c r="BI283" s="214" t="s">
        <v>1010</v>
      </c>
      <c r="BJ283" s="214" t="s">
        <v>1158</v>
      </c>
    </row>
    <row r="284" spans="2:62" x14ac:dyDescent="0.2">
      <c r="B284" s="602" t="s">
        <v>651</v>
      </c>
      <c r="C284" s="602" t="s">
        <v>650</v>
      </c>
      <c r="D284" s="239">
        <v>33165812</v>
      </c>
      <c r="E284" s="239">
        <v>0</v>
      </c>
      <c r="F284" s="239">
        <v>33165812</v>
      </c>
      <c r="G284" s="239">
        <v>0</v>
      </c>
      <c r="H284" s="239">
        <v>0</v>
      </c>
      <c r="I284" s="239">
        <v>0</v>
      </c>
      <c r="J284" s="239">
        <v>-55679</v>
      </c>
      <c r="K284" s="239">
        <v>0</v>
      </c>
      <c r="L284" s="239">
        <v>-55679</v>
      </c>
      <c r="M284" s="239">
        <v>0</v>
      </c>
      <c r="N284" s="239">
        <v>0</v>
      </c>
      <c r="O284" s="239">
        <v>0</v>
      </c>
      <c r="P284" s="239">
        <v>-258034</v>
      </c>
      <c r="Q284" s="239">
        <v>0</v>
      </c>
      <c r="R284" s="239">
        <v>-258034</v>
      </c>
      <c r="S284" s="239">
        <v>858740</v>
      </c>
      <c r="T284" s="239">
        <v>0</v>
      </c>
      <c r="U284" s="239">
        <v>858740</v>
      </c>
      <c r="V284" s="239">
        <v>-1834434</v>
      </c>
      <c r="W284" s="239">
        <v>0</v>
      </c>
      <c r="X284" s="239">
        <v>-1834434</v>
      </c>
      <c r="Y284" s="239">
        <v>31932084</v>
      </c>
      <c r="Z284" s="239">
        <v>0</v>
      </c>
      <c r="AA284" s="239">
        <v>31932084</v>
      </c>
      <c r="AB284" s="239">
        <v>0</v>
      </c>
      <c r="AC284" s="239">
        <v>0</v>
      </c>
      <c r="AD284" s="239">
        <v>0</v>
      </c>
      <c r="AE284" s="239">
        <v>0</v>
      </c>
      <c r="AF284" s="239">
        <v>0</v>
      </c>
      <c r="AG284" s="239">
        <v>0</v>
      </c>
      <c r="AH284" s="239">
        <v>0</v>
      </c>
      <c r="AI284" s="239">
        <v>0</v>
      </c>
      <c r="AJ284" s="239">
        <v>0</v>
      </c>
      <c r="AK284" s="239">
        <v>0</v>
      </c>
      <c r="AL284" s="239">
        <v>0</v>
      </c>
      <c r="AM284" s="239">
        <v>0</v>
      </c>
      <c r="AN284" s="239">
        <v>0</v>
      </c>
      <c r="AO284" s="239">
        <v>0</v>
      </c>
      <c r="AP284" s="239">
        <v>0</v>
      </c>
      <c r="AQ284" s="239">
        <v>0</v>
      </c>
      <c r="AR284" s="239">
        <v>0</v>
      </c>
      <c r="AS284" s="239">
        <v>0</v>
      </c>
      <c r="AT284" s="239">
        <v>0</v>
      </c>
      <c r="AU284" s="239">
        <v>0</v>
      </c>
      <c r="AV284" s="239">
        <v>0</v>
      </c>
      <c r="AW284" s="239">
        <v>0</v>
      </c>
      <c r="AX284" s="239">
        <v>0</v>
      </c>
      <c r="AY284" s="239">
        <v>0</v>
      </c>
      <c r="AZ284" s="239">
        <v>0</v>
      </c>
      <c r="BA284" s="239">
        <v>0</v>
      </c>
      <c r="BB284" s="239">
        <v>0</v>
      </c>
      <c r="BC284" s="239">
        <v>1671650</v>
      </c>
      <c r="BD284" s="239">
        <v>-853759</v>
      </c>
      <c r="BE284" s="214" t="s">
        <v>650</v>
      </c>
      <c r="BF284" s="214" t="s">
        <v>824</v>
      </c>
      <c r="BG284" s="214" t="s">
        <v>822</v>
      </c>
      <c r="BH284" s="214" t="s">
        <v>1010</v>
      </c>
      <c r="BI284" s="214" t="s">
        <v>1010</v>
      </c>
      <c r="BJ284" s="214" t="s">
        <v>1158</v>
      </c>
    </row>
    <row r="285" spans="2:62" x14ac:dyDescent="0.2">
      <c r="B285" s="602" t="s">
        <v>653</v>
      </c>
      <c r="C285" s="602" t="s">
        <v>652</v>
      </c>
      <c r="D285" s="239">
        <v>26945934</v>
      </c>
      <c r="E285" s="239">
        <v>0</v>
      </c>
      <c r="F285" s="239">
        <v>26945934</v>
      </c>
      <c r="G285" s="239">
        <v>0</v>
      </c>
      <c r="H285" s="239">
        <v>0</v>
      </c>
      <c r="I285" s="239">
        <v>0</v>
      </c>
      <c r="J285" s="239">
        <v>-88351</v>
      </c>
      <c r="K285" s="239">
        <v>0</v>
      </c>
      <c r="L285" s="239">
        <v>-88351</v>
      </c>
      <c r="M285" s="239">
        <v>0</v>
      </c>
      <c r="N285" s="239">
        <v>0</v>
      </c>
      <c r="O285" s="239">
        <v>0</v>
      </c>
      <c r="P285" s="239">
        <v>-170860</v>
      </c>
      <c r="Q285" s="239">
        <v>0</v>
      </c>
      <c r="R285" s="239">
        <v>-170860</v>
      </c>
      <c r="S285" s="239">
        <v>1221409</v>
      </c>
      <c r="T285" s="239">
        <v>0</v>
      </c>
      <c r="U285" s="239">
        <v>1221409</v>
      </c>
      <c r="V285" s="239">
        <v>-3011762</v>
      </c>
      <c r="W285" s="239">
        <v>0</v>
      </c>
      <c r="X285" s="239">
        <v>-3011762</v>
      </c>
      <c r="Y285" s="239">
        <v>24984721</v>
      </c>
      <c r="Z285" s="239">
        <v>0</v>
      </c>
      <c r="AA285" s="239">
        <v>24984721</v>
      </c>
      <c r="AB285" s="239">
        <v>0</v>
      </c>
      <c r="AC285" s="239">
        <v>0</v>
      </c>
      <c r="AD285" s="239">
        <v>0</v>
      </c>
      <c r="AE285" s="239">
        <v>0</v>
      </c>
      <c r="AF285" s="239">
        <v>0</v>
      </c>
      <c r="AG285" s="239">
        <v>0</v>
      </c>
      <c r="AH285" s="239">
        <v>0</v>
      </c>
      <c r="AI285" s="239">
        <v>0</v>
      </c>
      <c r="AJ285" s="239">
        <v>0</v>
      </c>
      <c r="AK285" s="239">
        <v>0</v>
      </c>
      <c r="AL285" s="239">
        <v>0</v>
      </c>
      <c r="AM285" s="239">
        <v>0</v>
      </c>
      <c r="AN285" s="239">
        <v>0</v>
      </c>
      <c r="AO285" s="239">
        <v>0</v>
      </c>
      <c r="AP285" s="239">
        <v>0</v>
      </c>
      <c r="AQ285" s="239">
        <v>0</v>
      </c>
      <c r="AR285" s="239">
        <v>0</v>
      </c>
      <c r="AS285" s="239">
        <v>0</v>
      </c>
      <c r="AT285" s="239">
        <v>0</v>
      </c>
      <c r="AU285" s="239">
        <v>0</v>
      </c>
      <c r="AV285" s="239">
        <v>0</v>
      </c>
      <c r="AW285" s="239">
        <v>0</v>
      </c>
      <c r="AX285" s="239">
        <v>0</v>
      </c>
      <c r="AY285" s="239">
        <v>0</v>
      </c>
      <c r="AZ285" s="239">
        <v>0</v>
      </c>
      <c r="BA285" s="239">
        <v>0</v>
      </c>
      <c r="BB285" s="239">
        <v>0</v>
      </c>
      <c r="BC285" s="239">
        <v>574384</v>
      </c>
      <c r="BD285" s="239">
        <v>-1165241</v>
      </c>
      <c r="BE285" s="214" t="s">
        <v>652</v>
      </c>
      <c r="BF285" s="214" t="s">
        <v>801</v>
      </c>
      <c r="BG285" s="214" t="s">
        <v>761</v>
      </c>
      <c r="BH285" s="214" t="s">
        <v>1010</v>
      </c>
      <c r="BI285" s="214" t="s">
        <v>1010</v>
      </c>
      <c r="BJ285" s="214" t="s">
        <v>1158</v>
      </c>
    </row>
    <row r="286" spans="2:62" x14ac:dyDescent="0.2">
      <c r="B286" s="602" t="s">
        <v>655</v>
      </c>
      <c r="C286" s="602" t="s">
        <v>654</v>
      </c>
      <c r="D286" s="239">
        <v>111325103</v>
      </c>
      <c r="E286" s="239">
        <v>0</v>
      </c>
      <c r="F286" s="239">
        <v>111325103</v>
      </c>
      <c r="G286" s="239">
        <v>-30194</v>
      </c>
      <c r="H286" s="239">
        <v>0</v>
      </c>
      <c r="I286" s="239">
        <v>-30194</v>
      </c>
      <c r="J286" s="239">
        <v>-348771</v>
      </c>
      <c r="K286" s="239">
        <v>0</v>
      </c>
      <c r="L286" s="239">
        <v>-348771</v>
      </c>
      <c r="M286" s="239">
        <v>13517</v>
      </c>
      <c r="N286" s="239">
        <v>0</v>
      </c>
      <c r="O286" s="239">
        <v>13517</v>
      </c>
      <c r="P286" s="239">
        <v>-324102</v>
      </c>
      <c r="Q286" s="239">
        <v>0</v>
      </c>
      <c r="R286" s="239">
        <v>-324102</v>
      </c>
      <c r="S286" s="239">
        <v>0</v>
      </c>
      <c r="T286" s="239">
        <v>0</v>
      </c>
      <c r="U286" s="239">
        <v>0</v>
      </c>
      <c r="V286" s="239">
        <v>-721147</v>
      </c>
      <c r="W286" s="239">
        <v>0</v>
      </c>
      <c r="X286" s="239">
        <v>-721147</v>
      </c>
      <c r="Y286" s="239">
        <v>110263177</v>
      </c>
      <c r="Z286" s="239">
        <v>0</v>
      </c>
      <c r="AA286" s="239">
        <v>110263177</v>
      </c>
      <c r="AB286" s="239">
        <v>0</v>
      </c>
      <c r="AC286" s="239">
        <v>0</v>
      </c>
      <c r="AD286" s="239">
        <v>0</v>
      </c>
      <c r="AE286" s="239">
        <v>0</v>
      </c>
      <c r="AF286" s="239">
        <v>0</v>
      </c>
      <c r="AG286" s="239">
        <v>0</v>
      </c>
      <c r="AH286" s="239">
        <v>0</v>
      </c>
      <c r="AI286" s="239">
        <v>0</v>
      </c>
      <c r="AJ286" s="239">
        <v>0</v>
      </c>
      <c r="AK286" s="239">
        <v>0</v>
      </c>
      <c r="AL286" s="239">
        <v>0</v>
      </c>
      <c r="AM286" s="239">
        <v>0</v>
      </c>
      <c r="AN286" s="239">
        <v>0</v>
      </c>
      <c r="AO286" s="239">
        <v>0</v>
      </c>
      <c r="AP286" s="239">
        <v>0</v>
      </c>
      <c r="AQ286" s="239">
        <v>0</v>
      </c>
      <c r="AR286" s="239">
        <v>0</v>
      </c>
      <c r="AS286" s="239">
        <v>0</v>
      </c>
      <c r="AT286" s="239">
        <v>0</v>
      </c>
      <c r="AU286" s="239">
        <v>0</v>
      </c>
      <c r="AV286" s="239">
        <v>0</v>
      </c>
      <c r="AW286" s="239">
        <v>0</v>
      </c>
      <c r="AX286" s="239">
        <v>0</v>
      </c>
      <c r="AY286" s="239">
        <v>0</v>
      </c>
      <c r="AZ286" s="239">
        <v>0</v>
      </c>
      <c r="BA286" s="239">
        <v>0</v>
      </c>
      <c r="BB286" s="239">
        <v>0</v>
      </c>
      <c r="BC286" s="239">
        <v>905469</v>
      </c>
      <c r="BD286" s="239">
        <v>-656418</v>
      </c>
      <c r="BE286" s="214" t="s">
        <v>828</v>
      </c>
      <c r="BF286" s="214" t="s">
        <v>746</v>
      </c>
      <c r="BG286" s="214" t="s">
        <v>818</v>
      </c>
      <c r="BH286" s="214" t="s">
        <v>1010</v>
      </c>
      <c r="BI286" s="214" t="s">
        <v>1010</v>
      </c>
      <c r="BJ286" s="214" t="s">
        <v>746</v>
      </c>
    </row>
    <row r="287" spans="2:62" x14ac:dyDescent="0.2">
      <c r="B287" s="602" t="s">
        <v>657</v>
      </c>
      <c r="C287" s="602" t="s">
        <v>656</v>
      </c>
      <c r="D287" s="239">
        <v>54698729</v>
      </c>
      <c r="E287" s="239">
        <v>0</v>
      </c>
      <c r="F287" s="239">
        <v>54698729</v>
      </c>
      <c r="G287" s="239">
        <v>0</v>
      </c>
      <c r="H287" s="239">
        <v>0</v>
      </c>
      <c r="I287" s="239">
        <v>0</v>
      </c>
      <c r="J287" s="239">
        <v>-397783</v>
      </c>
      <c r="K287" s="239">
        <v>0</v>
      </c>
      <c r="L287" s="239">
        <v>-397783</v>
      </c>
      <c r="M287" s="239">
        <v>0</v>
      </c>
      <c r="N287" s="239">
        <v>0</v>
      </c>
      <c r="O287" s="239">
        <v>0</v>
      </c>
      <c r="P287" s="239">
        <v>-287783</v>
      </c>
      <c r="Q287" s="239">
        <v>0</v>
      </c>
      <c r="R287" s="239">
        <v>-287783</v>
      </c>
      <c r="S287" s="239">
        <v>2094771</v>
      </c>
      <c r="T287" s="239">
        <v>0</v>
      </c>
      <c r="U287" s="239">
        <v>2094771</v>
      </c>
      <c r="V287" s="239">
        <v>-1952771</v>
      </c>
      <c r="W287" s="239">
        <v>0</v>
      </c>
      <c r="X287" s="239">
        <v>-1952771</v>
      </c>
      <c r="Y287" s="239">
        <v>54552946</v>
      </c>
      <c r="Z287" s="239">
        <v>0</v>
      </c>
      <c r="AA287" s="239">
        <v>54552946</v>
      </c>
      <c r="AB287" s="239">
        <v>0</v>
      </c>
      <c r="AC287" s="239">
        <v>0</v>
      </c>
      <c r="AD287" s="239">
        <v>0</v>
      </c>
      <c r="AE287" s="239">
        <v>0</v>
      </c>
      <c r="AF287" s="239">
        <v>0</v>
      </c>
      <c r="AG287" s="239">
        <v>0</v>
      </c>
      <c r="AH287" s="239">
        <v>0</v>
      </c>
      <c r="AI287" s="239">
        <v>0</v>
      </c>
      <c r="AJ287" s="239">
        <v>0</v>
      </c>
      <c r="AK287" s="239">
        <v>0</v>
      </c>
      <c r="AL287" s="239">
        <v>0</v>
      </c>
      <c r="AM287" s="239">
        <v>0</v>
      </c>
      <c r="AN287" s="239">
        <v>0</v>
      </c>
      <c r="AO287" s="239">
        <v>0</v>
      </c>
      <c r="AP287" s="239">
        <v>0</v>
      </c>
      <c r="AQ287" s="239">
        <v>0</v>
      </c>
      <c r="AR287" s="239">
        <v>0</v>
      </c>
      <c r="AS287" s="239">
        <v>0</v>
      </c>
      <c r="AT287" s="239">
        <v>0</v>
      </c>
      <c r="AU287" s="239">
        <v>0</v>
      </c>
      <c r="AV287" s="239">
        <v>0</v>
      </c>
      <c r="AW287" s="239">
        <v>0</v>
      </c>
      <c r="AX287" s="239">
        <v>0</v>
      </c>
      <c r="AY287" s="239">
        <v>0</v>
      </c>
      <c r="AZ287" s="239">
        <v>0</v>
      </c>
      <c r="BA287" s="239">
        <v>0</v>
      </c>
      <c r="BB287" s="239">
        <v>0</v>
      </c>
      <c r="BC287" s="239">
        <v>601064</v>
      </c>
      <c r="BD287" s="239">
        <v>-1621881</v>
      </c>
      <c r="BE287" s="214" t="s">
        <v>827</v>
      </c>
      <c r="BF287" s="214" t="s">
        <v>824</v>
      </c>
      <c r="BG287" s="214" t="s">
        <v>822</v>
      </c>
      <c r="BH287" s="214" t="s">
        <v>1010</v>
      </c>
      <c r="BI287" s="214" t="s">
        <v>1010</v>
      </c>
      <c r="BJ287" s="214" t="s">
        <v>1158</v>
      </c>
    </row>
    <row r="288" spans="2:62" x14ac:dyDescent="0.2">
      <c r="B288" s="602" t="s">
        <v>659</v>
      </c>
      <c r="C288" s="602" t="s">
        <v>658</v>
      </c>
      <c r="D288" s="239">
        <v>34904945</v>
      </c>
      <c r="E288" s="239">
        <v>0</v>
      </c>
      <c r="F288" s="239">
        <v>34904945</v>
      </c>
      <c r="G288" s="239">
        <v>0</v>
      </c>
      <c r="H288" s="239">
        <v>0</v>
      </c>
      <c r="I288" s="239">
        <v>0</v>
      </c>
      <c r="J288" s="239">
        <v>-333640</v>
      </c>
      <c r="K288" s="239">
        <v>0</v>
      </c>
      <c r="L288" s="239">
        <v>-333640</v>
      </c>
      <c r="M288" s="239">
        <v>0</v>
      </c>
      <c r="N288" s="239">
        <v>0</v>
      </c>
      <c r="O288" s="239">
        <v>0</v>
      </c>
      <c r="P288" s="239">
        <v>-502048</v>
      </c>
      <c r="Q288" s="239">
        <v>0</v>
      </c>
      <c r="R288" s="239">
        <v>-502048</v>
      </c>
      <c r="S288" s="239">
        <v>976826</v>
      </c>
      <c r="T288" s="239">
        <v>0</v>
      </c>
      <c r="U288" s="239">
        <v>976826</v>
      </c>
      <c r="V288" s="239">
        <v>-1587079</v>
      </c>
      <c r="W288" s="239">
        <v>0</v>
      </c>
      <c r="X288" s="239">
        <v>-1587079</v>
      </c>
      <c r="Y288" s="239">
        <v>33792644</v>
      </c>
      <c r="Z288" s="239">
        <v>0</v>
      </c>
      <c r="AA288" s="239">
        <v>33792644</v>
      </c>
      <c r="AB288" s="239">
        <v>0</v>
      </c>
      <c r="AC288" s="239">
        <v>0</v>
      </c>
      <c r="AD288" s="239">
        <v>0</v>
      </c>
      <c r="AE288" s="239">
        <v>0</v>
      </c>
      <c r="AF288" s="239">
        <v>0</v>
      </c>
      <c r="AG288" s="239">
        <v>0</v>
      </c>
      <c r="AH288" s="239">
        <v>0</v>
      </c>
      <c r="AI288" s="239">
        <v>0</v>
      </c>
      <c r="AJ288" s="239">
        <v>0</v>
      </c>
      <c r="AK288" s="239">
        <v>0</v>
      </c>
      <c r="AL288" s="239">
        <v>0</v>
      </c>
      <c r="AM288" s="239">
        <v>0</v>
      </c>
      <c r="AN288" s="239">
        <v>0</v>
      </c>
      <c r="AO288" s="239">
        <v>0</v>
      </c>
      <c r="AP288" s="239">
        <v>0</v>
      </c>
      <c r="AQ288" s="239">
        <v>0</v>
      </c>
      <c r="AR288" s="239">
        <v>0</v>
      </c>
      <c r="AS288" s="239">
        <v>0</v>
      </c>
      <c r="AT288" s="239">
        <v>0</v>
      </c>
      <c r="AU288" s="239">
        <v>0</v>
      </c>
      <c r="AV288" s="239">
        <v>0</v>
      </c>
      <c r="AW288" s="239">
        <v>0</v>
      </c>
      <c r="AX288" s="239">
        <v>0</v>
      </c>
      <c r="AY288" s="239">
        <v>0</v>
      </c>
      <c r="AZ288" s="239">
        <v>0</v>
      </c>
      <c r="BA288" s="239">
        <v>0</v>
      </c>
      <c r="BB288" s="239">
        <v>0</v>
      </c>
      <c r="BC288" s="239">
        <v>1867735</v>
      </c>
      <c r="BD288" s="239">
        <v>-1198973</v>
      </c>
      <c r="BE288" s="214" t="s">
        <v>826</v>
      </c>
      <c r="BF288" s="214" t="s">
        <v>746</v>
      </c>
      <c r="BG288" s="214" t="s">
        <v>790</v>
      </c>
      <c r="BH288" s="214" t="s">
        <v>1010</v>
      </c>
      <c r="BI288" s="214" t="s">
        <v>1010</v>
      </c>
      <c r="BJ288" s="214" t="s">
        <v>746</v>
      </c>
    </row>
    <row r="289" spans="2:62" x14ac:dyDescent="0.2">
      <c r="B289" s="602" t="s">
        <v>661</v>
      </c>
      <c r="C289" s="602" t="s">
        <v>660</v>
      </c>
      <c r="D289" s="239">
        <v>11045998</v>
      </c>
      <c r="E289" s="239">
        <v>0</v>
      </c>
      <c r="F289" s="239">
        <v>11045998</v>
      </c>
      <c r="G289" s="239">
        <v>0</v>
      </c>
      <c r="H289" s="239">
        <v>0</v>
      </c>
      <c r="I289" s="239">
        <v>0</v>
      </c>
      <c r="J289" s="239">
        <v>-22963</v>
      </c>
      <c r="K289" s="239">
        <v>0</v>
      </c>
      <c r="L289" s="239">
        <v>-22963</v>
      </c>
      <c r="M289" s="239">
        <v>0</v>
      </c>
      <c r="N289" s="239">
        <v>0</v>
      </c>
      <c r="O289" s="239">
        <v>0</v>
      </c>
      <c r="P289" s="239">
        <v>-42320</v>
      </c>
      <c r="Q289" s="239">
        <v>0</v>
      </c>
      <c r="R289" s="239">
        <v>-42320</v>
      </c>
      <c r="S289" s="239">
        <v>213804</v>
      </c>
      <c r="T289" s="239">
        <v>0</v>
      </c>
      <c r="U289" s="239">
        <v>213804</v>
      </c>
      <c r="V289" s="239">
        <v>209904</v>
      </c>
      <c r="W289" s="239">
        <v>0</v>
      </c>
      <c r="X289" s="239">
        <v>209904</v>
      </c>
      <c r="Y289" s="239">
        <v>11427386</v>
      </c>
      <c r="Z289" s="239">
        <v>0</v>
      </c>
      <c r="AA289" s="239">
        <v>11427386</v>
      </c>
      <c r="AB289" s="239">
        <v>0</v>
      </c>
      <c r="AC289" s="239">
        <v>0</v>
      </c>
      <c r="AD289" s="239">
        <v>802736</v>
      </c>
      <c r="AE289" s="239">
        <v>0</v>
      </c>
      <c r="AF289" s="239">
        <v>802736</v>
      </c>
      <c r="AG289" s="239">
        <v>0</v>
      </c>
      <c r="AH289" s="239">
        <v>0</v>
      </c>
      <c r="AI289" s="239">
        <v>0</v>
      </c>
      <c r="AJ289" s="239">
        <v>0</v>
      </c>
      <c r="AK289" s="239">
        <v>0</v>
      </c>
      <c r="AL289" s="239">
        <v>0</v>
      </c>
      <c r="AM289" s="239">
        <v>0</v>
      </c>
      <c r="AN289" s="239">
        <v>0</v>
      </c>
      <c r="AO289" s="239">
        <v>0</v>
      </c>
      <c r="AP289" s="239">
        <v>0</v>
      </c>
      <c r="AQ289" s="239">
        <v>0</v>
      </c>
      <c r="AR289" s="239">
        <v>0</v>
      </c>
      <c r="AS289" s="239">
        <v>0</v>
      </c>
      <c r="AT289" s="239">
        <v>0</v>
      </c>
      <c r="AU289" s="239">
        <v>0</v>
      </c>
      <c r="AV289" s="239">
        <v>0</v>
      </c>
      <c r="AW289" s="239">
        <v>0</v>
      </c>
      <c r="AX289" s="239">
        <v>0</v>
      </c>
      <c r="AY289" s="239">
        <v>0</v>
      </c>
      <c r="AZ289" s="239">
        <v>0</v>
      </c>
      <c r="BA289" s="239">
        <v>0</v>
      </c>
      <c r="BB289" s="239">
        <v>0</v>
      </c>
      <c r="BC289" s="239">
        <v>469947</v>
      </c>
      <c r="BD289" s="239">
        <v>-256999</v>
      </c>
      <c r="BE289" s="214" t="s">
        <v>660</v>
      </c>
      <c r="BF289" s="214" t="s">
        <v>798</v>
      </c>
      <c r="BG289" s="214" t="s">
        <v>790</v>
      </c>
      <c r="BH289" s="214" t="s">
        <v>1010</v>
      </c>
      <c r="BI289" s="214" t="s">
        <v>1010</v>
      </c>
      <c r="BJ289" s="214" t="s">
        <v>1158</v>
      </c>
    </row>
    <row r="290" spans="2:62" x14ac:dyDescent="0.2">
      <c r="B290" s="602" t="s">
        <v>663</v>
      </c>
      <c r="C290" s="602" t="s">
        <v>662</v>
      </c>
      <c r="D290" s="239">
        <v>409654316</v>
      </c>
      <c r="E290" s="239">
        <v>0</v>
      </c>
      <c r="F290" s="239">
        <v>409654316</v>
      </c>
      <c r="G290" s="239">
        <v>0</v>
      </c>
      <c r="H290" s="239">
        <v>0</v>
      </c>
      <c r="I290" s="239">
        <v>0</v>
      </c>
      <c r="J290" s="239">
        <v>-2217069</v>
      </c>
      <c r="K290" s="239">
        <v>0</v>
      </c>
      <c r="L290" s="239">
        <v>-2217069</v>
      </c>
      <c r="M290" s="239">
        <v>0</v>
      </c>
      <c r="N290" s="239">
        <v>0</v>
      </c>
      <c r="O290" s="239">
        <v>0</v>
      </c>
      <c r="P290" s="239">
        <v>-137851</v>
      </c>
      <c r="Q290" s="239">
        <v>0</v>
      </c>
      <c r="R290" s="239">
        <v>-137851</v>
      </c>
      <c r="S290" s="239">
        <v>11500000</v>
      </c>
      <c r="T290" s="239">
        <v>0</v>
      </c>
      <c r="U290" s="239">
        <v>11500000</v>
      </c>
      <c r="V290" s="239">
        <v>-19500000</v>
      </c>
      <c r="W290" s="239">
        <v>0</v>
      </c>
      <c r="X290" s="239">
        <v>-19500000</v>
      </c>
      <c r="Y290" s="239">
        <v>401516465</v>
      </c>
      <c r="Z290" s="239">
        <v>0</v>
      </c>
      <c r="AA290" s="239">
        <v>401516465</v>
      </c>
      <c r="AB290" s="239">
        <v>0</v>
      </c>
      <c r="AC290" s="239">
        <v>0</v>
      </c>
      <c r="AD290" s="239">
        <v>0</v>
      </c>
      <c r="AE290" s="239">
        <v>0</v>
      </c>
      <c r="AF290" s="239">
        <v>0</v>
      </c>
      <c r="AG290" s="239">
        <v>0</v>
      </c>
      <c r="AH290" s="239">
        <v>0</v>
      </c>
      <c r="AI290" s="239">
        <v>0</v>
      </c>
      <c r="AJ290" s="239">
        <v>0</v>
      </c>
      <c r="AK290" s="239">
        <v>0</v>
      </c>
      <c r="AL290" s="239">
        <v>0</v>
      </c>
      <c r="AM290" s="239">
        <v>0</v>
      </c>
      <c r="AN290" s="239">
        <v>0</v>
      </c>
      <c r="AO290" s="239">
        <v>0</v>
      </c>
      <c r="AP290" s="239">
        <v>0</v>
      </c>
      <c r="AQ290" s="239">
        <v>0</v>
      </c>
      <c r="AR290" s="239">
        <v>0</v>
      </c>
      <c r="AS290" s="239">
        <v>0</v>
      </c>
      <c r="AT290" s="239">
        <v>0</v>
      </c>
      <c r="AU290" s="239">
        <v>0</v>
      </c>
      <c r="AV290" s="239">
        <v>0</v>
      </c>
      <c r="AW290" s="239">
        <v>0</v>
      </c>
      <c r="AX290" s="239">
        <v>0</v>
      </c>
      <c r="AY290" s="239">
        <v>0</v>
      </c>
      <c r="AZ290" s="239">
        <v>0</v>
      </c>
      <c r="BA290" s="239">
        <v>0</v>
      </c>
      <c r="BB290" s="239">
        <v>0</v>
      </c>
      <c r="BC290" s="239">
        <v>18079033</v>
      </c>
      <c r="BD290" s="239">
        <v>-38934456</v>
      </c>
      <c r="BE290" s="214" t="s">
        <v>662</v>
      </c>
      <c r="BF290" s="214" t="s">
        <v>788</v>
      </c>
      <c r="BG290" s="214" t="s">
        <v>747</v>
      </c>
      <c r="BH290" s="214" t="s">
        <v>1010</v>
      </c>
      <c r="BI290" s="214" t="s">
        <v>1010</v>
      </c>
      <c r="BJ290" s="214" t="s">
        <v>1161</v>
      </c>
    </row>
    <row r="291" spans="2:62" x14ac:dyDescent="0.2">
      <c r="B291" s="602" t="s">
        <v>665</v>
      </c>
      <c r="C291" s="602" t="s">
        <v>664</v>
      </c>
      <c r="D291" s="239">
        <v>163633004</v>
      </c>
      <c r="E291" s="239">
        <v>0</v>
      </c>
      <c r="F291" s="239">
        <v>163633004</v>
      </c>
      <c r="G291" s="239">
        <v>0</v>
      </c>
      <c r="H291" s="239">
        <v>0</v>
      </c>
      <c r="I291" s="239">
        <v>0</v>
      </c>
      <c r="J291" s="239">
        <v>-418166</v>
      </c>
      <c r="K291" s="239">
        <v>0</v>
      </c>
      <c r="L291" s="239">
        <v>-418166</v>
      </c>
      <c r="M291" s="239">
        <v>0</v>
      </c>
      <c r="N291" s="239">
        <v>0</v>
      </c>
      <c r="O291" s="239">
        <v>0</v>
      </c>
      <c r="P291" s="239">
        <v>-1592116</v>
      </c>
      <c r="Q291" s="239">
        <v>0</v>
      </c>
      <c r="R291" s="239">
        <v>-1592116</v>
      </c>
      <c r="S291" s="239">
        <v>11496470</v>
      </c>
      <c r="T291" s="239">
        <v>0</v>
      </c>
      <c r="U291" s="239">
        <v>11496470</v>
      </c>
      <c r="V291" s="239">
        <v>-10870568</v>
      </c>
      <c r="W291" s="239">
        <v>0</v>
      </c>
      <c r="X291" s="239">
        <v>-10870568</v>
      </c>
      <c r="Y291" s="239">
        <v>162666790</v>
      </c>
      <c r="Z291" s="239">
        <v>0</v>
      </c>
      <c r="AA291" s="239">
        <v>162666790</v>
      </c>
      <c r="AB291" s="239">
        <v>0</v>
      </c>
      <c r="AC291" s="239">
        <v>0</v>
      </c>
      <c r="AD291" s="239">
        <v>82347</v>
      </c>
      <c r="AE291" s="239">
        <v>0</v>
      </c>
      <c r="AF291" s="239">
        <v>82347</v>
      </c>
      <c r="AG291" s="239">
        <v>0</v>
      </c>
      <c r="AH291" s="239">
        <v>0</v>
      </c>
      <c r="AI291" s="239">
        <v>0</v>
      </c>
      <c r="AJ291" s="239">
        <v>0</v>
      </c>
      <c r="AK291" s="239">
        <v>0</v>
      </c>
      <c r="AL291" s="239">
        <v>0</v>
      </c>
      <c r="AM291" s="239">
        <v>0</v>
      </c>
      <c r="AN291" s="239">
        <v>0</v>
      </c>
      <c r="AO291" s="239">
        <v>0</v>
      </c>
      <c r="AP291" s="239">
        <v>0</v>
      </c>
      <c r="AQ291" s="239">
        <v>0</v>
      </c>
      <c r="AR291" s="239">
        <v>0</v>
      </c>
      <c r="AS291" s="239">
        <v>0</v>
      </c>
      <c r="AT291" s="239">
        <v>0</v>
      </c>
      <c r="AU291" s="239">
        <v>0</v>
      </c>
      <c r="AV291" s="239">
        <v>0</v>
      </c>
      <c r="AW291" s="239">
        <v>0</v>
      </c>
      <c r="AX291" s="239">
        <v>0</v>
      </c>
      <c r="AY291" s="239">
        <v>0</v>
      </c>
      <c r="AZ291" s="239">
        <v>0</v>
      </c>
      <c r="BA291" s="239">
        <v>0</v>
      </c>
      <c r="BB291" s="239">
        <v>0</v>
      </c>
      <c r="BC291" s="239">
        <v>13247305</v>
      </c>
      <c r="BD291" s="239">
        <v>-6738248</v>
      </c>
      <c r="BE291" s="214" t="s">
        <v>664</v>
      </c>
      <c r="BF291" s="214" t="s">
        <v>766</v>
      </c>
      <c r="BG291" s="214" t="s">
        <v>781</v>
      </c>
      <c r="BH291" s="214" t="s">
        <v>1010</v>
      </c>
      <c r="BI291" s="214" t="s">
        <v>1010</v>
      </c>
      <c r="BJ291" s="214" t="s">
        <v>1160</v>
      </c>
    </row>
    <row r="292" spans="2:62" x14ac:dyDescent="0.2">
      <c r="B292" s="602" t="s">
        <v>667</v>
      </c>
      <c r="C292" s="602" t="s">
        <v>666</v>
      </c>
      <c r="D292" s="239">
        <v>55654968</v>
      </c>
      <c r="E292" s="239">
        <v>0</v>
      </c>
      <c r="F292" s="239">
        <v>55654968</v>
      </c>
      <c r="G292" s="239">
        <v>0</v>
      </c>
      <c r="H292" s="239">
        <v>0</v>
      </c>
      <c r="I292" s="239">
        <v>0</v>
      </c>
      <c r="J292" s="239">
        <v>0</v>
      </c>
      <c r="K292" s="239">
        <v>0</v>
      </c>
      <c r="L292" s="239">
        <v>0</v>
      </c>
      <c r="M292" s="239">
        <v>-526894.71</v>
      </c>
      <c r="N292" s="239">
        <v>0</v>
      </c>
      <c r="O292" s="239">
        <v>-526894.71</v>
      </c>
      <c r="P292" s="239">
        <v>312978.71000000002</v>
      </c>
      <c r="Q292" s="239">
        <v>0</v>
      </c>
      <c r="R292" s="239">
        <v>312978.71000000002</v>
      </c>
      <c r="S292" s="239">
        <v>0</v>
      </c>
      <c r="T292" s="239">
        <v>0</v>
      </c>
      <c r="U292" s="239">
        <v>0</v>
      </c>
      <c r="V292" s="239">
        <v>-1745432.07</v>
      </c>
      <c r="W292" s="239">
        <v>0</v>
      </c>
      <c r="X292" s="239">
        <v>-1745432.07</v>
      </c>
      <c r="Y292" s="239">
        <v>53695619.93</v>
      </c>
      <c r="Z292" s="239">
        <v>0</v>
      </c>
      <c r="AA292" s="239">
        <v>53695619.93</v>
      </c>
      <c r="AB292" s="239">
        <v>0</v>
      </c>
      <c r="AC292" s="239">
        <v>0</v>
      </c>
      <c r="AD292" s="239">
        <v>108925</v>
      </c>
      <c r="AE292" s="239">
        <v>0</v>
      </c>
      <c r="AF292" s="239">
        <v>108925</v>
      </c>
      <c r="AG292" s="239">
        <v>0</v>
      </c>
      <c r="AH292" s="239">
        <v>0</v>
      </c>
      <c r="AI292" s="239">
        <v>0</v>
      </c>
      <c r="AJ292" s="239">
        <v>0</v>
      </c>
      <c r="AK292" s="239">
        <v>0</v>
      </c>
      <c r="AL292" s="239">
        <v>0</v>
      </c>
      <c r="AM292" s="239">
        <v>0</v>
      </c>
      <c r="AN292" s="239">
        <v>0</v>
      </c>
      <c r="AO292" s="239">
        <v>0</v>
      </c>
      <c r="AP292" s="239">
        <v>0</v>
      </c>
      <c r="AQ292" s="239">
        <v>0</v>
      </c>
      <c r="AR292" s="239">
        <v>0</v>
      </c>
      <c r="AS292" s="239">
        <v>0</v>
      </c>
      <c r="AT292" s="239">
        <v>0</v>
      </c>
      <c r="AU292" s="239">
        <v>0</v>
      </c>
      <c r="AV292" s="239">
        <v>0</v>
      </c>
      <c r="AW292" s="239">
        <v>0</v>
      </c>
      <c r="AX292" s="239">
        <v>0</v>
      </c>
      <c r="AY292" s="239">
        <v>0</v>
      </c>
      <c r="AZ292" s="239">
        <v>0</v>
      </c>
      <c r="BA292" s="239">
        <v>0</v>
      </c>
      <c r="BB292" s="239">
        <v>0</v>
      </c>
      <c r="BC292" s="239">
        <v>1671524</v>
      </c>
      <c r="BD292" s="239">
        <v>-690781</v>
      </c>
      <c r="BE292" s="214" t="s">
        <v>666</v>
      </c>
      <c r="BF292" s="214" t="s">
        <v>824</v>
      </c>
      <c r="BG292" s="214" t="s">
        <v>822</v>
      </c>
      <c r="BH292" s="214" t="s">
        <v>1010</v>
      </c>
      <c r="BI292" s="214" t="s">
        <v>1010</v>
      </c>
      <c r="BJ292" s="214" t="s">
        <v>1158</v>
      </c>
    </row>
    <row r="293" spans="2:62" x14ac:dyDescent="0.2">
      <c r="B293" s="602" t="s">
        <v>669</v>
      </c>
      <c r="C293" s="602" t="s">
        <v>668</v>
      </c>
      <c r="D293" s="239">
        <v>43141938</v>
      </c>
      <c r="E293" s="239">
        <v>0</v>
      </c>
      <c r="F293" s="239">
        <v>43141938</v>
      </c>
      <c r="G293" s="239">
        <v>0</v>
      </c>
      <c r="H293" s="239">
        <v>0</v>
      </c>
      <c r="I293" s="239">
        <v>0</v>
      </c>
      <c r="J293" s="239">
        <v>-46768</v>
      </c>
      <c r="K293" s="239">
        <v>0</v>
      </c>
      <c r="L293" s="239">
        <v>-46768</v>
      </c>
      <c r="M293" s="239">
        <v>0</v>
      </c>
      <c r="N293" s="239">
        <v>0</v>
      </c>
      <c r="O293" s="239">
        <v>0</v>
      </c>
      <c r="P293" s="239">
        <v>-330067</v>
      </c>
      <c r="Q293" s="239">
        <v>0</v>
      </c>
      <c r="R293" s="239">
        <v>-330067</v>
      </c>
      <c r="S293" s="239">
        <v>1999858</v>
      </c>
      <c r="T293" s="239">
        <v>0</v>
      </c>
      <c r="U293" s="239">
        <v>1999858</v>
      </c>
      <c r="V293" s="239">
        <v>-4088446</v>
      </c>
      <c r="W293" s="239">
        <v>0</v>
      </c>
      <c r="X293" s="239">
        <v>-4088446</v>
      </c>
      <c r="Y293" s="239">
        <v>40723283</v>
      </c>
      <c r="Z293" s="239">
        <v>0</v>
      </c>
      <c r="AA293" s="239">
        <v>40723283</v>
      </c>
      <c r="AB293" s="239">
        <v>0</v>
      </c>
      <c r="AC293" s="239">
        <v>0</v>
      </c>
      <c r="AD293" s="239">
        <v>136903</v>
      </c>
      <c r="AE293" s="239">
        <v>0</v>
      </c>
      <c r="AF293" s="239">
        <v>136903</v>
      </c>
      <c r="AG293" s="239">
        <v>0</v>
      </c>
      <c r="AH293" s="239">
        <v>0</v>
      </c>
      <c r="AI293" s="239">
        <v>0</v>
      </c>
      <c r="AJ293" s="239">
        <v>0</v>
      </c>
      <c r="AK293" s="239">
        <v>0</v>
      </c>
      <c r="AL293" s="239">
        <v>0</v>
      </c>
      <c r="AM293" s="239">
        <v>0</v>
      </c>
      <c r="AN293" s="239">
        <v>0</v>
      </c>
      <c r="AO293" s="239">
        <v>0</v>
      </c>
      <c r="AP293" s="239">
        <v>0</v>
      </c>
      <c r="AQ293" s="239">
        <v>0</v>
      </c>
      <c r="AR293" s="239">
        <v>0</v>
      </c>
      <c r="AS293" s="239">
        <v>0</v>
      </c>
      <c r="AT293" s="239">
        <v>0</v>
      </c>
      <c r="AU293" s="239">
        <v>0</v>
      </c>
      <c r="AV293" s="239">
        <v>0</v>
      </c>
      <c r="AW293" s="239">
        <v>0</v>
      </c>
      <c r="AX293" s="239">
        <v>0</v>
      </c>
      <c r="AY293" s="239">
        <v>0</v>
      </c>
      <c r="AZ293" s="239">
        <v>0</v>
      </c>
      <c r="BA293" s="239">
        <v>0</v>
      </c>
      <c r="BB293" s="239">
        <v>0</v>
      </c>
      <c r="BC293" s="239">
        <v>1407930</v>
      </c>
      <c r="BD293" s="239">
        <v>-539084</v>
      </c>
      <c r="BE293" s="214" t="s">
        <v>668</v>
      </c>
      <c r="BF293" s="214" t="s">
        <v>820</v>
      </c>
      <c r="BG293" s="214" t="s">
        <v>818</v>
      </c>
      <c r="BH293" s="214" t="s">
        <v>1010</v>
      </c>
      <c r="BI293" s="214" t="s">
        <v>1010</v>
      </c>
      <c r="BJ293" s="214" t="s">
        <v>1158</v>
      </c>
    </row>
    <row r="294" spans="2:62" x14ac:dyDescent="0.2">
      <c r="B294" s="602" t="s">
        <v>671</v>
      </c>
      <c r="C294" s="602" t="s">
        <v>670</v>
      </c>
      <c r="D294" s="239">
        <v>55026779</v>
      </c>
      <c r="E294" s="239">
        <v>3301597</v>
      </c>
      <c r="F294" s="239">
        <v>58328376</v>
      </c>
      <c r="G294" s="239">
        <v>0</v>
      </c>
      <c r="H294" s="239">
        <v>0</v>
      </c>
      <c r="I294" s="239">
        <v>0</v>
      </c>
      <c r="J294" s="239">
        <v>-1018870</v>
      </c>
      <c r="K294" s="239">
        <v>0</v>
      </c>
      <c r="L294" s="239">
        <v>-1018870</v>
      </c>
      <c r="M294" s="239">
        <v>-13054</v>
      </c>
      <c r="N294" s="239">
        <v>0</v>
      </c>
      <c r="O294" s="239">
        <v>-13054</v>
      </c>
      <c r="P294" s="239">
        <v>-1440962</v>
      </c>
      <c r="Q294" s="239">
        <v>0</v>
      </c>
      <c r="R294" s="239">
        <v>-1440962</v>
      </c>
      <c r="S294" s="239">
        <v>3004878</v>
      </c>
      <c r="T294" s="239">
        <v>0</v>
      </c>
      <c r="U294" s="239">
        <v>3004878</v>
      </c>
      <c r="V294" s="239">
        <v>-4962507</v>
      </c>
      <c r="W294" s="239">
        <v>0</v>
      </c>
      <c r="X294" s="239">
        <v>-4962507</v>
      </c>
      <c r="Y294" s="239">
        <v>51615134</v>
      </c>
      <c r="Z294" s="239">
        <v>3301597</v>
      </c>
      <c r="AA294" s="239">
        <v>54916731</v>
      </c>
      <c r="AB294" s="239">
        <v>3301597</v>
      </c>
      <c r="AC294" s="239">
        <v>3301597</v>
      </c>
      <c r="AD294" s="239">
        <v>236429</v>
      </c>
      <c r="AE294" s="239">
        <v>0</v>
      </c>
      <c r="AF294" s="239">
        <v>236429</v>
      </c>
      <c r="AG294" s="239">
        <v>8423</v>
      </c>
      <c r="AH294" s="239">
        <v>8423</v>
      </c>
      <c r="AI294" s="239">
        <v>2565158</v>
      </c>
      <c r="AJ294" s="239">
        <v>2565158</v>
      </c>
      <c r="AK294" s="239">
        <v>1401495</v>
      </c>
      <c r="AL294" s="239">
        <v>0</v>
      </c>
      <c r="AM294" s="239">
        <v>0</v>
      </c>
      <c r="AN294" s="239">
        <v>0</v>
      </c>
      <c r="AO294" s="239">
        <v>0</v>
      </c>
      <c r="AP294" s="239">
        <v>219909</v>
      </c>
      <c r="AQ294" s="239">
        <v>219909</v>
      </c>
      <c r="AR294" s="239">
        <v>0</v>
      </c>
      <c r="AS294" s="239">
        <v>0</v>
      </c>
      <c r="AT294" s="239">
        <v>0</v>
      </c>
      <c r="AU294" s="239">
        <v>0</v>
      </c>
      <c r="AV294" s="239">
        <v>0</v>
      </c>
      <c r="AW294" s="239">
        <v>0</v>
      </c>
      <c r="AX294" s="239">
        <v>0</v>
      </c>
      <c r="AY294" s="239">
        <v>0</v>
      </c>
      <c r="AZ294" s="239">
        <v>0</v>
      </c>
      <c r="BA294" s="239">
        <v>219909</v>
      </c>
      <c r="BB294" s="239">
        <v>219909</v>
      </c>
      <c r="BC294" s="239">
        <v>2040236</v>
      </c>
      <c r="BD294" s="239">
        <v>-1677929</v>
      </c>
      <c r="BE294" s="214" t="s">
        <v>670</v>
      </c>
      <c r="BF294" s="214" t="s">
        <v>794</v>
      </c>
      <c r="BG294" s="214" t="s">
        <v>761</v>
      </c>
      <c r="BH294" s="214" t="s">
        <v>1044</v>
      </c>
      <c r="BI294" s="214" t="s">
        <v>1010</v>
      </c>
      <c r="BJ294" s="214" t="s">
        <v>1158</v>
      </c>
    </row>
    <row r="295" spans="2:62" x14ac:dyDescent="0.2">
      <c r="B295" s="602" t="s">
        <v>673</v>
      </c>
      <c r="C295" s="602" t="s">
        <v>672</v>
      </c>
      <c r="D295" s="239">
        <v>125854922</v>
      </c>
      <c r="E295" s="239">
        <v>7986</v>
      </c>
      <c r="F295" s="239">
        <v>125862908</v>
      </c>
      <c r="G295" s="239">
        <v>0</v>
      </c>
      <c r="H295" s="239">
        <v>0</v>
      </c>
      <c r="I295" s="239">
        <v>0</v>
      </c>
      <c r="J295" s="239">
        <v>-767324</v>
      </c>
      <c r="K295" s="239">
        <v>0</v>
      </c>
      <c r="L295" s="239">
        <v>-767324</v>
      </c>
      <c r="M295" s="239">
        <v>0</v>
      </c>
      <c r="N295" s="239">
        <v>0</v>
      </c>
      <c r="O295" s="239">
        <v>0</v>
      </c>
      <c r="P295" s="239">
        <v>-767324</v>
      </c>
      <c r="Q295" s="239">
        <v>0</v>
      </c>
      <c r="R295" s="239">
        <v>-767324</v>
      </c>
      <c r="S295" s="239">
        <v>7729456</v>
      </c>
      <c r="T295" s="239">
        <v>0</v>
      </c>
      <c r="U295" s="239">
        <v>7729456</v>
      </c>
      <c r="V295" s="239">
        <v>-11838893</v>
      </c>
      <c r="W295" s="239">
        <v>0</v>
      </c>
      <c r="X295" s="239">
        <v>-11838893</v>
      </c>
      <c r="Y295" s="239">
        <v>120978161</v>
      </c>
      <c r="Z295" s="239">
        <v>7986</v>
      </c>
      <c r="AA295" s="239">
        <v>120986147</v>
      </c>
      <c r="AB295" s="239">
        <v>7986</v>
      </c>
      <c r="AC295" s="239">
        <v>7986</v>
      </c>
      <c r="AD295" s="239">
        <v>489187</v>
      </c>
      <c r="AE295" s="239">
        <v>0</v>
      </c>
      <c r="AF295" s="239">
        <v>489187</v>
      </c>
      <c r="AG295" s="239">
        <v>0</v>
      </c>
      <c r="AH295" s="239">
        <v>0</v>
      </c>
      <c r="AI295" s="239">
        <v>0</v>
      </c>
      <c r="AJ295" s="239">
        <v>0</v>
      </c>
      <c r="AK295" s="239">
        <v>7986</v>
      </c>
      <c r="AL295" s="239">
        <v>0</v>
      </c>
      <c r="AM295" s="239">
        <v>0</v>
      </c>
      <c r="AN295" s="239">
        <v>0</v>
      </c>
      <c r="AO295" s="239">
        <v>0</v>
      </c>
      <c r="AP295" s="239">
        <v>37576</v>
      </c>
      <c r="AQ295" s="239">
        <v>37576</v>
      </c>
      <c r="AR295" s="239">
        <v>0</v>
      </c>
      <c r="AS295" s="239">
        <v>0</v>
      </c>
      <c r="AT295" s="239">
        <v>0</v>
      </c>
      <c r="AU295" s="239">
        <v>0</v>
      </c>
      <c r="AV295" s="239">
        <v>0</v>
      </c>
      <c r="AW295" s="239">
        <v>0</v>
      </c>
      <c r="AX295" s="239">
        <v>0</v>
      </c>
      <c r="AY295" s="239">
        <v>0</v>
      </c>
      <c r="AZ295" s="239">
        <v>0</v>
      </c>
      <c r="BA295" s="239">
        <v>37576</v>
      </c>
      <c r="BB295" s="239">
        <v>37576</v>
      </c>
      <c r="BC295" s="239">
        <v>1400948</v>
      </c>
      <c r="BD295" s="239">
        <v>-1813840</v>
      </c>
      <c r="BE295" s="214" t="s">
        <v>672</v>
      </c>
      <c r="BF295" s="214" t="s">
        <v>766</v>
      </c>
      <c r="BG295" s="214" t="s">
        <v>816</v>
      </c>
      <c r="BH295" s="214" t="s">
        <v>1010</v>
      </c>
      <c r="BI295" s="214" t="s">
        <v>1010</v>
      </c>
      <c r="BJ295" s="214" t="s">
        <v>1160</v>
      </c>
    </row>
    <row r="296" spans="2:62" x14ac:dyDescent="0.2">
      <c r="B296" s="602" t="s">
        <v>675</v>
      </c>
      <c r="C296" s="602" t="s">
        <v>674</v>
      </c>
      <c r="D296" s="239">
        <v>69568642</v>
      </c>
      <c r="E296" s="239">
        <v>202415</v>
      </c>
      <c r="F296" s="239">
        <v>69771057</v>
      </c>
      <c r="G296" s="239">
        <v>0</v>
      </c>
      <c r="H296" s="239">
        <v>0</v>
      </c>
      <c r="I296" s="239">
        <v>0</v>
      </c>
      <c r="J296" s="239">
        <v>0</v>
      </c>
      <c r="K296" s="239">
        <v>0</v>
      </c>
      <c r="L296" s="239">
        <v>0</v>
      </c>
      <c r="M296" s="239">
        <v>0</v>
      </c>
      <c r="N296" s="239">
        <v>0</v>
      </c>
      <c r="O296" s="239">
        <v>0</v>
      </c>
      <c r="P296" s="239">
        <v>1408752</v>
      </c>
      <c r="Q296" s="239">
        <v>0</v>
      </c>
      <c r="R296" s="239">
        <v>1408752</v>
      </c>
      <c r="S296" s="239">
        <v>2051095</v>
      </c>
      <c r="T296" s="239">
        <v>0</v>
      </c>
      <c r="U296" s="239">
        <v>2051095</v>
      </c>
      <c r="V296" s="239">
        <v>-4225336</v>
      </c>
      <c r="W296" s="239">
        <v>-9270</v>
      </c>
      <c r="X296" s="239">
        <v>-4234606</v>
      </c>
      <c r="Y296" s="239">
        <v>68803153</v>
      </c>
      <c r="Z296" s="239">
        <v>193145</v>
      </c>
      <c r="AA296" s="239">
        <v>68996298</v>
      </c>
      <c r="AB296" s="239">
        <v>193145</v>
      </c>
      <c r="AC296" s="239">
        <v>193145</v>
      </c>
      <c r="AD296" s="239">
        <v>0</v>
      </c>
      <c r="AE296" s="239">
        <v>0</v>
      </c>
      <c r="AF296" s="239">
        <v>0</v>
      </c>
      <c r="AG296" s="239">
        <v>-5749</v>
      </c>
      <c r="AH296" s="239">
        <v>-5749</v>
      </c>
      <c r="AI296" s="239">
        <v>170055</v>
      </c>
      <c r="AJ296" s="239">
        <v>170055</v>
      </c>
      <c r="AK296" s="239">
        <v>17341</v>
      </c>
      <c r="AL296" s="239">
        <v>0</v>
      </c>
      <c r="AM296" s="239">
        <v>17532</v>
      </c>
      <c r="AN296" s="239">
        <v>17532</v>
      </c>
      <c r="AO296" s="239">
        <v>0</v>
      </c>
      <c r="AP296" s="239">
        <v>0</v>
      </c>
      <c r="AQ296" s="239">
        <v>0</v>
      </c>
      <c r="AR296" s="239">
        <v>0</v>
      </c>
      <c r="AS296" s="239">
        <v>0</v>
      </c>
      <c r="AT296" s="239">
        <v>0</v>
      </c>
      <c r="AU296" s="239">
        <v>0</v>
      </c>
      <c r="AV296" s="239">
        <v>0</v>
      </c>
      <c r="AW296" s="239">
        <v>0</v>
      </c>
      <c r="AX296" s="239">
        <v>0</v>
      </c>
      <c r="AY296" s="239">
        <v>0</v>
      </c>
      <c r="AZ296" s="239">
        <v>0</v>
      </c>
      <c r="BA296" s="239">
        <v>0</v>
      </c>
      <c r="BB296" s="239">
        <v>0</v>
      </c>
      <c r="BC296" s="239">
        <v>6232384</v>
      </c>
      <c r="BD296" s="239">
        <v>-982508</v>
      </c>
      <c r="BE296" s="214" t="s">
        <v>674</v>
      </c>
      <c r="BF296" s="214" t="s">
        <v>766</v>
      </c>
      <c r="BG296" s="214" t="s">
        <v>764</v>
      </c>
      <c r="BH296" s="214" t="s">
        <v>1042</v>
      </c>
      <c r="BI296" s="214" t="s">
        <v>1010</v>
      </c>
      <c r="BJ296" s="214" t="s">
        <v>1160</v>
      </c>
    </row>
    <row r="297" spans="2:62" x14ac:dyDescent="0.2">
      <c r="B297" s="602" t="s">
        <v>677</v>
      </c>
      <c r="C297" s="602" t="s">
        <v>676</v>
      </c>
      <c r="D297" s="239">
        <v>60736934</v>
      </c>
      <c r="E297" s="239">
        <v>0</v>
      </c>
      <c r="F297" s="239">
        <v>60736934</v>
      </c>
      <c r="G297" s="239">
        <v>0</v>
      </c>
      <c r="H297" s="239">
        <v>0</v>
      </c>
      <c r="I297" s="239">
        <v>0</v>
      </c>
      <c r="J297" s="239">
        <v>-287616</v>
      </c>
      <c r="K297" s="239">
        <v>0</v>
      </c>
      <c r="L297" s="239">
        <v>-287616</v>
      </c>
      <c r="M297" s="239">
        <v>0</v>
      </c>
      <c r="N297" s="239">
        <v>0</v>
      </c>
      <c r="O297" s="239">
        <v>0</v>
      </c>
      <c r="P297" s="239">
        <v>-1504707</v>
      </c>
      <c r="Q297" s="239">
        <v>0</v>
      </c>
      <c r="R297" s="239">
        <v>-1504707</v>
      </c>
      <c r="S297" s="239">
        <v>520716</v>
      </c>
      <c r="T297" s="239">
        <v>0</v>
      </c>
      <c r="U297" s="239">
        <v>520716</v>
      </c>
      <c r="V297" s="239">
        <v>-746304</v>
      </c>
      <c r="W297" s="239">
        <v>0</v>
      </c>
      <c r="X297" s="239">
        <v>-746304</v>
      </c>
      <c r="Y297" s="239">
        <v>59006639</v>
      </c>
      <c r="Z297" s="239">
        <v>0</v>
      </c>
      <c r="AA297" s="239">
        <v>59006639</v>
      </c>
      <c r="AB297" s="239">
        <v>0</v>
      </c>
      <c r="AC297" s="239">
        <v>0</v>
      </c>
      <c r="AD297" s="239">
        <v>0</v>
      </c>
      <c r="AE297" s="239">
        <v>0</v>
      </c>
      <c r="AF297" s="239">
        <v>0</v>
      </c>
      <c r="AG297" s="239">
        <v>0</v>
      </c>
      <c r="AH297" s="239">
        <v>0</v>
      </c>
      <c r="AI297" s="239">
        <v>0</v>
      </c>
      <c r="AJ297" s="239">
        <v>0</v>
      </c>
      <c r="AK297" s="239">
        <v>0</v>
      </c>
      <c r="AL297" s="239">
        <v>0</v>
      </c>
      <c r="AM297" s="239">
        <v>0</v>
      </c>
      <c r="AN297" s="239">
        <v>0</v>
      </c>
      <c r="AO297" s="239">
        <v>0</v>
      </c>
      <c r="AP297" s="239">
        <v>0</v>
      </c>
      <c r="AQ297" s="239">
        <v>0</v>
      </c>
      <c r="AR297" s="239">
        <v>0</v>
      </c>
      <c r="AS297" s="239">
        <v>0</v>
      </c>
      <c r="AT297" s="239">
        <v>0</v>
      </c>
      <c r="AU297" s="239">
        <v>0</v>
      </c>
      <c r="AV297" s="239">
        <v>0</v>
      </c>
      <c r="AW297" s="239">
        <v>0</v>
      </c>
      <c r="AX297" s="239">
        <v>0</v>
      </c>
      <c r="AY297" s="239">
        <v>0</v>
      </c>
      <c r="AZ297" s="239">
        <v>0</v>
      </c>
      <c r="BA297" s="239">
        <v>0</v>
      </c>
      <c r="BB297" s="239">
        <v>0</v>
      </c>
      <c r="BC297" s="239">
        <v>4237584</v>
      </c>
      <c r="BD297" s="239">
        <v>-4231515</v>
      </c>
      <c r="BE297" s="214" t="s">
        <v>676</v>
      </c>
      <c r="BF297" s="214" t="s">
        <v>788</v>
      </c>
      <c r="BG297" s="214" t="s">
        <v>747</v>
      </c>
      <c r="BH297" s="214" t="s">
        <v>1010</v>
      </c>
      <c r="BI297" s="214" t="s">
        <v>1010</v>
      </c>
      <c r="BJ297" s="214" t="s">
        <v>1159</v>
      </c>
    </row>
    <row r="298" spans="2:62" x14ac:dyDescent="0.2">
      <c r="B298" s="602" t="s">
        <v>679</v>
      </c>
      <c r="C298" s="602" t="s">
        <v>678</v>
      </c>
      <c r="D298" s="239">
        <v>102664272</v>
      </c>
      <c r="E298" s="239">
        <v>1689124</v>
      </c>
      <c r="F298" s="239">
        <v>104353396</v>
      </c>
      <c r="G298" s="239">
        <v>0</v>
      </c>
      <c r="H298" s="239">
        <v>0</v>
      </c>
      <c r="I298" s="239">
        <v>0</v>
      </c>
      <c r="J298" s="239">
        <v>-1593309</v>
      </c>
      <c r="K298" s="239">
        <v>0</v>
      </c>
      <c r="L298" s="239">
        <v>-1593309</v>
      </c>
      <c r="M298" s="239">
        <v>0</v>
      </c>
      <c r="N298" s="239">
        <v>0</v>
      </c>
      <c r="O298" s="239">
        <v>0</v>
      </c>
      <c r="P298" s="239">
        <v>-1469309</v>
      </c>
      <c r="Q298" s="239">
        <v>0</v>
      </c>
      <c r="R298" s="239">
        <v>-1469309</v>
      </c>
      <c r="S298" s="239">
        <v>2995596</v>
      </c>
      <c r="T298" s="239">
        <v>53627</v>
      </c>
      <c r="U298" s="239">
        <v>3049223</v>
      </c>
      <c r="V298" s="239">
        <v>-763469</v>
      </c>
      <c r="W298" s="239">
        <v>-313</v>
      </c>
      <c r="X298" s="239">
        <v>-763782</v>
      </c>
      <c r="Y298" s="239">
        <v>103427090</v>
      </c>
      <c r="Z298" s="239">
        <v>1742438</v>
      </c>
      <c r="AA298" s="239">
        <v>105169528</v>
      </c>
      <c r="AB298" s="239">
        <v>1742438</v>
      </c>
      <c r="AC298" s="239">
        <v>1742438</v>
      </c>
      <c r="AD298" s="239">
        <v>0</v>
      </c>
      <c r="AE298" s="239">
        <v>0</v>
      </c>
      <c r="AF298" s="239">
        <v>0</v>
      </c>
      <c r="AG298" s="239">
        <v>425301</v>
      </c>
      <c r="AH298" s="239">
        <v>425301</v>
      </c>
      <c r="AI298" s="239">
        <v>4206450</v>
      </c>
      <c r="AJ298" s="239">
        <v>4206450</v>
      </c>
      <c r="AK298" s="239">
        <v>0</v>
      </c>
      <c r="AL298" s="239">
        <v>0</v>
      </c>
      <c r="AM298" s="239">
        <v>0</v>
      </c>
      <c r="AN298" s="239">
        <v>0</v>
      </c>
      <c r="AO298" s="239">
        <v>0</v>
      </c>
      <c r="AP298" s="239">
        <v>0</v>
      </c>
      <c r="AQ298" s="239">
        <v>0</v>
      </c>
      <c r="AR298" s="239">
        <v>0</v>
      </c>
      <c r="AS298" s="239">
        <v>0</v>
      </c>
      <c r="AT298" s="239">
        <v>0</v>
      </c>
      <c r="AU298" s="239">
        <v>0</v>
      </c>
      <c r="AV298" s="239">
        <v>0</v>
      </c>
      <c r="AW298" s="239">
        <v>0</v>
      </c>
      <c r="AX298" s="239">
        <v>0</v>
      </c>
      <c r="AY298" s="239">
        <v>0</v>
      </c>
      <c r="AZ298" s="239">
        <v>0</v>
      </c>
      <c r="BA298" s="239">
        <v>0</v>
      </c>
      <c r="BB298" s="239">
        <v>0</v>
      </c>
      <c r="BC298" s="239">
        <v>5671719</v>
      </c>
      <c r="BD298" s="239">
        <v>-7558380</v>
      </c>
      <c r="BE298" s="214" t="s">
        <v>678</v>
      </c>
      <c r="BF298" s="214" t="s">
        <v>788</v>
      </c>
      <c r="BG298" s="214" t="s">
        <v>747</v>
      </c>
      <c r="BH298" s="214" t="s">
        <v>1010</v>
      </c>
      <c r="BI298" s="214" t="s">
        <v>1010</v>
      </c>
      <c r="BJ298" s="214" t="s">
        <v>1161</v>
      </c>
    </row>
    <row r="299" spans="2:62" x14ac:dyDescent="0.2">
      <c r="B299" s="602" t="s">
        <v>681</v>
      </c>
      <c r="C299" s="602" t="s">
        <v>680</v>
      </c>
      <c r="D299" s="239">
        <v>106461920</v>
      </c>
      <c r="E299" s="239">
        <v>643108</v>
      </c>
      <c r="F299" s="239">
        <v>107105028</v>
      </c>
      <c r="G299" s="239">
        <v>0</v>
      </c>
      <c r="H299" s="239">
        <v>0</v>
      </c>
      <c r="I299" s="239">
        <v>0</v>
      </c>
      <c r="J299" s="239">
        <v>-4076328</v>
      </c>
      <c r="K299" s="239">
        <v>-5457</v>
      </c>
      <c r="L299" s="239">
        <v>-4081785</v>
      </c>
      <c r="M299" s="239">
        <v>0</v>
      </c>
      <c r="N299" s="239">
        <v>0</v>
      </c>
      <c r="O299" s="239">
        <v>0</v>
      </c>
      <c r="P299" s="239">
        <v>-2226219</v>
      </c>
      <c r="Q299" s="239">
        <v>-21640</v>
      </c>
      <c r="R299" s="239">
        <v>-2247859</v>
      </c>
      <c r="S299" s="239">
        <v>0</v>
      </c>
      <c r="T299" s="239">
        <v>0</v>
      </c>
      <c r="U299" s="239">
        <v>0</v>
      </c>
      <c r="V299" s="239">
        <v>-2763376</v>
      </c>
      <c r="W299" s="239">
        <v>-90726</v>
      </c>
      <c r="X299" s="239">
        <v>-2854102</v>
      </c>
      <c r="Y299" s="239">
        <v>101472325</v>
      </c>
      <c r="Z299" s="239">
        <v>530742</v>
      </c>
      <c r="AA299" s="239">
        <v>102003067</v>
      </c>
      <c r="AB299" s="239">
        <v>530742</v>
      </c>
      <c r="AC299" s="239">
        <v>530742</v>
      </c>
      <c r="AD299" s="239">
        <v>0</v>
      </c>
      <c r="AE299" s="239">
        <v>0</v>
      </c>
      <c r="AF299" s="239">
        <v>0</v>
      </c>
      <c r="AG299" s="239">
        <v>-162522</v>
      </c>
      <c r="AH299" s="239">
        <v>-162522</v>
      </c>
      <c r="AI299" s="239">
        <v>926543</v>
      </c>
      <c r="AJ299" s="239">
        <v>926543</v>
      </c>
      <c r="AK299" s="239">
        <v>0</v>
      </c>
      <c r="AL299" s="239">
        <v>0</v>
      </c>
      <c r="AM299" s="239">
        <v>0</v>
      </c>
      <c r="AN299" s="239">
        <v>0</v>
      </c>
      <c r="AO299" s="239">
        <v>0</v>
      </c>
      <c r="AP299" s="239">
        <v>155550</v>
      </c>
      <c r="AQ299" s="239">
        <v>155550</v>
      </c>
      <c r="AR299" s="239">
        <v>0</v>
      </c>
      <c r="AS299" s="239">
        <v>0</v>
      </c>
      <c r="AT299" s="239">
        <v>0</v>
      </c>
      <c r="AU299" s="239">
        <v>0</v>
      </c>
      <c r="AV299" s="239">
        <v>0</v>
      </c>
      <c r="AW299" s="239">
        <v>0</v>
      </c>
      <c r="AX299" s="239">
        <v>0</v>
      </c>
      <c r="AY299" s="239">
        <v>0</v>
      </c>
      <c r="AZ299" s="239">
        <v>0</v>
      </c>
      <c r="BA299" s="239">
        <v>155550</v>
      </c>
      <c r="BB299" s="239">
        <v>155550</v>
      </c>
      <c r="BC299" s="239">
        <v>10787927</v>
      </c>
      <c r="BD299" s="239">
        <v>-2747496</v>
      </c>
      <c r="BE299" s="214" t="s">
        <v>815</v>
      </c>
      <c r="BF299" s="214" t="s">
        <v>746</v>
      </c>
      <c r="BG299" s="214" t="s">
        <v>813</v>
      </c>
      <c r="BH299" s="214" t="s">
        <v>1010</v>
      </c>
      <c r="BI299" s="214" t="s">
        <v>1010</v>
      </c>
      <c r="BJ299" s="214" t="s">
        <v>746</v>
      </c>
    </row>
    <row r="300" spans="2:62" x14ac:dyDescent="0.2">
      <c r="B300" s="602" t="s">
        <v>683</v>
      </c>
      <c r="C300" s="602" t="s">
        <v>682</v>
      </c>
      <c r="D300" s="239">
        <v>68893143</v>
      </c>
      <c r="E300" s="239">
        <v>0</v>
      </c>
      <c r="F300" s="239">
        <v>68893143</v>
      </c>
      <c r="G300" s="239">
        <v>0</v>
      </c>
      <c r="H300" s="239">
        <v>0</v>
      </c>
      <c r="I300" s="239">
        <v>0</v>
      </c>
      <c r="J300" s="239">
        <v>-274993</v>
      </c>
      <c r="K300" s="239">
        <v>0</v>
      </c>
      <c r="L300" s="239">
        <v>-274993</v>
      </c>
      <c r="M300" s="239">
        <v>0</v>
      </c>
      <c r="N300" s="239">
        <v>0</v>
      </c>
      <c r="O300" s="239">
        <v>0</v>
      </c>
      <c r="P300" s="239">
        <v>-274993</v>
      </c>
      <c r="Q300" s="239">
        <v>0</v>
      </c>
      <c r="R300" s="239">
        <v>-274993</v>
      </c>
      <c r="S300" s="239">
        <v>2116291</v>
      </c>
      <c r="T300" s="239">
        <v>0</v>
      </c>
      <c r="U300" s="239">
        <v>2116291</v>
      </c>
      <c r="V300" s="239">
        <v>-2025734</v>
      </c>
      <c r="W300" s="239">
        <v>0</v>
      </c>
      <c r="X300" s="239">
        <v>-2025734</v>
      </c>
      <c r="Y300" s="239">
        <v>68708707</v>
      </c>
      <c r="Z300" s="239">
        <v>0</v>
      </c>
      <c r="AA300" s="239">
        <v>68708707</v>
      </c>
      <c r="AB300" s="239">
        <v>0</v>
      </c>
      <c r="AC300" s="239">
        <v>0</v>
      </c>
      <c r="AD300" s="239">
        <v>31852</v>
      </c>
      <c r="AE300" s="239">
        <v>0</v>
      </c>
      <c r="AF300" s="239">
        <v>31852</v>
      </c>
      <c r="AG300" s="239">
        <v>0</v>
      </c>
      <c r="AH300" s="239">
        <v>0</v>
      </c>
      <c r="AI300" s="239">
        <v>0</v>
      </c>
      <c r="AJ300" s="239">
        <v>0</v>
      </c>
      <c r="AK300" s="239">
        <v>0</v>
      </c>
      <c r="AL300" s="239">
        <v>0</v>
      </c>
      <c r="AM300" s="239">
        <v>0</v>
      </c>
      <c r="AN300" s="239">
        <v>0</v>
      </c>
      <c r="AO300" s="239">
        <v>0</v>
      </c>
      <c r="AP300" s="239">
        <v>0</v>
      </c>
      <c r="AQ300" s="239">
        <v>0</v>
      </c>
      <c r="AR300" s="239">
        <v>0</v>
      </c>
      <c r="AS300" s="239">
        <v>0</v>
      </c>
      <c r="AT300" s="239">
        <v>0</v>
      </c>
      <c r="AU300" s="239">
        <v>0</v>
      </c>
      <c r="AV300" s="239">
        <v>0</v>
      </c>
      <c r="AW300" s="239">
        <v>0</v>
      </c>
      <c r="AX300" s="239">
        <v>0</v>
      </c>
      <c r="AY300" s="239">
        <v>0</v>
      </c>
      <c r="AZ300" s="239">
        <v>0</v>
      </c>
      <c r="BA300" s="239">
        <v>0</v>
      </c>
      <c r="BB300" s="239">
        <v>0</v>
      </c>
      <c r="BC300" s="239">
        <v>1911602</v>
      </c>
      <c r="BD300" s="239">
        <v>-677123</v>
      </c>
      <c r="BE300" s="214" t="s">
        <v>682</v>
      </c>
      <c r="BF300" s="214" t="s">
        <v>811</v>
      </c>
      <c r="BG300" s="214" t="s">
        <v>761</v>
      </c>
      <c r="BH300" s="214" t="s">
        <v>1010</v>
      </c>
      <c r="BI300" s="214" t="s">
        <v>1010</v>
      </c>
      <c r="BJ300" s="214" t="s">
        <v>1158</v>
      </c>
    </row>
    <row r="301" spans="2:62" x14ac:dyDescent="0.2">
      <c r="B301" s="602" t="s">
        <v>685</v>
      </c>
      <c r="C301" s="602" t="s">
        <v>684</v>
      </c>
      <c r="D301" s="239">
        <v>64715840</v>
      </c>
      <c r="E301" s="239">
        <v>0</v>
      </c>
      <c r="F301" s="239">
        <v>64715840</v>
      </c>
      <c r="G301" s="239">
        <v>0</v>
      </c>
      <c r="H301" s="239">
        <v>0</v>
      </c>
      <c r="I301" s="239">
        <v>0</v>
      </c>
      <c r="J301" s="239">
        <v>-456363.64</v>
      </c>
      <c r="K301" s="239">
        <v>0</v>
      </c>
      <c r="L301" s="239">
        <v>-456363.64</v>
      </c>
      <c r="M301" s="239">
        <v>0</v>
      </c>
      <c r="N301" s="239">
        <v>0</v>
      </c>
      <c r="O301" s="239">
        <v>0</v>
      </c>
      <c r="P301" s="239">
        <v>-371434</v>
      </c>
      <c r="Q301" s="239">
        <v>0</v>
      </c>
      <c r="R301" s="239">
        <v>-371434</v>
      </c>
      <c r="S301" s="239">
        <v>1290763</v>
      </c>
      <c r="T301" s="239">
        <v>0</v>
      </c>
      <c r="U301" s="239">
        <v>1290763</v>
      </c>
      <c r="V301" s="239">
        <v>-8188048</v>
      </c>
      <c r="W301" s="239">
        <v>0</v>
      </c>
      <c r="X301" s="239">
        <v>-8188048</v>
      </c>
      <c r="Y301" s="239">
        <v>57447121</v>
      </c>
      <c r="Z301" s="239">
        <v>0</v>
      </c>
      <c r="AA301" s="239">
        <v>57447121</v>
      </c>
      <c r="AB301" s="239">
        <v>0</v>
      </c>
      <c r="AC301" s="239">
        <v>0</v>
      </c>
      <c r="AD301" s="239">
        <v>0</v>
      </c>
      <c r="AE301" s="239">
        <v>0</v>
      </c>
      <c r="AF301" s="239">
        <v>0</v>
      </c>
      <c r="AG301" s="239">
        <v>0</v>
      </c>
      <c r="AH301" s="239">
        <v>0</v>
      </c>
      <c r="AI301" s="239">
        <v>0</v>
      </c>
      <c r="AJ301" s="239">
        <v>0</v>
      </c>
      <c r="AK301" s="239">
        <v>0</v>
      </c>
      <c r="AL301" s="239">
        <v>0</v>
      </c>
      <c r="AM301" s="239">
        <v>0</v>
      </c>
      <c r="AN301" s="239">
        <v>0</v>
      </c>
      <c r="AO301" s="239">
        <v>0</v>
      </c>
      <c r="AP301" s="239">
        <v>0</v>
      </c>
      <c r="AQ301" s="239">
        <v>0</v>
      </c>
      <c r="AR301" s="239">
        <v>0</v>
      </c>
      <c r="AS301" s="239">
        <v>0</v>
      </c>
      <c r="AT301" s="239">
        <v>0</v>
      </c>
      <c r="AU301" s="239">
        <v>0</v>
      </c>
      <c r="AV301" s="239">
        <v>0</v>
      </c>
      <c r="AW301" s="239">
        <v>0</v>
      </c>
      <c r="AX301" s="239">
        <v>0</v>
      </c>
      <c r="AY301" s="239">
        <v>0</v>
      </c>
      <c r="AZ301" s="239">
        <v>0</v>
      </c>
      <c r="BA301" s="239">
        <v>0</v>
      </c>
      <c r="BB301" s="239">
        <v>0</v>
      </c>
      <c r="BC301" s="239">
        <v>1533565</v>
      </c>
      <c r="BD301" s="239">
        <v>-1436940</v>
      </c>
      <c r="BE301" s="214" t="s">
        <v>684</v>
      </c>
      <c r="BF301" s="214" t="s">
        <v>801</v>
      </c>
      <c r="BG301" s="214" t="s">
        <v>761</v>
      </c>
      <c r="BH301" s="214" t="s">
        <v>1010</v>
      </c>
      <c r="BI301" s="214" t="s">
        <v>1010</v>
      </c>
      <c r="BJ301" s="214" t="s">
        <v>1158</v>
      </c>
    </row>
    <row r="302" spans="2:62" x14ac:dyDescent="0.2">
      <c r="B302" s="602" t="s">
        <v>687</v>
      </c>
      <c r="C302" s="602" t="s">
        <v>686</v>
      </c>
      <c r="D302" s="239">
        <v>24932854</v>
      </c>
      <c r="E302" s="239">
        <v>272252</v>
      </c>
      <c r="F302" s="239">
        <v>25205106</v>
      </c>
      <c r="G302" s="239">
        <v>0</v>
      </c>
      <c r="H302" s="239">
        <v>0</v>
      </c>
      <c r="I302" s="239">
        <v>0</v>
      </c>
      <c r="J302" s="239">
        <v>-54867</v>
      </c>
      <c r="K302" s="239">
        <v>0</v>
      </c>
      <c r="L302" s="239">
        <v>-54867</v>
      </c>
      <c r="M302" s="239">
        <v>0</v>
      </c>
      <c r="N302" s="239">
        <v>0</v>
      </c>
      <c r="O302" s="239">
        <v>0</v>
      </c>
      <c r="P302" s="239">
        <v>-436943</v>
      </c>
      <c r="Q302" s="239">
        <v>0</v>
      </c>
      <c r="R302" s="239">
        <v>-436943</v>
      </c>
      <c r="S302" s="239">
        <v>1057414</v>
      </c>
      <c r="T302" s="239">
        <v>0</v>
      </c>
      <c r="U302" s="239">
        <v>1057414</v>
      </c>
      <c r="V302" s="239">
        <v>-1833246</v>
      </c>
      <c r="W302" s="239">
        <v>-14063</v>
      </c>
      <c r="X302" s="239">
        <v>-1847309</v>
      </c>
      <c r="Y302" s="239">
        <v>23720079</v>
      </c>
      <c r="Z302" s="239">
        <v>258189</v>
      </c>
      <c r="AA302" s="239">
        <v>23978268</v>
      </c>
      <c r="AB302" s="239">
        <v>258189</v>
      </c>
      <c r="AC302" s="239">
        <v>258189</v>
      </c>
      <c r="AD302" s="239">
        <v>252068</v>
      </c>
      <c r="AE302" s="239">
        <v>0</v>
      </c>
      <c r="AF302" s="239">
        <v>252068</v>
      </c>
      <c r="AG302" s="239">
        <v>-8817</v>
      </c>
      <c r="AH302" s="239">
        <v>-8817</v>
      </c>
      <c r="AI302" s="239">
        <v>42842</v>
      </c>
      <c r="AJ302" s="239">
        <v>42842</v>
      </c>
      <c r="AK302" s="239">
        <v>211256</v>
      </c>
      <c r="AL302" s="239">
        <v>0</v>
      </c>
      <c r="AM302" s="239">
        <v>0</v>
      </c>
      <c r="AN302" s="239">
        <v>0</v>
      </c>
      <c r="AO302" s="239">
        <v>0</v>
      </c>
      <c r="AP302" s="239">
        <v>168333</v>
      </c>
      <c r="AQ302" s="239">
        <v>168333</v>
      </c>
      <c r="AR302" s="239">
        <v>0</v>
      </c>
      <c r="AS302" s="239">
        <v>0</v>
      </c>
      <c r="AT302" s="239">
        <v>0</v>
      </c>
      <c r="AU302" s="239">
        <v>0</v>
      </c>
      <c r="AV302" s="239">
        <v>0</v>
      </c>
      <c r="AW302" s="239">
        <v>0</v>
      </c>
      <c r="AX302" s="239">
        <v>0</v>
      </c>
      <c r="AY302" s="239">
        <v>0</v>
      </c>
      <c r="AZ302" s="239">
        <v>0</v>
      </c>
      <c r="BA302" s="239">
        <v>168333</v>
      </c>
      <c r="BB302" s="239">
        <v>168333</v>
      </c>
      <c r="BC302" s="239">
        <v>2044984</v>
      </c>
      <c r="BD302" s="239">
        <v>-1660224</v>
      </c>
      <c r="BE302" s="214" t="s">
        <v>686</v>
      </c>
      <c r="BF302" s="214" t="s">
        <v>809</v>
      </c>
      <c r="BG302" s="214" t="s">
        <v>761</v>
      </c>
      <c r="BH302" s="214" t="s">
        <v>1025</v>
      </c>
      <c r="BI302" s="214" t="s">
        <v>1010</v>
      </c>
      <c r="BJ302" s="214" t="s">
        <v>1158</v>
      </c>
    </row>
    <row r="303" spans="2:62" x14ac:dyDescent="0.2">
      <c r="B303" s="602" t="s">
        <v>689</v>
      </c>
      <c r="C303" s="602" t="s">
        <v>688</v>
      </c>
      <c r="D303" s="239">
        <v>36803444</v>
      </c>
      <c r="E303" s="239">
        <v>0</v>
      </c>
      <c r="F303" s="239">
        <v>36803444</v>
      </c>
      <c r="G303" s="239">
        <v>0</v>
      </c>
      <c r="H303" s="239">
        <v>0</v>
      </c>
      <c r="I303" s="239">
        <v>0</v>
      </c>
      <c r="J303" s="239">
        <v>-346833</v>
      </c>
      <c r="K303" s="239">
        <v>0</v>
      </c>
      <c r="L303" s="239">
        <v>-346833</v>
      </c>
      <c r="M303" s="239">
        <v>0</v>
      </c>
      <c r="N303" s="239">
        <v>0</v>
      </c>
      <c r="O303" s="239">
        <v>0</v>
      </c>
      <c r="P303" s="239">
        <v>-336833</v>
      </c>
      <c r="Q303" s="239">
        <v>0</v>
      </c>
      <c r="R303" s="239">
        <v>-336833</v>
      </c>
      <c r="S303" s="239">
        <v>419903</v>
      </c>
      <c r="T303" s="239">
        <v>0</v>
      </c>
      <c r="U303" s="239">
        <v>419903</v>
      </c>
      <c r="V303" s="239">
        <v>-3843903</v>
      </c>
      <c r="W303" s="239">
        <v>0</v>
      </c>
      <c r="X303" s="239">
        <v>-3843903</v>
      </c>
      <c r="Y303" s="239">
        <v>33042611</v>
      </c>
      <c r="Z303" s="239">
        <v>0</v>
      </c>
      <c r="AA303" s="239">
        <v>33042611</v>
      </c>
      <c r="AB303" s="239">
        <v>0</v>
      </c>
      <c r="AC303" s="239">
        <v>0</v>
      </c>
      <c r="AD303" s="239">
        <v>0</v>
      </c>
      <c r="AE303" s="239">
        <v>0</v>
      </c>
      <c r="AF303" s="239">
        <v>0</v>
      </c>
      <c r="AG303" s="239">
        <v>0</v>
      </c>
      <c r="AH303" s="239">
        <v>0</v>
      </c>
      <c r="AI303" s="239">
        <v>0</v>
      </c>
      <c r="AJ303" s="239">
        <v>0</v>
      </c>
      <c r="AK303" s="239">
        <v>0</v>
      </c>
      <c r="AL303" s="239">
        <v>0</v>
      </c>
      <c r="AM303" s="239">
        <v>0</v>
      </c>
      <c r="AN303" s="239">
        <v>0</v>
      </c>
      <c r="AO303" s="239">
        <v>0</v>
      </c>
      <c r="AP303" s="239">
        <v>0</v>
      </c>
      <c r="AQ303" s="239">
        <v>0</v>
      </c>
      <c r="AR303" s="239">
        <v>0</v>
      </c>
      <c r="AS303" s="239">
        <v>0</v>
      </c>
      <c r="AT303" s="239">
        <v>0</v>
      </c>
      <c r="AU303" s="239">
        <v>0</v>
      </c>
      <c r="AV303" s="239">
        <v>0</v>
      </c>
      <c r="AW303" s="239">
        <v>0</v>
      </c>
      <c r="AX303" s="239">
        <v>0</v>
      </c>
      <c r="AY303" s="239">
        <v>0</v>
      </c>
      <c r="AZ303" s="239">
        <v>0</v>
      </c>
      <c r="BA303" s="239">
        <v>0</v>
      </c>
      <c r="BB303" s="239">
        <v>0</v>
      </c>
      <c r="BC303" s="239">
        <v>2100027</v>
      </c>
      <c r="BD303" s="239">
        <v>-1348172</v>
      </c>
      <c r="BE303" s="214" t="s">
        <v>688</v>
      </c>
      <c r="BF303" s="214" t="s">
        <v>770</v>
      </c>
      <c r="BG303" s="214" t="s">
        <v>761</v>
      </c>
      <c r="BH303" s="214" t="s">
        <v>1010</v>
      </c>
      <c r="BI303" s="214" t="s">
        <v>1010</v>
      </c>
      <c r="BJ303" s="214" t="s">
        <v>1158</v>
      </c>
    </row>
    <row r="304" spans="2:62" x14ac:dyDescent="0.2">
      <c r="B304" s="602" t="s">
        <v>691</v>
      </c>
      <c r="C304" s="602" t="s">
        <v>690</v>
      </c>
      <c r="D304" s="239">
        <v>28573069</v>
      </c>
      <c r="E304" s="239">
        <v>0</v>
      </c>
      <c r="F304" s="239">
        <v>28573069</v>
      </c>
      <c r="G304" s="239">
        <v>-794</v>
      </c>
      <c r="H304" s="239">
        <v>0</v>
      </c>
      <c r="I304" s="239">
        <v>-794</v>
      </c>
      <c r="J304" s="239">
        <v>-222035</v>
      </c>
      <c r="K304" s="239">
        <v>0</v>
      </c>
      <c r="L304" s="239">
        <v>-222035</v>
      </c>
      <c r="M304" s="239">
        <v>0</v>
      </c>
      <c r="N304" s="239">
        <v>0</v>
      </c>
      <c r="O304" s="239">
        <v>0</v>
      </c>
      <c r="P304" s="239">
        <v>-52568</v>
      </c>
      <c r="Q304" s="239">
        <v>0</v>
      </c>
      <c r="R304" s="239">
        <v>-52568</v>
      </c>
      <c r="S304" s="239">
        <v>1293000</v>
      </c>
      <c r="T304" s="239">
        <v>0</v>
      </c>
      <c r="U304" s="239">
        <v>1293000</v>
      </c>
      <c r="V304" s="239">
        <v>-3537649</v>
      </c>
      <c r="W304" s="239">
        <v>0</v>
      </c>
      <c r="X304" s="239">
        <v>-3537649</v>
      </c>
      <c r="Y304" s="239">
        <v>26275058</v>
      </c>
      <c r="Z304" s="239">
        <v>0</v>
      </c>
      <c r="AA304" s="239">
        <v>26275058</v>
      </c>
      <c r="AB304" s="239">
        <v>0</v>
      </c>
      <c r="AC304" s="239">
        <v>0</v>
      </c>
      <c r="AD304" s="239">
        <v>269375</v>
      </c>
      <c r="AE304" s="239">
        <v>0</v>
      </c>
      <c r="AF304" s="239">
        <v>269375</v>
      </c>
      <c r="AG304" s="239">
        <v>0</v>
      </c>
      <c r="AH304" s="239">
        <v>0</v>
      </c>
      <c r="AI304" s="239">
        <v>0</v>
      </c>
      <c r="AJ304" s="239">
        <v>0</v>
      </c>
      <c r="AK304" s="239">
        <v>0</v>
      </c>
      <c r="AL304" s="239">
        <v>0</v>
      </c>
      <c r="AM304" s="239">
        <v>0</v>
      </c>
      <c r="AN304" s="239">
        <v>0</v>
      </c>
      <c r="AO304" s="239">
        <v>0</v>
      </c>
      <c r="AP304" s="239">
        <v>0</v>
      </c>
      <c r="AQ304" s="239">
        <v>0</v>
      </c>
      <c r="AR304" s="239">
        <v>0</v>
      </c>
      <c r="AS304" s="239">
        <v>0</v>
      </c>
      <c r="AT304" s="239">
        <v>0</v>
      </c>
      <c r="AU304" s="239">
        <v>0</v>
      </c>
      <c r="AV304" s="239">
        <v>0</v>
      </c>
      <c r="AW304" s="239">
        <v>0</v>
      </c>
      <c r="AX304" s="239">
        <v>0</v>
      </c>
      <c r="AY304" s="239">
        <v>0</v>
      </c>
      <c r="AZ304" s="239">
        <v>0</v>
      </c>
      <c r="BA304" s="239">
        <v>0</v>
      </c>
      <c r="BB304" s="239">
        <v>0</v>
      </c>
      <c r="BC304" s="239">
        <v>1133854</v>
      </c>
      <c r="BD304" s="239">
        <v>-890868</v>
      </c>
      <c r="BE304" s="214" t="s">
        <v>690</v>
      </c>
      <c r="BF304" s="214" t="s">
        <v>807</v>
      </c>
      <c r="BG304" s="214" t="s">
        <v>805</v>
      </c>
      <c r="BH304" s="214" t="s">
        <v>1010</v>
      </c>
      <c r="BI304" s="214" t="s">
        <v>1010</v>
      </c>
      <c r="BJ304" s="214" t="s">
        <v>1158</v>
      </c>
    </row>
    <row r="305" spans="2:62" x14ac:dyDescent="0.2">
      <c r="B305" s="602" t="s">
        <v>693</v>
      </c>
      <c r="C305" s="602" t="s">
        <v>692</v>
      </c>
      <c r="D305" s="239">
        <v>27627325</v>
      </c>
      <c r="E305" s="239">
        <v>0</v>
      </c>
      <c r="F305" s="239">
        <v>27627325</v>
      </c>
      <c r="G305" s="239">
        <v>0</v>
      </c>
      <c r="H305" s="239">
        <v>0</v>
      </c>
      <c r="I305" s="239">
        <v>0</v>
      </c>
      <c r="J305" s="239">
        <v>-31789</v>
      </c>
      <c r="K305" s="239">
        <v>0</v>
      </c>
      <c r="L305" s="239">
        <v>-31789</v>
      </c>
      <c r="M305" s="239">
        <v>0</v>
      </c>
      <c r="N305" s="239">
        <v>0</v>
      </c>
      <c r="O305" s="239">
        <v>0</v>
      </c>
      <c r="P305" s="239">
        <v>-13529</v>
      </c>
      <c r="Q305" s="239">
        <v>0</v>
      </c>
      <c r="R305" s="239">
        <v>-13529</v>
      </c>
      <c r="S305" s="239">
        <v>676797</v>
      </c>
      <c r="T305" s="239">
        <v>0</v>
      </c>
      <c r="U305" s="239">
        <v>676797</v>
      </c>
      <c r="V305" s="239">
        <v>-1232534</v>
      </c>
      <c r="W305" s="239">
        <v>0</v>
      </c>
      <c r="X305" s="239">
        <v>-1232534</v>
      </c>
      <c r="Y305" s="239">
        <v>27058059</v>
      </c>
      <c r="Z305" s="239">
        <v>0</v>
      </c>
      <c r="AA305" s="239">
        <v>27058059</v>
      </c>
      <c r="AB305" s="239">
        <v>0</v>
      </c>
      <c r="AC305" s="239">
        <v>0</v>
      </c>
      <c r="AD305" s="239">
        <v>82103</v>
      </c>
      <c r="AE305" s="239">
        <v>0</v>
      </c>
      <c r="AF305" s="239">
        <v>82103</v>
      </c>
      <c r="AG305" s="239">
        <v>0</v>
      </c>
      <c r="AH305" s="239">
        <v>0</v>
      </c>
      <c r="AI305" s="239">
        <v>0</v>
      </c>
      <c r="AJ305" s="239">
        <v>0</v>
      </c>
      <c r="AK305" s="239">
        <v>0</v>
      </c>
      <c r="AL305" s="239">
        <v>0</v>
      </c>
      <c r="AM305" s="239">
        <v>0</v>
      </c>
      <c r="AN305" s="239">
        <v>0</v>
      </c>
      <c r="AO305" s="239">
        <v>0</v>
      </c>
      <c r="AP305" s="239">
        <v>0</v>
      </c>
      <c r="AQ305" s="239">
        <v>0</v>
      </c>
      <c r="AR305" s="239">
        <v>0</v>
      </c>
      <c r="AS305" s="239">
        <v>0</v>
      </c>
      <c r="AT305" s="239">
        <v>0</v>
      </c>
      <c r="AU305" s="239">
        <v>0</v>
      </c>
      <c r="AV305" s="239">
        <v>0</v>
      </c>
      <c r="AW305" s="239">
        <v>0</v>
      </c>
      <c r="AX305" s="239">
        <v>0</v>
      </c>
      <c r="AY305" s="239">
        <v>0</v>
      </c>
      <c r="AZ305" s="239">
        <v>0</v>
      </c>
      <c r="BA305" s="239">
        <v>0</v>
      </c>
      <c r="BB305" s="239">
        <v>0</v>
      </c>
      <c r="BC305" s="239">
        <v>653997</v>
      </c>
      <c r="BD305" s="239">
        <v>-373735</v>
      </c>
      <c r="BE305" s="214" t="s">
        <v>692</v>
      </c>
      <c r="BF305" s="214" t="s">
        <v>803</v>
      </c>
      <c r="BG305" s="214" t="s">
        <v>761</v>
      </c>
      <c r="BH305" s="214" t="s">
        <v>1010</v>
      </c>
      <c r="BI305" s="214" t="s">
        <v>1010</v>
      </c>
      <c r="BJ305" s="214" t="s">
        <v>1158</v>
      </c>
    </row>
    <row r="306" spans="2:62" x14ac:dyDescent="0.2">
      <c r="B306" s="602" t="s">
        <v>695</v>
      </c>
      <c r="C306" s="602" t="s">
        <v>694</v>
      </c>
      <c r="D306" s="239">
        <v>57588698</v>
      </c>
      <c r="E306" s="239">
        <v>0</v>
      </c>
      <c r="F306" s="239">
        <v>57588698</v>
      </c>
      <c r="G306" s="239">
        <v>0</v>
      </c>
      <c r="H306" s="239">
        <v>0</v>
      </c>
      <c r="I306" s="239">
        <v>0</v>
      </c>
      <c r="J306" s="239">
        <v>-139021</v>
      </c>
      <c r="K306" s="239">
        <v>0</v>
      </c>
      <c r="L306" s="239">
        <v>-139021</v>
      </c>
      <c r="M306" s="239">
        <v>-29905</v>
      </c>
      <c r="N306" s="239">
        <v>0</v>
      </c>
      <c r="O306" s="239">
        <v>-29905</v>
      </c>
      <c r="P306" s="239">
        <v>-117501</v>
      </c>
      <c r="Q306" s="239">
        <v>0</v>
      </c>
      <c r="R306" s="239">
        <v>-117501</v>
      </c>
      <c r="S306" s="239">
        <v>494275</v>
      </c>
      <c r="T306" s="239">
        <v>0</v>
      </c>
      <c r="U306" s="239">
        <v>494275</v>
      </c>
      <c r="V306" s="239">
        <v>-2832961</v>
      </c>
      <c r="W306" s="239">
        <v>0</v>
      </c>
      <c r="X306" s="239">
        <v>-2832961</v>
      </c>
      <c r="Y306" s="239">
        <v>55102606</v>
      </c>
      <c r="Z306" s="239">
        <v>0</v>
      </c>
      <c r="AA306" s="239">
        <v>55102606</v>
      </c>
      <c r="AB306" s="239">
        <v>0</v>
      </c>
      <c r="AC306" s="239">
        <v>0</v>
      </c>
      <c r="AD306" s="239">
        <v>0</v>
      </c>
      <c r="AE306" s="239">
        <v>0</v>
      </c>
      <c r="AF306" s="239">
        <v>0</v>
      </c>
      <c r="AG306" s="239">
        <v>0</v>
      </c>
      <c r="AH306" s="239">
        <v>0</v>
      </c>
      <c r="AI306" s="239">
        <v>0</v>
      </c>
      <c r="AJ306" s="239">
        <v>0</v>
      </c>
      <c r="AK306" s="239">
        <v>0</v>
      </c>
      <c r="AL306" s="239">
        <v>0</v>
      </c>
      <c r="AM306" s="239">
        <v>0</v>
      </c>
      <c r="AN306" s="239">
        <v>0</v>
      </c>
      <c r="AO306" s="239">
        <v>0</v>
      </c>
      <c r="AP306" s="239">
        <v>0</v>
      </c>
      <c r="AQ306" s="239">
        <v>0</v>
      </c>
      <c r="AR306" s="239">
        <v>0</v>
      </c>
      <c r="AS306" s="239">
        <v>0</v>
      </c>
      <c r="AT306" s="239">
        <v>0</v>
      </c>
      <c r="AU306" s="239">
        <v>0</v>
      </c>
      <c r="AV306" s="239">
        <v>0</v>
      </c>
      <c r="AW306" s="239">
        <v>0</v>
      </c>
      <c r="AX306" s="239">
        <v>0</v>
      </c>
      <c r="AY306" s="239">
        <v>0</v>
      </c>
      <c r="AZ306" s="239">
        <v>0</v>
      </c>
      <c r="BA306" s="239">
        <v>0</v>
      </c>
      <c r="BB306" s="239">
        <v>0</v>
      </c>
      <c r="BC306" s="239">
        <v>392421</v>
      </c>
      <c r="BD306" s="239">
        <v>-1374160</v>
      </c>
      <c r="BE306" s="214" t="s">
        <v>694</v>
      </c>
      <c r="BF306" s="214" t="s">
        <v>801</v>
      </c>
      <c r="BG306" s="214" t="s">
        <v>761</v>
      </c>
      <c r="BH306" s="214" t="s">
        <v>1010</v>
      </c>
      <c r="BI306" s="214" t="s">
        <v>1010</v>
      </c>
      <c r="BJ306" s="214" t="s">
        <v>1158</v>
      </c>
    </row>
    <row r="307" spans="2:62" x14ac:dyDescent="0.2">
      <c r="B307" s="602" t="s">
        <v>697</v>
      </c>
      <c r="C307" s="602" t="s">
        <v>696</v>
      </c>
      <c r="D307" s="239">
        <v>87293293</v>
      </c>
      <c r="E307" s="239">
        <v>0</v>
      </c>
      <c r="F307" s="239">
        <v>87293293</v>
      </c>
      <c r="G307" s="239">
        <v>0</v>
      </c>
      <c r="H307" s="239">
        <v>0</v>
      </c>
      <c r="I307" s="239">
        <v>0</v>
      </c>
      <c r="J307" s="239">
        <v>-160379</v>
      </c>
      <c r="K307" s="239">
        <v>0</v>
      </c>
      <c r="L307" s="239">
        <v>-160379</v>
      </c>
      <c r="M307" s="239">
        <v>0</v>
      </c>
      <c r="N307" s="239">
        <v>0</v>
      </c>
      <c r="O307" s="239">
        <v>0</v>
      </c>
      <c r="P307" s="239">
        <v>-300000</v>
      </c>
      <c r="Q307" s="239">
        <v>0</v>
      </c>
      <c r="R307" s="239">
        <v>-300000</v>
      </c>
      <c r="S307" s="239">
        <v>500000</v>
      </c>
      <c r="T307" s="239">
        <v>0</v>
      </c>
      <c r="U307" s="239">
        <v>500000</v>
      </c>
      <c r="V307" s="239">
        <v>-4500000</v>
      </c>
      <c r="W307" s="239">
        <v>0</v>
      </c>
      <c r="X307" s="239">
        <v>-4500000</v>
      </c>
      <c r="Y307" s="239">
        <v>82993293</v>
      </c>
      <c r="Z307" s="239">
        <v>0</v>
      </c>
      <c r="AA307" s="239">
        <v>82993293</v>
      </c>
      <c r="AB307" s="239">
        <v>0</v>
      </c>
      <c r="AC307" s="239">
        <v>0</v>
      </c>
      <c r="AD307" s="239">
        <v>0</v>
      </c>
      <c r="AE307" s="239">
        <v>0</v>
      </c>
      <c r="AF307" s="239">
        <v>0</v>
      </c>
      <c r="AG307" s="239">
        <v>0</v>
      </c>
      <c r="AH307" s="239">
        <v>0</v>
      </c>
      <c r="AI307" s="239">
        <v>0</v>
      </c>
      <c r="AJ307" s="239">
        <v>0</v>
      </c>
      <c r="AK307" s="239">
        <v>0</v>
      </c>
      <c r="AL307" s="239">
        <v>0</v>
      </c>
      <c r="AM307" s="239">
        <v>0</v>
      </c>
      <c r="AN307" s="239">
        <v>0</v>
      </c>
      <c r="AO307" s="239">
        <v>0</v>
      </c>
      <c r="AP307" s="239">
        <v>0</v>
      </c>
      <c r="AQ307" s="239">
        <v>0</v>
      </c>
      <c r="AR307" s="239">
        <v>0</v>
      </c>
      <c r="AS307" s="239">
        <v>0</v>
      </c>
      <c r="AT307" s="239">
        <v>0</v>
      </c>
      <c r="AU307" s="239">
        <v>0</v>
      </c>
      <c r="AV307" s="239">
        <v>0</v>
      </c>
      <c r="AW307" s="239">
        <v>0</v>
      </c>
      <c r="AX307" s="239">
        <v>0</v>
      </c>
      <c r="AY307" s="239">
        <v>0</v>
      </c>
      <c r="AZ307" s="239">
        <v>0</v>
      </c>
      <c r="BA307" s="239">
        <v>0</v>
      </c>
      <c r="BB307" s="239">
        <v>0</v>
      </c>
      <c r="BC307" s="239">
        <v>2142191</v>
      </c>
      <c r="BD307" s="239">
        <v>-2749399</v>
      </c>
      <c r="BE307" s="214" t="s">
        <v>800</v>
      </c>
      <c r="BF307" s="214" t="s">
        <v>746</v>
      </c>
      <c r="BG307" s="214" t="s">
        <v>767</v>
      </c>
      <c r="BH307" s="214" t="s">
        <v>1010</v>
      </c>
      <c r="BI307" s="214" t="s">
        <v>1010</v>
      </c>
      <c r="BJ307" s="214" t="s">
        <v>746</v>
      </c>
    </row>
    <row r="308" spans="2:62" x14ac:dyDescent="0.2">
      <c r="B308" s="602" t="s">
        <v>699</v>
      </c>
      <c r="C308" s="602" t="s">
        <v>698</v>
      </c>
      <c r="D308" s="239">
        <v>9969543</v>
      </c>
      <c r="E308" s="239">
        <v>0</v>
      </c>
      <c r="F308" s="239">
        <v>9969543</v>
      </c>
      <c r="G308" s="239">
        <v>0</v>
      </c>
      <c r="H308" s="239">
        <v>0</v>
      </c>
      <c r="I308" s="239">
        <v>0</v>
      </c>
      <c r="J308" s="239">
        <v>-15655</v>
      </c>
      <c r="K308" s="239">
        <v>0</v>
      </c>
      <c r="L308" s="239">
        <v>-15655</v>
      </c>
      <c r="M308" s="239">
        <v>0</v>
      </c>
      <c r="N308" s="239">
        <v>0</v>
      </c>
      <c r="O308" s="239">
        <v>0</v>
      </c>
      <c r="P308" s="239">
        <v>-2497</v>
      </c>
      <c r="Q308" s="239">
        <v>0</v>
      </c>
      <c r="R308" s="239">
        <v>-2497</v>
      </c>
      <c r="S308" s="239">
        <v>489437</v>
      </c>
      <c r="T308" s="239">
        <v>0</v>
      </c>
      <c r="U308" s="239">
        <v>489437</v>
      </c>
      <c r="V308" s="239">
        <v>-756688</v>
      </c>
      <c r="W308" s="239">
        <v>0</v>
      </c>
      <c r="X308" s="239">
        <v>-756688</v>
      </c>
      <c r="Y308" s="239">
        <v>9699795</v>
      </c>
      <c r="Z308" s="239">
        <v>0</v>
      </c>
      <c r="AA308" s="239">
        <v>9699795</v>
      </c>
      <c r="AB308" s="239">
        <v>0</v>
      </c>
      <c r="AC308" s="239">
        <v>0</v>
      </c>
      <c r="AD308" s="239">
        <v>0</v>
      </c>
      <c r="AE308" s="239">
        <v>0</v>
      </c>
      <c r="AF308" s="239">
        <v>0</v>
      </c>
      <c r="AG308" s="239">
        <v>0</v>
      </c>
      <c r="AH308" s="239">
        <v>0</v>
      </c>
      <c r="AI308" s="239">
        <v>0</v>
      </c>
      <c r="AJ308" s="239">
        <v>0</v>
      </c>
      <c r="AK308" s="239">
        <v>0</v>
      </c>
      <c r="AL308" s="239">
        <v>0</v>
      </c>
      <c r="AM308" s="239">
        <v>0</v>
      </c>
      <c r="AN308" s="239">
        <v>0</v>
      </c>
      <c r="AO308" s="239">
        <v>0</v>
      </c>
      <c r="AP308" s="239">
        <v>0</v>
      </c>
      <c r="AQ308" s="239">
        <v>0</v>
      </c>
      <c r="AR308" s="239">
        <v>0</v>
      </c>
      <c r="AS308" s="239">
        <v>0</v>
      </c>
      <c r="AT308" s="239">
        <v>0</v>
      </c>
      <c r="AU308" s="239">
        <v>0</v>
      </c>
      <c r="AV308" s="239">
        <v>0</v>
      </c>
      <c r="AW308" s="239">
        <v>0</v>
      </c>
      <c r="AX308" s="239">
        <v>0</v>
      </c>
      <c r="AY308" s="239">
        <v>0</v>
      </c>
      <c r="AZ308" s="239">
        <v>0</v>
      </c>
      <c r="BA308" s="239">
        <v>0</v>
      </c>
      <c r="BB308" s="239">
        <v>0</v>
      </c>
      <c r="BC308" s="239">
        <v>823782</v>
      </c>
      <c r="BD308" s="239">
        <v>-267327</v>
      </c>
      <c r="BE308" s="214" t="s">
        <v>698</v>
      </c>
      <c r="BF308" s="214" t="s">
        <v>798</v>
      </c>
      <c r="BG308" s="214" t="s">
        <v>790</v>
      </c>
      <c r="BH308" s="214" t="s">
        <v>1010</v>
      </c>
      <c r="BI308" s="214" t="s">
        <v>1010</v>
      </c>
      <c r="BJ308" s="214" t="s">
        <v>1158</v>
      </c>
    </row>
    <row r="309" spans="2:62" x14ac:dyDescent="0.2">
      <c r="B309" s="602" t="s">
        <v>701</v>
      </c>
      <c r="C309" s="602" t="s">
        <v>700</v>
      </c>
      <c r="D309" s="239">
        <v>30520158</v>
      </c>
      <c r="E309" s="239">
        <v>0</v>
      </c>
      <c r="F309" s="239">
        <v>30520158</v>
      </c>
      <c r="G309" s="239">
        <v>0</v>
      </c>
      <c r="H309" s="239">
        <v>0</v>
      </c>
      <c r="I309" s="239">
        <v>0</v>
      </c>
      <c r="J309" s="239">
        <v>-152966</v>
      </c>
      <c r="K309" s="239">
        <v>0</v>
      </c>
      <c r="L309" s="239">
        <v>-152966</v>
      </c>
      <c r="M309" s="239">
        <v>0</v>
      </c>
      <c r="N309" s="239">
        <v>0</v>
      </c>
      <c r="O309" s="239">
        <v>0</v>
      </c>
      <c r="P309" s="239">
        <v>-611966</v>
      </c>
      <c r="Q309" s="239">
        <v>0</v>
      </c>
      <c r="R309" s="239">
        <v>-611966</v>
      </c>
      <c r="S309" s="239">
        <v>1377079</v>
      </c>
      <c r="T309" s="239">
        <v>0</v>
      </c>
      <c r="U309" s="239">
        <v>1377079</v>
      </c>
      <c r="V309" s="239">
        <v>-5994079</v>
      </c>
      <c r="W309" s="239">
        <v>0</v>
      </c>
      <c r="X309" s="239">
        <v>-5994079</v>
      </c>
      <c r="Y309" s="239">
        <v>25291192</v>
      </c>
      <c r="Z309" s="239">
        <v>0</v>
      </c>
      <c r="AA309" s="239">
        <v>25291192</v>
      </c>
      <c r="AB309" s="239">
        <v>0</v>
      </c>
      <c r="AC309" s="239">
        <v>0</v>
      </c>
      <c r="AD309" s="239">
        <v>273870</v>
      </c>
      <c r="AE309" s="239">
        <v>0</v>
      </c>
      <c r="AF309" s="239">
        <v>273870</v>
      </c>
      <c r="AG309" s="239">
        <v>0</v>
      </c>
      <c r="AH309" s="239">
        <v>0</v>
      </c>
      <c r="AI309" s="239">
        <v>0</v>
      </c>
      <c r="AJ309" s="239">
        <v>0</v>
      </c>
      <c r="AK309" s="239">
        <v>0</v>
      </c>
      <c r="AL309" s="239">
        <v>0</v>
      </c>
      <c r="AM309" s="239">
        <v>0</v>
      </c>
      <c r="AN309" s="239">
        <v>0</v>
      </c>
      <c r="AO309" s="239">
        <v>0</v>
      </c>
      <c r="AP309" s="239">
        <v>0</v>
      </c>
      <c r="AQ309" s="239">
        <v>0</v>
      </c>
      <c r="AR309" s="239">
        <v>0</v>
      </c>
      <c r="AS309" s="239">
        <v>0</v>
      </c>
      <c r="AT309" s="239">
        <v>0</v>
      </c>
      <c r="AU309" s="239">
        <v>0</v>
      </c>
      <c r="AV309" s="239">
        <v>0</v>
      </c>
      <c r="AW309" s="239">
        <v>0</v>
      </c>
      <c r="AX309" s="239">
        <v>0</v>
      </c>
      <c r="AY309" s="239">
        <v>0</v>
      </c>
      <c r="AZ309" s="239">
        <v>0</v>
      </c>
      <c r="BA309" s="239">
        <v>0</v>
      </c>
      <c r="BB309" s="239">
        <v>0</v>
      </c>
      <c r="BC309" s="239">
        <v>1445537</v>
      </c>
      <c r="BD309" s="239">
        <v>-357769</v>
      </c>
      <c r="BE309" s="214" t="s">
        <v>700</v>
      </c>
      <c r="BF309" s="214" t="s">
        <v>785</v>
      </c>
      <c r="BG309" s="214" t="s">
        <v>783</v>
      </c>
      <c r="BH309" s="214" t="s">
        <v>1010</v>
      </c>
      <c r="BI309" s="214" t="s">
        <v>1010</v>
      </c>
      <c r="BJ309" s="214" t="s">
        <v>1158</v>
      </c>
    </row>
    <row r="310" spans="2:62" x14ac:dyDescent="0.2">
      <c r="B310" s="602" t="s">
        <v>703</v>
      </c>
      <c r="C310" s="602" t="s">
        <v>702</v>
      </c>
      <c r="D310" s="239">
        <v>31988772</v>
      </c>
      <c r="E310" s="239">
        <v>0</v>
      </c>
      <c r="F310" s="239">
        <v>31988772</v>
      </c>
      <c r="G310" s="239">
        <v>0</v>
      </c>
      <c r="H310" s="239">
        <v>0</v>
      </c>
      <c r="I310" s="239">
        <v>0</v>
      </c>
      <c r="J310" s="239">
        <v>-136441</v>
      </c>
      <c r="K310" s="239">
        <v>0</v>
      </c>
      <c r="L310" s="239">
        <v>-136441</v>
      </c>
      <c r="M310" s="239">
        <v>0</v>
      </c>
      <c r="N310" s="239">
        <v>0</v>
      </c>
      <c r="O310" s="239">
        <v>0</v>
      </c>
      <c r="P310" s="239">
        <v>-682272</v>
      </c>
      <c r="Q310" s="239">
        <v>0</v>
      </c>
      <c r="R310" s="239">
        <v>-682272</v>
      </c>
      <c r="S310" s="239">
        <v>0</v>
      </c>
      <c r="T310" s="239">
        <v>0</v>
      </c>
      <c r="U310" s="239">
        <v>0</v>
      </c>
      <c r="V310" s="239">
        <v>-248259</v>
      </c>
      <c r="W310" s="239">
        <v>0</v>
      </c>
      <c r="X310" s="239">
        <v>-248259</v>
      </c>
      <c r="Y310" s="239">
        <v>31058241</v>
      </c>
      <c r="Z310" s="239">
        <v>0</v>
      </c>
      <c r="AA310" s="239">
        <v>31058241</v>
      </c>
      <c r="AB310" s="239">
        <v>0</v>
      </c>
      <c r="AC310" s="239">
        <v>0</v>
      </c>
      <c r="AD310" s="239">
        <v>0</v>
      </c>
      <c r="AE310" s="239">
        <v>0</v>
      </c>
      <c r="AF310" s="239">
        <v>0</v>
      </c>
      <c r="AG310" s="239">
        <v>0</v>
      </c>
      <c r="AH310" s="239">
        <v>0</v>
      </c>
      <c r="AI310" s="239">
        <v>0</v>
      </c>
      <c r="AJ310" s="239">
        <v>0</v>
      </c>
      <c r="AK310" s="239">
        <v>0</v>
      </c>
      <c r="AL310" s="239">
        <v>0</v>
      </c>
      <c r="AM310" s="239">
        <v>0</v>
      </c>
      <c r="AN310" s="239">
        <v>0</v>
      </c>
      <c r="AO310" s="239">
        <v>0</v>
      </c>
      <c r="AP310" s="239">
        <v>0</v>
      </c>
      <c r="AQ310" s="239">
        <v>0</v>
      </c>
      <c r="AR310" s="239">
        <v>0</v>
      </c>
      <c r="AS310" s="239">
        <v>0</v>
      </c>
      <c r="AT310" s="239">
        <v>0</v>
      </c>
      <c r="AU310" s="239">
        <v>0</v>
      </c>
      <c r="AV310" s="239">
        <v>0</v>
      </c>
      <c r="AW310" s="239">
        <v>0</v>
      </c>
      <c r="AX310" s="239">
        <v>0</v>
      </c>
      <c r="AY310" s="239">
        <v>0</v>
      </c>
      <c r="AZ310" s="239">
        <v>0</v>
      </c>
      <c r="BA310" s="239">
        <v>0</v>
      </c>
      <c r="BB310" s="239">
        <v>0</v>
      </c>
      <c r="BC310" s="239">
        <v>3802010</v>
      </c>
      <c r="BD310" s="239">
        <v>-983295</v>
      </c>
      <c r="BE310" s="214" t="s">
        <v>702</v>
      </c>
      <c r="BF310" s="214" t="s">
        <v>755</v>
      </c>
      <c r="BG310" s="214" t="s">
        <v>753</v>
      </c>
      <c r="BH310" s="214" t="s">
        <v>1010</v>
      </c>
      <c r="BI310" s="214" t="s">
        <v>1010</v>
      </c>
      <c r="BJ310" s="214" t="s">
        <v>1158</v>
      </c>
    </row>
    <row r="311" spans="2:62" x14ac:dyDescent="0.2">
      <c r="B311" s="602" t="s">
        <v>705</v>
      </c>
      <c r="C311" s="602" t="s">
        <v>704</v>
      </c>
      <c r="D311" s="239">
        <v>16718165</v>
      </c>
      <c r="E311" s="239">
        <v>0</v>
      </c>
      <c r="F311" s="239">
        <v>16718165</v>
      </c>
      <c r="G311" s="239">
        <v>0</v>
      </c>
      <c r="H311" s="239">
        <v>0</v>
      </c>
      <c r="I311" s="239">
        <v>0</v>
      </c>
      <c r="J311" s="239">
        <v>-377120</v>
      </c>
      <c r="K311" s="239">
        <v>0</v>
      </c>
      <c r="L311" s="239">
        <v>-377120</v>
      </c>
      <c r="M311" s="239">
        <v>-425016</v>
      </c>
      <c r="N311" s="239">
        <v>0</v>
      </c>
      <c r="O311" s="239">
        <v>-425016</v>
      </c>
      <c r="P311" s="239">
        <v>-349736</v>
      </c>
      <c r="Q311" s="239">
        <v>0</v>
      </c>
      <c r="R311" s="239">
        <v>-349736</v>
      </c>
      <c r="S311" s="239">
        <v>403648</v>
      </c>
      <c r="T311" s="239">
        <v>0</v>
      </c>
      <c r="U311" s="239">
        <v>403648</v>
      </c>
      <c r="V311" s="239">
        <v>-401383</v>
      </c>
      <c r="W311" s="239">
        <v>0</v>
      </c>
      <c r="X311" s="239">
        <v>-401383</v>
      </c>
      <c r="Y311" s="239">
        <v>15945678</v>
      </c>
      <c r="Z311" s="239">
        <v>0</v>
      </c>
      <c r="AA311" s="239">
        <v>15945678</v>
      </c>
      <c r="AB311" s="239">
        <v>0</v>
      </c>
      <c r="AC311" s="239">
        <v>0</v>
      </c>
      <c r="AD311" s="239">
        <v>52320</v>
      </c>
      <c r="AE311" s="239">
        <v>0</v>
      </c>
      <c r="AF311" s="239">
        <v>52320</v>
      </c>
      <c r="AG311" s="239">
        <v>0</v>
      </c>
      <c r="AH311" s="239">
        <v>0</v>
      </c>
      <c r="AI311" s="239">
        <v>0</v>
      </c>
      <c r="AJ311" s="239">
        <v>0</v>
      </c>
      <c r="AK311" s="239">
        <v>0</v>
      </c>
      <c r="AL311" s="239">
        <v>0</v>
      </c>
      <c r="AM311" s="239">
        <v>0</v>
      </c>
      <c r="AN311" s="239">
        <v>0</v>
      </c>
      <c r="AO311" s="239">
        <v>0</v>
      </c>
      <c r="AP311" s="239">
        <v>0</v>
      </c>
      <c r="AQ311" s="239">
        <v>0</v>
      </c>
      <c r="AR311" s="239">
        <v>0</v>
      </c>
      <c r="AS311" s="239">
        <v>0</v>
      </c>
      <c r="AT311" s="239">
        <v>0</v>
      </c>
      <c r="AU311" s="239">
        <v>0</v>
      </c>
      <c r="AV311" s="239">
        <v>0</v>
      </c>
      <c r="AW311" s="239">
        <v>0</v>
      </c>
      <c r="AX311" s="239">
        <v>0</v>
      </c>
      <c r="AY311" s="239">
        <v>0</v>
      </c>
      <c r="AZ311" s="239">
        <v>0</v>
      </c>
      <c r="BA311" s="239">
        <v>0</v>
      </c>
      <c r="BB311" s="239">
        <v>0</v>
      </c>
      <c r="BC311" s="239">
        <v>920718</v>
      </c>
      <c r="BD311" s="239">
        <v>-730037</v>
      </c>
      <c r="BE311" s="214" t="s">
        <v>704</v>
      </c>
      <c r="BF311" s="214" t="s">
        <v>796</v>
      </c>
      <c r="BG311" s="214" t="s">
        <v>761</v>
      </c>
      <c r="BH311" s="214" t="s">
        <v>1010</v>
      </c>
      <c r="BI311" s="214" t="s">
        <v>1010</v>
      </c>
      <c r="BJ311" s="214" t="s">
        <v>1158</v>
      </c>
    </row>
    <row r="312" spans="2:62" x14ac:dyDescent="0.2">
      <c r="B312" s="602" t="s">
        <v>707</v>
      </c>
      <c r="C312" s="602" t="s">
        <v>706</v>
      </c>
      <c r="D312" s="239">
        <v>36115313</v>
      </c>
      <c r="E312" s="239">
        <v>0</v>
      </c>
      <c r="F312" s="239">
        <v>36115313</v>
      </c>
      <c r="G312" s="239">
        <v>0</v>
      </c>
      <c r="H312" s="239">
        <v>0</v>
      </c>
      <c r="I312" s="239">
        <v>0</v>
      </c>
      <c r="J312" s="239">
        <v>-52903</v>
      </c>
      <c r="K312" s="239">
        <v>0</v>
      </c>
      <c r="L312" s="239">
        <v>-52903</v>
      </c>
      <c r="M312" s="239">
        <v>0</v>
      </c>
      <c r="N312" s="239">
        <v>0</v>
      </c>
      <c r="O312" s="239">
        <v>0</v>
      </c>
      <c r="P312" s="239">
        <v>-64846</v>
      </c>
      <c r="Q312" s="239">
        <v>0</v>
      </c>
      <c r="R312" s="239">
        <v>-64846</v>
      </c>
      <c r="S312" s="239">
        <v>188886</v>
      </c>
      <c r="T312" s="239">
        <v>0</v>
      </c>
      <c r="U312" s="239">
        <v>188886</v>
      </c>
      <c r="V312" s="239">
        <v>-1349157</v>
      </c>
      <c r="W312" s="239">
        <v>0</v>
      </c>
      <c r="X312" s="239">
        <v>-1349157</v>
      </c>
      <c r="Y312" s="239">
        <v>34890196</v>
      </c>
      <c r="Z312" s="239">
        <v>0</v>
      </c>
      <c r="AA312" s="239">
        <v>34890196</v>
      </c>
      <c r="AB312" s="239">
        <v>0</v>
      </c>
      <c r="AC312" s="239">
        <v>0</v>
      </c>
      <c r="AD312" s="239">
        <v>239063</v>
      </c>
      <c r="AE312" s="239">
        <v>0</v>
      </c>
      <c r="AF312" s="239">
        <v>239063</v>
      </c>
      <c r="AG312" s="239">
        <v>0</v>
      </c>
      <c r="AH312" s="239">
        <v>0</v>
      </c>
      <c r="AI312" s="239">
        <v>0</v>
      </c>
      <c r="AJ312" s="239">
        <v>0</v>
      </c>
      <c r="AK312" s="239">
        <v>0</v>
      </c>
      <c r="AL312" s="239">
        <v>0</v>
      </c>
      <c r="AM312" s="239">
        <v>0</v>
      </c>
      <c r="AN312" s="239">
        <v>0</v>
      </c>
      <c r="AO312" s="239">
        <v>0</v>
      </c>
      <c r="AP312" s="239">
        <v>0</v>
      </c>
      <c r="AQ312" s="239">
        <v>0</v>
      </c>
      <c r="AR312" s="239">
        <v>0</v>
      </c>
      <c r="AS312" s="239">
        <v>0</v>
      </c>
      <c r="AT312" s="239">
        <v>0</v>
      </c>
      <c r="AU312" s="239">
        <v>0</v>
      </c>
      <c r="AV312" s="239">
        <v>0</v>
      </c>
      <c r="AW312" s="239">
        <v>0</v>
      </c>
      <c r="AX312" s="239">
        <v>0</v>
      </c>
      <c r="AY312" s="239">
        <v>0</v>
      </c>
      <c r="AZ312" s="239">
        <v>0</v>
      </c>
      <c r="BA312" s="239">
        <v>0</v>
      </c>
      <c r="BB312" s="239">
        <v>0</v>
      </c>
      <c r="BC312" s="239">
        <v>1379062</v>
      </c>
      <c r="BD312" s="239">
        <v>-610011</v>
      </c>
      <c r="BE312" s="214" t="s">
        <v>706</v>
      </c>
      <c r="BF312" s="214" t="s">
        <v>794</v>
      </c>
      <c r="BG312" s="214" t="s">
        <v>761</v>
      </c>
      <c r="BH312" s="214" t="s">
        <v>1010</v>
      </c>
      <c r="BI312" s="214" t="s">
        <v>1010</v>
      </c>
      <c r="BJ312" s="214" t="s">
        <v>1158</v>
      </c>
    </row>
    <row r="313" spans="2:62" x14ac:dyDescent="0.2">
      <c r="B313" s="602" t="s">
        <v>709</v>
      </c>
      <c r="C313" s="602" t="s">
        <v>708</v>
      </c>
      <c r="D313" s="239">
        <v>13933003</v>
      </c>
      <c r="E313" s="239">
        <v>0</v>
      </c>
      <c r="F313" s="239">
        <v>13933003</v>
      </c>
      <c r="G313" s="239">
        <v>-3703</v>
      </c>
      <c r="H313" s="239">
        <v>0</v>
      </c>
      <c r="I313" s="239">
        <v>-3703</v>
      </c>
      <c r="J313" s="239">
        <v>-676</v>
      </c>
      <c r="K313" s="239">
        <v>0</v>
      </c>
      <c r="L313" s="239">
        <v>-676</v>
      </c>
      <c r="M313" s="239">
        <v>0</v>
      </c>
      <c r="N313" s="239">
        <v>0</v>
      </c>
      <c r="O313" s="239">
        <v>0</v>
      </c>
      <c r="P313" s="239">
        <v>6339</v>
      </c>
      <c r="Q313" s="239">
        <v>0</v>
      </c>
      <c r="R313" s="239">
        <v>6339</v>
      </c>
      <c r="S313" s="239">
        <v>130851</v>
      </c>
      <c r="T313" s="239">
        <v>0</v>
      </c>
      <c r="U313" s="239">
        <v>130851</v>
      </c>
      <c r="V313" s="239">
        <v>-639672</v>
      </c>
      <c r="W313" s="239">
        <v>0</v>
      </c>
      <c r="X313" s="239">
        <v>-639672</v>
      </c>
      <c r="Y313" s="239">
        <v>13426818</v>
      </c>
      <c r="Z313" s="239">
        <v>0</v>
      </c>
      <c r="AA313" s="239">
        <v>13426818</v>
      </c>
      <c r="AB313" s="239">
        <v>0</v>
      </c>
      <c r="AC313" s="239">
        <v>0</v>
      </c>
      <c r="AD313" s="239">
        <v>29490</v>
      </c>
      <c r="AE313" s="239">
        <v>0</v>
      </c>
      <c r="AF313" s="239">
        <v>29490</v>
      </c>
      <c r="AG313" s="239">
        <v>0</v>
      </c>
      <c r="AH313" s="239">
        <v>0</v>
      </c>
      <c r="AI313" s="239">
        <v>0</v>
      </c>
      <c r="AJ313" s="239">
        <v>0</v>
      </c>
      <c r="AK313" s="239">
        <v>0</v>
      </c>
      <c r="AL313" s="239">
        <v>0</v>
      </c>
      <c r="AM313" s="239">
        <v>0</v>
      </c>
      <c r="AN313" s="239">
        <v>0</v>
      </c>
      <c r="AO313" s="239">
        <v>0</v>
      </c>
      <c r="AP313" s="239">
        <v>0</v>
      </c>
      <c r="AQ313" s="239">
        <v>0</v>
      </c>
      <c r="AR313" s="239">
        <v>0</v>
      </c>
      <c r="AS313" s="239">
        <v>0</v>
      </c>
      <c r="AT313" s="239">
        <v>0</v>
      </c>
      <c r="AU313" s="239">
        <v>0</v>
      </c>
      <c r="AV313" s="239">
        <v>0</v>
      </c>
      <c r="AW313" s="239">
        <v>0</v>
      </c>
      <c r="AX313" s="239">
        <v>0</v>
      </c>
      <c r="AY313" s="239">
        <v>0</v>
      </c>
      <c r="AZ313" s="239">
        <v>0</v>
      </c>
      <c r="BA313" s="239">
        <v>0</v>
      </c>
      <c r="BB313" s="239">
        <v>0</v>
      </c>
      <c r="BC313" s="239">
        <v>548358</v>
      </c>
      <c r="BD313" s="239">
        <v>-153982</v>
      </c>
      <c r="BE313" s="214" t="s">
        <v>708</v>
      </c>
      <c r="BF313" s="214" t="s">
        <v>792</v>
      </c>
      <c r="BG313" s="214" t="s">
        <v>790</v>
      </c>
      <c r="BH313" s="214" t="s">
        <v>1010</v>
      </c>
      <c r="BI313" s="214" t="s">
        <v>1010</v>
      </c>
      <c r="BJ313" s="214" t="s">
        <v>1158</v>
      </c>
    </row>
    <row r="314" spans="2:62" x14ac:dyDescent="0.2">
      <c r="B314" s="602" t="s">
        <v>711</v>
      </c>
      <c r="C314" s="602" t="s">
        <v>710</v>
      </c>
      <c r="D314" s="239">
        <v>2007617740</v>
      </c>
      <c r="E314" s="239">
        <v>0</v>
      </c>
      <c r="F314" s="239">
        <v>2007617740</v>
      </c>
      <c r="G314" s="239">
        <v>-5708</v>
      </c>
      <c r="H314" s="239">
        <v>0</v>
      </c>
      <c r="I314" s="239">
        <v>-5708</v>
      </c>
      <c r="J314" s="239">
        <v>0</v>
      </c>
      <c r="K314" s="239">
        <v>0</v>
      </c>
      <c r="L314" s="239">
        <v>0</v>
      </c>
      <c r="M314" s="239">
        <v>-7859550</v>
      </c>
      <c r="N314" s="239">
        <v>0</v>
      </c>
      <c r="O314" s="239">
        <v>-7859550</v>
      </c>
      <c r="P314" s="239">
        <v>-1800000</v>
      </c>
      <c r="Q314" s="239">
        <v>0</v>
      </c>
      <c r="R314" s="239">
        <v>-1800000</v>
      </c>
      <c r="S314" s="239">
        <v>0</v>
      </c>
      <c r="T314" s="239">
        <v>0</v>
      </c>
      <c r="U314" s="239">
        <v>0</v>
      </c>
      <c r="V314" s="239">
        <v>28000000</v>
      </c>
      <c r="W314" s="239">
        <v>0</v>
      </c>
      <c r="X314" s="239">
        <v>28000000</v>
      </c>
      <c r="Y314" s="239">
        <v>2025952482</v>
      </c>
      <c r="Z314" s="239">
        <v>0</v>
      </c>
      <c r="AA314" s="239">
        <v>2025952482</v>
      </c>
      <c r="AB314" s="239">
        <v>0</v>
      </c>
      <c r="AC314" s="239">
        <v>0</v>
      </c>
      <c r="AD314" s="239">
        <v>0</v>
      </c>
      <c r="AE314" s="239">
        <v>0</v>
      </c>
      <c r="AF314" s="239">
        <v>0</v>
      </c>
      <c r="AG314" s="239">
        <v>0</v>
      </c>
      <c r="AH314" s="239">
        <v>0</v>
      </c>
      <c r="AI314" s="239">
        <v>0</v>
      </c>
      <c r="AJ314" s="239">
        <v>0</v>
      </c>
      <c r="AK314" s="239">
        <v>0</v>
      </c>
      <c r="AL314" s="239">
        <v>0</v>
      </c>
      <c r="AM314" s="239">
        <v>0</v>
      </c>
      <c r="AN314" s="239">
        <v>0</v>
      </c>
      <c r="AO314" s="239">
        <v>0</v>
      </c>
      <c r="AP314" s="239">
        <v>0</v>
      </c>
      <c r="AQ314" s="239">
        <v>0</v>
      </c>
      <c r="AR314" s="239">
        <v>0</v>
      </c>
      <c r="AS314" s="239">
        <v>0</v>
      </c>
      <c r="AT314" s="239">
        <v>0</v>
      </c>
      <c r="AU314" s="239">
        <v>0</v>
      </c>
      <c r="AV314" s="239">
        <v>0</v>
      </c>
      <c r="AW314" s="239">
        <v>0</v>
      </c>
      <c r="AX314" s="239">
        <v>0</v>
      </c>
      <c r="AY314" s="239">
        <v>0</v>
      </c>
      <c r="AZ314" s="239">
        <v>0</v>
      </c>
      <c r="BA314" s="239">
        <v>0</v>
      </c>
      <c r="BB314" s="239">
        <v>0</v>
      </c>
      <c r="BC314" s="239">
        <v>50069809</v>
      </c>
      <c r="BD314" s="239">
        <v>-151107275</v>
      </c>
      <c r="BE314" s="214" t="s">
        <v>710</v>
      </c>
      <c r="BF314" s="214" t="s">
        <v>788</v>
      </c>
      <c r="BG314" s="214" t="s">
        <v>747</v>
      </c>
      <c r="BH314" s="214" t="s">
        <v>1010</v>
      </c>
      <c r="BI314" s="214" t="s">
        <v>1010</v>
      </c>
      <c r="BJ314" s="214" t="s">
        <v>1161</v>
      </c>
    </row>
    <row r="315" spans="2:62" x14ac:dyDescent="0.2">
      <c r="B315" s="602" t="s">
        <v>713</v>
      </c>
      <c r="C315" s="602" t="s">
        <v>712</v>
      </c>
      <c r="D315" s="239">
        <v>17018361</v>
      </c>
      <c r="E315" s="239">
        <v>0</v>
      </c>
      <c r="F315" s="239">
        <v>17018361</v>
      </c>
      <c r="G315" s="239">
        <v>0</v>
      </c>
      <c r="H315" s="239">
        <v>0</v>
      </c>
      <c r="I315" s="239">
        <v>0</v>
      </c>
      <c r="J315" s="239">
        <v>-150840</v>
      </c>
      <c r="K315" s="239">
        <v>0</v>
      </c>
      <c r="L315" s="239">
        <v>-150840</v>
      </c>
      <c r="M315" s="239">
        <v>0</v>
      </c>
      <c r="N315" s="239">
        <v>0</v>
      </c>
      <c r="O315" s="239">
        <v>0</v>
      </c>
      <c r="P315" s="239">
        <v>-678840</v>
      </c>
      <c r="Q315" s="239">
        <v>0</v>
      </c>
      <c r="R315" s="239">
        <v>-678840</v>
      </c>
      <c r="S315" s="239">
        <v>761419</v>
      </c>
      <c r="T315" s="239">
        <v>0</v>
      </c>
      <c r="U315" s="239">
        <v>761419</v>
      </c>
      <c r="V315" s="239">
        <v>-2413419</v>
      </c>
      <c r="W315" s="239">
        <v>0</v>
      </c>
      <c r="X315" s="239">
        <v>-2413419</v>
      </c>
      <c r="Y315" s="239">
        <v>14687521</v>
      </c>
      <c r="Z315" s="239">
        <v>0</v>
      </c>
      <c r="AA315" s="239">
        <v>14687521</v>
      </c>
      <c r="AB315" s="239">
        <v>0</v>
      </c>
      <c r="AC315" s="239">
        <v>0</v>
      </c>
      <c r="AD315" s="239">
        <v>0</v>
      </c>
      <c r="AE315" s="239">
        <v>0</v>
      </c>
      <c r="AF315" s="239">
        <v>0</v>
      </c>
      <c r="AG315" s="239">
        <v>0</v>
      </c>
      <c r="AH315" s="239">
        <v>0</v>
      </c>
      <c r="AI315" s="239">
        <v>0</v>
      </c>
      <c r="AJ315" s="239">
        <v>0</v>
      </c>
      <c r="AK315" s="239">
        <v>0</v>
      </c>
      <c r="AL315" s="239">
        <v>0</v>
      </c>
      <c r="AM315" s="239">
        <v>0</v>
      </c>
      <c r="AN315" s="239">
        <v>0</v>
      </c>
      <c r="AO315" s="239">
        <v>0</v>
      </c>
      <c r="AP315" s="239">
        <v>0</v>
      </c>
      <c r="AQ315" s="239">
        <v>0</v>
      </c>
      <c r="AR315" s="239">
        <v>0</v>
      </c>
      <c r="AS315" s="239">
        <v>0</v>
      </c>
      <c r="AT315" s="239">
        <v>0</v>
      </c>
      <c r="AU315" s="239">
        <v>0</v>
      </c>
      <c r="AV315" s="239">
        <v>0</v>
      </c>
      <c r="AW315" s="239">
        <v>0</v>
      </c>
      <c r="AX315" s="239">
        <v>0</v>
      </c>
      <c r="AY315" s="239">
        <v>0</v>
      </c>
      <c r="AZ315" s="239">
        <v>0</v>
      </c>
      <c r="BA315" s="239">
        <v>0</v>
      </c>
      <c r="BB315" s="239">
        <v>0</v>
      </c>
      <c r="BC315" s="239">
        <v>1736545</v>
      </c>
      <c r="BD315" s="239">
        <v>-285803</v>
      </c>
      <c r="BE315" s="214" t="s">
        <v>787</v>
      </c>
      <c r="BF315" s="214" t="s">
        <v>785</v>
      </c>
      <c r="BG315" s="214" t="s">
        <v>783</v>
      </c>
      <c r="BH315" s="214" t="s">
        <v>1010</v>
      </c>
      <c r="BI315" s="214" t="s">
        <v>1010</v>
      </c>
      <c r="BJ315" s="214" t="s">
        <v>1158</v>
      </c>
    </row>
    <row r="316" spans="2:62" x14ac:dyDescent="0.2">
      <c r="B316" s="602" t="s">
        <v>715</v>
      </c>
      <c r="C316" s="602" t="s">
        <v>714</v>
      </c>
      <c r="D316" s="239">
        <v>82943608</v>
      </c>
      <c r="E316" s="239">
        <v>0</v>
      </c>
      <c r="F316" s="239">
        <v>82943608</v>
      </c>
      <c r="G316" s="239">
        <v>0</v>
      </c>
      <c r="H316" s="239">
        <v>0</v>
      </c>
      <c r="I316" s="239">
        <v>0</v>
      </c>
      <c r="J316" s="239">
        <v>-730183</v>
      </c>
      <c r="K316" s="239">
        <v>0</v>
      </c>
      <c r="L316" s="239">
        <v>-730183</v>
      </c>
      <c r="M316" s="239">
        <v>0</v>
      </c>
      <c r="N316" s="239">
        <v>0</v>
      </c>
      <c r="O316" s="239">
        <v>0</v>
      </c>
      <c r="P316" s="239">
        <v>-1453960</v>
      </c>
      <c r="Q316" s="239">
        <v>0</v>
      </c>
      <c r="R316" s="239">
        <v>-1453960</v>
      </c>
      <c r="S316" s="239">
        <v>2664405</v>
      </c>
      <c r="T316" s="239">
        <v>0</v>
      </c>
      <c r="U316" s="239">
        <v>2664405</v>
      </c>
      <c r="V316" s="239">
        <v>-3753229</v>
      </c>
      <c r="W316" s="239">
        <v>0</v>
      </c>
      <c r="X316" s="239">
        <v>-3753229</v>
      </c>
      <c r="Y316" s="239">
        <v>80400824</v>
      </c>
      <c r="Z316" s="239">
        <v>0</v>
      </c>
      <c r="AA316" s="239">
        <v>80400824</v>
      </c>
      <c r="AB316" s="239">
        <v>0</v>
      </c>
      <c r="AC316" s="239">
        <v>0</v>
      </c>
      <c r="AD316" s="239">
        <v>0</v>
      </c>
      <c r="AE316" s="239">
        <v>0</v>
      </c>
      <c r="AF316" s="239">
        <v>0</v>
      </c>
      <c r="AG316" s="239">
        <v>0</v>
      </c>
      <c r="AH316" s="239">
        <v>0</v>
      </c>
      <c r="AI316" s="239">
        <v>0</v>
      </c>
      <c r="AJ316" s="239">
        <v>0</v>
      </c>
      <c r="AK316" s="239">
        <v>0</v>
      </c>
      <c r="AL316" s="239">
        <v>0</v>
      </c>
      <c r="AM316" s="239">
        <v>0</v>
      </c>
      <c r="AN316" s="239">
        <v>0</v>
      </c>
      <c r="AO316" s="239">
        <v>0</v>
      </c>
      <c r="AP316" s="239">
        <v>0</v>
      </c>
      <c r="AQ316" s="239">
        <v>0</v>
      </c>
      <c r="AR316" s="239">
        <v>0</v>
      </c>
      <c r="AS316" s="239">
        <v>0</v>
      </c>
      <c r="AT316" s="239">
        <v>0</v>
      </c>
      <c r="AU316" s="239">
        <v>0</v>
      </c>
      <c r="AV316" s="239">
        <v>0</v>
      </c>
      <c r="AW316" s="239">
        <v>0</v>
      </c>
      <c r="AX316" s="239">
        <v>0</v>
      </c>
      <c r="AY316" s="239">
        <v>0</v>
      </c>
      <c r="AZ316" s="239">
        <v>0</v>
      </c>
      <c r="BA316" s="239">
        <v>0</v>
      </c>
      <c r="BB316" s="239">
        <v>0</v>
      </c>
      <c r="BC316" s="239">
        <v>6234535</v>
      </c>
      <c r="BD316" s="239">
        <v>-636013</v>
      </c>
      <c r="BE316" s="214" t="s">
        <v>714</v>
      </c>
      <c r="BF316" s="214" t="s">
        <v>766</v>
      </c>
      <c r="BG316" s="214" t="s">
        <v>781</v>
      </c>
      <c r="BH316" s="214" t="s">
        <v>1010</v>
      </c>
      <c r="BI316" s="214" t="s">
        <v>1010</v>
      </c>
      <c r="BJ316" s="214" t="s">
        <v>1160</v>
      </c>
    </row>
    <row r="317" spans="2:62" x14ac:dyDescent="0.2">
      <c r="B317" s="602" t="s">
        <v>717</v>
      </c>
      <c r="C317" s="602" t="s">
        <v>716</v>
      </c>
      <c r="D317" s="239">
        <v>147256298</v>
      </c>
      <c r="E317" s="239">
        <v>0</v>
      </c>
      <c r="F317" s="239">
        <v>147256298</v>
      </c>
      <c r="G317" s="239">
        <v>0</v>
      </c>
      <c r="H317" s="239">
        <v>0</v>
      </c>
      <c r="I317" s="239">
        <v>0</v>
      </c>
      <c r="J317" s="239">
        <v>-988112</v>
      </c>
      <c r="K317" s="239">
        <v>0</v>
      </c>
      <c r="L317" s="239">
        <v>-988112</v>
      </c>
      <c r="M317" s="239">
        <v>0</v>
      </c>
      <c r="N317" s="239">
        <v>0</v>
      </c>
      <c r="O317" s="239">
        <v>0</v>
      </c>
      <c r="P317" s="239">
        <v>-1054812</v>
      </c>
      <c r="Q317" s="239">
        <v>0</v>
      </c>
      <c r="R317" s="239">
        <v>-1054812</v>
      </c>
      <c r="S317" s="239">
        <v>3840100</v>
      </c>
      <c r="T317" s="239">
        <v>0</v>
      </c>
      <c r="U317" s="239">
        <v>3840100</v>
      </c>
      <c r="V317" s="239">
        <v>-3681400</v>
      </c>
      <c r="W317" s="239">
        <v>0</v>
      </c>
      <c r="X317" s="239">
        <v>-3681400</v>
      </c>
      <c r="Y317" s="239">
        <v>146360186</v>
      </c>
      <c r="Z317" s="239">
        <v>0</v>
      </c>
      <c r="AA317" s="239">
        <v>146360186</v>
      </c>
      <c r="AB317" s="239">
        <v>0</v>
      </c>
      <c r="AC317" s="239">
        <v>0</v>
      </c>
      <c r="AD317" s="239">
        <v>2371741</v>
      </c>
      <c r="AE317" s="239">
        <v>0</v>
      </c>
      <c r="AF317" s="239">
        <v>2371741</v>
      </c>
      <c r="AG317" s="239">
        <v>0</v>
      </c>
      <c r="AH317" s="239">
        <v>0</v>
      </c>
      <c r="AI317" s="239">
        <v>0</v>
      </c>
      <c r="AJ317" s="239">
        <v>0</v>
      </c>
      <c r="AK317" s="239">
        <v>0</v>
      </c>
      <c r="AL317" s="239">
        <v>0</v>
      </c>
      <c r="AM317" s="239">
        <v>0</v>
      </c>
      <c r="AN317" s="239">
        <v>0</v>
      </c>
      <c r="AO317" s="239">
        <v>0</v>
      </c>
      <c r="AP317" s="239">
        <v>0</v>
      </c>
      <c r="AQ317" s="239">
        <v>0</v>
      </c>
      <c r="AR317" s="239">
        <v>0</v>
      </c>
      <c r="AS317" s="239">
        <v>0</v>
      </c>
      <c r="AT317" s="239">
        <v>0</v>
      </c>
      <c r="AU317" s="239">
        <v>0</v>
      </c>
      <c r="AV317" s="239">
        <v>0</v>
      </c>
      <c r="AW317" s="239">
        <v>0</v>
      </c>
      <c r="AX317" s="239">
        <v>0</v>
      </c>
      <c r="AY317" s="239">
        <v>0</v>
      </c>
      <c r="AZ317" s="239">
        <v>0</v>
      </c>
      <c r="BA317" s="239">
        <v>0</v>
      </c>
      <c r="BB317" s="239">
        <v>0</v>
      </c>
      <c r="BC317" s="239">
        <v>5125486</v>
      </c>
      <c r="BD317" s="239">
        <v>-4016196</v>
      </c>
      <c r="BE317" s="214" t="s">
        <v>716</v>
      </c>
      <c r="BF317" s="214" t="s">
        <v>746</v>
      </c>
      <c r="BG317" s="214" t="s">
        <v>779</v>
      </c>
      <c r="BH317" s="214" t="s">
        <v>1010</v>
      </c>
      <c r="BI317" s="214" t="s">
        <v>1010</v>
      </c>
      <c r="BJ317" s="214" t="s">
        <v>746</v>
      </c>
    </row>
    <row r="318" spans="2:62" x14ac:dyDescent="0.2">
      <c r="B318" s="602" t="s">
        <v>719</v>
      </c>
      <c r="C318" s="602" t="s">
        <v>718</v>
      </c>
      <c r="D318" s="239">
        <v>58077375</v>
      </c>
      <c r="E318" s="239">
        <v>0</v>
      </c>
      <c r="F318" s="239">
        <v>58077375</v>
      </c>
      <c r="G318" s="239">
        <v>-4091</v>
      </c>
      <c r="H318" s="239">
        <v>0</v>
      </c>
      <c r="I318" s="239">
        <v>-4091</v>
      </c>
      <c r="J318" s="239">
        <v>-175581</v>
      </c>
      <c r="K318" s="239">
        <v>0</v>
      </c>
      <c r="L318" s="239">
        <v>-175581</v>
      </c>
      <c r="M318" s="239">
        <v>0</v>
      </c>
      <c r="N318" s="239">
        <v>0</v>
      </c>
      <c r="O318" s="239">
        <v>0</v>
      </c>
      <c r="P318" s="239">
        <v>-281274</v>
      </c>
      <c r="Q318" s="239">
        <v>0</v>
      </c>
      <c r="R318" s="239">
        <v>-281274</v>
      </c>
      <c r="S318" s="239">
        <v>1790305</v>
      </c>
      <c r="T318" s="239">
        <v>0</v>
      </c>
      <c r="U318" s="239">
        <v>1790305</v>
      </c>
      <c r="V318" s="239">
        <v>-3525724</v>
      </c>
      <c r="W318" s="239">
        <v>0</v>
      </c>
      <c r="X318" s="239">
        <v>-3525724</v>
      </c>
      <c r="Y318" s="239">
        <v>56056591</v>
      </c>
      <c r="Z318" s="239">
        <v>0</v>
      </c>
      <c r="AA318" s="239">
        <v>56056591</v>
      </c>
      <c r="AB318" s="239">
        <v>0</v>
      </c>
      <c r="AC318" s="239">
        <v>0</v>
      </c>
      <c r="AD318" s="239">
        <v>330056</v>
      </c>
      <c r="AE318" s="239">
        <v>0</v>
      </c>
      <c r="AF318" s="239">
        <v>330056</v>
      </c>
      <c r="AG318" s="239">
        <v>0</v>
      </c>
      <c r="AH318" s="239">
        <v>0</v>
      </c>
      <c r="AI318" s="239">
        <v>0</v>
      </c>
      <c r="AJ318" s="239">
        <v>0</v>
      </c>
      <c r="AK318" s="239">
        <v>0</v>
      </c>
      <c r="AL318" s="239">
        <v>0</v>
      </c>
      <c r="AM318" s="239">
        <v>0</v>
      </c>
      <c r="AN318" s="239">
        <v>0</v>
      </c>
      <c r="AO318" s="239">
        <v>0</v>
      </c>
      <c r="AP318" s="239">
        <v>0</v>
      </c>
      <c r="AQ318" s="239">
        <v>0</v>
      </c>
      <c r="AR318" s="239">
        <v>0</v>
      </c>
      <c r="AS318" s="239">
        <v>0</v>
      </c>
      <c r="AT318" s="239">
        <v>0</v>
      </c>
      <c r="AU318" s="239">
        <v>0</v>
      </c>
      <c r="AV318" s="239">
        <v>0</v>
      </c>
      <c r="AW318" s="239">
        <v>0</v>
      </c>
      <c r="AX318" s="239">
        <v>0</v>
      </c>
      <c r="AY318" s="239">
        <v>0</v>
      </c>
      <c r="AZ318" s="239">
        <v>0</v>
      </c>
      <c r="BA318" s="239">
        <v>0</v>
      </c>
      <c r="BB318" s="239">
        <v>0</v>
      </c>
      <c r="BC318" s="239">
        <v>2067218</v>
      </c>
      <c r="BD318" s="239">
        <v>-862879</v>
      </c>
      <c r="BE318" s="214" t="s">
        <v>718</v>
      </c>
      <c r="BF318" s="214" t="s">
        <v>777</v>
      </c>
      <c r="BG318" s="214" t="s">
        <v>775</v>
      </c>
      <c r="BH318" s="214" t="s">
        <v>1010</v>
      </c>
      <c r="BI318" s="214" t="s">
        <v>1010</v>
      </c>
      <c r="BJ318" s="214" t="s">
        <v>1158</v>
      </c>
    </row>
    <row r="319" spans="2:62" x14ac:dyDescent="0.2">
      <c r="B319" s="602" t="s">
        <v>721</v>
      </c>
      <c r="C319" s="602" t="s">
        <v>720</v>
      </c>
      <c r="D319" s="239">
        <v>83110416</v>
      </c>
      <c r="E319" s="239">
        <v>0</v>
      </c>
      <c r="F319" s="239">
        <v>83110416</v>
      </c>
      <c r="G319" s="239">
        <v>0</v>
      </c>
      <c r="H319" s="239">
        <v>0</v>
      </c>
      <c r="I319" s="239">
        <v>0</v>
      </c>
      <c r="J319" s="239">
        <v>0</v>
      </c>
      <c r="K319" s="239">
        <v>0</v>
      </c>
      <c r="L319" s="239">
        <v>0</v>
      </c>
      <c r="M319" s="239">
        <v>-333934</v>
      </c>
      <c r="N319" s="239">
        <v>0</v>
      </c>
      <c r="O319" s="239">
        <v>-333934</v>
      </c>
      <c r="P319" s="239">
        <v>0</v>
      </c>
      <c r="Q319" s="239">
        <v>0</v>
      </c>
      <c r="R319" s="239">
        <v>0</v>
      </c>
      <c r="S319" s="239">
        <v>0</v>
      </c>
      <c r="T319" s="239">
        <v>0</v>
      </c>
      <c r="U319" s="239">
        <v>0</v>
      </c>
      <c r="V319" s="239">
        <v>0</v>
      </c>
      <c r="W319" s="239">
        <v>0</v>
      </c>
      <c r="X319" s="239">
        <v>0</v>
      </c>
      <c r="Y319" s="239">
        <v>82776482</v>
      </c>
      <c r="Z319" s="239">
        <v>0</v>
      </c>
      <c r="AA319" s="239">
        <v>82776482</v>
      </c>
      <c r="AB319" s="239">
        <v>0</v>
      </c>
      <c r="AC319" s="239">
        <v>0</v>
      </c>
      <c r="AD319" s="239">
        <v>9261</v>
      </c>
      <c r="AE319" s="239">
        <v>0</v>
      </c>
      <c r="AF319" s="239">
        <v>9261</v>
      </c>
      <c r="AG319" s="239">
        <v>0</v>
      </c>
      <c r="AH319" s="239">
        <v>0</v>
      </c>
      <c r="AI319" s="239">
        <v>0</v>
      </c>
      <c r="AJ319" s="239">
        <v>0</v>
      </c>
      <c r="AK319" s="239">
        <v>0</v>
      </c>
      <c r="AL319" s="239">
        <v>0</v>
      </c>
      <c r="AM319" s="239">
        <v>0</v>
      </c>
      <c r="AN319" s="239">
        <v>0</v>
      </c>
      <c r="AO319" s="239">
        <v>0</v>
      </c>
      <c r="AP319" s="239">
        <v>0</v>
      </c>
      <c r="AQ319" s="239">
        <v>0</v>
      </c>
      <c r="AR319" s="239">
        <v>0</v>
      </c>
      <c r="AS319" s="239">
        <v>0</v>
      </c>
      <c r="AT319" s="239">
        <v>0</v>
      </c>
      <c r="AU319" s="239">
        <v>0</v>
      </c>
      <c r="AV319" s="239">
        <v>0</v>
      </c>
      <c r="AW319" s="239">
        <v>0</v>
      </c>
      <c r="AX319" s="239">
        <v>0</v>
      </c>
      <c r="AY319" s="239">
        <v>0</v>
      </c>
      <c r="AZ319" s="239">
        <v>0</v>
      </c>
      <c r="BA319" s="239">
        <v>0</v>
      </c>
      <c r="BB319" s="239">
        <v>0</v>
      </c>
      <c r="BC319" s="239">
        <v>3689925</v>
      </c>
      <c r="BD319" s="239">
        <v>-3997290</v>
      </c>
      <c r="BE319" s="214" t="s">
        <v>774</v>
      </c>
      <c r="BF319" s="214" t="s">
        <v>746</v>
      </c>
      <c r="BG319" s="214" t="s">
        <v>767</v>
      </c>
      <c r="BH319" s="214" t="s">
        <v>1010</v>
      </c>
      <c r="BI319" s="214" t="s">
        <v>1010</v>
      </c>
      <c r="BJ319" s="214" t="s">
        <v>746</v>
      </c>
    </row>
    <row r="320" spans="2:62" x14ac:dyDescent="0.2">
      <c r="B320" s="602" t="s">
        <v>723</v>
      </c>
      <c r="C320" s="602" t="s">
        <v>722</v>
      </c>
      <c r="D320" s="239">
        <v>65857312</v>
      </c>
      <c r="E320" s="239">
        <v>832010</v>
      </c>
      <c r="F320" s="239">
        <v>66689322</v>
      </c>
      <c r="G320" s="239">
        <v>0</v>
      </c>
      <c r="H320" s="239">
        <v>0</v>
      </c>
      <c r="I320" s="239">
        <v>0</v>
      </c>
      <c r="J320" s="239">
        <v>-960903</v>
      </c>
      <c r="K320" s="239">
        <v>-210</v>
      </c>
      <c r="L320" s="239">
        <v>-961113</v>
      </c>
      <c r="M320" s="239">
        <v>0</v>
      </c>
      <c r="N320" s="239">
        <v>0</v>
      </c>
      <c r="O320" s="239">
        <v>0</v>
      </c>
      <c r="P320" s="239">
        <v>-842460</v>
      </c>
      <c r="Q320" s="239">
        <v>0</v>
      </c>
      <c r="R320" s="239">
        <v>-842460</v>
      </c>
      <c r="S320" s="239">
        <v>1246746</v>
      </c>
      <c r="T320" s="239">
        <v>0</v>
      </c>
      <c r="U320" s="239">
        <v>1246746</v>
      </c>
      <c r="V320" s="239">
        <v>645769</v>
      </c>
      <c r="W320" s="239">
        <v>0</v>
      </c>
      <c r="X320" s="239">
        <v>645769</v>
      </c>
      <c r="Y320" s="239">
        <v>66907367</v>
      </c>
      <c r="Z320" s="239">
        <v>832010</v>
      </c>
      <c r="AA320" s="239">
        <v>67739377</v>
      </c>
      <c r="AB320" s="239">
        <v>832010</v>
      </c>
      <c r="AC320" s="239">
        <v>832010</v>
      </c>
      <c r="AD320" s="239">
        <v>0</v>
      </c>
      <c r="AE320" s="239">
        <v>0</v>
      </c>
      <c r="AF320" s="239">
        <v>0</v>
      </c>
      <c r="AG320" s="239">
        <v>-26290</v>
      </c>
      <c r="AH320" s="239">
        <v>-26290</v>
      </c>
      <c r="AI320" s="239">
        <v>877693</v>
      </c>
      <c r="AJ320" s="239">
        <v>877693</v>
      </c>
      <c r="AK320" s="239">
        <v>0</v>
      </c>
      <c r="AL320" s="239">
        <v>0</v>
      </c>
      <c r="AM320" s="239">
        <v>75365</v>
      </c>
      <c r="AN320" s="239">
        <v>75365</v>
      </c>
      <c r="AO320" s="239">
        <v>0</v>
      </c>
      <c r="AP320" s="239">
        <v>0</v>
      </c>
      <c r="AQ320" s="239">
        <v>0</v>
      </c>
      <c r="AR320" s="239">
        <v>0</v>
      </c>
      <c r="AS320" s="239">
        <v>0</v>
      </c>
      <c r="AT320" s="239">
        <v>0</v>
      </c>
      <c r="AU320" s="239">
        <v>0</v>
      </c>
      <c r="AV320" s="239">
        <v>0</v>
      </c>
      <c r="AW320" s="239">
        <v>0</v>
      </c>
      <c r="AX320" s="239">
        <v>0</v>
      </c>
      <c r="AY320" s="239">
        <v>0</v>
      </c>
      <c r="AZ320" s="239">
        <v>0</v>
      </c>
      <c r="BA320" s="239">
        <v>0</v>
      </c>
      <c r="BB320" s="239">
        <v>0</v>
      </c>
      <c r="BC320" s="239">
        <v>4823809</v>
      </c>
      <c r="BD320" s="239">
        <v>-5208497</v>
      </c>
      <c r="BE320" s="214" t="s">
        <v>722</v>
      </c>
      <c r="BF320" s="214" t="s">
        <v>766</v>
      </c>
      <c r="BG320" s="214" t="s">
        <v>772</v>
      </c>
      <c r="BH320" s="214" t="s">
        <v>1032</v>
      </c>
      <c r="BI320" s="214" t="s">
        <v>1010</v>
      </c>
      <c r="BJ320" s="214" t="s">
        <v>1160</v>
      </c>
    </row>
    <row r="321" spans="2:62" x14ac:dyDescent="0.2">
      <c r="B321" s="602" t="s">
        <v>725</v>
      </c>
      <c r="C321" s="602" t="s">
        <v>724</v>
      </c>
      <c r="D321" s="239">
        <v>44908436</v>
      </c>
      <c r="E321" s="239">
        <v>0</v>
      </c>
      <c r="F321" s="239">
        <v>44908436</v>
      </c>
      <c r="G321" s="239">
        <v>0</v>
      </c>
      <c r="H321" s="239">
        <v>0</v>
      </c>
      <c r="I321" s="239">
        <v>0</v>
      </c>
      <c r="J321" s="239">
        <v>0</v>
      </c>
      <c r="K321" s="239">
        <v>0</v>
      </c>
      <c r="L321" s="239">
        <v>0</v>
      </c>
      <c r="M321" s="239">
        <v>-37599</v>
      </c>
      <c r="N321" s="239">
        <v>0</v>
      </c>
      <c r="O321" s="239">
        <v>-37599</v>
      </c>
      <c r="P321" s="239">
        <v>326000</v>
      </c>
      <c r="Q321" s="239">
        <v>0</v>
      </c>
      <c r="R321" s="239">
        <v>326000</v>
      </c>
      <c r="S321" s="239">
        <v>4189330</v>
      </c>
      <c r="T321" s="239">
        <v>0</v>
      </c>
      <c r="U321" s="239">
        <v>4189330</v>
      </c>
      <c r="V321" s="239">
        <v>-10493008</v>
      </c>
      <c r="W321" s="239">
        <v>0</v>
      </c>
      <c r="X321" s="239">
        <v>-10493008</v>
      </c>
      <c r="Y321" s="239">
        <v>38893159</v>
      </c>
      <c r="Z321" s="239">
        <v>0</v>
      </c>
      <c r="AA321" s="239">
        <v>38893159</v>
      </c>
      <c r="AB321" s="239">
        <v>0</v>
      </c>
      <c r="AC321" s="239">
        <v>0</v>
      </c>
      <c r="AD321" s="239">
        <v>0</v>
      </c>
      <c r="AE321" s="239">
        <v>0</v>
      </c>
      <c r="AF321" s="239">
        <v>0</v>
      </c>
      <c r="AG321" s="239">
        <v>0</v>
      </c>
      <c r="AH321" s="239">
        <v>0</v>
      </c>
      <c r="AI321" s="239">
        <v>0</v>
      </c>
      <c r="AJ321" s="239">
        <v>0</v>
      </c>
      <c r="AK321" s="239">
        <v>0</v>
      </c>
      <c r="AL321" s="239">
        <v>0</v>
      </c>
      <c r="AM321" s="239">
        <v>0</v>
      </c>
      <c r="AN321" s="239">
        <v>0</v>
      </c>
      <c r="AO321" s="239">
        <v>0</v>
      </c>
      <c r="AP321" s="239">
        <v>0</v>
      </c>
      <c r="AQ321" s="239">
        <v>0</v>
      </c>
      <c r="AR321" s="239">
        <v>0</v>
      </c>
      <c r="AS321" s="239">
        <v>0</v>
      </c>
      <c r="AT321" s="239">
        <v>0</v>
      </c>
      <c r="AU321" s="239">
        <v>0</v>
      </c>
      <c r="AV321" s="239">
        <v>0</v>
      </c>
      <c r="AW321" s="239">
        <v>0</v>
      </c>
      <c r="AX321" s="239">
        <v>0</v>
      </c>
      <c r="AY321" s="239">
        <v>0</v>
      </c>
      <c r="AZ321" s="239">
        <v>0</v>
      </c>
      <c r="BA321" s="239">
        <v>0</v>
      </c>
      <c r="BB321" s="239">
        <v>0</v>
      </c>
      <c r="BC321" s="239">
        <v>1705789</v>
      </c>
      <c r="BD321" s="239">
        <v>-2093449</v>
      </c>
      <c r="BE321" s="214" t="s">
        <v>724</v>
      </c>
      <c r="BF321" s="214" t="s">
        <v>770</v>
      </c>
      <c r="BG321" s="214" t="s">
        <v>761</v>
      </c>
      <c r="BH321" s="214" t="s">
        <v>1010</v>
      </c>
      <c r="BI321" s="214" t="s">
        <v>1010</v>
      </c>
      <c r="BJ321" s="214" t="s">
        <v>1158</v>
      </c>
    </row>
    <row r="322" spans="2:62" x14ac:dyDescent="0.2">
      <c r="B322" s="602" t="s">
        <v>727</v>
      </c>
      <c r="C322" s="602" t="s">
        <v>726</v>
      </c>
      <c r="D322" s="239">
        <v>63487416</v>
      </c>
      <c r="E322" s="239">
        <v>0</v>
      </c>
      <c r="F322" s="239">
        <v>63487416</v>
      </c>
      <c r="G322" s="239">
        <v>-397</v>
      </c>
      <c r="H322" s="239">
        <v>0</v>
      </c>
      <c r="I322" s="239">
        <v>-397</v>
      </c>
      <c r="J322" s="239">
        <v>-626267</v>
      </c>
      <c r="K322" s="239">
        <v>0</v>
      </c>
      <c r="L322" s="239">
        <v>-626267</v>
      </c>
      <c r="M322" s="239">
        <v>0</v>
      </c>
      <c r="N322" s="239">
        <v>0</v>
      </c>
      <c r="O322" s="239">
        <v>0</v>
      </c>
      <c r="P322" s="239">
        <v>-500000</v>
      </c>
      <c r="Q322" s="239">
        <v>0</v>
      </c>
      <c r="R322" s="239">
        <v>-500000</v>
      </c>
      <c r="S322" s="239">
        <v>2505421</v>
      </c>
      <c r="T322" s="239">
        <v>0</v>
      </c>
      <c r="U322" s="239">
        <v>2505421</v>
      </c>
      <c r="V322" s="239">
        <v>-2430000</v>
      </c>
      <c r="W322" s="239">
        <v>0</v>
      </c>
      <c r="X322" s="239">
        <v>-2430000</v>
      </c>
      <c r="Y322" s="239">
        <v>63062440</v>
      </c>
      <c r="Z322" s="239">
        <v>0</v>
      </c>
      <c r="AA322" s="239">
        <v>63062440</v>
      </c>
      <c r="AB322" s="239">
        <v>0</v>
      </c>
      <c r="AC322" s="239">
        <v>0</v>
      </c>
      <c r="AD322" s="239">
        <v>17772</v>
      </c>
      <c r="AE322" s="239">
        <v>0</v>
      </c>
      <c r="AF322" s="239">
        <v>17772</v>
      </c>
      <c r="AG322" s="239">
        <v>0</v>
      </c>
      <c r="AH322" s="239">
        <v>0</v>
      </c>
      <c r="AI322" s="239">
        <v>0</v>
      </c>
      <c r="AJ322" s="239">
        <v>0</v>
      </c>
      <c r="AK322" s="239">
        <v>0</v>
      </c>
      <c r="AL322" s="239">
        <v>0</v>
      </c>
      <c r="AM322" s="239">
        <v>0</v>
      </c>
      <c r="AN322" s="239">
        <v>0</v>
      </c>
      <c r="AO322" s="239">
        <v>0</v>
      </c>
      <c r="AP322" s="239">
        <v>0</v>
      </c>
      <c r="AQ322" s="239">
        <v>0</v>
      </c>
      <c r="AR322" s="239">
        <v>0</v>
      </c>
      <c r="AS322" s="239">
        <v>0</v>
      </c>
      <c r="AT322" s="239">
        <v>0</v>
      </c>
      <c r="AU322" s="239">
        <v>0</v>
      </c>
      <c r="AV322" s="239">
        <v>0</v>
      </c>
      <c r="AW322" s="239">
        <v>0</v>
      </c>
      <c r="AX322" s="239">
        <v>0</v>
      </c>
      <c r="AY322" s="239">
        <v>0</v>
      </c>
      <c r="AZ322" s="239">
        <v>0</v>
      </c>
      <c r="BA322" s="239">
        <v>0</v>
      </c>
      <c r="BB322" s="239">
        <v>0</v>
      </c>
      <c r="BC322" s="239">
        <v>2812171</v>
      </c>
      <c r="BD322" s="239">
        <v>-4058944</v>
      </c>
      <c r="BE322" s="214" t="s">
        <v>769</v>
      </c>
      <c r="BF322" s="214" t="s">
        <v>746</v>
      </c>
      <c r="BG322" s="214" t="s">
        <v>767</v>
      </c>
      <c r="BH322" s="214" t="s">
        <v>1010</v>
      </c>
      <c r="BI322" s="214" t="s">
        <v>1010</v>
      </c>
      <c r="BJ322" s="214" t="s">
        <v>746</v>
      </c>
    </row>
    <row r="323" spans="2:62" x14ac:dyDescent="0.2">
      <c r="B323" s="602" t="s">
        <v>729</v>
      </c>
      <c r="C323" s="602" t="s">
        <v>728</v>
      </c>
      <c r="D323" s="239">
        <v>72575095</v>
      </c>
      <c r="E323" s="239">
        <v>173179</v>
      </c>
      <c r="F323" s="239">
        <v>72748274</v>
      </c>
      <c r="G323" s="239">
        <v>0</v>
      </c>
      <c r="H323" s="239">
        <v>0</v>
      </c>
      <c r="I323" s="239">
        <v>0</v>
      </c>
      <c r="J323" s="239">
        <v>-1217782</v>
      </c>
      <c r="K323" s="239">
        <v>0</v>
      </c>
      <c r="L323" s="239">
        <v>-1217782</v>
      </c>
      <c r="M323" s="239">
        <v>0</v>
      </c>
      <c r="N323" s="239">
        <v>0</v>
      </c>
      <c r="O323" s="239">
        <v>0</v>
      </c>
      <c r="P323" s="239">
        <v>-401148</v>
      </c>
      <c r="Q323" s="239">
        <v>0</v>
      </c>
      <c r="R323" s="239">
        <v>-401148</v>
      </c>
      <c r="S323" s="239">
        <v>2420776</v>
      </c>
      <c r="T323" s="239">
        <v>0</v>
      </c>
      <c r="U323" s="239">
        <v>2420776</v>
      </c>
      <c r="V323" s="239">
        <v>2738922</v>
      </c>
      <c r="W323" s="239">
        <v>0</v>
      </c>
      <c r="X323" s="239">
        <v>2738922</v>
      </c>
      <c r="Y323" s="239">
        <v>77333645</v>
      </c>
      <c r="Z323" s="239">
        <v>173179</v>
      </c>
      <c r="AA323" s="239">
        <v>77506824</v>
      </c>
      <c r="AB323" s="239">
        <v>173179</v>
      </c>
      <c r="AC323" s="239">
        <v>173179</v>
      </c>
      <c r="AD323" s="239">
        <v>14654</v>
      </c>
      <c r="AE323" s="239">
        <v>0</v>
      </c>
      <c r="AF323" s="239">
        <v>14654</v>
      </c>
      <c r="AG323" s="239">
        <v>0</v>
      </c>
      <c r="AH323" s="239">
        <v>0</v>
      </c>
      <c r="AI323" s="239">
        <v>97743</v>
      </c>
      <c r="AJ323" s="239">
        <v>97743</v>
      </c>
      <c r="AK323" s="239">
        <v>75436</v>
      </c>
      <c r="AL323" s="239">
        <v>0</v>
      </c>
      <c r="AM323" s="239">
        <v>20259</v>
      </c>
      <c r="AN323" s="239">
        <v>20259</v>
      </c>
      <c r="AO323" s="239">
        <v>0</v>
      </c>
      <c r="AP323" s="239">
        <v>0</v>
      </c>
      <c r="AQ323" s="239">
        <v>0</v>
      </c>
      <c r="AR323" s="239">
        <v>0</v>
      </c>
      <c r="AS323" s="239">
        <v>0</v>
      </c>
      <c r="AT323" s="239">
        <v>0</v>
      </c>
      <c r="AU323" s="239">
        <v>0</v>
      </c>
      <c r="AV323" s="239">
        <v>0</v>
      </c>
      <c r="AW323" s="239">
        <v>0</v>
      </c>
      <c r="AX323" s="239">
        <v>0</v>
      </c>
      <c r="AY323" s="239">
        <v>0</v>
      </c>
      <c r="AZ323" s="239">
        <v>0</v>
      </c>
      <c r="BA323" s="239">
        <v>0</v>
      </c>
      <c r="BB323" s="239">
        <v>0</v>
      </c>
      <c r="BC323" s="239">
        <v>6759872.5300000003</v>
      </c>
      <c r="BD323" s="239">
        <v>-1241021.6599999999</v>
      </c>
      <c r="BE323" s="214" t="s">
        <v>728</v>
      </c>
      <c r="BF323" s="214" t="s">
        <v>766</v>
      </c>
      <c r="BG323" s="214" t="s">
        <v>764</v>
      </c>
      <c r="BH323" s="214" t="s">
        <v>1042</v>
      </c>
      <c r="BI323" s="214" t="s">
        <v>1010</v>
      </c>
      <c r="BJ323" s="214" t="s">
        <v>1160</v>
      </c>
    </row>
    <row r="324" spans="2:62" x14ac:dyDescent="0.2">
      <c r="B324" s="602" t="s">
        <v>731</v>
      </c>
      <c r="C324" s="602" t="s">
        <v>730</v>
      </c>
      <c r="D324" s="239">
        <v>41863607</v>
      </c>
      <c r="E324" s="239">
        <v>0</v>
      </c>
      <c r="F324" s="239">
        <v>41863607</v>
      </c>
      <c r="G324" s="239">
        <v>0</v>
      </c>
      <c r="H324" s="239">
        <v>0</v>
      </c>
      <c r="I324" s="239">
        <v>0</v>
      </c>
      <c r="J324" s="239">
        <v>-224668</v>
      </c>
      <c r="K324" s="239">
        <v>0</v>
      </c>
      <c r="L324" s="239">
        <v>-224668</v>
      </c>
      <c r="M324" s="239">
        <v>0</v>
      </c>
      <c r="N324" s="239">
        <v>0</v>
      </c>
      <c r="O324" s="239">
        <v>0</v>
      </c>
      <c r="P324" s="239">
        <v>-224668</v>
      </c>
      <c r="Q324" s="239">
        <v>0</v>
      </c>
      <c r="R324" s="239">
        <v>-224668</v>
      </c>
      <c r="S324" s="239">
        <v>720512</v>
      </c>
      <c r="T324" s="239">
        <v>0</v>
      </c>
      <c r="U324" s="239">
        <v>720512</v>
      </c>
      <c r="V324" s="239">
        <v>-2053174</v>
      </c>
      <c r="W324" s="239">
        <v>0</v>
      </c>
      <c r="X324" s="239">
        <v>-2053174</v>
      </c>
      <c r="Y324" s="239">
        <v>40306277</v>
      </c>
      <c r="Z324" s="239">
        <v>0</v>
      </c>
      <c r="AA324" s="239">
        <v>40306277</v>
      </c>
      <c r="AB324" s="239">
        <v>0</v>
      </c>
      <c r="AC324" s="239">
        <v>0</v>
      </c>
      <c r="AD324" s="239">
        <v>11918</v>
      </c>
      <c r="AE324" s="239">
        <v>0</v>
      </c>
      <c r="AF324" s="239">
        <v>11918</v>
      </c>
      <c r="AG324" s="239">
        <v>0</v>
      </c>
      <c r="AH324" s="239">
        <v>0</v>
      </c>
      <c r="AI324" s="239">
        <v>0</v>
      </c>
      <c r="AJ324" s="239">
        <v>0</v>
      </c>
      <c r="AK324" s="239">
        <v>0</v>
      </c>
      <c r="AL324" s="239">
        <v>0</v>
      </c>
      <c r="AM324" s="239">
        <v>0</v>
      </c>
      <c r="AN324" s="239">
        <v>0</v>
      </c>
      <c r="AO324" s="239">
        <v>0</v>
      </c>
      <c r="AP324" s="239">
        <v>0</v>
      </c>
      <c r="AQ324" s="239">
        <v>0</v>
      </c>
      <c r="AR324" s="239">
        <v>0</v>
      </c>
      <c r="AS324" s="239">
        <v>0</v>
      </c>
      <c r="AT324" s="239">
        <v>0</v>
      </c>
      <c r="AU324" s="239">
        <v>0</v>
      </c>
      <c r="AV324" s="239">
        <v>0</v>
      </c>
      <c r="AW324" s="239">
        <v>0</v>
      </c>
      <c r="AX324" s="239">
        <v>0</v>
      </c>
      <c r="AY324" s="239">
        <v>0</v>
      </c>
      <c r="AZ324" s="239">
        <v>0</v>
      </c>
      <c r="BA324" s="239">
        <v>0</v>
      </c>
      <c r="BB324" s="239">
        <v>0</v>
      </c>
      <c r="BC324" s="239">
        <v>681430</v>
      </c>
      <c r="BD324" s="239">
        <v>-945303</v>
      </c>
      <c r="BE324" s="214" t="s">
        <v>730</v>
      </c>
      <c r="BF324" s="214" t="s">
        <v>751</v>
      </c>
      <c r="BG324" s="214" t="s">
        <v>749</v>
      </c>
      <c r="BH324" s="214" t="s">
        <v>1010</v>
      </c>
      <c r="BI324" s="214" t="s">
        <v>1010</v>
      </c>
      <c r="BJ324" s="214" t="s">
        <v>1158</v>
      </c>
    </row>
    <row r="325" spans="2:62" x14ac:dyDescent="0.2">
      <c r="B325" s="602" t="s">
        <v>733</v>
      </c>
      <c r="C325" s="602" t="s">
        <v>732</v>
      </c>
      <c r="D325" s="239">
        <v>31122895</v>
      </c>
      <c r="E325" s="239">
        <v>0</v>
      </c>
      <c r="F325" s="239">
        <v>31122895</v>
      </c>
      <c r="G325" s="239">
        <v>0</v>
      </c>
      <c r="H325" s="239">
        <v>0</v>
      </c>
      <c r="I325" s="239">
        <v>0</v>
      </c>
      <c r="J325" s="239">
        <v>-23808.65</v>
      </c>
      <c r="K325" s="239">
        <v>0</v>
      </c>
      <c r="L325" s="239">
        <v>-23808.65</v>
      </c>
      <c r="M325" s="239">
        <v>0</v>
      </c>
      <c r="N325" s="239">
        <v>0</v>
      </c>
      <c r="O325" s="239">
        <v>0</v>
      </c>
      <c r="P325" s="239">
        <v>-249325</v>
      </c>
      <c r="Q325" s="239">
        <v>0</v>
      </c>
      <c r="R325" s="239">
        <v>-249325</v>
      </c>
      <c r="S325" s="239">
        <v>601518</v>
      </c>
      <c r="T325" s="239">
        <v>0</v>
      </c>
      <c r="U325" s="239">
        <v>601518</v>
      </c>
      <c r="V325" s="239">
        <v>-240018</v>
      </c>
      <c r="W325" s="239">
        <v>0</v>
      </c>
      <c r="X325" s="239">
        <v>-240018</v>
      </c>
      <c r="Y325" s="239">
        <v>31235070</v>
      </c>
      <c r="Z325" s="239">
        <v>0</v>
      </c>
      <c r="AA325" s="239">
        <v>31235070</v>
      </c>
      <c r="AB325" s="239">
        <v>0</v>
      </c>
      <c r="AC325" s="239">
        <v>0</v>
      </c>
      <c r="AD325" s="239">
        <v>0</v>
      </c>
      <c r="AE325" s="239">
        <v>0</v>
      </c>
      <c r="AF325" s="239">
        <v>0</v>
      </c>
      <c r="AG325" s="239">
        <v>0</v>
      </c>
      <c r="AH325" s="239">
        <v>0</v>
      </c>
      <c r="AI325" s="239">
        <v>0</v>
      </c>
      <c r="AJ325" s="239">
        <v>0</v>
      </c>
      <c r="AK325" s="239">
        <v>0</v>
      </c>
      <c r="AL325" s="239">
        <v>0</v>
      </c>
      <c r="AM325" s="239">
        <v>0</v>
      </c>
      <c r="AN325" s="239">
        <v>0</v>
      </c>
      <c r="AO325" s="239">
        <v>0</v>
      </c>
      <c r="AP325" s="239">
        <v>0</v>
      </c>
      <c r="AQ325" s="239">
        <v>0</v>
      </c>
      <c r="AR325" s="239">
        <v>0</v>
      </c>
      <c r="AS325" s="239">
        <v>0</v>
      </c>
      <c r="AT325" s="239">
        <v>0</v>
      </c>
      <c r="AU325" s="239">
        <v>0</v>
      </c>
      <c r="AV325" s="239">
        <v>0</v>
      </c>
      <c r="AW325" s="239">
        <v>0</v>
      </c>
      <c r="AX325" s="239">
        <v>0</v>
      </c>
      <c r="AY325" s="239">
        <v>0</v>
      </c>
      <c r="AZ325" s="239">
        <v>0</v>
      </c>
      <c r="BA325" s="239">
        <v>0</v>
      </c>
      <c r="BB325" s="239">
        <v>0</v>
      </c>
      <c r="BC325" s="239">
        <v>1015615</v>
      </c>
      <c r="BD325" s="239">
        <v>-1033023</v>
      </c>
      <c r="BE325" s="214" t="s">
        <v>732</v>
      </c>
      <c r="BF325" s="214" t="s">
        <v>762</v>
      </c>
      <c r="BG325" s="214" t="s">
        <v>761</v>
      </c>
      <c r="BH325" s="214" t="s">
        <v>1010</v>
      </c>
      <c r="BI325" s="214" t="s">
        <v>1010</v>
      </c>
      <c r="BJ325" s="214" t="s">
        <v>1158</v>
      </c>
    </row>
    <row r="326" spans="2:62" x14ac:dyDescent="0.2">
      <c r="B326" s="602" t="s">
        <v>735</v>
      </c>
      <c r="C326" s="602" t="s">
        <v>734</v>
      </c>
      <c r="D326" s="239">
        <v>41347296</v>
      </c>
      <c r="E326" s="239">
        <v>0</v>
      </c>
      <c r="F326" s="239">
        <v>41347296</v>
      </c>
      <c r="G326" s="239">
        <v>0</v>
      </c>
      <c r="H326" s="239">
        <v>0</v>
      </c>
      <c r="I326" s="239">
        <v>0</v>
      </c>
      <c r="J326" s="239">
        <v>-110407</v>
      </c>
      <c r="K326" s="239">
        <v>0</v>
      </c>
      <c r="L326" s="239">
        <v>-110407</v>
      </c>
      <c r="M326" s="239">
        <v>0</v>
      </c>
      <c r="N326" s="239">
        <v>0</v>
      </c>
      <c r="O326" s="239">
        <v>0</v>
      </c>
      <c r="P326" s="239">
        <v>-170407</v>
      </c>
      <c r="Q326" s="239">
        <v>0</v>
      </c>
      <c r="R326" s="239">
        <v>-170407</v>
      </c>
      <c r="S326" s="239">
        <v>154513</v>
      </c>
      <c r="T326" s="239">
        <v>0</v>
      </c>
      <c r="U326" s="239">
        <v>154513</v>
      </c>
      <c r="V326" s="239">
        <v>-1447622</v>
      </c>
      <c r="W326" s="239">
        <v>0</v>
      </c>
      <c r="X326" s="239">
        <v>-1447622</v>
      </c>
      <c r="Y326" s="239">
        <v>39883780</v>
      </c>
      <c r="Z326" s="239">
        <v>0</v>
      </c>
      <c r="AA326" s="239">
        <v>39883780</v>
      </c>
      <c r="AB326" s="239">
        <v>0</v>
      </c>
      <c r="AC326" s="239">
        <v>0</v>
      </c>
      <c r="AD326" s="239">
        <v>403905.12479199999</v>
      </c>
      <c r="AE326" s="239">
        <v>0</v>
      </c>
      <c r="AF326" s="239">
        <v>403905.12479199999</v>
      </c>
      <c r="AG326" s="239">
        <v>0</v>
      </c>
      <c r="AH326" s="239">
        <v>0</v>
      </c>
      <c r="AI326" s="239">
        <v>0</v>
      </c>
      <c r="AJ326" s="239">
        <v>0</v>
      </c>
      <c r="AK326" s="239">
        <v>0</v>
      </c>
      <c r="AL326" s="239">
        <v>0</v>
      </c>
      <c r="AM326" s="239">
        <v>0</v>
      </c>
      <c r="AN326" s="239">
        <v>0</v>
      </c>
      <c r="AO326" s="239">
        <v>0</v>
      </c>
      <c r="AP326" s="239">
        <v>0</v>
      </c>
      <c r="AQ326" s="239">
        <v>0</v>
      </c>
      <c r="AR326" s="239">
        <v>0</v>
      </c>
      <c r="AS326" s="239">
        <v>0</v>
      </c>
      <c r="AT326" s="239">
        <v>0</v>
      </c>
      <c r="AU326" s="239">
        <v>0</v>
      </c>
      <c r="AV326" s="239">
        <v>0</v>
      </c>
      <c r="AW326" s="239">
        <v>0</v>
      </c>
      <c r="AX326" s="239">
        <v>0</v>
      </c>
      <c r="AY326" s="239">
        <v>0</v>
      </c>
      <c r="AZ326" s="239">
        <v>0</v>
      </c>
      <c r="BA326" s="239">
        <v>0</v>
      </c>
      <c r="BB326" s="239">
        <v>0</v>
      </c>
      <c r="BC326" s="239">
        <v>225546</v>
      </c>
      <c r="BD326" s="239">
        <v>-364434</v>
      </c>
      <c r="BE326" s="214" t="s">
        <v>734</v>
      </c>
      <c r="BF326" s="214" t="s">
        <v>751</v>
      </c>
      <c r="BG326" s="214" t="s">
        <v>749</v>
      </c>
      <c r="BH326" s="214" t="s">
        <v>1010</v>
      </c>
      <c r="BI326" s="214" t="s">
        <v>1010</v>
      </c>
      <c r="BJ326" s="214" t="s">
        <v>1158</v>
      </c>
    </row>
    <row r="327" spans="2:62" x14ac:dyDescent="0.2">
      <c r="B327" s="602" t="s">
        <v>737</v>
      </c>
      <c r="C327" s="602" t="s">
        <v>736</v>
      </c>
      <c r="D327" s="239">
        <v>71953288</v>
      </c>
      <c r="E327" s="239">
        <v>0</v>
      </c>
      <c r="F327" s="239">
        <v>71953288</v>
      </c>
      <c r="G327" s="239">
        <v>0</v>
      </c>
      <c r="H327" s="239">
        <v>0</v>
      </c>
      <c r="I327" s="239">
        <v>0</v>
      </c>
      <c r="J327" s="239">
        <v>-564936</v>
      </c>
      <c r="K327" s="239">
        <v>0</v>
      </c>
      <c r="L327" s="239">
        <v>-564936</v>
      </c>
      <c r="M327" s="239">
        <v>0</v>
      </c>
      <c r="N327" s="239">
        <v>0</v>
      </c>
      <c r="O327" s="239">
        <v>0</v>
      </c>
      <c r="P327" s="239">
        <v>-572490</v>
      </c>
      <c r="Q327" s="239">
        <v>0</v>
      </c>
      <c r="R327" s="239">
        <v>-572490</v>
      </c>
      <c r="S327" s="239">
        <v>745975</v>
      </c>
      <c r="T327" s="239">
        <v>0</v>
      </c>
      <c r="U327" s="239">
        <v>745975</v>
      </c>
      <c r="V327" s="239">
        <v>-2940658</v>
      </c>
      <c r="W327" s="239">
        <v>0</v>
      </c>
      <c r="X327" s="239">
        <v>-2940658</v>
      </c>
      <c r="Y327" s="239">
        <v>69186115</v>
      </c>
      <c r="Z327" s="239">
        <v>0</v>
      </c>
      <c r="AA327" s="239">
        <v>69186115</v>
      </c>
      <c r="AB327" s="239">
        <v>0</v>
      </c>
      <c r="AC327" s="239">
        <v>0</v>
      </c>
      <c r="AD327" s="239">
        <v>0</v>
      </c>
      <c r="AE327" s="239">
        <v>0</v>
      </c>
      <c r="AF327" s="239">
        <v>0</v>
      </c>
      <c r="AG327" s="239">
        <v>0</v>
      </c>
      <c r="AH327" s="239">
        <v>0</v>
      </c>
      <c r="AI327" s="239">
        <v>0</v>
      </c>
      <c r="AJ327" s="239">
        <v>0</v>
      </c>
      <c r="AK327" s="239">
        <v>0</v>
      </c>
      <c r="AL327" s="239">
        <v>0</v>
      </c>
      <c r="AM327" s="239">
        <v>0</v>
      </c>
      <c r="AN327" s="239">
        <v>0</v>
      </c>
      <c r="AO327" s="239">
        <v>0</v>
      </c>
      <c r="AP327" s="239">
        <v>0</v>
      </c>
      <c r="AQ327" s="239">
        <v>0</v>
      </c>
      <c r="AR327" s="239">
        <v>0</v>
      </c>
      <c r="AS327" s="239">
        <v>0</v>
      </c>
      <c r="AT327" s="239">
        <v>0</v>
      </c>
      <c r="AU327" s="239">
        <v>0</v>
      </c>
      <c r="AV327" s="239">
        <v>0</v>
      </c>
      <c r="AW327" s="239">
        <v>0</v>
      </c>
      <c r="AX327" s="239">
        <v>0</v>
      </c>
      <c r="AY327" s="239">
        <v>0</v>
      </c>
      <c r="AZ327" s="239">
        <v>0</v>
      </c>
      <c r="BA327" s="239">
        <v>0</v>
      </c>
      <c r="BB327" s="239">
        <v>0</v>
      </c>
      <c r="BC327" s="239">
        <v>5367320</v>
      </c>
      <c r="BD327" s="239">
        <v>-3166359</v>
      </c>
      <c r="BE327" s="214" t="s">
        <v>736</v>
      </c>
      <c r="BF327" s="214" t="s">
        <v>759</v>
      </c>
      <c r="BG327" s="214" t="s">
        <v>757</v>
      </c>
      <c r="BH327" s="214" t="s">
        <v>1010</v>
      </c>
      <c r="BI327" s="214" t="s">
        <v>1010</v>
      </c>
      <c r="BJ327" s="214" t="s">
        <v>1158</v>
      </c>
    </row>
    <row r="328" spans="2:62" x14ac:dyDescent="0.2">
      <c r="B328" s="602" t="s">
        <v>739</v>
      </c>
      <c r="C328" s="602" t="s">
        <v>738</v>
      </c>
      <c r="D328" s="239">
        <v>23219363</v>
      </c>
      <c r="E328" s="239">
        <v>3017289</v>
      </c>
      <c r="F328" s="239">
        <v>26236652</v>
      </c>
      <c r="G328" s="239">
        <v>0</v>
      </c>
      <c r="H328" s="239">
        <v>0</v>
      </c>
      <c r="I328" s="239">
        <v>0</v>
      </c>
      <c r="J328" s="239">
        <v>-388158</v>
      </c>
      <c r="K328" s="239">
        <v>0</v>
      </c>
      <c r="L328" s="239">
        <v>-388158</v>
      </c>
      <c r="M328" s="239">
        <v>0</v>
      </c>
      <c r="N328" s="239">
        <v>0</v>
      </c>
      <c r="O328" s="239">
        <v>0</v>
      </c>
      <c r="P328" s="239">
        <v>-285962</v>
      </c>
      <c r="Q328" s="239">
        <v>0</v>
      </c>
      <c r="R328" s="239">
        <v>-285962</v>
      </c>
      <c r="S328" s="239">
        <v>0</v>
      </c>
      <c r="T328" s="239">
        <v>0</v>
      </c>
      <c r="U328" s="239">
        <v>0</v>
      </c>
      <c r="V328" s="239">
        <v>-819415</v>
      </c>
      <c r="W328" s="239">
        <v>-162239</v>
      </c>
      <c r="X328" s="239">
        <v>-981654</v>
      </c>
      <c r="Y328" s="239">
        <v>22113986</v>
      </c>
      <c r="Z328" s="239">
        <v>2855050</v>
      </c>
      <c r="AA328" s="239">
        <v>24969036</v>
      </c>
      <c r="AB328" s="239">
        <v>2855050</v>
      </c>
      <c r="AC328" s="239">
        <v>2855050</v>
      </c>
      <c r="AD328" s="239">
        <v>0</v>
      </c>
      <c r="AE328" s="239">
        <v>0</v>
      </c>
      <c r="AF328" s="239">
        <v>0</v>
      </c>
      <c r="AG328" s="239">
        <v>-174544</v>
      </c>
      <c r="AH328" s="239">
        <v>-174544</v>
      </c>
      <c r="AI328" s="239">
        <v>2412509</v>
      </c>
      <c r="AJ328" s="239">
        <v>2412509</v>
      </c>
      <c r="AK328" s="239">
        <v>267997</v>
      </c>
      <c r="AL328" s="239">
        <v>0</v>
      </c>
      <c r="AM328" s="239">
        <v>0</v>
      </c>
      <c r="AN328" s="239">
        <v>0</v>
      </c>
      <c r="AO328" s="239">
        <v>0</v>
      </c>
      <c r="AP328" s="239">
        <v>0</v>
      </c>
      <c r="AQ328" s="239">
        <v>0</v>
      </c>
      <c r="AR328" s="239">
        <v>0</v>
      </c>
      <c r="AS328" s="239">
        <v>0</v>
      </c>
      <c r="AT328" s="239">
        <v>0</v>
      </c>
      <c r="AU328" s="239">
        <v>0</v>
      </c>
      <c r="AV328" s="239">
        <v>0</v>
      </c>
      <c r="AW328" s="239">
        <v>0</v>
      </c>
      <c r="AX328" s="239">
        <v>0</v>
      </c>
      <c r="AY328" s="239">
        <v>0</v>
      </c>
      <c r="AZ328" s="239">
        <v>0</v>
      </c>
      <c r="BA328" s="239">
        <v>0</v>
      </c>
      <c r="BB328" s="239">
        <v>0</v>
      </c>
      <c r="BC328" s="239">
        <v>983232</v>
      </c>
      <c r="BD328" s="239">
        <v>-509401</v>
      </c>
      <c r="BE328" s="214" t="s">
        <v>738</v>
      </c>
      <c r="BF328" s="214" t="s">
        <v>755</v>
      </c>
      <c r="BG328" s="214" t="s">
        <v>753</v>
      </c>
      <c r="BH328" s="214" t="s">
        <v>1010</v>
      </c>
      <c r="BI328" s="214" t="s">
        <v>1010</v>
      </c>
      <c r="BJ328" s="214" t="s">
        <v>1158</v>
      </c>
    </row>
    <row r="329" spans="2:62" x14ac:dyDescent="0.2">
      <c r="B329" s="602" t="s">
        <v>741</v>
      </c>
      <c r="C329" s="602" t="s">
        <v>740</v>
      </c>
      <c r="D329" s="239">
        <v>29361180</v>
      </c>
      <c r="E329" s="239">
        <v>0</v>
      </c>
      <c r="F329" s="239">
        <v>29361180</v>
      </c>
      <c r="G329" s="239">
        <v>0</v>
      </c>
      <c r="H329" s="239">
        <v>0</v>
      </c>
      <c r="I329" s="239">
        <v>0</v>
      </c>
      <c r="J329" s="239">
        <v>-376341</v>
      </c>
      <c r="K329" s="239">
        <v>0</v>
      </c>
      <c r="L329" s="239">
        <v>-376341</v>
      </c>
      <c r="M329" s="239">
        <v>0</v>
      </c>
      <c r="N329" s="239">
        <v>0</v>
      </c>
      <c r="O329" s="239">
        <v>0</v>
      </c>
      <c r="P329" s="239">
        <v>-453053</v>
      </c>
      <c r="Q329" s="239">
        <v>0</v>
      </c>
      <c r="R329" s="239">
        <v>-453053</v>
      </c>
      <c r="S329" s="239">
        <v>604304</v>
      </c>
      <c r="T329" s="239">
        <v>0</v>
      </c>
      <c r="U329" s="239">
        <v>604304</v>
      </c>
      <c r="V329" s="239">
        <v>-1428637</v>
      </c>
      <c r="W329" s="239">
        <v>0</v>
      </c>
      <c r="X329" s="239">
        <v>-1428637</v>
      </c>
      <c r="Y329" s="239">
        <v>28083794</v>
      </c>
      <c r="Z329" s="239">
        <v>0</v>
      </c>
      <c r="AA329" s="239">
        <v>28083794</v>
      </c>
      <c r="AB329" s="239">
        <v>0</v>
      </c>
      <c r="AC329" s="239">
        <v>0</v>
      </c>
      <c r="AD329" s="239">
        <v>10920</v>
      </c>
      <c r="AE329" s="239">
        <v>0</v>
      </c>
      <c r="AF329" s="239">
        <v>10920</v>
      </c>
      <c r="AG329" s="239">
        <v>0</v>
      </c>
      <c r="AH329" s="239">
        <v>0</v>
      </c>
      <c r="AI329" s="239">
        <v>0</v>
      </c>
      <c r="AJ329" s="239">
        <v>0</v>
      </c>
      <c r="AK329" s="239">
        <v>0</v>
      </c>
      <c r="AL329" s="239">
        <v>0</v>
      </c>
      <c r="AM329" s="239">
        <v>0</v>
      </c>
      <c r="AN329" s="239">
        <v>0</v>
      </c>
      <c r="AO329" s="239">
        <v>0</v>
      </c>
      <c r="AP329" s="239">
        <v>0</v>
      </c>
      <c r="AQ329" s="239">
        <v>0</v>
      </c>
      <c r="AR329" s="239">
        <v>0</v>
      </c>
      <c r="AS329" s="239">
        <v>0</v>
      </c>
      <c r="AT329" s="239">
        <v>0</v>
      </c>
      <c r="AU329" s="239">
        <v>0</v>
      </c>
      <c r="AV329" s="239">
        <v>0</v>
      </c>
      <c r="AW329" s="239">
        <v>0</v>
      </c>
      <c r="AX329" s="239">
        <v>0</v>
      </c>
      <c r="AY329" s="239">
        <v>0</v>
      </c>
      <c r="AZ329" s="239">
        <v>0</v>
      </c>
      <c r="BA329" s="239">
        <v>0</v>
      </c>
      <c r="BB329" s="239">
        <v>0</v>
      </c>
      <c r="BC329" s="239">
        <v>2231738</v>
      </c>
      <c r="BD329" s="239">
        <v>-867985</v>
      </c>
      <c r="BE329" s="214" t="s">
        <v>740</v>
      </c>
      <c r="BF329" s="214" t="s">
        <v>751</v>
      </c>
      <c r="BG329" s="214" t="s">
        <v>749</v>
      </c>
      <c r="BH329" s="214" t="s">
        <v>1010</v>
      </c>
      <c r="BI329" s="214" t="s">
        <v>1010</v>
      </c>
      <c r="BJ329" s="214" t="s">
        <v>1158</v>
      </c>
    </row>
    <row r="330" spans="2:62" x14ac:dyDescent="0.2">
      <c r="B330" s="602" t="s">
        <v>743</v>
      </c>
      <c r="C330" s="602" t="s">
        <v>742</v>
      </c>
      <c r="D330" s="239">
        <v>98170861</v>
      </c>
      <c r="E330" s="239">
        <v>835957</v>
      </c>
      <c r="F330" s="239">
        <v>99006818</v>
      </c>
      <c r="G330" s="239">
        <v>-1444</v>
      </c>
      <c r="H330" s="239">
        <v>0</v>
      </c>
      <c r="I330" s="239">
        <v>-1444</v>
      </c>
      <c r="J330" s="239">
        <v>-241924</v>
      </c>
      <c r="K330" s="239">
        <v>0</v>
      </c>
      <c r="L330" s="239">
        <v>-241924</v>
      </c>
      <c r="M330" s="239">
        <v>0</v>
      </c>
      <c r="N330" s="239">
        <v>0</v>
      </c>
      <c r="O330" s="239">
        <v>0</v>
      </c>
      <c r="P330" s="239">
        <v>-658403</v>
      </c>
      <c r="Q330" s="239">
        <v>0</v>
      </c>
      <c r="R330" s="239">
        <v>-658403</v>
      </c>
      <c r="S330" s="239">
        <v>4896733</v>
      </c>
      <c r="T330" s="239">
        <v>0</v>
      </c>
      <c r="U330" s="239">
        <v>4896733</v>
      </c>
      <c r="V330" s="239">
        <v>-838733</v>
      </c>
      <c r="W330" s="239">
        <v>0</v>
      </c>
      <c r="X330" s="239">
        <v>-838733</v>
      </c>
      <c r="Y330" s="239">
        <v>101569014</v>
      </c>
      <c r="Z330" s="239">
        <v>835957</v>
      </c>
      <c r="AA330" s="239">
        <v>102404971</v>
      </c>
      <c r="AB330" s="239">
        <v>835957</v>
      </c>
      <c r="AC330" s="239">
        <v>835957</v>
      </c>
      <c r="AD330" s="239">
        <v>0</v>
      </c>
      <c r="AE330" s="239">
        <v>0</v>
      </c>
      <c r="AF330" s="239">
        <v>0</v>
      </c>
      <c r="AG330" s="239">
        <v>433574</v>
      </c>
      <c r="AH330" s="239">
        <v>433574</v>
      </c>
      <c r="AI330" s="239">
        <v>745853</v>
      </c>
      <c r="AJ330" s="239">
        <v>745853</v>
      </c>
      <c r="AK330" s="239">
        <v>523678</v>
      </c>
      <c r="AL330" s="239">
        <v>0</v>
      </c>
      <c r="AM330" s="239">
        <v>0</v>
      </c>
      <c r="AN330" s="239">
        <v>0</v>
      </c>
      <c r="AO330" s="239">
        <v>0</v>
      </c>
      <c r="AP330" s="239">
        <v>0</v>
      </c>
      <c r="AQ330" s="239">
        <v>0</v>
      </c>
      <c r="AR330" s="239">
        <v>0</v>
      </c>
      <c r="AS330" s="239">
        <v>0</v>
      </c>
      <c r="AT330" s="239">
        <v>0</v>
      </c>
      <c r="AU330" s="239">
        <v>0</v>
      </c>
      <c r="AV330" s="239">
        <v>0</v>
      </c>
      <c r="AW330" s="239">
        <v>0</v>
      </c>
      <c r="AX330" s="239">
        <v>0</v>
      </c>
      <c r="AY330" s="239">
        <v>0</v>
      </c>
      <c r="AZ330" s="239">
        <v>0</v>
      </c>
      <c r="BA330" s="239">
        <v>0</v>
      </c>
      <c r="BB330" s="239">
        <v>0</v>
      </c>
      <c r="BC330" s="239">
        <v>2727447</v>
      </c>
      <c r="BD330" s="239">
        <v>-2276900</v>
      </c>
      <c r="BE330" s="214" t="s">
        <v>748</v>
      </c>
      <c r="BF330" s="214" t="s">
        <v>746</v>
      </c>
      <c r="BG330" s="214" t="s">
        <v>744</v>
      </c>
      <c r="BH330" s="214" t="s">
        <v>1010</v>
      </c>
      <c r="BI330" s="214" t="s">
        <v>1010</v>
      </c>
      <c r="BJ330" s="214" t="s">
        <v>746</v>
      </c>
    </row>
    <row r="331" spans="2:62" x14ac:dyDescent="0.2">
      <c r="B331" s="602" t="s">
        <v>1150</v>
      </c>
      <c r="C331" s="602" t="s">
        <v>1142</v>
      </c>
      <c r="D331" s="239">
        <v>24157281646</v>
      </c>
      <c r="E331" s="239">
        <v>193630996</v>
      </c>
      <c r="F331" s="239">
        <v>24350912642</v>
      </c>
      <c r="G331" s="239">
        <v>-149584</v>
      </c>
      <c r="H331" s="239">
        <v>0</v>
      </c>
      <c r="I331" s="239">
        <v>-149584</v>
      </c>
      <c r="J331" s="239">
        <v>-165995113.84999999</v>
      </c>
      <c r="K331" s="239">
        <v>-904114</v>
      </c>
      <c r="L331" s="239">
        <v>-166899227.84999999</v>
      </c>
      <c r="M331" s="239">
        <v>-20228264.710000001</v>
      </c>
      <c r="N331" s="239">
        <v>-3911</v>
      </c>
      <c r="O331" s="239">
        <v>-20232175.710000001</v>
      </c>
      <c r="P331" s="239">
        <v>-187564502.30000001</v>
      </c>
      <c r="Q331" s="239">
        <v>-1064403</v>
      </c>
      <c r="R331" s="239">
        <v>-188628905.30000001</v>
      </c>
      <c r="S331" s="239">
        <v>886943023</v>
      </c>
      <c r="T331" s="239">
        <v>4501708</v>
      </c>
      <c r="U331" s="239">
        <v>891444731</v>
      </c>
      <c r="V331" s="239">
        <v>-1055828445.231889</v>
      </c>
      <c r="W331" s="239">
        <v>-6698498</v>
      </c>
      <c r="X331" s="239">
        <v>-1062526943.231889</v>
      </c>
      <c r="Y331" s="239">
        <v>23780453872.75811</v>
      </c>
      <c r="Z331" s="239">
        <v>190365892</v>
      </c>
      <c r="AA331" s="239">
        <v>23970819764.75811</v>
      </c>
      <c r="AB331" s="239">
        <v>190365892</v>
      </c>
      <c r="AC331" s="239">
        <v>190365892</v>
      </c>
      <c r="AD331" s="239">
        <v>60488669.124792002</v>
      </c>
      <c r="AE331" s="239">
        <v>550965.67999999993</v>
      </c>
      <c r="AF331" s="239">
        <v>61039634.804792002</v>
      </c>
      <c r="AG331" s="239">
        <v>-6362368</v>
      </c>
      <c r="AH331" s="239">
        <v>-6362368</v>
      </c>
      <c r="AI331" s="239">
        <v>164083136</v>
      </c>
      <c r="AJ331" s="239">
        <v>164083136</v>
      </c>
      <c r="AK331" s="239">
        <v>40459428</v>
      </c>
      <c r="AL331" s="239">
        <v>132212</v>
      </c>
      <c r="AM331" s="239">
        <v>3434179</v>
      </c>
      <c r="AN331" s="239">
        <v>3566391</v>
      </c>
      <c r="AO331" s="239">
        <v>1600877</v>
      </c>
      <c r="AP331" s="239">
        <v>7192930</v>
      </c>
      <c r="AQ331" s="239">
        <v>8793807</v>
      </c>
      <c r="AR331" s="239">
        <v>528341339</v>
      </c>
      <c r="AS331" s="239">
        <v>528341339</v>
      </c>
      <c r="AT331" s="239">
        <v>528189055</v>
      </c>
      <c r="AU331" s="239">
        <v>528189055</v>
      </c>
      <c r="AV331" s="239">
        <v>2732690</v>
      </c>
      <c r="AW331" s="239">
        <v>2732690</v>
      </c>
      <c r="AX331" s="239">
        <v>1666920</v>
      </c>
      <c r="AY331" s="239">
        <v>850129</v>
      </c>
      <c r="AZ331" s="239">
        <v>5183696</v>
      </c>
      <c r="BA331" s="239">
        <v>7192930</v>
      </c>
      <c r="BB331" s="239">
        <v>12376626</v>
      </c>
      <c r="BC331" s="239">
        <v>1303356508.53</v>
      </c>
      <c r="BD331" s="239">
        <v>-1020618491.66</v>
      </c>
      <c r="BE331" s="215" t="s">
        <v>1177</v>
      </c>
      <c r="BF331" s="215" t="s">
        <v>1177</v>
      </c>
      <c r="BG331" s="215" t="s">
        <v>1177</v>
      </c>
      <c r="BH331" s="215" t="s">
        <v>1177</v>
      </c>
      <c r="BI331" s="215" t="s">
        <v>1177</v>
      </c>
      <c r="BJ331" s="215" t="s">
        <v>1177</v>
      </c>
    </row>
    <row r="332" spans="2:62" x14ac:dyDescent="0.2">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row>
  </sheetData>
  <mergeCells count="19">
    <mergeCell ref="AX1:AY1"/>
    <mergeCell ref="AZ1:BB1"/>
    <mergeCell ref="AL1:AN1"/>
    <mergeCell ref="AO1:AQ1"/>
    <mergeCell ref="AT1:AU1"/>
    <mergeCell ref="AR1:AS1"/>
    <mergeCell ref="AV1:AW1"/>
    <mergeCell ref="AI1:AJ1"/>
    <mergeCell ref="S1:U1"/>
    <mergeCell ref="D1:F1"/>
    <mergeCell ref="G1:I1"/>
    <mergeCell ref="J1:L1"/>
    <mergeCell ref="M1:O1"/>
    <mergeCell ref="P1:R1"/>
    <mergeCell ref="V1:X1"/>
    <mergeCell ref="Y1:AA1"/>
    <mergeCell ref="AB1:AC1"/>
    <mergeCell ref="AD1:AF1"/>
    <mergeCell ref="AG1:AH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33"/>
  <sheetViews>
    <sheetView workbookViewId="0"/>
  </sheetViews>
  <sheetFormatPr defaultRowHeight="12.75" x14ac:dyDescent="0.2"/>
  <cols>
    <col min="2" max="2" width="11.7109375" customWidth="1"/>
    <col min="3" max="3" width="33.7109375" customWidth="1"/>
    <col min="4" max="4" width="38.85546875" customWidth="1"/>
    <col min="5" max="5" width="24.5703125" customWidth="1"/>
    <col min="6" max="6" width="17.5703125" customWidth="1"/>
    <col min="7" max="7" width="14.5703125" customWidth="1"/>
    <col min="8" max="8" width="10.42578125" customWidth="1"/>
    <col min="9" max="9" width="23.7109375" customWidth="1"/>
    <col min="10" max="10" width="19.42578125" customWidth="1"/>
    <col min="11" max="11" width="13.42578125" customWidth="1"/>
  </cols>
  <sheetData>
    <row r="1" spans="1:11" ht="144" customHeight="1" x14ac:dyDescent="0.2">
      <c r="A1" s="601" t="s">
        <v>1353</v>
      </c>
      <c r="B1" s="601" t="s">
        <v>1352</v>
      </c>
      <c r="C1" s="601" t="s">
        <v>1351</v>
      </c>
      <c r="D1" s="601" t="s">
        <v>1671</v>
      </c>
      <c r="E1" s="722" t="s">
        <v>1192</v>
      </c>
      <c r="F1" s="722" t="s">
        <v>1193</v>
      </c>
      <c r="G1" s="722" t="s">
        <v>1194</v>
      </c>
      <c r="H1" s="722" t="s">
        <v>1195</v>
      </c>
      <c r="I1" s="722" t="s">
        <v>1077</v>
      </c>
      <c r="J1" s="722" t="s">
        <v>1196</v>
      </c>
      <c r="K1" s="722" t="s">
        <v>1197</v>
      </c>
    </row>
    <row r="2" spans="1:11" x14ac:dyDescent="0.2">
      <c r="A2" t="s">
        <v>105</v>
      </c>
      <c r="B2" t="s">
        <v>1198</v>
      </c>
      <c r="C2" t="s">
        <v>104</v>
      </c>
      <c r="D2" t="s">
        <v>1672</v>
      </c>
      <c r="E2">
        <v>226951</v>
      </c>
      <c r="F2">
        <v>0</v>
      </c>
      <c r="G2">
        <v>-4163</v>
      </c>
      <c r="H2">
        <v>0</v>
      </c>
      <c r="I2">
        <v>222788</v>
      </c>
      <c r="J2">
        <v>48905</v>
      </c>
      <c r="K2">
        <v>49639.624463519314</v>
      </c>
    </row>
    <row r="3" spans="1:11" x14ac:dyDescent="0.2">
      <c r="A3" t="s">
        <v>105</v>
      </c>
      <c r="B3" t="s">
        <v>1199</v>
      </c>
      <c r="C3" t="s">
        <v>104</v>
      </c>
      <c r="D3" t="s">
        <v>1673</v>
      </c>
      <c r="E3">
        <v>0</v>
      </c>
      <c r="F3">
        <v>0</v>
      </c>
      <c r="G3">
        <v>0</v>
      </c>
      <c r="H3">
        <v>0</v>
      </c>
      <c r="I3">
        <v>0</v>
      </c>
      <c r="J3">
        <v>0</v>
      </c>
      <c r="K3">
        <v>0</v>
      </c>
    </row>
    <row r="4" spans="1:11" x14ac:dyDescent="0.2">
      <c r="A4" t="s">
        <v>105</v>
      </c>
      <c r="B4" t="s">
        <v>1200</v>
      </c>
      <c r="C4" t="s">
        <v>104</v>
      </c>
      <c r="D4" t="s">
        <v>1674</v>
      </c>
      <c r="E4">
        <v>84566</v>
      </c>
      <c r="F4">
        <v>0</v>
      </c>
      <c r="G4">
        <v>0</v>
      </c>
      <c r="H4">
        <v>24915</v>
      </c>
      <c r="I4">
        <v>59651</v>
      </c>
      <c r="J4">
        <v>10800</v>
      </c>
      <c r="K4">
        <v>10962.231759656652</v>
      </c>
    </row>
    <row r="5" spans="1:11" x14ac:dyDescent="0.2">
      <c r="A5" t="s">
        <v>113</v>
      </c>
      <c r="B5" t="s">
        <v>1201</v>
      </c>
      <c r="C5" t="s">
        <v>112</v>
      </c>
      <c r="D5" t="s">
        <v>1012</v>
      </c>
      <c r="E5">
        <v>601276</v>
      </c>
      <c r="F5">
        <v>0</v>
      </c>
      <c r="G5">
        <v>-607</v>
      </c>
      <c r="H5">
        <v>88251</v>
      </c>
      <c r="I5">
        <v>512418</v>
      </c>
      <c r="J5">
        <v>308525</v>
      </c>
      <c r="K5">
        <v>313159.49570815451</v>
      </c>
    </row>
    <row r="6" spans="1:11" x14ac:dyDescent="0.2">
      <c r="A6" t="s">
        <v>119</v>
      </c>
      <c r="B6" t="s">
        <v>1510</v>
      </c>
      <c r="C6" t="s">
        <v>118</v>
      </c>
      <c r="D6" t="s">
        <v>1675</v>
      </c>
      <c r="E6">
        <v>1781027</v>
      </c>
      <c r="F6">
        <v>0</v>
      </c>
      <c r="G6">
        <v>-45887</v>
      </c>
      <c r="H6">
        <v>2131596</v>
      </c>
      <c r="I6">
        <v>0</v>
      </c>
      <c r="J6">
        <v>82396</v>
      </c>
      <c r="K6">
        <v>83633.708154506443</v>
      </c>
    </row>
    <row r="7" spans="1:11" x14ac:dyDescent="0.2">
      <c r="A7" t="s">
        <v>123</v>
      </c>
      <c r="B7" t="s">
        <v>1202</v>
      </c>
      <c r="C7" t="s">
        <v>122</v>
      </c>
      <c r="D7" t="s">
        <v>1013</v>
      </c>
      <c r="E7">
        <v>5567946</v>
      </c>
      <c r="F7">
        <v>0</v>
      </c>
      <c r="G7">
        <v>-44048</v>
      </c>
      <c r="H7">
        <v>5188300</v>
      </c>
      <c r="I7">
        <v>335598</v>
      </c>
      <c r="J7">
        <v>0</v>
      </c>
      <c r="K7">
        <v>0</v>
      </c>
    </row>
    <row r="8" spans="1:11" x14ac:dyDescent="0.2">
      <c r="A8" t="s">
        <v>123</v>
      </c>
      <c r="B8" t="s">
        <v>1511</v>
      </c>
      <c r="C8" t="s">
        <v>122</v>
      </c>
      <c r="D8" t="s">
        <v>1676</v>
      </c>
      <c r="E8">
        <v>0</v>
      </c>
      <c r="F8">
        <v>0</v>
      </c>
      <c r="G8">
        <v>0</v>
      </c>
      <c r="H8">
        <v>0</v>
      </c>
      <c r="I8">
        <v>0</v>
      </c>
      <c r="J8">
        <v>0</v>
      </c>
      <c r="K8">
        <v>0</v>
      </c>
    </row>
    <row r="9" spans="1:11" x14ac:dyDescent="0.2">
      <c r="A9" t="s">
        <v>123</v>
      </c>
      <c r="B9" t="s">
        <v>1512</v>
      </c>
      <c r="C9" t="s">
        <v>122</v>
      </c>
      <c r="D9" t="s">
        <v>1677</v>
      </c>
      <c r="E9">
        <v>34308</v>
      </c>
      <c r="F9">
        <v>0</v>
      </c>
      <c r="G9">
        <v>0</v>
      </c>
      <c r="H9">
        <v>15431</v>
      </c>
      <c r="I9">
        <v>18877</v>
      </c>
      <c r="J9">
        <v>0</v>
      </c>
      <c r="K9">
        <v>0</v>
      </c>
    </row>
    <row r="10" spans="1:11" x14ac:dyDescent="0.2">
      <c r="A10" t="s">
        <v>123</v>
      </c>
      <c r="B10" t="s">
        <v>1513</v>
      </c>
      <c r="C10" t="s">
        <v>122</v>
      </c>
      <c r="D10" t="s">
        <v>1678</v>
      </c>
      <c r="E10">
        <v>0</v>
      </c>
      <c r="F10">
        <v>0</v>
      </c>
      <c r="G10">
        <v>0</v>
      </c>
      <c r="H10">
        <v>0</v>
      </c>
      <c r="I10">
        <v>0</v>
      </c>
      <c r="J10">
        <v>0</v>
      </c>
      <c r="K10">
        <v>0</v>
      </c>
    </row>
    <row r="11" spans="1:11" x14ac:dyDescent="0.2">
      <c r="A11" t="s">
        <v>129</v>
      </c>
      <c r="B11" t="s">
        <v>1203</v>
      </c>
      <c r="C11" t="s">
        <v>128</v>
      </c>
      <c r="D11" t="s">
        <v>1014</v>
      </c>
      <c r="E11">
        <v>4327017</v>
      </c>
      <c r="F11">
        <v>0</v>
      </c>
      <c r="G11">
        <v>-204434</v>
      </c>
      <c r="H11">
        <v>4087232</v>
      </c>
      <c r="I11">
        <v>35351</v>
      </c>
      <c r="J11">
        <v>622608</v>
      </c>
      <c r="K11">
        <v>631960.48068669531</v>
      </c>
    </row>
    <row r="12" spans="1:11" x14ac:dyDescent="0.2">
      <c r="A12" t="s">
        <v>129</v>
      </c>
      <c r="B12" t="s">
        <v>1204</v>
      </c>
      <c r="C12" t="s">
        <v>128</v>
      </c>
      <c r="D12" t="s">
        <v>1679</v>
      </c>
      <c r="E12">
        <v>6682049</v>
      </c>
      <c r="F12">
        <v>0</v>
      </c>
      <c r="G12">
        <v>0</v>
      </c>
      <c r="H12">
        <v>6682049</v>
      </c>
      <c r="I12">
        <v>0</v>
      </c>
      <c r="J12">
        <v>0</v>
      </c>
      <c r="K12">
        <v>0</v>
      </c>
    </row>
    <row r="13" spans="1:11" x14ac:dyDescent="0.2">
      <c r="A13" t="s">
        <v>135</v>
      </c>
      <c r="B13" t="s">
        <v>1514</v>
      </c>
      <c r="C13" t="s">
        <v>134</v>
      </c>
      <c r="D13" t="s">
        <v>1680</v>
      </c>
      <c r="E13">
        <v>2051364</v>
      </c>
      <c r="F13">
        <v>0</v>
      </c>
      <c r="G13">
        <v>-164175</v>
      </c>
      <c r="H13">
        <v>1503000</v>
      </c>
      <c r="I13">
        <v>384189</v>
      </c>
      <c r="J13">
        <v>204532</v>
      </c>
      <c r="K13">
        <v>207604.36909871246</v>
      </c>
    </row>
    <row r="14" spans="1:11" x14ac:dyDescent="0.2">
      <c r="A14" t="s">
        <v>147</v>
      </c>
      <c r="B14" t="s">
        <v>1515</v>
      </c>
      <c r="C14" t="s">
        <v>146</v>
      </c>
      <c r="D14" t="s">
        <v>1681</v>
      </c>
      <c r="E14">
        <v>0</v>
      </c>
      <c r="F14">
        <v>0</v>
      </c>
      <c r="G14">
        <v>0</v>
      </c>
      <c r="H14">
        <v>0</v>
      </c>
      <c r="I14">
        <v>0</v>
      </c>
      <c r="J14">
        <v>0</v>
      </c>
      <c r="K14">
        <v>0</v>
      </c>
    </row>
    <row r="15" spans="1:11" x14ac:dyDescent="0.2">
      <c r="A15" t="s">
        <v>147</v>
      </c>
      <c r="B15" t="s">
        <v>1516</v>
      </c>
      <c r="C15" t="s">
        <v>146</v>
      </c>
      <c r="D15" t="s">
        <v>1682</v>
      </c>
      <c r="E15">
        <v>0</v>
      </c>
      <c r="F15">
        <v>0</v>
      </c>
      <c r="G15">
        <v>0</v>
      </c>
      <c r="H15">
        <v>0</v>
      </c>
      <c r="I15">
        <v>0</v>
      </c>
      <c r="J15">
        <v>0</v>
      </c>
      <c r="K15">
        <v>0</v>
      </c>
    </row>
    <row r="16" spans="1:11" x14ac:dyDescent="0.2">
      <c r="A16" t="s">
        <v>147</v>
      </c>
      <c r="B16" t="s">
        <v>1517</v>
      </c>
      <c r="C16" t="s">
        <v>146</v>
      </c>
      <c r="D16" t="s">
        <v>1683</v>
      </c>
      <c r="E16">
        <v>0</v>
      </c>
      <c r="F16">
        <v>0</v>
      </c>
      <c r="G16">
        <v>0</v>
      </c>
      <c r="H16">
        <v>0</v>
      </c>
      <c r="I16">
        <v>0</v>
      </c>
      <c r="J16">
        <v>0</v>
      </c>
      <c r="K16">
        <v>0</v>
      </c>
    </row>
    <row r="17" spans="1:11" x14ac:dyDescent="0.2">
      <c r="A17" t="s">
        <v>159</v>
      </c>
      <c r="B17" t="s">
        <v>1205</v>
      </c>
      <c r="C17" t="s">
        <v>158</v>
      </c>
      <c r="D17" t="s">
        <v>1015</v>
      </c>
      <c r="E17">
        <v>13686132</v>
      </c>
      <c r="F17">
        <v>0</v>
      </c>
      <c r="G17">
        <v>-126652</v>
      </c>
      <c r="H17">
        <v>14097223</v>
      </c>
      <c r="I17">
        <v>0</v>
      </c>
      <c r="J17">
        <v>1152387</v>
      </c>
      <c r="K17">
        <v>1169697.5343347639</v>
      </c>
    </row>
    <row r="18" spans="1:11" x14ac:dyDescent="0.2">
      <c r="A18" t="s">
        <v>159</v>
      </c>
      <c r="B18" t="s">
        <v>1206</v>
      </c>
      <c r="C18" t="s">
        <v>158</v>
      </c>
      <c r="D18" t="s">
        <v>1013</v>
      </c>
      <c r="E18">
        <v>10556956</v>
      </c>
      <c r="F18">
        <v>153967</v>
      </c>
      <c r="G18">
        <v>-238166</v>
      </c>
      <c r="H18">
        <v>6924728</v>
      </c>
      <c r="I18">
        <v>3240095</v>
      </c>
      <c r="J18">
        <v>0</v>
      </c>
      <c r="K18">
        <v>0</v>
      </c>
    </row>
    <row r="19" spans="1:11" x14ac:dyDescent="0.2">
      <c r="A19" t="s">
        <v>159</v>
      </c>
      <c r="B19" t="s">
        <v>1518</v>
      </c>
      <c r="C19" t="s">
        <v>158</v>
      </c>
      <c r="D19" t="s">
        <v>1684</v>
      </c>
      <c r="E19">
        <v>3667319</v>
      </c>
      <c r="F19">
        <v>0</v>
      </c>
      <c r="G19">
        <v>6010</v>
      </c>
      <c r="H19">
        <v>3812784</v>
      </c>
      <c r="I19">
        <v>0</v>
      </c>
      <c r="J19">
        <v>0</v>
      </c>
      <c r="K19">
        <v>0</v>
      </c>
    </row>
    <row r="20" spans="1:11" x14ac:dyDescent="0.2">
      <c r="A20" t="s">
        <v>169</v>
      </c>
      <c r="B20" t="s">
        <v>1207</v>
      </c>
      <c r="C20" t="s">
        <v>168</v>
      </c>
      <c r="D20" t="s">
        <v>1016</v>
      </c>
      <c r="E20">
        <v>418651</v>
      </c>
      <c r="F20">
        <v>2290.6799999999998</v>
      </c>
      <c r="G20">
        <v>-21258</v>
      </c>
      <c r="H20">
        <v>1182989</v>
      </c>
      <c r="I20">
        <v>0</v>
      </c>
      <c r="J20">
        <v>110000</v>
      </c>
      <c r="K20">
        <v>111652.36051502146</v>
      </c>
    </row>
    <row r="21" spans="1:11" x14ac:dyDescent="0.2">
      <c r="A21" t="s">
        <v>175</v>
      </c>
      <c r="B21" t="s">
        <v>1519</v>
      </c>
      <c r="C21" t="s">
        <v>174</v>
      </c>
      <c r="D21" t="s">
        <v>1685</v>
      </c>
      <c r="E21">
        <v>0</v>
      </c>
      <c r="F21">
        <v>0</v>
      </c>
      <c r="G21">
        <v>0</v>
      </c>
      <c r="H21">
        <v>0</v>
      </c>
      <c r="I21">
        <v>0</v>
      </c>
      <c r="J21">
        <v>0</v>
      </c>
      <c r="K21">
        <v>0</v>
      </c>
    </row>
    <row r="22" spans="1:11" x14ac:dyDescent="0.2">
      <c r="A22" t="s">
        <v>185</v>
      </c>
      <c r="B22" t="s">
        <v>1208</v>
      </c>
      <c r="C22" t="s">
        <v>184</v>
      </c>
      <c r="D22" t="s">
        <v>1686</v>
      </c>
      <c r="E22">
        <v>1441229</v>
      </c>
      <c r="F22">
        <v>5123</v>
      </c>
      <c r="G22">
        <v>-17624</v>
      </c>
      <c r="H22">
        <v>1627916</v>
      </c>
      <c r="I22">
        <v>0</v>
      </c>
      <c r="J22">
        <v>40221</v>
      </c>
      <c r="K22">
        <v>40825.178111587986</v>
      </c>
    </row>
    <row r="23" spans="1:11" x14ac:dyDescent="0.2">
      <c r="A23" t="s">
        <v>191</v>
      </c>
      <c r="B23" t="s">
        <v>1520</v>
      </c>
      <c r="C23" t="s">
        <v>190</v>
      </c>
      <c r="D23" t="s">
        <v>1687</v>
      </c>
      <c r="E23">
        <v>0</v>
      </c>
      <c r="F23">
        <v>0</v>
      </c>
      <c r="G23">
        <v>0</v>
      </c>
      <c r="H23">
        <v>0</v>
      </c>
      <c r="I23">
        <v>0</v>
      </c>
      <c r="J23">
        <v>0</v>
      </c>
      <c r="K23">
        <v>0</v>
      </c>
    </row>
    <row r="24" spans="1:11" x14ac:dyDescent="0.2">
      <c r="A24" t="s">
        <v>191</v>
      </c>
      <c r="B24" t="s">
        <v>1521</v>
      </c>
      <c r="C24" t="s">
        <v>190</v>
      </c>
      <c r="D24" t="s">
        <v>1688</v>
      </c>
      <c r="E24">
        <v>115544</v>
      </c>
      <c r="F24">
        <v>0</v>
      </c>
      <c r="G24">
        <v>8996</v>
      </c>
      <c r="H24">
        <v>119000</v>
      </c>
      <c r="I24">
        <v>5540</v>
      </c>
      <c r="J24">
        <v>0</v>
      </c>
      <c r="K24">
        <v>0</v>
      </c>
    </row>
    <row r="25" spans="1:11" x14ac:dyDescent="0.2">
      <c r="A25" t="s">
        <v>199</v>
      </c>
      <c r="B25" t="s">
        <v>1209</v>
      </c>
      <c r="C25" t="s">
        <v>198</v>
      </c>
      <c r="D25" t="s">
        <v>1689</v>
      </c>
      <c r="E25">
        <v>2787018</v>
      </c>
      <c r="F25">
        <v>0</v>
      </c>
      <c r="G25">
        <v>-220844</v>
      </c>
      <c r="H25">
        <v>2253425</v>
      </c>
      <c r="I25">
        <v>312749</v>
      </c>
      <c r="J25">
        <v>323272</v>
      </c>
      <c r="K25">
        <v>328128.017167382</v>
      </c>
    </row>
    <row r="26" spans="1:11" x14ac:dyDescent="0.2">
      <c r="A26" t="s">
        <v>201</v>
      </c>
      <c r="B26" t="s">
        <v>1210</v>
      </c>
      <c r="C26" t="s">
        <v>917</v>
      </c>
      <c r="D26" t="s">
        <v>1690</v>
      </c>
      <c r="E26">
        <v>157374</v>
      </c>
      <c r="F26">
        <v>0</v>
      </c>
      <c r="G26">
        <v>-3575</v>
      </c>
      <c r="H26">
        <v>143520</v>
      </c>
      <c r="I26">
        <v>10279</v>
      </c>
      <c r="J26">
        <v>0</v>
      </c>
      <c r="K26">
        <v>0</v>
      </c>
    </row>
    <row r="27" spans="1:11" x14ac:dyDescent="0.2">
      <c r="A27" t="s">
        <v>201</v>
      </c>
      <c r="B27" t="s">
        <v>1211</v>
      </c>
      <c r="C27" t="s">
        <v>917</v>
      </c>
      <c r="D27" t="s">
        <v>1691</v>
      </c>
      <c r="E27">
        <v>0</v>
      </c>
      <c r="F27">
        <v>0</v>
      </c>
      <c r="G27">
        <v>0</v>
      </c>
      <c r="H27">
        <v>0</v>
      </c>
      <c r="I27">
        <v>0</v>
      </c>
      <c r="J27">
        <v>37051</v>
      </c>
      <c r="K27">
        <v>37607.560085836907</v>
      </c>
    </row>
    <row r="28" spans="1:11" x14ac:dyDescent="0.2">
      <c r="A28" t="s">
        <v>201</v>
      </c>
      <c r="B28" t="s">
        <v>1212</v>
      </c>
      <c r="C28" t="s">
        <v>917</v>
      </c>
      <c r="D28" t="s">
        <v>1692</v>
      </c>
      <c r="E28">
        <v>0</v>
      </c>
      <c r="F28">
        <v>0</v>
      </c>
      <c r="G28">
        <v>0</v>
      </c>
      <c r="H28">
        <v>0</v>
      </c>
      <c r="I28">
        <v>0</v>
      </c>
      <c r="J28">
        <v>0</v>
      </c>
      <c r="K28">
        <v>0</v>
      </c>
    </row>
    <row r="29" spans="1:11" x14ac:dyDescent="0.2">
      <c r="A29" t="s">
        <v>201</v>
      </c>
      <c r="B29" t="s">
        <v>1213</v>
      </c>
      <c r="C29" t="s">
        <v>917</v>
      </c>
      <c r="D29" t="s">
        <v>1693</v>
      </c>
      <c r="E29">
        <v>0</v>
      </c>
      <c r="F29">
        <v>0</v>
      </c>
      <c r="G29">
        <v>0</v>
      </c>
      <c r="H29">
        <v>0</v>
      </c>
      <c r="I29">
        <v>0</v>
      </c>
      <c r="J29">
        <v>0</v>
      </c>
      <c r="K29">
        <v>0</v>
      </c>
    </row>
    <row r="30" spans="1:11" x14ac:dyDescent="0.2">
      <c r="A30" t="s">
        <v>201</v>
      </c>
      <c r="B30" t="s">
        <v>1214</v>
      </c>
      <c r="C30" t="s">
        <v>917</v>
      </c>
      <c r="D30" t="s">
        <v>1694</v>
      </c>
      <c r="E30">
        <v>0</v>
      </c>
      <c r="F30">
        <v>0</v>
      </c>
      <c r="G30">
        <v>0</v>
      </c>
      <c r="H30">
        <v>0</v>
      </c>
      <c r="I30">
        <v>0</v>
      </c>
      <c r="J30">
        <v>0</v>
      </c>
      <c r="K30">
        <v>0</v>
      </c>
    </row>
    <row r="31" spans="1:11" x14ac:dyDescent="0.2">
      <c r="A31" t="s">
        <v>201</v>
      </c>
      <c r="B31" t="s">
        <v>1215</v>
      </c>
      <c r="C31" t="s">
        <v>917</v>
      </c>
      <c r="D31" t="s">
        <v>1695</v>
      </c>
      <c r="E31">
        <v>0</v>
      </c>
      <c r="F31">
        <v>0</v>
      </c>
      <c r="G31">
        <v>0</v>
      </c>
      <c r="H31">
        <v>0</v>
      </c>
      <c r="I31">
        <v>0</v>
      </c>
      <c r="J31">
        <v>0</v>
      </c>
      <c r="K31">
        <v>0</v>
      </c>
    </row>
    <row r="32" spans="1:11" x14ac:dyDescent="0.2">
      <c r="A32" t="s">
        <v>201</v>
      </c>
      <c r="B32" t="s">
        <v>1216</v>
      </c>
      <c r="C32" t="s">
        <v>917</v>
      </c>
      <c r="D32" t="s">
        <v>1696</v>
      </c>
      <c r="E32">
        <v>0</v>
      </c>
      <c r="F32">
        <v>0</v>
      </c>
      <c r="G32">
        <v>0</v>
      </c>
      <c r="H32">
        <v>0</v>
      </c>
      <c r="I32">
        <v>0</v>
      </c>
      <c r="J32">
        <v>0</v>
      </c>
      <c r="K32">
        <v>0</v>
      </c>
    </row>
    <row r="33" spans="1:11" x14ac:dyDescent="0.2">
      <c r="A33" t="s">
        <v>201</v>
      </c>
      <c r="B33" t="s">
        <v>1217</v>
      </c>
      <c r="C33" t="s">
        <v>917</v>
      </c>
      <c r="D33" t="s">
        <v>1697</v>
      </c>
      <c r="E33">
        <v>24718</v>
      </c>
      <c r="F33">
        <v>0</v>
      </c>
      <c r="G33">
        <v>419</v>
      </c>
      <c r="H33">
        <v>23901</v>
      </c>
      <c r="I33">
        <v>1236</v>
      </c>
      <c r="J33">
        <v>68018</v>
      </c>
      <c r="K33">
        <v>69039.7296137339</v>
      </c>
    </row>
    <row r="34" spans="1:11" x14ac:dyDescent="0.2">
      <c r="A34" t="s">
        <v>201</v>
      </c>
      <c r="B34" t="s">
        <v>1218</v>
      </c>
      <c r="C34" t="s">
        <v>917</v>
      </c>
      <c r="D34" t="s">
        <v>1698</v>
      </c>
      <c r="E34">
        <v>0</v>
      </c>
      <c r="F34">
        <v>0</v>
      </c>
      <c r="G34">
        <v>0</v>
      </c>
      <c r="H34">
        <v>0</v>
      </c>
      <c r="I34">
        <v>0</v>
      </c>
      <c r="J34">
        <v>0</v>
      </c>
      <c r="K34">
        <v>0</v>
      </c>
    </row>
    <row r="35" spans="1:11" x14ac:dyDescent="0.2">
      <c r="A35" t="s">
        <v>201</v>
      </c>
      <c r="B35" t="s">
        <v>1219</v>
      </c>
      <c r="C35" t="s">
        <v>917</v>
      </c>
      <c r="D35" t="s">
        <v>1699</v>
      </c>
      <c r="E35">
        <v>0</v>
      </c>
      <c r="F35">
        <v>0</v>
      </c>
      <c r="G35">
        <v>0</v>
      </c>
      <c r="H35">
        <v>0</v>
      </c>
      <c r="I35">
        <v>0</v>
      </c>
      <c r="J35">
        <v>0</v>
      </c>
      <c r="K35">
        <v>0</v>
      </c>
    </row>
    <row r="36" spans="1:11" x14ac:dyDescent="0.2">
      <c r="A36" t="s">
        <v>203</v>
      </c>
      <c r="B36" t="s">
        <v>1220</v>
      </c>
      <c r="C36" t="s">
        <v>202</v>
      </c>
      <c r="D36" t="s">
        <v>1017</v>
      </c>
      <c r="E36">
        <v>886300</v>
      </c>
      <c r="F36">
        <v>0</v>
      </c>
      <c r="G36">
        <v>0</v>
      </c>
      <c r="H36">
        <v>0</v>
      </c>
      <c r="I36">
        <v>886300</v>
      </c>
      <c r="J36">
        <v>0</v>
      </c>
      <c r="K36">
        <v>0</v>
      </c>
    </row>
    <row r="37" spans="1:11" x14ac:dyDescent="0.2">
      <c r="A37" t="s">
        <v>221</v>
      </c>
      <c r="B37" t="s">
        <v>1221</v>
      </c>
      <c r="C37" t="s">
        <v>220</v>
      </c>
      <c r="D37" t="s">
        <v>1018</v>
      </c>
      <c r="E37">
        <v>627665</v>
      </c>
      <c r="F37">
        <v>0</v>
      </c>
      <c r="G37">
        <v>4929</v>
      </c>
      <c r="H37">
        <v>506696</v>
      </c>
      <c r="I37">
        <v>125898</v>
      </c>
      <c r="J37">
        <v>213652</v>
      </c>
      <c r="K37">
        <v>216861.36480686694</v>
      </c>
    </row>
    <row r="38" spans="1:11" x14ac:dyDescent="0.2">
      <c r="A38" t="s">
        <v>221</v>
      </c>
      <c r="B38" t="s">
        <v>1222</v>
      </c>
      <c r="C38" t="s">
        <v>220</v>
      </c>
      <c r="D38" t="s">
        <v>1700</v>
      </c>
      <c r="E38">
        <v>32501</v>
      </c>
      <c r="F38">
        <v>0</v>
      </c>
      <c r="G38">
        <v>18</v>
      </c>
      <c r="H38">
        <v>68686</v>
      </c>
      <c r="I38">
        <v>0</v>
      </c>
      <c r="J38">
        <v>45320</v>
      </c>
      <c r="K38">
        <v>46000.772532188843</v>
      </c>
    </row>
    <row r="39" spans="1:11" x14ac:dyDescent="0.2">
      <c r="A39" t="s">
        <v>221</v>
      </c>
      <c r="B39" t="s">
        <v>1522</v>
      </c>
      <c r="C39" t="s">
        <v>220</v>
      </c>
      <c r="D39" t="s">
        <v>1701</v>
      </c>
      <c r="E39">
        <v>65678</v>
      </c>
      <c r="F39">
        <v>0</v>
      </c>
      <c r="G39">
        <v>3550</v>
      </c>
      <c r="H39">
        <v>73887</v>
      </c>
      <c r="I39">
        <v>0</v>
      </c>
      <c r="J39">
        <v>7836</v>
      </c>
      <c r="K39">
        <v>7953.7081545064375</v>
      </c>
    </row>
    <row r="40" spans="1:11" x14ac:dyDescent="0.2">
      <c r="A40" t="s">
        <v>221</v>
      </c>
      <c r="B40" t="s">
        <v>1523</v>
      </c>
      <c r="C40" t="s">
        <v>220</v>
      </c>
      <c r="D40" t="s">
        <v>1702</v>
      </c>
      <c r="E40">
        <v>0</v>
      </c>
      <c r="F40">
        <v>0</v>
      </c>
      <c r="G40">
        <v>0</v>
      </c>
      <c r="H40">
        <v>0</v>
      </c>
      <c r="I40">
        <v>0</v>
      </c>
      <c r="J40">
        <v>0</v>
      </c>
      <c r="K40">
        <v>0</v>
      </c>
    </row>
    <row r="41" spans="1:11" x14ac:dyDescent="0.2">
      <c r="A41" t="s">
        <v>221</v>
      </c>
      <c r="B41" t="s">
        <v>1524</v>
      </c>
      <c r="C41" t="s">
        <v>220</v>
      </c>
      <c r="D41" t="s">
        <v>1703</v>
      </c>
      <c r="E41">
        <v>11855</v>
      </c>
      <c r="F41">
        <v>0</v>
      </c>
      <c r="G41">
        <v>0</v>
      </c>
      <c r="H41">
        <v>11855</v>
      </c>
      <c r="I41">
        <v>0</v>
      </c>
      <c r="J41">
        <v>0</v>
      </c>
      <c r="K41">
        <v>0</v>
      </c>
    </row>
    <row r="42" spans="1:11" x14ac:dyDescent="0.2">
      <c r="A42" t="s">
        <v>233</v>
      </c>
      <c r="B42" t="s">
        <v>1525</v>
      </c>
      <c r="C42" t="s">
        <v>232</v>
      </c>
      <c r="D42" t="s">
        <v>1704</v>
      </c>
      <c r="E42">
        <v>28100</v>
      </c>
      <c r="F42">
        <v>0</v>
      </c>
      <c r="G42">
        <v>0</v>
      </c>
      <c r="H42">
        <v>0</v>
      </c>
      <c r="I42">
        <v>28100</v>
      </c>
      <c r="J42">
        <v>0</v>
      </c>
      <c r="K42">
        <v>0</v>
      </c>
    </row>
    <row r="43" spans="1:11" x14ac:dyDescent="0.2">
      <c r="A43" t="s">
        <v>233</v>
      </c>
      <c r="B43" t="s">
        <v>1526</v>
      </c>
      <c r="C43" t="s">
        <v>232</v>
      </c>
      <c r="D43" t="s">
        <v>1705</v>
      </c>
      <c r="E43">
        <v>0</v>
      </c>
      <c r="F43">
        <v>0</v>
      </c>
      <c r="G43">
        <v>0</v>
      </c>
      <c r="H43">
        <v>0</v>
      </c>
      <c r="I43">
        <v>0</v>
      </c>
      <c r="J43">
        <v>0</v>
      </c>
      <c r="K43">
        <v>0</v>
      </c>
    </row>
    <row r="44" spans="1:11" x14ac:dyDescent="0.2">
      <c r="A44" t="s">
        <v>233</v>
      </c>
      <c r="B44" t="s">
        <v>1527</v>
      </c>
      <c r="C44" t="s">
        <v>232</v>
      </c>
      <c r="D44" t="s">
        <v>1706</v>
      </c>
      <c r="E44">
        <v>0</v>
      </c>
      <c r="F44">
        <v>0</v>
      </c>
      <c r="G44">
        <v>0</v>
      </c>
      <c r="H44">
        <v>0</v>
      </c>
      <c r="I44">
        <v>0</v>
      </c>
      <c r="J44">
        <v>0</v>
      </c>
      <c r="K44">
        <v>0</v>
      </c>
    </row>
    <row r="45" spans="1:11" x14ac:dyDescent="0.2">
      <c r="A45" t="s">
        <v>233</v>
      </c>
      <c r="B45" t="s">
        <v>1528</v>
      </c>
      <c r="C45" t="s">
        <v>232</v>
      </c>
      <c r="D45" t="s">
        <v>1707</v>
      </c>
      <c r="E45">
        <v>27895</v>
      </c>
      <c r="F45">
        <v>0</v>
      </c>
      <c r="G45">
        <v>4701</v>
      </c>
      <c r="H45">
        <v>61283</v>
      </c>
      <c r="I45">
        <v>0</v>
      </c>
      <c r="J45">
        <v>0</v>
      </c>
      <c r="K45">
        <v>0</v>
      </c>
    </row>
    <row r="46" spans="1:11" x14ac:dyDescent="0.2">
      <c r="A46" t="s">
        <v>235</v>
      </c>
      <c r="B46" t="s">
        <v>1223</v>
      </c>
      <c r="C46" t="s">
        <v>234</v>
      </c>
      <c r="D46" t="s">
        <v>1708</v>
      </c>
      <c r="E46">
        <v>209625</v>
      </c>
      <c r="F46">
        <v>0</v>
      </c>
      <c r="G46">
        <v>-12096</v>
      </c>
      <c r="H46">
        <v>28576</v>
      </c>
      <c r="I46">
        <v>168953</v>
      </c>
      <c r="J46">
        <v>19866</v>
      </c>
      <c r="K46">
        <v>20164.416309012875</v>
      </c>
    </row>
    <row r="47" spans="1:11" x14ac:dyDescent="0.2">
      <c r="A47" t="s">
        <v>237</v>
      </c>
      <c r="B47" t="s">
        <v>1529</v>
      </c>
      <c r="C47" t="s">
        <v>236</v>
      </c>
      <c r="D47" t="s">
        <v>1709</v>
      </c>
      <c r="E47">
        <v>0</v>
      </c>
      <c r="F47">
        <v>0</v>
      </c>
      <c r="G47">
        <v>0</v>
      </c>
      <c r="H47">
        <v>0</v>
      </c>
      <c r="I47">
        <v>0</v>
      </c>
      <c r="J47">
        <v>0</v>
      </c>
      <c r="K47">
        <v>0</v>
      </c>
    </row>
    <row r="48" spans="1:11" x14ac:dyDescent="0.2">
      <c r="A48" t="s">
        <v>241</v>
      </c>
      <c r="B48" t="s">
        <v>1224</v>
      </c>
      <c r="C48" t="s">
        <v>240</v>
      </c>
      <c r="D48" t="s">
        <v>1019</v>
      </c>
      <c r="E48">
        <v>87559</v>
      </c>
      <c r="F48">
        <v>0</v>
      </c>
      <c r="G48">
        <v>0</v>
      </c>
      <c r="H48">
        <v>0</v>
      </c>
      <c r="I48">
        <v>87559</v>
      </c>
      <c r="J48">
        <v>35863</v>
      </c>
      <c r="K48">
        <v>36401.714592274679</v>
      </c>
    </row>
    <row r="49" spans="1:11" x14ac:dyDescent="0.2">
      <c r="A49" t="s">
        <v>241</v>
      </c>
      <c r="B49" t="s">
        <v>1225</v>
      </c>
      <c r="C49" t="s">
        <v>240</v>
      </c>
      <c r="D49" t="s">
        <v>1710</v>
      </c>
      <c r="E49">
        <v>0</v>
      </c>
      <c r="F49">
        <v>0</v>
      </c>
      <c r="G49">
        <v>0</v>
      </c>
      <c r="H49">
        <v>0</v>
      </c>
      <c r="I49">
        <v>0</v>
      </c>
      <c r="J49">
        <v>0</v>
      </c>
      <c r="K49">
        <v>0</v>
      </c>
    </row>
    <row r="50" spans="1:11" x14ac:dyDescent="0.2">
      <c r="A50" t="s">
        <v>249</v>
      </c>
      <c r="B50" t="s">
        <v>1530</v>
      </c>
      <c r="C50" t="s">
        <v>248</v>
      </c>
      <c r="D50" t="s">
        <v>1711</v>
      </c>
      <c r="E50">
        <v>0</v>
      </c>
      <c r="F50">
        <v>0</v>
      </c>
      <c r="G50">
        <v>0</v>
      </c>
      <c r="H50">
        <v>0</v>
      </c>
      <c r="I50">
        <v>0</v>
      </c>
      <c r="J50">
        <v>0</v>
      </c>
      <c r="K50">
        <v>0</v>
      </c>
    </row>
    <row r="51" spans="1:11" x14ac:dyDescent="0.2">
      <c r="A51" t="s">
        <v>249</v>
      </c>
      <c r="B51" t="s">
        <v>1531</v>
      </c>
      <c r="C51" t="s">
        <v>248</v>
      </c>
      <c r="D51" t="s">
        <v>1712</v>
      </c>
      <c r="E51">
        <v>12830</v>
      </c>
      <c r="F51">
        <v>0</v>
      </c>
      <c r="G51">
        <v>1896</v>
      </c>
      <c r="H51">
        <v>14726</v>
      </c>
      <c r="I51">
        <v>0</v>
      </c>
      <c r="J51">
        <v>0</v>
      </c>
      <c r="K51">
        <v>0</v>
      </c>
    </row>
    <row r="52" spans="1:11" x14ac:dyDescent="0.2">
      <c r="A52" t="s">
        <v>249</v>
      </c>
      <c r="B52" t="s">
        <v>1532</v>
      </c>
      <c r="C52" t="s">
        <v>248</v>
      </c>
      <c r="D52" t="s">
        <v>1713</v>
      </c>
      <c r="E52">
        <v>17569</v>
      </c>
      <c r="F52">
        <v>0</v>
      </c>
      <c r="G52">
        <v>591</v>
      </c>
      <c r="H52">
        <v>19222</v>
      </c>
      <c r="I52">
        <v>0</v>
      </c>
      <c r="J52">
        <v>0</v>
      </c>
      <c r="K52">
        <v>0</v>
      </c>
    </row>
    <row r="53" spans="1:11" x14ac:dyDescent="0.2">
      <c r="A53" t="s">
        <v>249</v>
      </c>
      <c r="B53" t="s">
        <v>1533</v>
      </c>
      <c r="C53" t="s">
        <v>248</v>
      </c>
      <c r="D53" t="s">
        <v>1714</v>
      </c>
      <c r="E53">
        <v>0</v>
      </c>
      <c r="F53">
        <v>0</v>
      </c>
      <c r="G53">
        <v>0</v>
      </c>
      <c r="H53">
        <v>0</v>
      </c>
      <c r="I53">
        <v>0</v>
      </c>
      <c r="J53">
        <v>0</v>
      </c>
      <c r="K53">
        <v>0</v>
      </c>
    </row>
    <row r="54" spans="1:11" x14ac:dyDescent="0.2">
      <c r="A54" t="s">
        <v>249</v>
      </c>
      <c r="B54" t="s">
        <v>1534</v>
      </c>
      <c r="C54" t="s">
        <v>248</v>
      </c>
      <c r="D54" t="s">
        <v>1715</v>
      </c>
      <c r="E54">
        <v>0</v>
      </c>
      <c r="F54">
        <v>0</v>
      </c>
      <c r="G54">
        <v>0</v>
      </c>
      <c r="H54">
        <v>16574</v>
      </c>
      <c r="I54">
        <v>0</v>
      </c>
      <c r="J54">
        <v>0</v>
      </c>
      <c r="K54">
        <v>0</v>
      </c>
    </row>
    <row r="55" spans="1:11" x14ac:dyDescent="0.2">
      <c r="A55" t="s">
        <v>249</v>
      </c>
      <c r="B55" t="s">
        <v>1535</v>
      </c>
      <c r="C55" t="s">
        <v>248</v>
      </c>
      <c r="D55" t="s">
        <v>1716</v>
      </c>
      <c r="E55">
        <v>92812</v>
      </c>
      <c r="F55">
        <v>0</v>
      </c>
      <c r="G55">
        <v>-256</v>
      </c>
      <c r="H55">
        <v>92812</v>
      </c>
      <c r="I55">
        <v>0</v>
      </c>
      <c r="J55">
        <v>0</v>
      </c>
      <c r="K55">
        <v>0</v>
      </c>
    </row>
    <row r="56" spans="1:11" x14ac:dyDescent="0.2">
      <c r="A56" t="s">
        <v>251</v>
      </c>
      <c r="B56" t="s">
        <v>1536</v>
      </c>
      <c r="C56" t="s">
        <v>250</v>
      </c>
      <c r="D56" t="s">
        <v>1717</v>
      </c>
      <c r="E56">
        <v>0</v>
      </c>
      <c r="F56">
        <v>0</v>
      </c>
      <c r="G56">
        <v>0</v>
      </c>
      <c r="H56">
        <v>0</v>
      </c>
      <c r="I56">
        <v>0</v>
      </c>
      <c r="J56">
        <v>0</v>
      </c>
      <c r="K56">
        <v>0</v>
      </c>
    </row>
    <row r="57" spans="1:11" x14ac:dyDescent="0.2">
      <c r="A57" t="s">
        <v>255</v>
      </c>
      <c r="B57" t="s">
        <v>1226</v>
      </c>
      <c r="C57" t="s">
        <v>254</v>
      </c>
      <c r="D57" t="s">
        <v>1718</v>
      </c>
      <c r="E57">
        <v>170216</v>
      </c>
      <c r="F57">
        <v>0</v>
      </c>
      <c r="G57">
        <v>0</v>
      </c>
      <c r="H57">
        <v>195432</v>
      </c>
      <c r="I57">
        <v>0</v>
      </c>
      <c r="J57">
        <v>41414</v>
      </c>
      <c r="K57">
        <v>42036.09871244635</v>
      </c>
    </row>
    <row r="58" spans="1:11" x14ac:dyDescent="0.2">
      <c r="A58" t="s">
        <v>257</v>
      </c>
      <c r="B58" t="s">
        <v>1537</v>
      </c>
      <c r="C58" t="s">
        <v>256</v>
      </c>
      <c r="D58" t="s">
        <v>1719</v>
      </c>
      <c r="E58">
        <v>170816</v>
      </c>
      <c r="F58">
        <v>0</v>
      </c>
      <c r="G58">
        <v>0</v>
      </c>
      <c r="H58">
        <v>237466</v>
      </c>
      <c r="I58">
        <v>0</v>
      </c>
      <c r="J58">
        <v>6472</v>
      </c>
      <c r="K58">
        <v>6569.2188841201714</v>
      </c>
    </row>
    <row r="59" spans="1:11" x14ac:dyDescent="0.2">
      <c r="A59" t="s">
        <v>257</v>
      </c>
      <c r="B59" t="s">
        <v>1538</v>
      </c>
      <c r="C59" t="s">
        <v>256</v>
      </c>
      <c r="D59" t="s">
        <v>1720</v>
      </c>
      <c r="E59">
        <v>401033</v>
      </c>
      <c r="F59">
        <v>0</v>
      </c>
      <c r="G59">
        <v>-578</v>
      </c>
      <c r="H59">
        <v>401476</v>
      </c>
      <c r="I59">
        <v>0</v>
      </c>
      <c r="J59">
        <v>0</v>
      </c>
      <c r="K59">
        <v>0</v>
      </c>
    </row>
    <row r="60" spans="1:11" x14ac:dyDescent="0.2">
      <c r="A60" t="s">
        <v>257</v>
      </c>
      <c r="B60" t="s">
        <v>1539</v>
      </c>
      <c r="C60" t="s">
        <v>256</v>
      </c>
      <c r="D60" t="s">
        <v>1721</v>
      </c>
      <c r="E60">
        <v>0</v>
      </c>
      <c r="F60">
        <v>0</v>
      </c>
      <c r="G60">
        <v>0</v>
      </c>
      <c r="H60">
        <v>0</v>
      </c>
      <c r="I60">
        <v>0</v>
      </c>
      <c r="J60">
        <v>0</v>
      </c>
      <c r="K60">
        <v>0</v>
      </c>
    </row>
    <row r="61" spans="1:11" x14ac:dyDescent="0.2">
      <c r="A61" t="s">
        <v>257</v>
      </c>
      <c r="B61" t="s">
        <v>1540</v>
      </c>
      <c r="C61" t="s">
        <v>256</v>
      </c>
      <c r="D61" t="s">
        <v>1722</v>
      </c>
      <c r="E61">
        <v>4320</v>
      </c>
      <c r="F61">
        <v>0</v>
      </c>
      <c r="G61">
        <v>0</v>
      </c>
      <c r="H61">
        <v>0</v>
      </c>
      <c r="I61">
        <v>4320</v>
      </c>
      <c r="J61">
        <v>35254</v>
      </c>
      <c r="K61">
        <v>35783.56652360515</v>
      </c>
    </row>
    <row r="62" spans="1:11" x14ac:dyDescent="0.2">
      <c r="A62" t="s">
        <v>261</v>
      </c>
      <c r="B62" t="s">
        <v>1541</v>
      </c>
      <c r="C62" t="s">
        <v>260</v>
      </c>
      <c r="D62" t="s">
        <v>1723</v>
      </c>
      <c r="E62">
        <v>3870</v>
      </c>
      <c r="F62">
        <v>0</v>
      </c>
      <c r="G62">
        <v>0</v>
      </c>
      <c r="H62">
        <v>0</v>
      </c>
      <c r="I62">
        <v>3870</v>
      </c>
      <c r="J62">
        <v>0</v>
      </c>
      <c r="K62">
        <v>0</v>
      </c>
    </row>
    <row r="63" spans="1:11" x14ac:dyDescent="0.2">
      <c r="A63" t="s">
        <v>269</v>
      </c>
      <c r="B63" t="s">
        <v>1227</v>
      </c>
      <c r="C63" t="s">
        <v>268</v>
      </c>
      <c r="D63" t="s">
        <v>1020</v>
      </c>
      <c r="E63">
        <v>0</v>
      </c>
      <c r="F63">
        <v>0</v>
      </c>
      <c r="G63">
        <v>0</v>
      </c>
      <c r="H63">
        <v>0</v>
      </c>
      <c r="I63">
        <v>0</v>
      </c>
      <c r="J63">
        <v>0</v>
      </c>
      <c r="K63">
        <v>0</v>
      </c>
    </row>
    <row r="64" spans="1:11" x14ac:dyDescent="0.2">
      <c r="A64" t="s">
        <v>269</v>
      </c>
      <c r="B64" t="s">
        <v>1228</v>
      </c>
      <c r="C64" t="s">
        <v>268</v>
      </c>
      <c r="D64" t="s">
        <v>1021</v>
      </c>
      <c r="E64">
        <v>103943</v>
      </c>
      <c r="F64">
        <v>0</v>
      </c>
      <c r="G64">
        <v>0</v>
      </c>
      <c r="H64">
        <v>136350</v>
      </c>
      <c r="I64">
        <v>0</v>
      </c>
      <c r="J64">
        <v>0</v>
      </c>
      <c r="K64">
        <v>0</v>
      </c>
    </row>
    <row r="65" spans="1:11" x14ac:dyDescent="0.2">
      <c r="A65" t="s">
        <v>269</v>
      </c>
      <c r="B65" t="s">
        <v>1229</v>
      </c>
      <c r="C65" t="s">
        <v>268</v>
      </c>
      <c r="D65" t="s">
        <v>1724</v>
      </c>
      <c r="E65">
        <v>0</v>
      </c>
      <c r="F65">
        <v>0</v>
      </c>
      <c r="G65">
        <v>0</v>
      </c>
      <c r="H65">
        <v>0</v>
      </c>
      <c r="I65">
        <v>0</v>
      </c>
      <c r="J65">
        <v>0</v>
      </c>
      <c r="K65">
        <v>0</v>
      </c>
    </row>
    <row r="66" spans="1:11" x14ac:dyDescent="0.2">
      <c r="A66" t="s">
        <v>269</v>
      </c>
      <c r="B66" t="s">
        <v>1230</v>
      </c>
      <c r="C66" t="s">
        <v>268</v>
      </c>
      <c r="D66" t="s">
        <v>1725</v>
      </c>
      <c r="E66">
        <v>0</v>
      </c>
      <c r="F66">
        <v>0</v>
      </c>
      <c r="G66">
        <v>0</v>
      </c>
      <c r="H66">
        <v>0</v>
      </c>
      <c r="I66">
        <v>0</v>
      </c>
      <c r="J66">
        <v>0</v>
      </c>
      <c r="K66">
        <v>0</v>
      </c>
    </row>
    <row r="67" spans="1:11" x14ac:dyDescent="0.2">
      <c r="A67" t="s">
        <v>269</v>
      </c>
      <c r="B67" t="s">
        <v>1231</v>
      </c>
      <c r="C67" t="s">
        <v>268</v>
      </c>
      <c r="D67" t="s">
        <v>1726</v>
      </c>
      <c r="E67">
        <v>0</v>
      </c>
      <c r="F67">
        <v>0</v>
      </c>
      <c r="G67">
        <v>0</v>
      </c>
      <c r="H67">
        <v>0</v>
      </c>
      <c r="I67">
        <v>0</v>
      </c>
      <c r="J67">
        <v>0</v>
      </c>
      <c r="K67">
        <v>0</v>
      </c>
    </row>
    <row r="68" spans="1:11" x14ac:dyDescent="0.2">
      <c r="A68" t="s">
        <v>269</v>
      </c>
      <c r="B68" t="s">
        <v>1232</v>
      </c>
      <c r="C68" t="s">
        <v>268</v>
      </c>
      <c r="D68" t="s">
        <v>1727</v>
      </c>
      <c r="E68">
        <v>0</v>
      </c>
      <c r="F68">
        <v>0</v>
      </c>
      <c r="G68">
        <v>0</v>
      </c>
      <c r="H68">
        <v>0</v>
      </c>
      <c r="I68">
        <v>0</v>
      </c>
      <c r="J68">
        <v>0</v>
      </c>
      <c r="K68">
        <v>0</v>
      </c>
    </row>
    <row r="69" spans="1:11" x14ac:dyDescent="0.2">
      <c r="A69" t="s">
        <v>269</v>
      </c>
      <c r="B69" t="s">
        <v>1233</v>
      </c>
      <c r="C69" t="s">
        <v>268</v>
      </c>
      <c r="D69" t="s">
        <v>1728</v>
      </c>
      <c r="E69">
        <v>0</v>
      </c>
      <c r="F69">
        <v>0</v>
      </c>
      <c r="G69">
        <v>0</v>
      </c>
      <c r="H69">
        <v>0</v>
      </c>
      <c r="I69">
        <v>0</v>
      </c>
      <c r="J69">
        <v>0</v>
      </c>
      <c r="K69">
        <v>0</v>
      </c>
    </row>
    <row r="70" spans="1:11" x14ac:dyDescent="0.2">
      <c r="A70" t="s">
        <v>291</v>
      </c>
      <c r="B70" t="s">
        <v>1234</v>
      </c>
      <c r="C70" t="s">
        <v>290</v>
      </c>
      <c r="D70" t="s">
        <v>1022</v>
      </c>
      <c r="E70">
        <v>151397</v>
      </c>
      <c r="F70">
        <v>0</v>
      </c>
      <c r="G70">
        <v>-1617</v>
      </c>
      <c r="H70">
        <v>108208</v>
      </c>
      <c r="I70">
        <v>41572</v>
      </c>
      <c r="J70">
        <v>109033</v>
      </c>
      <c r="K70">
        <v>110670.8347639485</v>
      </c>
    </row>
    <row r="71" spans="1:11" x14ac:dyDescent="0.2">
      <c r="A71" t="s">
        <v>299</v>
      </c>
      <c r="B71" t="s">
        <v>1235</v>
      </c>
      <c r="C71" t="s">
        <v>298</v>
      </c>
      <c r="D71" t="s">
        <v>1023</v>
      </c>
      <c r="E71">
        <v>1606950</v>
      </c>
      <c r="F71">
        <v>0</v>
      </c>
      <c r="G71">
        <v>-73287</v>
      </c>
      <c r="H71">
        <v>1993624</v>
      </c>
      <c r="I71">
        <v>0</v>
      </c>
      <c r="J71">
        <v>0</v>
      </c>
      <c r="K71">
        <v>0</v>
      </c>
    </row>
    <row r="72" spans="1:11" x14ac:dyDescent="0.2">
      <c r="A72" t="s">
        <v>299</v>
      </c>
      <c r="B72" t="s">
        <v>1542</v>
      </c>
      <c r="C72" t="s">
        <v>298</v>
      </c>
      <c r="D72" t="s">
        <v>1680</v>
      </c>
      <c r="E72">
        <v>1029923</v>
      </c>
      <c r="F72">
        <v>0</v>
      </c>
      <c r="G72">
        <v>-119230</v>
      </c>
      <c r="H72">
        <v>870000</v>
      </c>
      <c r="I72">
        <v>40693</v>
      </c>
      <c r="J72">
        <v>135298</v>
      </c>
      <c r="K72">
        <v>137330.37339055794</v>
      </c>
    </row>
    <row r="73" spans="1:11" x14ac:dyDescent="0.2">
      <c r="A73" t="s">
        <v>301</v>
      </c>
      <c r="B73" t="s">
        <v>1236</v>
      </c>
      <c r="C73" t="s">
        <v>300</v>
      </c>
      <c r="D73" t="s">
        <v>1729</v>
      </c>
      <c r="E73">
        <v>1841748</v>
      </c>
      <c r="F73">
        <v>0</v>
      </c>
      <c r="G73">
        <v>-19414</v>
      </c>
      <c r="H73">
        <v>1339272</v>
      </c>
      <c r="I73">
        <v>483062</v>
      </c>
      <c r="J73">
        <v>0</v>
      </c>
      <c r="K73">
        <v>0</v>
      </c>
    </row>
    <row r="74" spans="1:11" x14ac:dyDescent="0.2">
      <c r="A74" t="s">
        <v>301</v>
      </c>
      <c r="B74" t="s">
        <v>1543</v>
      </c>
      <c r="C74" t="s">
        <v>300</v>
      </c>
      <c r="D74" t="s">
        <v>1730</v>
      </c>
      <c r="E74">
        <v>0</v>
      </c>
      <c r="F74">
        <v>0</v>
      </c>
      <c r="G74">
        <v>0</v>
      </c>
      <c r="H74">
        <v>0</v>
      </c>
      <c r="I74">
        <v>0</v>
      </c>
      <c r="J74">
        <v>0</v>
      </c>
      <c r="K74">
        <v>0</v>
      </c>
    </row>
    <row r="75" spans="1:11" x14ac:dyDescent="0.2">
      <c r="A75" t="s">
        <v>307</v>
      </c>
      <c r="B75" t="s">
        <v>1237</v>
      </c>
      <c r="C75" t="s">
        <v>306</v>
      </c>
      <c r="D75" t="s">
        <v>1022</v>
      </c>
      <c r="E75">
        <v>295575</v>
      </c>
      <c r="F75">
        <v>0</v>
      </c>
      <c r="G75">
        <v>-37116</v>
      </c>
      <c r="H75">
        <v>396937</v>
      </c>
      <c r="I75">
        <v>0</v>
      </c>
      <c r="J75">
        <v>276279</v>
      </c>
      <c r="K75">
        <v>280429.1137339056</v>
      </c>
    </row>
    <row r="76" spans="1:11" x14ac:dyDescent="0.2">
      <c r="A76" t="s">
        <v>309</v>
      </c>
      <c r="B76" t="s">
        <v>1544</v>
      </c>
      <c r="C76" t="s">
        <v>308</v>
      </c>
      <c r="D76" t="s">
        <v>1731</v>
      </c>
      <c r="E76">
        <v>0</v>
      </c>
      <c r="F76">
        <v>0</v>
      </c>
      <c r="G76">
        <v>0</v>
      </c>
      <c r="H76">
        <v>0</v>
      </c>
      <c r="I76">
        <v>0</v>
      </c>
      <c r="J76">
        <v>0</v>
      </c>
      <c r="K76">
        <v>0</v>
      </c>
    </row>
    <row r="77" spans="1:11" x14ac:dyDescent="0.2">
      <c r="A77" t="s">
        <v>309</v>
      </c>
      <c r="B77" t="s">
        <v>1545</v>
      </c>
      <c r="C77" t="s">
        <v>308</v>
      </c>
      <c r="D77" t="s">
        <v>1732</v>
      </c>
      <c r="E77">
        <v>0</v>
      </c>
      <c r="F77">
        <v>0</v>
      </c>
      <c r="G77">
        <v>0</v>
      </c>
      <c r="H77">
        <v>0</v>
      </c>
      <c r="I77">
        <v>0</v>
      </c>
      <c r="J77">
        <v>0</v>
      </c>
      <c r="K77">
        <v>0</v>
      </c>
    </row>
    <row r="78" spans="1:11" x14ac:dyDescent="0.2">
      <c r="A78" t="s">
        <v>309</v>
      </c>
      <c r="B78" t="s">
        <v>1546</v>
      </c>
      <c r="C78" t="s">
        <v>308</v>
      </c>
      <c r="D78" t="s">
        <v>1709</v>
      </c>
      <c r="E78">
        <v>0</v>
      </c>
      <c r="F78">
        <v>0</v>
      </c>
      <c r="G78">
        <v>0</v>
      </c>
      <c r="H78">
        <v>0</v>
      </c>
      <c r="I78">
        <v>0</v>
      </c>
      <c r="J78">
        <v>0</v>
      </c>
      <c r="K78">
        <v>0</v>
      </c>
    </row>
    <row r="79" spans="1:11" x14ac:dyDescent="0.2">
      <c r="A79" t="s">
        <v>311</v>
      </c>
      <c r="B79" t="s">
        <v>1238</v>
      </c>
      <c r="C79" t="s">
        <v>310</v>
      </c>
      <c r="D79" t="s">
        <v>1025</v>
      </c>
      <c r="E79">
        <v>529303</v>
      </c>
      <c r="F79">
        <v>0</v>
      </c>
      <c r="G79">
        <v>135133</v>
      </c>
      <c r="H79">
        <v>293707</v>
      </c>
      <c r="I79">
        <v>370729</v>
      </c>
      <c r="J79">
        <v>450383</v>
      </c>
      <c r="K79">
        <v>457148.40987124463</v>
      </c>
    </row>
    <row r="80" spans="1:11" x14ac:dyDescent="0.2">
      <c r="A80" t="s">
        <v>311</v>
      </c>
      <c r="B80" t="s">
        <v>1547</v>
      </c>
      <c r="C80" t="s">
        <v>310</v>
      </c>
      <c r="D80" t="s">
        <v>1733</v>
      </c>
      <c r="E80">
        <v>0</v>
      </c>
      <c r="F80">
        <v>0</v>
      </c>
      <c r="G80">
        <v>0</v>
      </c>
      <c r="H80">
        <v>0</v>
      </c>
      <c r="I80">
        <v>0</v>
      </c>
      <c r="J80">
        <v>0</v>
      </c>
      <c r="K80">
        <v>0</v>
      </c>
    </row>
    <row r="81" spans="1:11" x14ac:dyDescent="0.2">
      <c r="A81" t="s">
        <v>311</v>
      </c>
      <c r="B81" t="s">
        <v>1548</v>
      </c>
      <c r="C81" t="s">
        <v>310</v>
      </c>
      <c r="D81" t="s">
        <v>1734</v>
      </c>
      <c r="E81">
        <v>0</v>
      </c>
      <c r="F81">
        <v>0</v>
      </c>
      <c r="G81">
        <v>0</v>
      </c>
      <c r="H81">
        <v>6535</v>
      </c>
      <c r="I81">
        <v>0</v>
      </c>
      <c r="J81">
        <v>0</v>
      </c>
      <c r="K81">
        <v>0</v>
      </c>
    </row>
    <row r="82" spans="1:11" x14ac:dyDescent="0.2">
      <c r="A82" t="s">
        <v>311</v>
      </c>
      <c r="B82" t="s">
        <v>1549</v>
      </c>
      <c r="C82" t="s">
        <v>310</v>
      </c>
      <c r="D82" t="s">
        <v>1735</v>
      </c>
      <c r="E82">
        <v>3934</v>
      </c>
      <c r="F82">
        <v>0</v>
      </c>
      <c r="G82">
        <v>1574</v>
      </c>
      <c r="H82">
        <v>2709</v>
      </c>
      <c r="I82">
        <v>2799</v>
      </c>
      <c r="J82">
        <v>0</v>
      </c>
      <c r="K82">
        <v>0</v>
      </c>
    </row>
    <row r="83" spans="1:11" x14ac:dyDescent="0.2">
      <c r="A83" t="s">
        <v>311</v>
      </c>
      <c r="B83" t="s">
        <v>1550</v>
      </c>
      <c r="C83" t="s">
        <v>310</v>
      </c>
      <c r="D83" t="s">
        <v>1736</v>
      </c>
      <c r="E83">
        <v>0</v>
      </c>
      <c r="F83">
        <v>0</v>
      </c>
      <c r="G83">
        <v>0</v>
      </c>
      <c r="H83">
        <v>2115</v>
      </c>
      <c r="I83">
        <v>0</v>
      </c>
      <c r="J83">
        <v>2073</v>
      </c>
      <c r="K83">
        <v>2104.1394849785406</v>
      </c>
    </row>
    <row r="84" spans="1:11" x14ac:dyDescent="0.2">
      <c r="A84" t="s">
        <v>319</v>
      </c>
      <c r="B84" t="s">
        <v>1239</v>
      </c>
      <c r="C84" t="s">
        <v>318</v>
      </c>
      <c r="D84" t="s">
        <v>1026</v>
      </c>
      <c r="E84">
        <v>27864</v>
      </c>
      <c r="F84">
        <v>0</v>
      </c>
      <c r="G84">
        <v>0</v>
      </c>
      <c r="H84">
        <v>32282</v>
      </c>
      <c r="I84">
        <v>0</v>
      </c>
      <c r="J84">
        <v>210054</v>
      </c>
      <c r="K84">
        <v>213209.31759656651</v>
      </c>
    </row>
    <row r="85" spans="1:11" x14ac:dyDescent="0.2">
      <c r="A85" t="s">
        <v>329</v>
      </c>
      <c r="B85" t="s">
        <v>1240</v>
      </c>
      <c r="C85" t="s">
        <v>328</v>
      </c>
      <c r="D85" t="s">
        <v>328</v>
      </c>
      <c r="E85">
        <v>4943180</v>
      </c>
      <c r="F85">
        <v>0</v>
      </c>
      <c r="G85">
        <v>484</v>
      </c>
      <c r="H85">
        <v>3169844</v>
      </c>
      <c r="I85">
        <v>1773820</v>
      </c>
      <c r="J85">
        <v>0</v>
      </c>
      <c r="K85">
        <v>0</v>
      </c>
    </row>
    <row r="86" spans="1:11" x14ac:dyDescent="0.2">
      <c r="A86" t="s">
        <v>337</v>
      </c>
      <c r="B86" t="s">
        <v>1241</v>
      </c>
      <c r="C86" t="s">
        <v>336</v>
      </c>
      <c r="D86" t="s">
        <v>1027</v>
      </c>
      <c r="E86">
        <v>28873</v>
      </c>
      <c r="F86">
        <v>0</v>
      </c>
      <c r="G86">
        <v>2062</v>
      </c>
      <c r="H86">
        <v>0</v>
      </c>
      <c r="I86">
        <v>30935</v>
      </c>
      <c r="J86">
        <v>79373</v>
      </c>
      <c r="K86">
        <v>80565.2982832618</v>
      </c>
    </row>
    <row r="87" spans="1:11" x14ac:dyDescent="0.2">
      <c r="A87" t="s">
        <v>345</v>
      </c>
      <c r="B87" t="s">
        <v>1242</v>
      </c>
      <c r="C87" t="s">
        <v>344</v>
      </c>
      <c r="D87" t="s">
        <v>1028</v>
      </c>
      <c r="E87">
        <v>338891</v>
      </c>
      <c r="F87">
        <v>0</v>
      </c>
      <c r="G87">
        <v>-27250</v>
      </c>
      <c r="H87">
        <v>237033</v>
      </c>
      <c r="I87">
        <v>74608</v>
      </c>
      <c r="J87">
        <v>329641</v>
      </c>
      <c r="K87">
        <v>334592.68884120171</v>
      </c>
    </row>
    <row r="88" spans="1:11" x14ac:dyDescent="0.2">
      <c r="A88" t="s">
        <v>353</v>
      </c>
      <c r="B88" t="s">
        <v>1243</v>
      </c>
      <c r="C88" t="s">
        <v>352</v>
      </c>
      <c r="D88" t="s">
        <v>1029</v>
      </c>
      <c r="E88">
        <v>1161411</v>
      </c>
      <c r="F88">
        <v>0</v>
      </c>
      <c r="G88">
        <v>-56227</v>
      </c>
      <c r="H88">
        <v>843916</v>
      </c>
      <c r="I88">
        <v>261268</v>
      </c>
      <c r="J88">
        <v>253189</v>
      </c>
      <c r="K88">
        <v>256992.26824034334</v>
      </c>
    </row>
    <row r="89" spans="1:11" x14ac:dyDescent="0.2">
      <c r="A89" t="s">
        <v>353</v>
      </c>
      <c r="B89" t="s">
        <v>1244</v>
      </c>
      <c r="C89" t="s">
        <v>352</v>
      </c>
      <c r="D89" t="s">
        <v>1737</v>
      </c>
      <c r="E89">
        <v>0</v>
      </c>
      <c r="F89">
        <v>0</v>
      </c>
      <c r="G89">
        <v>0</v>
      </c>
      <c r="H89">
        <v>0</v>
      </c>
      <c r="I89">
        <v>0</v>
      </c>
      <c r="J89">
        <v>0</v>
      </c>
      <c r="K89">
        <v>0</v>
      </c>
    </row>
    <row r="90" spans="1:11" x14ac:dyDescent="0.2">
      <c r="A90" t="s">
        <v>359</v>
      </c>
      <c r="B90" t="s">
        <v>1245</v>
      </c>
      <c r="C90" t="s">
        <v>358</v>
      </c>
      <c r="D90" t="s">
        <v>1030</v>
      </c>
      <c r="E90">
        <v>504848</v>
      </c>
      <c r="F90">
        <v>0</v>
      </c>
      <c r="G90">
        <v>32542</v>
      </c>
      <c r="H90">
        <v>735767</v>
      </c>
      <c r="I90">
        <v>0</v>
      </c>
      <c r="J90">
        <v>298718</v>
      </c>
      <c r="K90">
        <v>303205.18025751074</v>
      </c>
    </row>
    <row r="91" spans="1:11" x14ac:dyDescent="0.2">
      <c r="A91" t="s">
        <v>363</v>
      </c>
      <c r="B91" t="s">
        <v>1246</v>
      </c>
      <c r="C91" t="s">
        <v>362</v>
      </c>
      <c r="D91" t="s">
        <v>1738</v>
      </c>
      <c r="E91">
        <v>0</v>
      </c>
      <c r="F91">
        <v>0</v>
      </c>
      <c r="G91">
        <v>0</v>
      </c>
      <c r="H91">
        <v>0</v>
      </c>
      <c r="I91">
        <v>0</v>
      </c>
      <c r="J91">
        <v>0</v>
      </c>
      <c r="K91">
        <v>0</v>
      </c>
    </row>
    <row r="92" spans="1:11" x14ac:dyDescent="0.2">
      <c r="A92" t="s">
        <v>363</v>
      </c>
      <c r="B92" t="s">
        <v>1247</v>
      </c>
      <c r="C92" t="s">
        <v>362</v>
      </c>
      <c r="D92" t="s">
        <v>1739</v>
      </c>
      <c r="E92">
        <v>184366</v>
      </c>
      <c r="F92">
        <v>0</v>
      </c>
      <c r="G92">
        <v>956</v>
      </c>
      <c r="H92">
        <v>192558</v>
      </c>
      <c r="I92">
        <v>0</v>
      </c>
      <c r="J92">
        <v>6876</v>
      </c>
      <c r="K92">
        <v>6979.2875536480688</v>
      </c>
    </row>
    <row r="93" spans="1:11" x14ac:dyDescent="0.2">
      <c r="A93" t="s">
        <v>363</v>
      </c>
      <c r="B93" t="s">
        <v>1248</v>
      </c>
      <c r="C93" t="s">
        <v>362</v>
      </c>
      <c r="D93" t="s">
        <v>1740</v>
      </c>
      <c r="E93">
        <v>0</v>
      </c>
      <c r="F93">
        <v>0</v>
      </c>
      <c r="G93">
        <v>0</v>
      </c>
      <c r="H93">
        <v>0</v>
      </c>
      <c r="I93">
        <v>0</v>
      </c>
      <c r="J93">
        <v>0</v>
      </c>
      <c r="K93">
        <v>0</v>
      </c>
    </row>
    <row r="94" spans="1:11" x14ac:dyDescent="0.2">
      <c r="A94" t="s">
        <v>375</v>
      </c>
      <c r="B94" t="s">
        <v>1249</v>
      </c>
      <c r="C94" t="s">
        <v>374</v>
      </c>
      <c r="D94" t="s">
        <v>1741</v>
      </c>
      <c r="E94">
        <v>0</v>
      </c>
      <c r="F94">
        <v>0</v>
      </c>
      <c r="G94">
        <v>0</v>
      </c>
      <c r="H94">
        <v>0</v>
      </c>
      <c r="I94">
        <v>0</v>
      </c>
      <c r="J94">
        <v>84103</v>
      </c>
      <c r="K94">
        <v>85366.349785407729</v>
      </c>
    </row>
    <row r="95" spans="1:11" x14ac:dyDescent="0.2">
      <c r="A95" t="s">
        <v>377</v>
      </c>
      <c r="B95" t="s">
        <v>1250</v>
      </c>
      <c r="C95" t="s">
        <v>376</v>
      </c>
      <c r="D95" t="s">
        <v>1020</v>
      </c>
      <c r="E95">
        <v>130117</v>
      </c>
      <c r="F95">
        <v>0</v>
      </c>
      <c r="G95">
        <v>-1836</v>
      </c>
      <c r="H95">
        <v>0</v>
      </c>
      <c r="I95">
        <v>128281</v>
      </c>
      <c r="J95">
        <v>0</v>
      </c>
      <c r="K95">
        <v>0</v>
      </c>
    </row>
    <row r="96" spans="1:11" x14ac:dyDescent="0.2">
      <c r="A96" t="s">
        <v>377</v>
      </c>
      <c r="B96" t="s">
        <v>1251</v>
      </c>
      <c r="C96" t="s">
        <v>376</v>
      </c>
      <c r="D96" t="s">
        <v>1021</v>
      </c>
      <c r="E96">
        <v>0</v>
      </c>
      <c r="F96">
        <v>0</v>
      </c>
      <c r="G96">
        <v>0</v>
      </c>
      <c r="H96">
        <v>163232</v>
      </c>
      <c r="I96">
        <v>0</v>
      </c>
      <c r="J96">
        <v>0</v>
      </c>
      <c r="K96">
        <v>0</v>
      </c>
    </row>
    <row r="97" spans="1:11" x14ac:dyDescent="0.2">
      <c r="A97" t="s">
        <v>377</v>
      </c>
      <c r="B97" t="s">
        <v>1252</v>
      </c>
      <c r="C97" t="s">
        <v>376</v>
      </c>
      <c r="D97" t="s">
        <v>1742</v>
      </c>
      <c r="E97">
        <v>0</v>
      </c>
      <c r="F97">
        <v>0</v>
      </c>
      <c r="G97">
        <v>0</v>
      </c>
      <c r="H97">
        <v>0</v>
      </c>
      <c r="I97">
        <v>0</v>
      </c>
      <c r="J97">
        <v>0</v>
      </c>
      <c r="K97">
        <v>0</v>
      </c>
    </row>
    <row r="98" spans="1:11" x14ac:dyDescent="0.2">
      <c r="A98" t="s">
        <v>377</v>
      </c>
      <c r="B98" t="s">
        <v>1253</v>
      </c>
      <c r="C98" t="s">
        <v>376</v>
      </c>
      <c r="D98" t="s">
        <v>1743</v>
      </c>
      <c r="E98">
        <v>0</v>
      </c>
      <c r="F98">
        <v>0</v>
      </c>
      <c r="G98">
        <v>0</v>
      </c>
      <c r="H98">
        <v>0</v>
      </c>
      <c r="I98">
        <v>0</v>
      </c>
      <c r="J98">
        <v>0</v>
      </c>
      <c r="K98">
        <v>0</v>
      </c>
    </row>
    <row r="99" spans="1:11" x14ac:dyDescent="0.2">
      <c r="A99" t="s">
        <v>377</v>
      </c>
      <c r="B99" t="s">
        <v>1254</v>
      </c>
      <c r="C99" t="s">
        <v>376</v>
      </c>
      <c r="D99" t="s">
        <v>1744</v>
      </c>
      <c r="E99">
        <v>0</v>
      </c>
      <c r="F99">
        <v>0</v>
      </c>
      <c r="G99">
        <v>0</v>
      </c>
      <c r="H99">
        <v>0</v>
      </c>
      <c r="I99">
        <v>0</v>
      </c>
      <c r="J99">
        <v>0</v>
      </c>
      <c r="K99">
        <v>0</v>
      </c>
    </row>
    <row r="100" spans="1:11" x14ac:dyDescent="0.2">
      <c r="A100" t="s">
        <v>377</v>
      </c>
      <c r="B100" t="s">
        <v>1255</v>
      </c>
      <c r="C100" t="s">
        <v>376</v>
      </c>
      <c r="D100" t="s">
        <v>1745</v>
      </c>
      <c r="E100">
        <v>16310</v>
      </c>
      <c r="F100">
        <v>0</v>
      </c>
      <c r="G100">
        <v>0</v>
      </c>
      <c r="H100">
        <v>16969</v>
      </c>
      <c r="I100">
        <v>0</v>
      </c>
      <c r="J100">
        <v>0</v>
      </c>
      <c r="K100">
        <v>0</v>
      </c>
    </row>
    <row r="101" spans="1:11" x14ac:dyDescent="0.2">
      <c r="A101" t="s">
        <v>377</v>
      </c>
      <c r="B101" t="s">
        <v>1256</v>
      </c>
      <c r="C101" t="s">
        <v>376</v>
      </c>
      <c r="D101" t="s">
        <v>1746</v>
      </c>
      <c r="E101">
        <v>0</v>
      </c>
      <c r="F101">
        <v>0</v>
      </c>
      <c r="G101">
        <v>0</v>
      </c>
      <c r="H101">
        <v>0</v>
      </c>
      <c r="I101">
        <v>0</v>
      </c>
      <c r="J101">
        <v>0</v>
      </c>
      <c r="K101">
        <v>0</v>
      </c>
    </row>
    <row r="102" spans="1:11" x14ac:dyDescent="0.2">
      <c r="A102" t="s">
        <v>377</v>
      </c>
      <c r="B102" t="s">
        <v>1257</v>
      </c>
      <c r="C102" t="s">
        <v>376</v>
      </c>
      <c r="D102" t="s">
        <v>1747</v>
      </c>
      <c r="E102">
        <v>5592</v>
      </c>
      <c r="F102">
        <v>0</v>
      </c>
      <c r="G102">
        <v>0</v>
      </c>
      <c r="H102">
        <v>3328</v>
      </c>
      <c r="I102">
        <v>2264</v>
      </c>
      <c r="J102">
        <v>0</v>
      </c>
      <c r="K102">
        <v>0</v>
      </c>
    </row>
    <row r="103" spans="1:11" x14ac:dyDescent="0.2">
      <c r="A103" t="s">
        <v>377</v>
      </c>
      <c r="B103" t="s">
        <v>1258</v>
      </c>
      <c r="C103" t="s">
        <v>376</v>
      </c>
      <c r="D103" t="s">
        <v>1748</v>
      </c>
      <c r="E103">
        <v>118350</v>
      </c>
      <c r="F103">
        <v>0</v>
      </c>
      <c r="G103">
        <v>-4072</v>
      </c>
      <c r="H103">
        <v>31212</v>
      </c>
      <c r="I103">
        <v>83066</v>
      </c>
      <c r="J103">
        <v>0</v>
      </c>
      <c r="K103">
        <v>0</v>
      </c>
    </row>
    <row r="104" spans="1:11" x14ac:dyDescent="0.2">
      <c r="A104" t="s">
        <v>377</v>
      </c>
      <c r="B104" t="s">
        <v>1259</v>
      </c>
      <c r="C104" t="s">
        <v>376</v>
      </c>
      <c r="D104" t="s">
        <v>1749</v>
      </c>
      <c r="E104">
        <v>25436</v>
      </c>
      <c r="F104">
        <v>0</v>
      </c>
      <c r="G104">
        <v>0</v>
      </c>
      <c r="H104">
        <v>5842</v>
      </c>
      <c r="I104">
        <v>19594</v>
      </c>
      <c r="J104">
        <v>0</v>
      </c>
      <c r="K104">
        <v>0</v>
      </c>
    </row>
    <row r="105" spans="1:11" x14ac:dyDescent="0.2">
      <c r="A105" t="s">
        <v>377</v>
      </c>
      <c r="B105" t="s">
        <v>1260</v>
      </c>
      <c r="C105" t="s">
        <v>376</v>
      </c>
      <c r="D105" t="s">
        <v>1750</v>
      </c>
      <c r="E105">
        <v>0</v>
      </c>
      <c r="F105">
        <v>0</v>
      </c>
      <c r="G105">
        <v>0</v>
      </c>
      <c r="H105">
        <v>7456</v>
      </c>
      <c r="I105">
        <v>0</v>
      </c>
      <c r="J105">
        <v>0</v>
      </c>
      <c r="K105">
        <v>0</v>
      </c>
    </row>
    <row r="106" spans="1:11" x14ac:dyDescent="0.2">
      <c r="A106" t="s">
        <v>377</v>
      </c>
      <c r="B106" t="s">
        <v>1261</v>
      </c>
      <c r="C106" t="s">
        <v>376</v>
      </c>
      <c r="D106" t="s">
        <v>1751</v>
      </c>
      <c r="E106">
        <v>2954</v>
      </c>
      <c r="F106">
        <v>0</v>
      </c>
      <c r="G106">
        <v>493</v>
      </c>
      <c r="H106">
        <v>3448</v>
      </c>
      <c r="I106">
        <v>0</v>
      </c>
      <c r="J106">
        <v>0</v>
      </c>
      <c r="K106">
        <v>0</v>
      </c>
    </row>
    <row r="107" spans="1:11" x14ac:dyDescent="0.2">
      <c r="A107" t="s">
        <v>377</v>
      </c>
      <c r="B107" t="s">
        <v>1262</v>
      </c>
      <c r="C107" t="s">
        <v>376</v>
      </c>
      <c r="D107" t="s">
        <v>1752</v>
      </c>
      <c r="E107">
        <v>0</v>
      </c>
      <c r="F107">
        <v>0</v>
      </c>
      <c r="G107">
        <v>0</v>
      </c>
      <c r="H107">
        <v>18771</v>
      </c>
      <c r="I107">
        <v>0</v>
      </c>
      <c r="J107">
        <v>0</v>
      </c>
      <c r="K107">
        <v>0</v>
      </c>
    </row>
    <row r="108" spans="1:11" x14ac:dyDescent="0.2">
      <c r="A108" t="s">
        <v>377</v>
      </c>
      <c r="B108" t="s">
        <v>1263</v>
      </c>
      <c r="C108" t="s">
        <v>376</v>
      </c>
      <c r="D108" t="s">
        <v>1753</v>
      </c>
      <c r="E108">
        <v>0</v>
      </c>
      <c r="F108">
        <v>0</v>
      </c>
      <c r="G108">
        <v>0</v>
      </c>
      <c r="H108">
        <v>0</v>
      </c>
      <c r="I108">
        <v>0</v>
      </c>
      <c r="J108">
        <v>0</v>
      </c>
      <c r="K108">
        <v>0</v>
      </c>
    </row>
    <row r="109" spans="1:11" x14ac:dyDescent="0.2">
      <c r="A109" t="s">
        <v>377</v>
      </c>
      <c r="B109" t="s">
        <v>1264</v>
      </c>
      <c r="C109" t="s">
        <v>376</v>
      </c>
      <c r="D109" t="s">
        <v>1754</v>
      </c>
      <c r="E109">
        <v>0</v>
      </c>
      <c r="F109">
        <v>0</v>
      </c>
      <c r="G109">
        <v>0</v>
      </c>
      <c r="H109">
        <v>4730</v>
      </c>
      <c r="I109">
        <v>0</v>
      </c>
      <c r="J109">
        <v>0</v>
      </c>
      <c r="K109">
        <v>0</v>
      </c>
    </row>
    <row r="110" spans="1:11" x14ac:dyDescent="0.2">
      <c r="A110" t="s">
        <v>377</v>
      </c>
      <c r="B110" t="s">
        <v>1265</v>
      </c>
      <c r="C110" t="s">
        <v>376</v>
      </c>
      <c r="D110" t="s">
        <v>1755</v>
      </c>
      <c r="E110">
        <v>17586</v>
      </c>
      <c r="F110">
        <v>0</v>
      </c>
      <c r="G110">
        <v>46</v>
      </c>
      <c r="H110">
        <v>7698</v>
      </c>
      <c r="I110">
        <v>9934</v>
      </c>
      <c r="J110">
        <v>0</v>
      </c>
      <c r="K110">
        <v>0</v>
      </c>
    </row>
    <row r="111" spans="1:11" x14ac:dyDescent="0.2">
      <c r="A111" t="s">
        <v>377</v>
      </c>
      <c r="B111" t="s">
        <v>1266</v>
      </c>
      <c r="C111" t="s">
        <v>376</v>
      </c>
      <c r="D111" t="s">
        <v>1756</v>
      </c>
      <c r="E111">
        <v>1060</v>
      </c>
      <c r="F111">
        <v>0</v>
      </c>
      <c r="G111">
        <v>0</v>
      </c>
      <c r="H111">
        <v>0</v>
      </c>
      <c r="I111">
        <v>1060</v>
      </c>
      <c r="J111">
        <v>0</v>
      </c>
      <c r="K111">
        <v>0</v>
      </c>
    </row>
    <row r="112" spans="1:11" x14ac:dyDescent="0.2">
      <c r="A112" t="s">
        <v>377</v>
      </c>
      <c r="B112" t="s">
        <v>1267</v>
      </c>
      <c r="C112" t="s">
        <v>376</v>
      </c>
      <c r="D112" t="s">
        <v>1757</v>
      </c>
      <c r="E112">
        <v>0</v>
      </c>
      <c r="F112">
        <v>0</v>
      </c>
      <c r="G112">
        <v>0</v>
      </c>
      <c r="H112">
        <v>0</v>
      </c>
      <c r="I112">
        <v>0</v>
      </c>
      <c r="J112">
        <v>0</v>
      </c>
      <c r="K112">
        <v>0</v>
      </c>
    </row>
    <row r="113" spans="1:11" x14ac:dyDescent="0.2">
      <c r="A113" t="s">
        <v>377</v>
      </c>
      <c r="B113" t="s">
        <v>1268</v>
      </c>
      <c r="C113" t="s">
        <v>376</v>
      </c>
      <c r="D113" t="s">
        <v>1758</v>
      </c>
      <c r="E113">
        <v>71764</v>
      </c>
      <c r="F113">
        <v>0</v>
      </c>
      <c r="G113">
        <v>0</v>
      </c>
      <c r="H113">
        <v>21006</v>
      </c>
      <c r="I113">
        <v>50758</v>
      </c>
      <c r="J113">
        <v>0</v>
      </c>
      <c r="K113">
        <v>0</v>
      </c>
    </row>
    <row r="114" spans="1:11" x14ac:dyDescent="0.2">
      <c r="A114" t="s">
        <v>377</v>
      </c>
      <c r="B114" t="s">
        <v>1269</v>
      </c>
      <c r="C114" t="s">
        <v>376</v>
      </c>
      <c r="D114" t="s">
        <v>1759</v>
      </c>
      <c r="E114">
        <v>3213</v>
      </c>
      <c r="F114">
        <v>0</v>
      </c>
      <c r="G114">
        <v>0</v>
      </c>
      <c r="H114">
        <v>3262</v>
      </c>
      <c r="I114">
        <v>0</v>
      </c>
      <c r="J114">
        <v>0</v>
      </c>
      <c r="K114">
        <v>0</v>
      </c>
    </row>
    <row r="115" spans="1:11" x14ac:dyDescent="0.2">
      <c r="A115" t="s">
        <v>377</v>
      </c>
      <c r="B115" t="s">
        <v>1270</v>
      </c>
      <c r="C115" t="s">
        <v>376</v>
      </c>
      <c r="D115" t="s">
        <v>1760</v>
      </c>
      <c r="E115">
        <v>0</v>
      </c>
      <c r="F115">
        <v>0</v>
      </c>
      <c r="G115">
        <v>0</v>
      </c>
      <c r="H115">
        <v>47520</v>
      </c>
      <c r="I115">
        <v>0</v>
      </c>
      <c r="J115">
        <v>0</v>
      </c>
      <c r="K115">
        <v>0</v>
      </c>
    </row>
    <row r="116" spans="1:11" x14ac:dyDescent="0.2">
      <c r="A116" t="s">
        <v>377</v>
      </c>
      <c r="B116" t="s">
        <v>1271</v>
      </c>
      <c r="C116" t="s">
        <v>376</v>
      </c>
      <c r="D116" t="s">
        <v>1761</v>
      </c>
      <c r="E116">
        <v>2888124</v>
      </c>
      <c r="F116">
        <v>0</v>
      </c>
      <c r="G116">
        <v>0</v>
      </c>
      <c r="H116">
        <v>0</v>
      </c>
      <c r="I116">
        <v>2888124</v>
      </c>
      <c r="J116">
        <v>0</v>
      </c>
      <c r="K116">
        <v>0</v>
      </c>
    </row>
    <row r="117" spans="1:11" x14ac:dyDescent="0.2">
      <c r="A117" t="s">
        <v>381</v>
      </c>
      <c r="B117" t="s">
        <v>1551</v>
      </c>
      <c r="C117" t="s">
        <v>380</v>
      </c>
      <c r="D117" t="s">
        <v>1762</v>
      </c>
      <c r="E117">
        <v>0</v>
      </c>
      <c r="F117">
        <v>0</v>
      </c>
      <c r="G117">
        <v>0</v>
      </c>
      <c r="H117">
        <v>0</v>
      </c>
      <c r="I117">
        <v>0</v>
      </c>
      <c r="J117">
        <v>0</v>
      </c>
      <c r="K117">
        <v>0</v>
      </c>
    </row>
    <row r="118" spans="1:11" x14ac:dyDescent="0.2">
      <c r="A118" t="s">
        <v>381</v>
      </c>
      <c r="B118" t="s">
        <v>1552</v>
      </c>
      <c r="C118" t="s">
        <v>380</v>
      </c>
      <c r="D118" t="s">
        <v>1763</v>
      </c>
      <c r="E118">
        <v>83910</v>
      </c>
      <c r="F118">
        <v>0</v>
      </c>
      <c r="G118">
        <v>0</v>
      </c>
      <c r="H118">
        <v>0</v>
      </c>
      <c r="I118">
        <v>83910</v>
      </c>
      <c r="J118">
        <v>66714</v>
      </c>
      <c r="K118">
        <v>67716.141630901286</v>
      </c>
    </row>
    <row r="119" spans="1:11" x14ac:dyDescent="0.2">
      <c r="A119" t="s">
        <v>381</v>
      </c>
      <c r="B119" t="s">
        <v>1553</v>
      </c>
      <c r="C119" t="s">
        <v>380</v>
      </c>
      <c r="D119" t="s">
        <v>1764</v>
      </c>
      <c r="E119">
        <v>0</v>
      </c>
      <c r="F119">
        <v>0</v>
      </c>
      <c r="G119">
        <v>0</v>
      </c>
      <c r="H119">
        <v>0</v>
      </c>
      <c r="I119">
        <v>0</v>
      </c>
      <c r="J119">
        <v>0</v>
      </c>
      <c r="K119">
        <v>0</v>
      </c>
    </row>
    <row r="120" spans="1:11" x14ac:dyDescent="0.2">
      <c r="A120" t="s">
        <v>385</v>
      </c>
      <c r="B120" t="s">
        <v>1272</v>
      </c>
      <c r="C120" t="s">
        <v>384</v>
      </c>
      <c r="D120" t="s">
        <v>1765</v>
      </c>
      <c r="E120">
        <v>2769956</v>
      </c>
      <c r="F120">
        <v>0</v>
      </c>
      <c r="G120">
        <v>-176658</v>
      </c>
      <c r="H120">
        <v>1605555</v>
      </c>
      <c r="I120">
        <v>987743</v>
      </c>
      <c r="J120">
        <v>0</v>
      </c>
      <c r="K120">
        <v>0</v>
      </c>
    </row>
    <row r="121" spans="1:11" x14ac:dyDescent="0.2">
      <c r="A121" t="s">
        <v>389</v>
      </c>
      <c r="B121" t="s">
        <v>1273</v>
      </c>
      <c r="C121" t="s">
        <v>388</v>
      </c>
      <c r="D121" t="s">
        <v>1031</v>
      </c>
      <c r="E121">
        <v>2114836</v>
      </c>
      <c r="F121">
        <v>0</v>
      </c>
      <c r="G121">
        <v>-153038</v>
      </c>
      <c r="H121">
        <v>982004</v>
      </c>
      <c r="I121">
        <v>979794</v>
      </c>
      <c r="J121">
        <v>512697</v>
      </c>
      <c r="K121">
        <v>520398.45708154509</v>
      </c>
    </row>
    <row r="122" spans="1:11" x14ac:dyDescent="0.2">
      <c r="A122" t="s">
        <v>391</v>
      </c>
      <c r="B122" t="s">
        <v>1554</v>
      </c>
      <c r="C122" t="s">
        <v>390</v>
      </c>
      <c r="D122" t="s">
        <v>1766</v>
      </c>
      <c r="E122">
        <v>1971558</v>
      </c>
      <c r="F122">
        <v>0</v>
      </c>
      <c r="G122">
        <v>211758</v>
      </c>
      <c r="H122">
        <v>2334075</v>
      </c>
      <c r="I122">
        <v>0</v>
      </c>
      <c r="J122">
        <v>13278</v>
      </c>
      <c r="K122">
        <v>13477.454935622318</v>
      </c>
    </row>
    <row r="123" spans="1:11" x14ac:dyDescent="0.2">
      <c r="A123" t="s">
        <v>393</v>
      </c>
      <c r="B123" t="s">
        <v>1555</v>
      </c>
      <c r="C123" t="s">
        <v>392</v>
      </c>
      <c r="D123" t="s">
        <v>1767</v>
      </c>
      <c r="E123">
        <v>205479</v>
      </c>
      <c r="F123">
        <v>0</v>
      </c>
      <c r="G123">
        <v>3531</v>
      </c>
      <c r="H123">
        <v>249858</v>
      </c>
      <c r="I123">
        <v>0</v>
      </c>
      <c r="J123">
        <v>0</v>
      </c>
      <c r="K123">
        <v>0</v>
      </c>
    </row>
    <row r="124" spans="1:11" x14ac:dyDescent="0.2">
      <c r="A124" t="s">
        <v>393</v>
      </c>
      <c r="B124" t="s">
        <v>1556</v>
      </c>
      <c r="C124" t="s">
        <v>392</v>
      </c>
      <c r="D124" t="s">
        <v>1768</v>
      </c>
      <c r="E124">
        <v>0</v>
      </c>
      <c r="F124">
        <v>0</v>
      </c>
      <c r="G124">
        <v>0</v>
      </c>
      <c r="H124">
        <v>0</v>
      </c>
      <c r="I124">
        <v>0</v>
      </c>
      <c r="J124">
        <v>0</v>
      </c>
      <c r="K124">
        <v>0</v>
      </c>
    </row>
    <row r="125" spans="1:11" x14ac:dyDescent="0.2">
      <c r="A125" t="s">
        <v>393</v>
      </c>
      <c r="B125" t="s">
        <v>1557</v>
      </c>
      <c r="C125" t="s">
        <v>392</v>
      </c>
      <c r="D125" t="s">
        <v>1769</v>
      </c>
      <c r="E125">
        <v>0</v>
      </c>
      <c r="F125">
        <v>0</v>
      </c>
      <c r="G125">
        <v>0</v>
      </c>
      <c r="H125">
        <v>0</v>
      </c>
      <c r="I125">
        <v>0</v>
      </c>
      <c r="J125">
        <v>0</v>
      </c>
      <c r="K125">
        <v>0</v>
      </c>
    </row>
    <row r="126" spans="1:11" x14ac:dyDescent="0.2">
      <c r="A126" t="s">
        <v>393</v>
      </c>
      <c r="B126" t="s">
        <v>1558</v>
      </c>
      <c r="C126" t="s">
        <v>392</v>
      </c>
      <c r="D126" t="s">
        <v>1770</v>
      </c>
      <c r="E126">
        <v>408842</v>
      </c>
      <c r="F126">
        <v>0</v>
      </c>
      <c r="G126">
        <v>-22701</v>
      </c>
      <c r="H126">
        <v>169680</v>
      </c>
      <c r="I126">
        <v>216461</v>
      </c>
      <c r="J126">
        <v>0</v>
      </c>
      <c r="K126">
        <v>0</v>
      </c>
    </row>
    <row r="127" spans="1:11" x14ac:dyDescent="0.2">
      <c r="A127" t="s">
        <v>393</v>
      </c>
      <c r="B127" t="s">
        <v>1559</v>
      </c>
      <c r="C127" t="s">
        <v>392</v>
      </c>
      <c r="D127" t="s">
        <v>1771</v>
      </c>
      <c r="E127">
        <v>36083</v>
      </c>
      <c r="F127">
        <v>0</v>
      </c>
      <c r="G127">
        <v>22</v>
      </c>
      <c r="H127">
        <v>1291</v>
      </c>
      <c r="I127">
        <v>34814</v>
      </c>
      <c r="J127">
        <v>0</v>
      </c>
      <c r="K127">
        <v>0</v>
      </c>
    </row>
    <row r="128" spans="1:11" x14ac:dyDescent="0.2">
      <c r="A128" t="s">
        <v>393</v>
      </c>
      <c r="B128" t="s">
        <v>1560</v>
      </c>
      <c r="C128" t="s">
        <v>392</v>
      </c>
      <c r="D128" t="s">
        <v>1772</v>
      </c>
      <c r="E128">
        <v>127182</v>
      </c>
      <c r="F128">
        <v>0</v>
      </c>
      <c r="G128">
        <v>5884</v>
      </c>
      <c r="H128">
        <v>61903</v>
      </c>
      <c r="I128">
        <v>71163</v>
      </c>
      <c r="J128">
        <v>55000</v>
      </c>
      <c r="K128">
        <v>55826.180257510729</v>
      </c>
    </row>
    <row r="129" spans="1:11" x14ac:dyDescent="0.2">
      <c r="A129" t="s">
        <v>393</v>
      </c>
      <c r="B129" t="s">
        <v>1561</v>
      </c>
      <c r="C129" t="s">
        <v>392</v>
      </c>
      <c r="D129" t="s">
        <v>1773</v>
      </c>
      <c r="E129">
        <v>491696</v>
      </c>
      <c r="F129">
        <v>0</v>
      </c>
      <c r="G129">
        <v>-45843</v>
      </c>
      <c r="H129">
        <v>290163</v>
      </c>
      <c r="I129">
        <v>155690</v>
      </c>
      <c r="J129">
        <v>245</v>
      </c>
      <c r="K129">
        <v>248.6802575107296</v>
      </c>
    </row>
    <row r="130" spans="1:11" x14ac:dyDescent="0.2">
      <c r="A130" t="s">
        <v>393</v>
      </c>
      <c r="B130" t="s">
        <v>1562</v>
      </c>
      <c r="C130" t="s">
        <v>392</v>
      </c>
      <c r="D130" t="s">
        <v>1774</v>
      </c>
      <c r="E130">
        <v>1240342</v>
      </c>
      <c r="F130">
        <v>0</v>
      </c>
      <c r="G130">
        <v>-20961</v>
      </c>
      <c r="H130">
        <v>1226456</v>
      </c>
      <c r="I130">
        <v>0</v>
      </c>
      <c r="J130">
        <v>101175</v>
      </c>
      <c r="K130">
        <v>102694.79613733906</v>
      </c>
    </row>
    <row r="131" spans="1:11" x14ac:dyDescent="0.2">
      <c r="A131" t="s">
        <v>401</v>
      </c>
      <c r="B131" t="s">
        <v>1274</v>
      </c>
      <c r="C131" t="s">
        <v>400</v>
      </c>
      <c r="D131" t="s">
        <v>1032</v>
      </c>
      <c r="E131">
        <v>2876960</v>
      </c>
      <c r="F131">
        <v>0</v>
      </c>
      <c r="G131">
        <v>-512250</v>
      </c>
      <c r="H131">
        <v>3434396</v>
      </c>
      <c r="I131">
        <v>0</v>
      </c>
      <c r="J131">
        <v>0</v>
      </c>
      <c r="K131">
        <v>0</v>
      </c>
    </row>
    <row r="132" spans="1:11" x14ac:dyDescent="0.2">
      <c r="A132" t="s">
        <v>401</v>
      </c>
      <c r="B132" t="s">
        <v>1275</v>
      </c>
      <c r="C132" t="s">
        <v>400</v>
      </c>
      <c r="D132" t="s">
        <v>1033</v>
      </c>
      <c r="E132">
        <v>23632444</v>
      </c>
      <c r="F132">
        <v>0</v>
      </c>
      <c r="G132">
        <v>-1614178</v>
      </c>
      <c r="H132">
        <v>29424797</v>
      </c>
      <c r="I132">
        <v>0</v>
      </c>
      <c r="J132">
        <v>311070</v>
      </c>
      <c r="K132">
        <v>315742.7253218884</v>
      </c>
    </row>
    <row r="133" spans="1:11" x14ac:dyDescent="0.2">
      <c r="A133" t="s">
        <v>403</v>
      </c>
      <c r="B133" t="s">
        <v>1276</v>
      </c>
      <c r="C133" t="s">
        <v>402</v>
      </c>
      <c r="D133" t="s">
        <v>1775</v>
      </c>
      <c r="E133">
        <v>3935145</v>
      </c>
      <c r="F133">
        <v>0</v>
      </c>
      <c r="G133">
        <v>-124981</v>
      </c>
      <c r="H133">
        <v>4525992</v>
      </c>
      <c r="I133">
        <v>0</v>
      </c>
      <c r="J133">
        <v>0</v>
      </c>
      <c r="K133">
        <v>0</v>
      </c>
    </row>
    <row r="134" spans="1:11" x14ac:dyDescent="0.2">
      <c r="A134" t="s">
        <v>405</v>
      </c>
      <c r="B134" t="s">
        <v>1563</v>
      </c>
      <c r="C134" t="s">
        <v>404</v>
      </c>
      <c r="D134" t="s">
        <v>1776</v>
      </c>
      <c r="E134">
        <v>0</v>
      </c>
      <c r="F134">
        <v>0</v>
      </c>
      <c r="G134">
        <v>0</v>
      </c>
      <c r="H134">
        <v>0</v>
      </c>
      <c r="I134">
        <v>0</v>
      </c>
      <c r="J134">
        <v>0</v>
      </c>
      <c r="K134">
        <v>0</v>
      </c>
    </row>
    <row r="135" spans="1:11" x14ac:dyDescent="0.2">
      <c r="A135" t="s">
        <v>411</v>
      </c>
      <c r="B135" t="s">
        <v>1277</v>
      </c>
      <c r="C135" t="s">
        <v>410</v>
      </c>
      <c r="D135" t="s">
        <v>1777</v>
      </c>
      <c r="E135">
        <v>5767199</v>
      </c>
      <c r="F135">
        <v>0</v>
      </c>
      <c r="G135">
        <v>-508272</v>
      </c>
      <c r="H135">
        <v>5378269</v>
      </c>
      <c r="I135">
        <v>0</v>
      </c>
      <c r="J135">
        <v>339995</v>
      </c>
      <c r="K135">
        <v>345102.22103004291</v>
      </c>
    </row>
    <row r="136" spans="1:11" x14ac:dyDescent="0.2">
      <c r="A136" t="s">
        <v>411</v>
      </c>
      <c r="B136" t="s">
        <v>1278</v>
      </c>
      <c r="C136" t="s">
        <v>410</v>
      </c>
      <c r="D136" t="s">
        <v>1778</v>
      </c>
      <c r="E136">
        <v>739503</v>
      </c>
      <c r="F136">
        <v>0</v>
      </c>
      <c r="G136">
        <v>-13781</v>
      </c>
      <c r="H136">
        <v>731916</v>
      </c>
      <c r="I136">
        <v>0</v>
      </c>
      <c r="J136">
        <v>43678</v>
      </c>
      <c r="K136">
        <v>44334.107296137336</v>
      </c>
    </row>
    <row r="137" spans="1:11" x14ac:dyDescent="0.2">
      <c r="A137" t="s">
        <v>411</v>
      </c>
      <c r="B137" t="s">
        <v>1279</v>
      </c>
      <c r="C137" t="s">
        <v>410</v>
      </c>
      <c r="D137" t="s">
        <v>1779</v>
      </c>
      <c r="E137">
        <v>4929692</v>
      </c>
      <c r="F137">
        <v>0</v>
      </c>
      <c r="G137">
        <v>-91873</v>
      </c>
      <c r="H137">
        <v>4953780</v>
      </c>
      <c r="I137">
        <v>0</v>
      </c>
      <c r="J137">
        <v>291166</v>
      </c>
      <c r="K137">
        <v>295539.73819742491</v>
      </c>
    </row>
    <row r="138" spans="1:11" x14ac:dyDescent="0.2">
      <c r="A138" t="s">
        <v>411</v>
      </c>
      <c r="B138" t="s">
        <v>1280</v>
      </c>
      <c r="C138" t="s">
        <v>410</v>
      </c>
      <c r="D138" t="s">
        <v>1780</v>
      </c>
      <c r="E138">
        <v>576049</v>
      </c>
      <c r="F138">
        <v>0</v>
      </c>
      <c r="G138">
        <v>-56085</v>
      </c>
      <c r="H138">
        <v>688519</v>
      </c>
      <c r="I138">
        <v>0</v>
      </c>
      <c r="J138">
        <v>34108</v>
      </c>
      <c r="K138">
        <v>34620.351931330471</v>
      </c>
    </row>
    <row r="139" spans="1:11" x14ac:dyDescent="0.2">
      <c r="A139" t="s">
        <v>415</v>
      </c>
      <c r="B139" t="s">
        <v>1564</v>
      </c>
      <c r="C139" t="s">
        <v>414</v>
      </c>
      <c r="D139" t="s">
        <v>1781</v>
      </c>
      <c r="E139">
        <v>0</v>
      </c>
      <c r="F139">
        <v>0</v>
      </c>
      <c r="G139">
        <v>0</v>
      </c>
      <c r="H139">
        <v>10890</v>
      </c>
      <c r="I139">
        <v>0</v>
      </c>
      <c r="J139">
        <v>0</v>
      </c>
      <c r="K139">
        <v>0</v>
      </c>
    </row>
    <row r="140" spans="1:11" x14ac:dyDescent="0.2">
      <c r="A140" t="s">
        <v>425</v>
      </c>
      <c r="B140" t="s">
        <v>1281</v>
      </c>
      <c r="C140" t="s">
        <v>424</v>
      </c>
      <c r="D140" t="s">
        <v>1782</v>
      </c>
      <c r="E140">
        <v>0</v>
      </c>
      <c r="F140">
        <v>0</v>
      </c>
      <c r="G140">
        <v>0</v>
      </c>
      <c r="H140">
        <v>0</v>
      </c>
      <c r="I140">
        <v>0</v>
      </c>
      <c r="J140">
        <v>0</v>
      </c>
      <c r="K140">
        <v>0</v>
      </c>
    </row>
    <row r="141" spans="1:11" x14ac:dyDescent="0.2">
      <c r="A141" t="s">
        <v>425</v>
      </c>
      <c r="B141" t="s">
        <v>1282</v>
      </c>
      <c r="C141" t="s">
        <v>424</v>
      </c>
      <c r="D141" t="s">
        <v>1783</v>
      </c>
      <c r="E141">
        <v>0</v>
      </c>
      <c r="F141">
        <v>0</v>
      </c>
      <c r="G141">
        <v>0</v>
      </c>
      <c r="H141">
        <v>0</v>
      </c>
      <c r="I141">
        <v>0</v>
      </c>
      <c r="J141">
        <v>0</v>
      </c>
      <c r="K141">
        <v>0</v>
      </c>
    </row>
    <row r="142" spans="1:11" x14ac:dyDescent="0.2">
      <c r="A142" t="s">
        <v>429</v>
      </c>
      <c r="B142" t="s">
        <v>1283</v>
      </c>
      <c r="C142" t="s">
        <v>428</v>
      </c>
      <c r="D142" t="s">
        <v>1027</v>
      </c>
      <c r="E142">
        <v>10623</v>
      </c>
      <c r="F142">
        <v>0</v>
      </c>
      <c r="G142">
        <v>0</v>
      </c>
      <c r="H142">
        <v>0</v>
      </c>
      <c r="I142">
        <v>10623</v>
      </c>
      <c r="J142">
        <v>74387</v>
      </c>
      <c r="K142">
        <v>75504.401287553643</v>
      </c>
    </row>
    <row r="143" spans="1:11" x14ac:dyDescent="0.2">
      <c r="A143" t="s">
        <v>429</v>
      </c>
      <c r="B143" t="s">
        <v>1284</v>
      </c>
      <c r="C143" t="s">
        <v>428</v>
      </c>
      <c r="D143" t="s">
        <v>1784</v>
      </c>
      <c r="E143">
        <v>2597266</v>
      </c>
      <c r="F143">
        <v>0</v>
      </c>
      <c r="G143">
        <v>-536242</v>
      </c>
      <c r="H143">
        <v>2781145</v>
      </c>
      <c r="I143">
        <v>0</v>
      </c>
      <c r="J143">
        <v>22937</v>
      </c>
      <c r="K143">
        <v>23281.547210300429</v>
      </c>
    </row>
    <row r="144" spans="1:11" x14ac:dyDescent="0.2">
      <c r="A144" t="s">
        <v>439</v>
      </c>
      <c r="B144" t="s">
        <v>1285</v>
      </c>
      <c r="C144" t="s">
        <v>1065</v>
      </c>
      <c r="D144" t="s">
        <v>1035</v>
      </c>
      <c r="E144">
        <v>514964</v>
      </c>
      <c r="F144">
        <v>0</v>
      </c>
      <c r="G144">
        <v>7328</v>
      </c>
      <c r="H144">
        <v>85221</v>
      </c>
      <c r="I144">
        <v>437071</v>
      </c>
      <c r="J144">
        <v>0</v>
      </c>
      <c r="K144">
        <v>0</v>
      </c>
    </row>
    <row r="145" spans="1:11" x14ac:dyDescent="0.2">
      <c r="A145" t="s">
        <v>439</v>
      </c>
      <c r="B145" t="s">
        <v>1286</v>
      </c>
      <c r="C145" t="s">
        <v>1065</v>
      </c>
      <c r="D145" t="s">
        <v>1024</v>
      </c>
      <c r="E145">
        <v>7741215</v>
      </c>
      <c r="F145">
        <v>0</v>
      </c>
      <c r="G145">
        <v>-1029058</v>
      </c>
      <c r="H145">
        <v>5183149</v>
      </c>
      <c r="I145">
        <v>1529008</v>
      </c>
      <c r="J145">
        <v>0</v>
      </c>
      <c r="K145">
        <v>0</v>
      </c>
    </row>
    <row r="146" spans="1:11" x14ac:dyDescent="0.2">
      <c r="A146" t="s">
        <v>439</v>
      </c>
      <c r="B146" t="s">
        <v>1565</v>
      </c>
      <c r="C146" t="s">
        <v>1065</v>
      </c>
      <c r="D146" t="s">
        <v>1785</v>
      </c>
      <c r="E146">
        <v>0</v>
      </c>
      <c r="F146">
        <v>0</v>
      </c>
      <c r="G146">
        <v>0</v>
      </c>
      <c r="H146">
        <v>0</v>
      </c>
      <c r="I146">
        <v>0</v>
      </c>
      <c r="J146">
        <v>0</v>
      </c>
      <c r="K146">
        <v>0</v>
      </c>
    </row>
    <row r="147" spans="1:11" x14ac:dyDescent="0.2">
      <c r="A147" t="s">
        <v>439</v>
      </c>
      <c r="B147" t="s">
        <v>1566</v>
      </c>
      <c r="C147" t="s">
        <v>1065</v>
      </c>
      <c r="D147" t="s">
        <v>1786</v>
      </c>
      <c r="E147">
        <v>0</v>
      </c>
      <c r="F147">
        <v>0</v>
      </c>
      <c r="G147">
        <v>0</v>
      </c>
      <c r="H147">
        <v>0</v>
      </c>
      <c r="I147">
        <v>0</v>
      </c>
      <c r="J147">
        <v>0</v>
      </c>
      <c r="K147">
        <v>0</v>
      </c>
    </row>
    <row r="148" spans="1:11" x14ac:dyDescent="0.2">
      <c r="A148" t="s">
        <v>441</v>
      </c>
      <c r="B148" t="s">
        <v>1287</v>
      </c>
      <c r="C148" t="s">
        <v>440</v>
      </c>
      <c r="D148" t="s">
        <v>1787</v>
      </c>
      <c r="E148">
        <v>0</v>
      </c>
      <c r="F148">
        <v>0</v>
      </c>
      <c r="G148">
        <v>0</v>
      </c>
      <c r="H148">
        <v>0</v>
      </c>
      <c r="I148">
        <v>0</v>
      </c>
      <c r="J148">
        <v>0</v>
      </c>
      <c r="K148">
        <v>0</v>
      </c>
    </row>
    <row r="149" spans="1:11" x14ac:dyDescent="0.2">
      <c r="A149" t="s">
        <v>443</v>
      </c>
      <c r="B149" t="s">
        <v>1288</v>
      </c>
      <c r="C149" t="s">
        <v>442</v>
      </c>
      <c r="D149" t="s">
        <v>1036</v>
      </c>
      <c r="E149">
        <v>801942</v>
      </c>
      <c r="F149">
        <v>0</v>
      </c>
      <c r="G149">
        <v>5492</v>
      </c>
      <c r="H149">
        <v>230835</v>
      </c>
      <c r="I149">
        <v>576599</v>
      </c>
      <c r="J149">
        <v>0</v>
      </c>
      <c r="K149">
        <v>0</v>
      </c>
    </row>
    <row r="150" spans="1:11" x14ac:dyDescent="0.2">
      <c r="A150" t="s">
        <v>451</v>
      </c>
      <c r="B150" t="s">
        <v>1289</v>
      </c>
      <c r="C150" t="s">
        <v>450</v>
      </c>
      <c r="D150" t="s">
        <v>1020</v>
      </c>
      <c r="E150">
        <v>0</v>
      </c>
      <c r="F150">
        <v>0</v>
      </c>
      <c r="G150">
        <v>-1737</v>
      </c>
      <c r="H150">
        <v>0</v>
      </c>
      <c r="I150">
        <v>0</v>
      </c>
      <c r="J150">
        <v>200582</v>
      </c>
      <c r="K150">
        <v>203595.03433476394</v>
      </c>
    </row>
    <row r="151" spans="1:11" x14ac:dyDescent="0.2">
      <c r="A151" t="s">
        <v>451</v>
      </c>
      <c r="B151" t="s">
        <v>1290</v>
      </c>
      <c r="C151" t="s">
        <v>450</v>
      </c>
      <c r="D151" t="s">
        <v>1021</v>
      </c>
      <c r="E151">
        <v>0</v>
      </c>
      <c r="F151">
        <v>0</v>
      </c>
      <c r="G151">
        <v>0</v>
      </c>
      <c r="H151">
        <v>0</v>
      </c>
      <c r="I151">
        <v>0</v>
      </c>
      <c r="J151">
        <v>0</v>
      </c>
      <c r="K151">
        <v>0</v>
      </c>
    </row>
    <row r="152" spans="1:11" x14ac:dyDescent="0.2">
      <c r="A152" t="s">
        <v>451</v>
      </c>
      <c r="B152" t="s">
        <v>1291</v>
      </c>
      <c r="C152" t="s">
        <v>450</v>
      </c>
      <c r="D152" t="s">
        <v>1788</v>
      </c>
      <c r="E152">
        <v>0</v>
      </c>
      <c r="F152">
        <v>0</v>
      </c>
      <c r="G152">
        <v>0</v>
      </c>
      <c r="H152">
        <v>0</v>
      </c>
      <c r="I152">
        <v>0</v>
      </c>
      <c r="J152">
        <v>0</v>
      </c>
      <c r="K152">
        <v>0</v>
      </c>
    </row>
    <row r="153" spans="1:11" x14ac:dyDescent="0.2">
      <c r="A153" t="s">
        <v>451</v>
      </c>
      <c r="B153" t="s">
        <v>1292</v>
      </c>
      <c r="C153" t="s">
        <v>450</v>
      </c>
      <c r="D153" t="s">
        <v>1789</v>
      </c>
      <c r="E153">
        <v>0</v>
      </c>
      <c r="F153">
        <v>0</v>
      </c>
      <c r="G153">
        <v>0</v>
      </c>
      <c r="H153">
        <v>0</v>
      </c>
      <c r="I153">
        <v>0</v>
      </c>
      <c r="J153">
        <v>0</v>
      </c>
      <c r="K153">
        <v>0</v>
      </c>
    </row>
    <row r="154" spans="1:11" x14ac:dyDescent="0.2">
      <c r="A154" t="s">
        <v>451</v>
      </c>
      <c r="B154" t="s">
        <v>1293</v>
      </c>
      <c r="C154" t="s">
        <v>450</v>
      </c>
      <c r="D154" t="s">
        <v>1790</v>
      </c>
      <c r="E154">
        <v>0</v>
      </c>
      <c r="F154">
        <v>0</v>
      </c>
      <c r="G154">
        <v>0</v>
      </c>
      <c r="H154">
        <v>0</v>
      </c>
      <c r="I154">
        <v>0</v>
      </c>
      <c r="J154">
        <v>0</v>
      </c>
      <c r="K154">
        <v>0</v>
      </c>
    </row>
    <row r="155" spans="1:11" x14ac:dyDescent="0.2">
      <c r="A155" t="s">
        <v>451</v>
      </c>
      <c r="B155" t="s">
        <v>1294</v>
      </c>
      <c r="C155" t="s">
        <v>450</v>
      </c>
      <c r="D155" t="s">
        <v>1791</v>
      </c>
      <c r="E155">
        <v>0</v>
      </c>
      <c r="F155">
        <v>0</v>
      </c>
      <c r="G155">
        <v>0</v>
      </c>
      <c r="H155">
        <v>0</v>
      </c>
      <c r="I155">
        <v>0</v>
      </c>
      <c r="J155">
        <v>0</v>
      </c>
      <c r="K155">
        <v>0</v>
      </c>
    </row>
    <row r="156" spans="1:11" x14ac:dyDescent="0.2">
      <c r="A156" t="s">
        <v>451</v>
      </c>
      <c r="B156" t="s">
        <v>1295</v>
      </c>
      <c r="C156" t="s">
        <v>450</v>
      </c>
      <c r="D156" t="s">
        <v>1792</v>
      </c>
      <c r="E156">
        <v>0</v>
      </c>
      <c r="F156">
        <v>0</v>
      </c>
      <c r="G156">
        <v>0</v>
      </c>
      <c r="H156">
        <v>0</v>
      </c>
      <c r="I156">
        <v>0</v>
      </c>
      <c r="J156">
        <v>0</v>
      </c>
      <c r="K156">
        <v>0</v>
      </c>
    </row>
    <row r="157" spans="1:11" x14ac:dyDescent="0.2">
      <c r="A157" t="s">
        <v>451</v>
      </c>
      <c r="B157" t="s">
        <v>1567</v>
      </c>
      <c r="C157" t="s">
        <v>450</v>
      </c>
      <c r="D157" t="s">
        <v>1793</v>
      </c>
      <c r="E157">
        <v>0</v>
      </c>
      <c r="F157">
        <v>0</v>
      </c>
      <c r="G157">
        <v>0</v>
      </c>
      <c r="H157">
        <v>0</v>
      </c>
      <c r="I157">
        <v>0</v>
      </c>
      <c r="J157">
        <v>0</v>
      </c>
      <c r="K157">
        <v>0</v>
      </c>
    </row>
    <row r="158" spans="1:11" x14ac:dyDescent="0.2">
      <c r="A158" t="s">
        <v>457</v>
      </c>
      <c r="B158" t="s">
        <v>1296</v>
      </c>
      <c r="C158" t="s">
        <v>456</v>
      </c>
      <c r="D158" t="s">
        <v>1021</v>
      </c>
      <c r="E158">
        <v>1118161</v>
      </c>
      <c r="F158">
        <v>0</v>
      </c>
      <c r="G158">
        <v>-55512</v>
      </c>
      <c r="H158">
        <v>899022</v>
      </c>
      <c r="I158">
        <v>163627</v>
      </c>
      <c r="J158">
        <v>0</v>
      </c>
      <c r="K158">
        <v>0</v>
      </c>
    </row>
    <row r="159" spans="1:11" x14ac:dyDescent="0.2">
      <c r="A159" t="s">
        <v>457</v>
      </c>
      <c r="B159" t="s">
        <v>1297</v>
      </c>
      <c r="C159" t="s">
        <v>456</v>
      </c>
      <c r="D159" t="s">
        <v>1794</v>
      </c>
      <c r="E159">
        <v>937971</v>
      </c>
      <c r="F159">
        <v>0</v>
      </c>
      <c r="G159">
        <v>32588</v>
      </c>
      <c r="H159">
        <v>17957</v>
      </c>
      <c r="I159">
        <v>952602</v>
      </c>
      <c r="J159">
        <v>14473</v>
      </c>
      <c r="K159">
        <v>14690.405579399141</v>
      </c>
    </row>
    <row r="160" spans="1:11" x14ac:dyDescent="0.2">
      <c r="A160" t="s">
        <v>459</v>
      </c>
      <c r="B160" t="s">
        <v>1298</v>
      </c>
      <c r="C160" t="s">
        <v>458</v>
      </c>
      <c r="D160" t="s">
        <v>1795</v>
      </c>
      <c r="E160">
        <v>46535</v>
      </c>
      <c r="F160">
        <v>0</v>
      </c>
      <c r="G160">
        <v>75030</v>
      </c>
      <c r="H160">
        <v>0</v>
      </c>
      <c r="I160">
        <v>121565</v>
      </c>
      <c r="J160">
        <v>206202</v>
      </c>
      <c r="K160">
        <v>209299.45493562231</v>
      </c>
    </row>
    <row r="161" spans="1:11" x14ac:dyDescent="0.2">
      <c r="A161" t="s">
        <v>459</v>
      </c>
      <c r="B161" t="s">
        <v>1299</v>
      </c>
      <c r="C161" t="s">
        <v>458</v>
      </c>
      <c r="D161" t="s">
        <v>1796</v>
      </c>
      <c r="E161">
        <v>0</v>
      </c>
      <c r="F161">
        <v>0</v>
      </c>
      <c r="G161">
        <v>0</v>
      </c>
      <c r="H161">
        <v>0</v>
      </c>
      <c r="I161">
        <v>0</v>
      </c>
      <c r="J161">
        <v>0</v>
      </c>
      <c r="K161">
        <v>0</v>
      </c>
    </row>
    <row r="162" spans="1:11" x14ac:dyDescent="0.2">
      <c r="A162" t="s">
        <v>461</v>
      </c>
      <c r="B162" t="s">
        <v>1300</v>
      </c>
      <c r="C162" t="s">
        <v>460</v>
      </c>
      <c r="D162" t="s">
        <v>1013</v>
      </c>
      <c r="E162">
        <v>638370</v>
      </c>
      <c r="F162">
        <v>0</v>
      </c>
      <c r="G162">
        <v>-92571</v>
      </c>
      <c r="H162">
        <v>184016</v>
      </c>
      <c r="I162">
        <v>361783</v>
      </c>
      <c r="J162">
        <v>0</v>
      </c>
      <c r="K162">
        <v>0</v>
      </c>
    </row>
    <row r="163" spans="1:11" x14ac:dyDescent="0.2">
      <c r="A163" t="s">
        <v>463</v>
      </c>
      <c r="B163" t="s">
        <v>1301</v>
      </c>
      <c r="C163" t="s">
        <v>462</v>
      </c>
      <c r="D163" t="s">
        <v>1037</v>
      </c>
      <c r="E163">
        <v>706051</v>
      </c>
      <c r="F163">
        <v>0</v>
      </c>
      <c r="G163">
        <v>13872</v>
      </c>
      <c r="H163">
        <v>582378</v>
      </c>
      <c r="I163">
        <v>137545</v>
      </c>
      <c r="J163">
        <v>15157</v>
      </c>
      <c r="K163">
        <v>15384.68025751073</v>
      </c>
    </row>
    <row r="164" spans="1:11" x14ac:dyDescent="0.2">
      <c r="A164" t="s">
        <v>469</v>
      </c>
      <c r="B164" t="s">
        <v>1302</v>
      </c>
      <c r="C164" t="s">
        <v>468</v>
      </c>
      <c r="D164" t="s">
        <v>1038</v>
      </c>
      <c r="E164">
        <v>4753435</v>
      </c>
      <c r="F164">
        <v>0</v>
      </c>
      <c r="G164">
        <v>-327095</v>
      </c>
      <c r="H164">
        <v>3165816</v>
      </c>
      <c r="I164">
        <v>1260524</v>
      </c>
      <c r="J164">
        <v>1065891</v>
      </c>
      <c r="K164">
        <v>1081902.2381974249</v>
      </c>
    </row>
    <row r="165" spans="1:11" x14ac:dyDescent="0.2">
      <c r="A165" t="s">
        <v>471</v>
      </c>
      <c r="B165" t="s">
        <v>1303</v>
      </c>
      <c r="C165" t="s">
        <v>470</v>
      </c>
      <c r="D165" t="s">
        <v>1039</v>
      </c>
      <c r="E165">
        <v>117108</v>
      </c>
      <c r="F165">
        <v>0</v>
      </c>
      <c r="G165">
        <v>29781</v>
      </c>
      <c r="H165">
        <v>14511</v>
      </c>
      <c r="I165">
        <v>132378</v>
      </c>
      <c r="J165">
        <v>172567</v>
      </c>
      <c r="K165">
        <v>175159.20815450643</v>
      </c>
    </row>
    <row r="166" spans="1:11" x14ac:dyDescent="0.2">
      <c r="A166" t="s">
        <v>471</v>
      </c>
      <c r="B166" t="s">
        <v>1568</v>
      </c>
      <c r="C166" t="s">
        <v>470</v>
      </c>
      <c r="D166" t="s">
        <v>1797</v>
      </c>
      <c r="E166">
        <v>0</v>
      </c>
      <c r="F166">
        <v>0</v>
      </c>
      <c r="G166">
        <v>0</v>
      </c>
      <c r="H166">
        <v>0</v>
      </c>
      <c r="I166">
        <v>0</v>
      </c>
      <c r="J166">
        <v>0</v>
      </c>
      <c r="K166">
        <v>0</v>
      </c>
    </row>
    <row r="167" spans="1:11" x14ac:dyDescent="0.2">
      <c r="A167" t="s">
        <v>471</v>
      </c>
      <c r="B167" t="s">
        <v>1569</v>
      </c>
      <c r="C167" t="s">
        <v>470</v>
      </c>
      <c r="D167" t="s">
        <v>1798</v>
      </c>
      <c r="E167">
        <v>0</v>
      </c>
      <c r="F167">
        <v>0</v>
      </c>
      <c r="G167">
        <v>0</v>
      </c>
      <c r="H167">
        <v>0</v>
      </c>
      <c r="I167">
        <v>0</v>
      </c>
      <c r="J167">
        <v>0</v>
      </c>
      <c r="K167">
        <v>0</v>
      </c>
    </row>
    <row r="168" spans="1:11" x14ac:dyDescent="0.2">
      <c r="A168" t="s">
        <v>471</v>
      </c>
      <c r="B168" t="s">
        <v>1570</v>
      </c>
      <c r="C168" t="s">
        <v>470</v>
      </c>
      <c r="D168" t="s">
        <v>1799</v>
      </c>
      <c r="E168">
        <v>12343</v>
      </c>
      <c r="F168">
        <v>0</v>
      </c>
      <c r="G168">
        <v>-478</v>
      </c>
      <c r="H168">
        <v>19858</v>
      </c>
      <c r="I168">
        <v>0</v>
      </c>
      <c r="J168">
        <v>6813</v>
      </c>
      <c r="K168">
        <v>6915.3412017167384</v>
      </c>
    </row>
    <row r="169" spans="1:11" x14ac:dyDescent="0.2">
      <c r="A169" t="s">
        <v>475</v>
      </c>
      <c r="B169" t="s">
        <v>1304</v>
      </c>
      <c r="C169" t="s">
        <v>474</v>
      </c>
      <c r="D169" t="s">
        <v>1040</v>
      </c>
      <c r="E169">
        <v>3943092</v>
      </c>
      <c r="F169">
        <v>0</v>
      </c>
      <c r="G169">
        <v>-74162</v>
      </c>
      <c r="H169">
        <v>3980501</v>
      </c>
      <c r="I169">
        <v>0</v>
      </c>
      <c r="J169">
        <v>0</v>
      </c>
      <c r="K169">
        <v>0</v>
      </c>
    </row>
    <row r="170" spans="1:11" x14ac:dyDescent="0.2">
      <c r="A170" t="s">
        <v>475</v>
      </c>
      <c r="B170" t="s">
        <v>1305</v>
      </c>
      <c r="C170" t="s">
        <v>474</v>
      </c>
      <c r="D170" t="s">
        <v>1041</v>
      </c>
      <c r="E170">
        <v>5391581</v>
      </c>
      <c r="F170">
        <v>0</v>
      </c>
      <c r="G170">
        <v>516371</v>
      </c>
      <c r="H170">
        <v>6955778</v>
      </c>
      <c r="I170">
        <v>0</v>
      </c>
      <c r="J170">
        <v>0</v>
      </c>
      <c r="K170">
        <v>0</v>
      </c>
    </row>
    <row r="171" spans="1:11" x14ac:dyDescent="0.2">
      <c r="A171" t="s">
        <v>489</v>
      </c>
      <c r="B171" t="s">
        <v>1571</v>
      </c>
      <c r="C171" t="s">
        <v>488</v>
      </c>
      <c r="D171" t="s">
        <v>1800</v>
      </c>
      <c r="E171">
        <v>0</v>
      </c>
      <c r="F171">
        <v>0</v>
      </c>
      <c r="G171">
        <v>0</v>
      </c>
      <c r="H171">
        <v>528465</v>
      </c>
      <c r="I171">
        <v>0</v>
      </c>
      <c r="J171">
        <v>0</v>
      </c>
      <c r="K171">
        <v>0</v>
      </c>
    </row>
    <row r="172" spans="1:11" x14ac:dyDescent="0.2">
      <c r="A172" t="s">
        <v>497</v>
      </c>
      <c r="B172" t="s">
        <v>1572</v>
      </c>
      <c r="C172" t="s">
        <v>496</v>
      </c>
      <c r="D172" t="s">
        <v>1801</v>
      </c>
      <c r="E172">
        <v>386179</v>
      </c>
      <c r="F172">
        <v>0</v>
      </c>
      <c r="G172">
        <v>-37009</v>
      </c>
      <c r="H172">
        <v>263396</v>
      </c>
      <c r="I172">
        <v>85774</v>
      </c>
      <c r="J172">
        <v>0</v>
      </c>
      <c r="K172">
        <v>0</v>
      </c>
    </row>
    <row r="173" spans="1:11" x14ac:dyDescent="0.2">
      <c r="A173" t="s">
        <v>503</v>
      </c>
      <c r="B173" t="s">
        <v>1306</v>
      </c>
      <c r="C173" t="s">
        <v>502</v>
      </c>
      <c r="D173" t="s">
        <v>1027</v>
      </c>
      <c r="E173">
        <v>2250026</v>
      </c>
      <c r="F173">
        <v>0</v>
      </c>
      <c r="G173">
        <v>-157904</v>
      </c>
      <c r="H173">
        <v>0</v>
      </c>
      <c r="I173">
        <v>2092122</v>
      </c>
      <c r="J173">
        <v>0</v>
      </c>
      <c r="K173">
        <v>0</v>
      </c>
    </row>
    <row r="174" spans="1:11" x14ac:dyDescent="0.2">
      <c r="A174" t="s">
        <v>509</v>
      </c>
      <c r="B174" t="s">
        <v>1307</v>
      </c>
      <c r="C174" t="s">
        <v>508</v>
      </c>
      <c r="D174" t="s">
        <v>1023</v>
      </c>
      <c r="E174">
        <v>2165084</v>
      </c>
      <c r="F174">
        <v>46367</v>
      </c>
      <c r="G174">
        <v>-21343</v>
      </c>
      <c r="H174">
        <v>1840050</v>
      </c>
      <c r="I174">
        <v>257324</v>
      </c>
      <c r="J174">
        <v>0</v>
      </c>
      <c r="K174">
        <v>0</v>
      </c>
    </row>
    <row r="175" spans="1:11" x14ac:dyDescent="0.2">
      <c r="A175" t="s">
        <v>523</v>
      </c>
      <c r="B175" t="s">
        <v>1308</v>
      </c>
      <c r="C175" t="s">
        <v>522</v>
      </c>
      <c r="D175" t="s">
        <v>1017</v>
      </c>
      <c r="E175">
        <v>574299</v>
      </c>
      <c r="F175">
        <v>0</v>
      </c>
      <c r="G175">
        <v>-503</v>
      </c>
      <c r="H175">
        <v>321615</v>
      </c>
      <c r="I175">
        <v>252181</v>
      </c>
      <c r="J175">
        <v>205817</v>
      </c>
      <c r="K175">
        <v>208908.67167381974</v>
      </c>
    </row>
    <row r="176" spans="1:11" x14ac:dyDescent="0.2">
      <c r="A176" t="s">
        <v>527</v>
      </c>
      <c r="B176" t="s">
        <v>1573</v>
      </c>
      <c r="C176" t="s">
        <v>526</v>
      </c>
      <c r="D176" t="s">
        <v>1802</v>
      </c>
      <c r="E176">
        <v>717514</v>
      </c>
      <c r="F176">
        <v>0</v>
      </c>
      <c r="G176">
        <v>1517</v>
      </c>
      <c r="H176">
        <v>602682</v>
      </c>
      <c r="I176">
        <v>116349</v>
      </c>
      <c r="J176">
        <v>0</v>
      </c>
      <c r="K176">
        <v>0</v>
      </c>
    </row>
    <row r="177" spans="1:11" x14ac:dyDescent="0.2">
      <c r="A177" t="s">
        <v>543</v>
      </c>
      <c r="B177" t="s">
        <v>1574</v>
      </c>
      <c r="C177" t="s">
        <v>542</v>
      </c>
      <c r="D177" t="s">
        <v>1803</v>
      </c>
      <c r="E177">
        <v>17242</v>
      </c>
      <c r="F177">
        <v>0</v>
      </c>
      <c r="G177">
        <v>0</v>
      </c>
      <c r="H177">
        <v>20741</v>
      </c>
      <c r="I177">
        <v>0</v>
      </c>
      <c r="J177">
        <v>0</v>
      </c>
      <c r="K177">
        <v>0</v>
      </c>
    </row>
    <row r="178" spans="1:11" x14ac:dyDescent="0.2">
      <c r="A178" t="s">
        <v>551</v>
      </c>
      <c r="B178" t="s">
        <v>1309</v>
      </c>
      <c r="C178" t="s">
        <v>550</v>
      </c>
      <c r="D178" t="s">
        <v>1017</v>
      </c>
      <c r="E178">
        <v>2649709</v>
      </c>
      <c r="F178">
        <v>0</v>
      </c>
      <c r="G178">
        <v>-183353</v>
      </c>
      <c r="H178">
        <v>1708539</v>
      </c>
      <c r="I178">
        <v>757817</v>
      </c>
      <c r="J178">
        <v>-4167</v>
      </c>
      <c r="K178">
        <v>-4229.594420600858</v>
      </c>
    </row>
    <row r="179" spans="1:11" x14ac:dyDescent="0.2">
      <c r="A179" t="s">
        <v>551</v>
      </c>
      <c r="B179" t="s">
        <v>1310</v>
      </c>
      <c r="C179" t="s">
        <v>550</v>
      </c>
      <c r="D179" t="s">
        <v>1024</v>
      </c>
      <c r="E179">
        <v>-191440</v>
      </c>
      <c r="F179">
        <v>0</v>
      </c>
      <c r="G179">
        <v>-81198</v>
      </c>
      <c r="H179">
        <v>1604725</v>
      </c>
      <c r="I179">
        <v>0</v>
      </c>
      <c r="J179">
        <v>0</v>
      </c>
      <c r="K179">
        <v>0</v>
      </c>
    </row>
    <row r="180" spans="1:11" x14ac:dyDescent="0.2">
      <c r="A180" t="s">
        <v>563</v>
      </c>
      <c r="B180" t="s">
        <v>1311</v>
      </c>
      <c r="C180" t="s">
        <v>562</v>
      </c>
      <c r="D180" t="s">
        <v>1804</v>
      </c>
      <c r="E180">
        <v>0</v>
      </c>
      <c r="F180">
        <v>0</v>
      </c>
      <c r="G180">
        <v>0</v>
      </c>
      <c r="H180">
        <v>0</v>
      </c>
      <c r="I180">
        <v>0</v>
      </c>
      <c r="J180">
        <v>0</v>
      </c>
      <c r="K180">
        <v>0</v>
      </c>
    </row>
    <row r="181" spans="1:11" x14ac:dyDescent="0.2">
      <c r="A181" t="s">
        <v>563</v>
      </c>
      <c r="B181" t="s">
        <v>1312</v>
      </c>
      <c r="C181" t="s">
        <v>562</v>
      </c>
      <c r="D181" t="s">
        <v>1805</v>
      </c>
      <c r="E181">
        <v>560807</v>
      </c>
      <c r="F181">
        <v>0</v>
      </c>
      <c r="G181">
        <v>0</v>
      </c>
      <c r="H181">
        <v>0</v>
      </c>
      <c r="I181">
        <v>560807</v>
      </c>
      <c r="J181">
        <v>0</v>
      </c>
      <c r="K181">
        <v>0</v>
      </c>
    </row>
    <row r="182" spans="1:11" x14ac:dyDescent="0.2">
      <c r="A182" t="s">
        <v>563</v>
      </c>
      <c r="B182" t="s">
        <v>1313</v>
      </c>
      <c r="C182" t="s">
        <v>562</v>
      </c>
      <c r="D182" t="s">
        <v>1806</v>
      </c>
      <c r="E182">
        <v>0</v>
      </c>
      <c r="F182">
        <v>0</v>
      </c>
      <c r="G182">
        <v>0</v>
      </c>
      <c r="H182">
        <v>0</v>
      </c>
      <c r="I182">
        <v>0</v>
      </c>
      <c r="J182">
        <v>0</v>
      </c>
      <c r="K182">
        <v>0</v>
      </c>
    </row>
    <row r="183" spans="1:11" x14ac:dyDescent="0.2">
      <c r="A183" t="s">
        <v>567</v>
      </c>
      <c r="B183" t="s">
        <v>1314</v>
      </c>
      <c r="C183" t="s">
        <v>566</v>
      </c>
      <c r="D183" t="s">
        <v>1013</v>
      </c>
      <c r="E183">
        <v>10358587</v>
      </c>
      <c r="F183">
        <v>343218</v>
      </c>
      <c r="G183">
        <v>-158993</v>
      </c>
      <c r="H183">
        <v>693418</v>
      </c>
      <c r="I183">
        <v>9162958</v>
      </c>
      <c r="J183">
        <v>0</v>
      </c>
      <c r="K183">
        <v>0</v>
      </c>
    </row>
    <row r="184" spans="1:11" x14ac:dyDescent="0.2">
      <c r="A184" t="s">
        <v>577</v>
      </c>
      <c r="B184" t="s">
        <v>1315</v>
      </c>
      <c r="C184" t="s">
        <v>576</v>
      </c>
      <c r="D184" t="s">
        <v>1807</v>
      </c>
      <c r="E184">
        <v>-3123</v>
      </c>
      <c r="F184">
        <v>0</v>
      </c>
      <c r="G184">
        <v>-11930</v>
      </c>
      <c r="H184">
        <v>197644</v>
      </c>
      <c r="I184">
        <v>0</v>
      </c>
      <c r="J184">
        <v>224316</v>
      </c>
      <c r="K184">
        <v>227685.55364806866</v>
      </c>
    </row>
    <row r="185" spans="1:11" x14ac:dyDescent="0.2">
      <c r="A185" t="s">
        <v>581</v>
      </c>
      <c r="B185" t="s">
        <v>1316</v>
      </c>
      <c r="C185" t="s">
        <v>580</v>
      </c>
      <c r="D185" t="s">
        <v>1808</v>
      </c>
      <c r="E185">
        <v>0</v>
      </c>
      <c r="F185">
        <v>0</v>
      </c>
      <c r="G185">
        <v>0</v>
      </c>
      <c r="H185">
        <v>0</v>
      </c>
      <c r="I185">
        <v>0</v>
      </c>
      <c r="J185">
        <v>0</v>
      </c>
      <c r="K185">
        <v>0</v>
      </c>
    </row>
    <row r="186" spans="1:11" x14ac:dyDescent="0.2">
      <c r="A186" t="s">
        <v>581</v>
      </c>
      <c r="B186" t="s">
        <v>1317</v>
      </c>
      <c r="C186" t="s">
        <v>580</v>
      </c>
      <c r="D186" t="s">
        <v>1809</v>
      </c>
      <c r="E186">
        <v>43589</v>
      </c>
      <c r="F186">
        <v>0</v>
      </c>
      <c r="G186">
        <v>0</v>
      </c>
      <c r="H186">
        <v>43554</v>
      </c>
      <c r="I186">
        <v>35</v>
      </c>
      <c r="J186">
        <v>0</v>
      </c>
      <c r="K186">
        <v>0</v>
      </c>
    </row>
    <row r="187" spans="1:11" x14ac:dyDescent="0.2">
      <c r="A187" t="s">
        <v>581</v>
      </c>
      <c r="B187" t="s">
        <v>1318</v>
      </c>
      <c r="C187" t="s">
        <v>580</v>
      </c>
      <c r="D187" t="s">
        <v>1810</v>
      </c>
      <c r="E187">
        <v>0</v>
      </c>
      <c r="F187">
        <v>0</v>
      </c>
      <c r="G187">
        <v>0</v>
      </c>
      <c r="H187">
        <v>0</v>
      </c>
      <c r="I187">
        <v>0</v>
      </c>
      <c r="J187">
        <v>0</v>
      </c>
      <c r="K187">
        <v>0</v>
      </c>
    </row>
    <row r="188" spans="1:11" x14ac:dyDescent="0.2">
      <c r="A188" t="s">
        <v>581</v>
      </c>
      <c r="B188" t="s">
        <v>1319</v>
      </c>
      <c r="C188" t="s">
        <v>580</v>
      </c>
      <c r="D188" t="s">
        <v>1811</v>
      </c>
      <c r="E188">
        <v>188884</v>
      </c>
      <c r="F188">
        <v>0</v>
      </c>
      <c r="G188">
        <v>-1116</v>
      </c>
      <c r="H188">
        <v>139361</v>
      </c>
      <c r="I188">
        <v>48407</v>
      </c>
      <c r="J188">
        <v>0</v>
      </c>
      <c r="K188">
        <v>0</v>
      </c>
    </row>
    <row r="189" spans="1:11" x14ac:dyDescent="0.2">
      <c r="A189" t="s">
        <v>583</v>
      </c>
      <c r="B189" t="s">
        <v>1320</v>
      </c>
      <c r="C189" t="s">
        <v>582</v>
      </c>
      <c r="D189" t="s">
        <v>1023</v>
      </c>
      <c r="E189">
        <v>0</v>
      </c>
      <c r="F189">
        <v>0</v>
      </c>
      <c r="G189">
        <v>0</v>
      </c>
      <c r="H189">
        <v>0</v>
      </c>
      <c r="I189">
        <v>0</v>
      </c>
      <c r="J189">
        <v>0</v>
      </c>
      <c r="K189">
        <v>0</v>
      </c>
    </row>
    <row r="190" spans="1:11" x14ac:dyDescent="0.2">
      <c r="A190" t="s">
        <v>587</v>
      </c>
      <c r="B190" t="s">
        <v>1321</v>
      </c>
      <c r="C190" t="s">
        <v>586</v>
      </c>
      <c r="D190" t="s">
        <v>1042</v>
      </c>
      <c r="E190">
        <v>2513465</v>
      </c>
      <c r="F190">
        <v>0</v>
      </c>
      <c r="G190">
        <v>-146019</v>
      </c>
      <c r="H190">
        <v>0</v>
      </c>
      <c r="I190">
        <v>2367446</v>
      </c>
      <c r="J190">
        <v>76496</v>
      </c>
      <c r="K190">
        <v>77645.081545064371</v>
      </c>
    </row>
    <row r="191" spans="1:11" x14ac:dyDescent="0.2">
      <c r="A191" t="s">
        <v>589</v>
      </c>
      <c r="B191" t="s">
        <v>1575</v>
      </c>
      <c r="C191" t="s">
        <v>588</v>
      </c>
      <c r="D191" t="s">
        <v>1812</v>
      </c>
      <c r="E191">
        <v>0</v>
      </c>
      <c r="F191">
        <v>0</v>
      </c>
      <c r="G191">
        <v>0</v>
      </c>
      <c r="H191">
        <v>0</v>
      </c>
      <c r="I191">
        <v>0</v>
      </c>
      <c r="J191">
        <v>0</v>
      </c>
      <c r="K191">
        <v>0</v>
      </c>
    </row>
    <row r="192" spans="1:11" x14ac:dyDescent="0.2">
      <c r="A192" t="s">
        <v>589</v>
      </c>
      <c r="B192" t="s">
        <v>1576</v>
      </c>
      <c r="C192" t="s">
        <v>588</v>
      </c>
      <c r="D192" t="s">
        <v>1813</v>
      </c>
      <c r="E192">
        <v>0</v>
      </c>
      <c r="F192">
        <v>0</v>
      </c>
      <c r="G192">
        <v>0</v>
      </c>
      <c r="H192">
        <v>0</v>
      </c>
      <c r="I192">
        <v>0</v>
      </c>
      <c r="J192">
        <v>0</v>
      </c>
      <c r="K192">
        <v>0</v>
      </c>
    </row>
    <row r="193" spans="1:11" x14ac:dyDescent="0.2">
      <c r="A193" t="s">
        <v>599</v>
      </c>
      <c r="B193" t="s">
        <v>1577</v>
      </c>
      <c r="C193" t="s">
        <v>598</v>
      </c>
      <c r="D193" t="s">
        <v>1814</v>
      </c>
      <c r="E193">
        <v>34047</v>
      </c>
      <c r="F193">
        <v>0</v>
      </c>
      <c r="G193">
        <v>-687</v>
      </c>
      <c r="H193">
        <v>40656</v>
      </c>
      <c r="I193">
        <v>0</v>
      </c>
      <c r="J193">
        <v>0</v>
      </c>
      <c r="K193">
        <v>0</v>
      </c>
    </row>
    <row r="194" spans="1:11" x14ac:dyDescent="0.2">
      <c r="A194" t="s">
        <v>599</v>
      </c>
      <c r="B194" t="s">
        <v>1578</v>
      </c>
      <c r="C194" t="s">
        <v>598</v>
      </c>
      <c r="D194" t="s">
        <v>1815</v>
      </c>
      <c r="E194">
        <v>880842</v>
      </c>
      <c r="F194">
        <v>0</v>
      </c>
      <c r="G194">
        <v>-15105</v>
      </c>
      <c r="H194">
        <v>865737</v>
      </c>
      <c r="I194">
        <v>0</v>
      </c>
      <c r="J194">
        <v>0</v>
      </c>
      <c r="K194">
        <v>0</v>
      </c>
    </row>
    <row r="195" spans="1:11" x14ac:dyDescent="0.2">
      <c r="A195" t="s">
        <v>599</v>
      </c>
      <c r="B195" t="s">
        <v>1579</v>
      </c>
      <c r="C195" t="s">
        <v>598</v>
      </c>
      <c r="D195" t="s">
        <v>1816</v>
      </c>
      <c r="E195">
        <v>232442</v>
      </c>
      <c r="F195">
        <v>0</v>
      </c>
      <c r="G195">
        <v>-136782</v>
      </c>
      <c r="H195">
        <v>90719</v>
      </c>
      <c r="I195">
        <v>4941</v>
      </c>
      <c r="J195">
        <v>0</v>
      </c>
      <c r="K195">
        <v>0</v>
      </c>
    </row>
    <row r="196" spans="1:11" x14ac:dyDescent="0.2">
      <c r="A196" t="s">
        <v>601</v>
      </c>
      <c r="B196" t="s">
        <v>1322</v>
      </c>
      <c r="C196" t="s">
        <v>600</v>
      </c>
      <c r="D196" t="s">
        <v>1817</v>
      </c>
      <c r="E196">
        <v>0</v>
      </c>
      <c r="F196">
        <v>0</v>
      </c>
      <c r="G196">
        <v>0</v>
      </c>
      <c r="H196">
        <v>0</v>
      </c>
      <c r="I196">
        <v>0</v>
      </c>
      <c r="J196">
        <v>0</v>
      </c>
      <c r="K196">
        <v>0</v>
      </c>
    </row>
    <row r="197" spans="1:11" x14ac:dyDescent="0.2">
      <c r="A197" t="s">
        <v>601</v>
      </c>
      <c r="B197" t="s">
        <v>1323</v>
      </c>
      <c r="C197" t="s">
        <v>600</v>
      </c>
      <c r="D197" t="s">
        <v>1818</v>
      </c>
      <c r="E197">
        <v>0</v>
      </c>
      <c r="F197">
        <v>0</v>
      </c>
      <c r="G197">
        <v>0</v>
      </c>
      <c r="H197">
        <v>0</v>
      </c>
      <c r="I197">
        <v>0</v>
      </c>
      <c r="J197">
        <v>0</v>
      </c>
      <c r="K197">
        <v>0</v>
      </c>
    </row>
    <row r="198" spans="1:11" x14ac:dyDescent="0.2">
      <c r="A198" t="s">
        <v>611</v>
      </c>
      <c r="B198" t="s">
        <v>1580</v>
      </c>
      <c r="C198" t="s">
        <v>610</v>
      </c>
      <c r="D198" t="s">
        <v>1043</v>
      </c>
      <c r="E198">
        <v>0</v>
      </c>
      <c r="F198">
        <v>0</v>
      </c>
      <c r="G198">
        <v>0</v>
      </c>
      <c r="H198">
        <v>0</v>
      </c>
      <c r="I198">
        <v>0</v>
      </c>
      <c r="J198">
        <v>0</v>
      </c>
      <c r="K198">
        <v>0</v>
      </c>
    </row>
    <row r="199" spans="1:11" x14ac:dyDescent="0.2">
      <c r="A199" t="s">
        <v>613</v>
      </c>
      <c r="B199" t="s">
        <v>1324</v>
      </c>
      <c r="C199" t="s">
        <v>612</v>
      </c>
      <c r="D199" t="s">
        <v>1027</v>
      </c>
      <c r="E199">
        <v>219408</v>
      </c>
      <c r="F199">
        <v>0</v>
      </c>
      <c r="G199">
        <v>-64721</v>
      </c>
      <c r="H199">
        <v>0</v>
      </c>
      <c r="I199">
        <v>154687</v>
      </c>
      <c r="J199">
        <v>81286</v>
      </c>
      <c r="K199">
        <v>82507.034334763943</v>
      </c>
    </row>
    <row r="200" spans="1:11" x14ac:dyDescent="0.2">
      <c r="A200" t="s">
        <v>613</v>
      </c>
      <c r="B200" t="s">
        <v>1325</v>
      </c>
      <c r="C200" t="s">
        <v>612</v>
      </c>
      <c r="D200" t="s">
        <v>1819</v>
      </c>
      <c r="E200">
        <v>14824</v>
      </c>
      <c r="F200">
        <v>0</v>
      </c>
      <c r="G200">
        <v>-28556</v>
      </c>
      <c r="H200">
        <v>72460</v>
      </c>
      <c r="I200">
        <v>0</v>
      </c>
      <c r="J200">
        <v>4298</v>
      </c>
      <c r="K200">
        <v>4362.5622317596562</v>
      </c>
    </row>
    <row r="201" spans="1:11" x14ac:dyDescent="0.2">
      <c r="A201" t="s">
        <v>615</v>
      </c>
      <c r="B201" t="s">
        <v>1326</v>
      </c>
      <c r="C201" t="s">
        <v>614</v>
      </c>
      <c r="D201" t="s">
        <v>1820</v>
      </c>
      <c r="E201">
        <v>279425</v>
      </c>
      <c r="F201">
        <v>0</v>
      </c>
      <c r="G201">
        <v>0</v>
      </c>
      <c r="H201">
        <v>271200</v>
      </c>
      <c r="I201">
        <v>8225</v>
      </c>
      <c r="J201">
        <v>0</v>
      </c>
      <c r="K201">
        <v>0</v>
      </c>
    </row>
    <row r="202" spans="1:11" x14ac:dyDescent="0.2">
      <c r="A202" t="s">
        <v>615</v>
      </c>
      <c r="B202" t="s">
        <v>1327</v>
      </c>
      <c r="C202" t="s">
        <v>614</v>
      </c>
      <c r="D202" t="s">
        <v>1821</v>
      </c>
      <c r="E202">
        <v>0</v>
      </c>
      <c r="F202">
        <v>0</v>
      </c>
      <c r="G202">
        <v>0</v>
      </c>
      <c r="H202">
        <v>0</v>
      </c>
      <c r="I202">
        <v>0</v>
      </c>
      <c r="J202">
        <v>0</v>
      </c>
      <c r="K202">
        <v>0</v>
      </c>
    </row>
    <row r="203" spans="1:11" x14ac:dyDescent="0.2">
      <c r="A203" t="s">
        <v>615</v>
      </c>
      <c r="B203" t="s">
        <v>1328</v>
      </c>
      <c r="C203" t="s">
        <v>614</v>
      </c>
      <c r="D203" t="s">
        <v>1822</v>
      </c>
      <c r="E203">
        <v>235181</v>
      </c>
      <c r="F203">
        <v>0</v>
      </c>
      <c r="G203">
        <v>0</v>
      </c>
      <c r="H203">
        <v>47823</v>
      </c>
      <c r="I203">
        <v>187358</v>
      </c>
      <c r="J203">
        <v>0</v>
      </c>
      <c r="K203">
        <v>0</v>
      </c>
    </row>
    <row r="204" spans="1:11" x14ac:dyDescent="0.2">
      <c r="A204" t="s">
        <v>615</v>
      </c>
      <c r="B204" t="s">
        <v>1329</v>
      </c>
      <c r="C204" t="s">
        <v>614</v>
      </c>
      <c r="D204" t="s">
        <v>1823</v>
      </c>
      <c r="E204">
        <v>278064</v>
      </c>
      <c r="F204">
        <v>0</v>
      </c>
      <c r="G204">
        <v>0</v>
      </c>
      <c r="H204">
        <v>17325</v>
      </c>
      <c r="I204">
        <v>260739</v>
      </c>
      <c r="J204">
        <v>0</v>
      </c>
      <c r="K204">
        <v>0</v>
      </c>
    </row>
    <row r="205" spans="1:11" x14ac:dyDescent="0.2">
      <c r="A205" t="s">
        <v>615</v>
      </c>
      <c r="B205" t="s">
        <v>1330</v>
      </c>
      <c r="C205" t="s">
        <v>614</v>
      </c>
      <c r="D205" t="s">
        <v>1824</v>
      </c>
      <c r="E205">
        <v>43711</v>
      </c>
      <c r="F205">
        <v>0</v>
      </c>
      <c r="G205">
        <v>0</v>
      </c>
      <c r="H205">
        <v>33391</v>
      </c>
      <c r="I205">
        <v>10320</v>
      </c>
      <c r="J205">
        <v>0</v>
      </c>
      <c r="K205">
        <v>0</v>
      </c>
    </row>
    <row r="206" spans="1:11" x14ac:dyDescent="0.2">
      <c r="A206" t="s">
        <v>623</v>
      </c>
      <c r="B206" t="s">
        <v>1331</v>
      </c>
      <c r="C206" t="s">
        <v>622</v>
      </c>
      <c r="D206" t="s">
        <v>1039</v>
      </c>
      <c r="E206">
        <v>854498</v>
      </c>
      <c r="F206">
        <v>0</v>
      </c>
      <c r="G206">
        <v>-12211</v>
      </c>
      <c r="H206">
        <v>134776</v>
      </c>
      <c r="I206">
        <v>707511</v>
      </c>
      <c r="J206">
        <v>0</v>
      </c>
      <c r="K206">
        <v>0</v>
      </c>
    </row>
    <row r="207" spans="1:11" x14ac:dyDescent="0.2">
      <c r="A207" t="s">
        <v>623</v>
      </c>
      <c r="B207" t="s">
        <v>1581</v>
      </c>
      <c r="C207" t="s">
        <v>622</v>
      </c>
      <c r="D207" t="s">
        <v>1825</v>
      </c>
      <c r="E207">
        <v>0</v>
      </c>
      <c r="F207">
        <v>0</v>
      </c>
      <c r="G207">
        <v>0</v>
      </c>
      <c r="H207">
        <v>0</v>
      </c>
      <c r="I207">
        <v>0</v>
      </c>
      <c r="J207">
        <v>0</v>
      </c>
      <c r="K207">
        <v>0</v>
      </c>
    </row>
    <row r="208" spans="1:11" x14ac:dyDescent="0.2">
      <c r="A208" t="s">
        <v>623</v>
      </c>
      <c r="B208" t="s">
        <v>1582</v>
      </c>
      <c r="C208" t="s">
        <v>622</v>
      </c>
      <c r="D208" t="s">
        <v>1826</v>
      </c>
      <c r="E208">
        <v>0</v>
      </c>
      <c r="F208">
        <v>0</v>
      </c>
      <c r="G208">
        <v>0</v>
      </c>
      <c r="H208">
        <v>0</v>
      </c>
      <c r="I208">
        <v>0</v>
      </c>
      <c r="J208">
        <v>0</v>
      </c>
      <c r="K208">
        <v>0</v>
      </c>
    </row>
    <row r="209" spans="1:11" x14ac:dyDescent="0.2">
      <c r="A209" t="s">
        <v>657</v>
      </c>
      <c r="B209" t="s">
        <v>1583</v>
      </c>
      <c r="C209" t="s">
        <v>656</v>
      </c>
      <c r="D209" t="s">
        <v>1781</v>
      </c>
      <c r="E209">
        <v>0</v>
      </c>
      <c r="F209">
        <v>0</v>
      </c>
      <c r="G209">
        <v>0</v>
      </c>
      <c r="H209">
        <v>0</v>
      </c>
      <c r="I209">
        <v>0</v>
      </c>
      <c r="J209">
        <v>0</v>
      </c>
      <c r="K209">
        <v>0</v>
      </c>
    </row>
    <row r="210" spans="1:11" x14ac:dyDescent="0.2">
      <c r="A210" t="s">
        <v>671</v>
      </c>
      <c r="B210" t="s">
        <v>1332</v>
      </c>
      <c r="C210" t="s">
        <v>670</v>
      </c>
      <c r="D210" t="s">
        <v>1044</v>
      </c>
      <c r="E210">
        <v>2662731</v>
      </c>
      <c r="F210">
        <v>0</v>
      </c>
      <c r="G210">
        <v>7862</v>
      </c>
      <c r="H210">
        <v>1269098</v>
      </c>
      <c r="I210">
        <v>1401495</v>
      </c>
      <c r="J210">
        <v>199564</v>
      </c>
      <c r="K210">
        <v>202561.7424892704</v>
      </c>
    </row>
    <row r="211" spans="1:11" x14ac:dyDescent="0.2">
      <c r="A211" t="s">
        <v>671</v>
      </c>
      <c r="B211" t="s">
        <v>1333</v>
      </c>
      <c r="C211" t="s">
        <v>670</v>
      </c>
      <c r="D211" t="s">
        <v>1827</v>
      </c>
      <c r="E211">
        <v>191729</v>
      </c>
      <c r="F211">
        <v>0</v>
      </c>
      <c r="G211">
        <v>-2329</v>
      </c>
      <c r="H211">
        <v>572452</v>
      </c>
      <c r="I211">
        <v>0</v>
      </c>
      <c r="J211">
        <v>0</v>
      </c>
      <c r="K211">
        <v>0</v>
      </c>
    </row>
    <row r="212" spans="1:11" x14ac:dyDescent="0.2">
      <c r="A212" t="s">
        <v>671</v>
      </c>
      <c r="B212" t="s">
        <v>1334</v>
      </c>
      <c r="C212" t="s">
        <v>670</v>
      </c>
      <c r="D212" t="s">
        <v>1828</v>
      </c>
      <c r="E212">
        <v>0</v>
      </c>
      <c r="F212">
        <v>0</v>
      </c>
      <c r="G212">
        <v>0</v>
      </c>
      <c r="H212">
        <v>0</v>
      </c>
      <c r="I212">
        <v>0</v>
      </c>
      <c r="J212">
        <v>0</v>
      </c>
      <c r="K212">
        <v>0</v>
      </c>
    </row>
    <row r="213" spans="1:11" x14ac:dyDescent="0.2">
      <c r="A213" t="s">
        <v>671</v>
      </c>
      <c r="B213" t="s">
        <v>1335</v>
      </c>
      <c r="C213" t="s">
        <v>670</v>
      </c>
      <c r="D213" t="s">
        <v>1829</v>
      </c>
      <c r="E213">
        <v>0</v>
      </c>
      <c r="F213">
        <v>0</v>
      </c>
      <c r="G213">
        <v>0</v>
      </c>
      <c r="H213">
        <v>0</v>
      </c>
      <c r="I213">
        <v>0</v>
      </c>
      <c r="J213">
        <v>0</v>
      </c>
      <c r="K213">
        <v>0</v>
      </c>
    </row>
    <row r="214" spans="1:11" x14ac:dyDescent="0.2">
      <c r="A214" t="s">
        <v>671</v>
      </c>
      <c r="B214" t="s">
        <v>1336</v>
      </c>
      <c r="C214" t="s">
        <v>670</v>
      </c>
      <c r="D214" t="s">
        <v>1830</v>
      </c>
      <c r="E214">
        <v>0</v>
      </c>
      <c r="F214">
        <v>0</v>
      </c>
      <c r="G214">
        <v>0</v>
      </c>
      <c r="H214">
        <v>0</v>
      </c>
      <c r="I214">
        <v>0</v>
      </c>
      <c r="J214">
        <v>0</v>
      </c>
      <c r="K214">
        <v>0</v>
      </c>
    </row>
    <row r="215" spans="1:11" x14ac:dyDescent="0.2">
      <c r="A215" t="s">
        <v>671</v>
      </c>
      <c r="B215" t="s">
        <v>1337</v>
      </c>
      <c r="C215" t="s">
        <v>670</v>
      </c>
      <c r="D215" t="s">
        <v>1831</v>
      </c>
      <c r="E215">
        <v>1188</v>
      </c>
      <c r="F215">
        <v>0</v>
      </c>
      <c r="G215">
        <v>0</v>
      </c>
      <c r="H215">
        <v>1188</v>
      </c>
      <c r="I215">
        <v>0</v>
      </c>
      <c r="J215">
        <v>0</v>
      </c>
      <c r="K215">
        <v>0</v>
      </c>
    </row>
    <row r="216" spans="1:11" x14ac:dyDescent="0.2">
      <c r="A216" t="s">
        <v>671</v>
      </c>
      <c r="B216" t="s">
        <v>1338</v>
      </c>
      <c r="C216" t="s">
        <v>670</v>
      </c>
      <c r="D216" t="s">
        <v>1832</v>
      </c>
      <c r="E216">
        <v>37362</v>
      </c>
      <c r="F216">
        <v>0</v>
      </c>
      <c r="G216">
        <v>0</v>
      </c>
      <c r="H216">
        <v>45381</v>
      </c>
      <c r="I216">
        <v>0</v>
      </c>
      <c r="J216">
        <v>0</v>
      </c>
      <c r="K216">
        <v>0</v>
      </c>
    </row>
    <row r="217" spans="1:11" x14ac:dyDescent="0.2">
      <c r="A217" t="s">
        <v>671</v>
      </c>
      <c r="B217" t="s">
        <v>1339</v>
      </c>
      <c r="C217" t="s">
        <v>670</v>
      </c>
      <c r="D217" t="s">
        <v>1833</v>
      </c>
      <c r="E217">
        <v>228836</v>
      </c>
      <c r="F217">
        <v>0</v>
      </c>
      <c r="G217">
        <v>1781</v>
      </c>
      <c r="H217">
        <v>415832</v>
      </c>
      <c r="I217">
        <v>0</v>
      </c>
      <c r="J217">
        <v>0</v>
      </c>
      <c r="K217">
        <v>0</v>
      </c>
    </row>
    <row r="218" spans="1:11" x14ac:dyDescent="0.2">
      <c r="A218" t="s">
        <v>671</v>
      </c>
      <c r="B218" t="s">
        <v>1340</v>
      </c>
      <c r="C218" t="s">
        <v>670</v>
      </c>
      <c r="D218" t="s">
        <v>1834</v>
      </c>
      <c r="E218">
        <v>0</v>
      </c>
      <c r="F218">
        <v>0</v>
      </c>
      <c r="G218">
        <v>0</v>
      </c>
      <c r="H218">
        <v>62699</v>
      </c>
      <c r="I218">
        <v>0</v>
      </c>
      <c r="J218">
        <v>0</v>
      </c>
      <c r="K218">
        <v>0</v>
      </c>
    </row>
    <row r="219" spans="1:11" x14ac:dyDescent="0.2">
      <c r="A219" t="s">
        <v>671</v>
      </c>
      <c r="B219" t="s">
        <v>1341</v>
      </c>
      <c r="C219" t="s">
        <v>670</v>
      </c>
      <c r="D219" t="s">
        <v>1835</v>
      </c>
      <c r="E219">
        <v>128494</v>
      </c>
      <c r="F219">
        <v>0</v>
      </c>
      <c r="G219">
        <v>-2102</v>
      </c>
      <c r="H219">
        <v>143586</v>
      </c>
      <c r="I219">
        <v>0</v>
      </c>
      <c r="J219">
        <v>17091</v>
      </c>
      <c r="K219">
        <v>17347.731759656654</v>
      </c>
    </row>
    <row r="220" spans="1:11" x14ac:dyDescent="0.2">
      <c r="A220" t="s">
        <v>671</v>
      </c>
      <c r="B220" t="s">
        <v>1342</v>
      </c>
      <c r="C220" t="s">
        <v>670</v>
      </c>
      <c r="D220" t="s">
        <v>1836</v>
      </c>
      <c r="E220">
        <v>51257</v>
      </c>
      <c r="F220">
        <v>0</v>
      </c>
      <c r="G220">
        <v>3211</v>
      </c>
      <c r="H220">
        <v>54922</v>
      </c>
      <c r="I220">
        <v>0</v>
      </c>
      <c r="J220">
        <v>0</v>
      </c>
      <c r="K220">
        <v>0</v>
      </c>
    </row>
    <row r="221" spans="1:11" x14ac:dyDescent="0.2">
      <c r="A221" t="s">
        <v>673</v>
      </c>
      <c r="B221" t="s">
        <v>1584</v>
      </c>
      <c r="C221" t="s">
        <v>672</v>
      </c>
      <c r="D221" t="s">
        <v>1837</v>
      </c>
      <c r="E221">
        <v>0</v>
      </c>
      <c r="F221">
        <v>0</v>
      </c>
      <c r="G221">
        <v>0</v>
      </c>
      <c r="H221">
        <v>0</v>
      </c>
      <c r="I221">
        <v>0</v>
      </c>
      <c r="J221">
        <v>0</v>
      </c>
      <c r="K221">
        <v>0</v>
      </c>
    </row>
    <row r="222" spans="1:11" x14ac:dyDescent="0.2">
      <c r="A222" t="s">
        <v>673</v>
      </c>
      <c r="B222" t="s">
        <v>1585</v>
      </c>
      <c r="C222" t="s">
        <v>672</v>
      </c>
      <c r="D222" t="s">
        <v>1838</v>
      </c>
      <c r="E222">
        <v>7986</v>
      </c>
      <c r="F222">
        <v>0</v>
      </c>
      <c r="G222">
        <v>0</v>
      </c>
      <c r="H222">
        <v>0</v>
      </c>
      <c r="I222">
        <v>7986</v>
      </c>
      <c r="J222">
        <v>37020</v>
      </c>
      <c r="K222">
        <v>37576.094420600857</v>
      </c>
    </row>
    <row r="223" spans="1:11" x14ac:dyDescent="0.2">
      <c r="A223" t="s">
        <v>675</v>
      </c>
      <c r="B223" t="s">
        <v>1343</v>
      </c>
      <c r="C223" t="s">
        <v>674</v>
      </c>
      <c r="D223" t="s">
        <v>1042</v>
      </c>
      <c r="E223">
        <v>193145</v>
      </c>
      <c r="F223">
        <v>0</v>
      </c>
      <c r="G223">
        <v>-5749</v>
      </c>
      <c r="H223">
        <v>170055</v>
      </c>
      <c r="I223">
        <v>17341</v>
      </c>
      <c r="J223">
        <v>17273</v>
      </c>
      <c r="K223">
        <v>17532.46566523605</v>
      </c>
    </row>
    <row r="224" spans="1:11" x14ac:dyDescent="0.2">
      <c r="A224" t="s">
        <v>679</v>
      </c>
      <c r="B224" t="s">
        <v>1344</v>
      </c>
      <c r="C224" t="s">
        <v>678</v>
      </c>
      <c r="D224" t="s">
        <v>1839</v>
      </c>
      <c r="E224">
        <v>1742438</v>
      </c>
      <c r="F224">
        <v>0</v>
      </c>
      <c r="G224">
        <v>425301</v>
      </c>
      <c r="H224">
        <v>4206450</v>
      </c>
      <c r="I224">
        <v>0</v>
      </c>
      <c r="J224">
        <v>0</v>
      </c>
      <c r="K224">
        <v>0</v>
      </c>
    </row>
    <row r="225" spans="1:11" x14ac:dyDescent="0.2">
      <c r="A225" t="s">
        <v>681</v>
      </c>
      <c r="B225" t="s">
        <v>1345</v>
      </c>
      <c r="C225" t="s">
        <v>680</v>
      </c>
      <c r="D225" t="s">
        <v>1840</v>
      </c>
      <c r="E225">
        <v>530742</v>
      </c>
      <c r="F225">
        <v>0</v>
      </c>
      <c r="G225">
        <v>-162522</v>
      </c>
      <c r="H225">
        <v>926543</v>
      </c>
      <c r="I225">
        <v>0</v>
      </c>
      <c r="J225">
        <v>153248</v>
      </c>
      <c r="K225">
        <v>155550.008583691</v>
      </c>
    </row>
    <row r="226" spans="1:11" x14ac:dyDescent="0.2">
      <c r="A226" t="s">
        <v>687</v>
      </c>
      <c r="B226" t="s">
        <v>1346</v>
      </c>
      <c r="C226" t="s">
        <v>686</v>
      </c>
      <c r="D226" t="s">
        <v>1025</v>
      </c>
      <c r="E226">
        <v>218400</v>
      </c>
      <c r="F226">
        <v>0</v>
      </c>
      <c r="G226">
        <v>-7144</v>
      </c>
      <c r="H226">
        <v>0</v>
      </c>
      <c r="I226">
        <v>211256</v>
      </c>
      <c r="J226">
        <v>138536</v>
      </c>
      <c r="K226">
        <v>140617.01287553649</v>
      </c>
    </row>
    <row r="227" spans="1:11" x14ac:dyDescent="0.2">
      <c r="A227" t="s">
        <v>687</v>
      </c>
      <c r="B227" t="s">
        <v>1586</v>
      </c>
      <c r="C227" t="s">
        <v>686</v>
      </c>
      <c r="D227" t="s">
        <v>1841</v>
      </c>
      <c r="E227">
        <v>13408</v>
      </c>
      <c r="F227">
        <v>0</v>
      </c>
      <c r="G227">
        <v>0</v>
      </c>
      <c r="H227">
        <v>13863</v>
      </c>
      <c r="I227">
        <v>0</v>
      </c>
      <c r="J227">
        <v>0</v>
      </c>
      <c r="K227">
        <v>0</v>
      </c>
    </row>
    <row r="228" spans="1:11" x14ac:dyDescent="0.2">
      <c r="A228" t="s">
        <v>687</v>
      </c>
      <c r="B228" t="s">
        <v>1587</v>
      </c>
      <c r="C228" t="s">
        <v>686</v>
      </c>
      <c r="D228" t="s">
        <v>1842</v>
      </c>
      <c r="E228">
        <v>26381</v>
      </c>
      <c r="F228">
        <v>0</v>
      </c>
      <c r="G228">
        <v>-1673</v>
      </c>
      <c r="H228">
        <v>28979</v>
      </c>
      <c r="I228">
        <v>0</v>
      </c>
      <c r="J228">
        <v>27306</v>
      </c>
      <c r="K228">
        <v>27716.175965665236</v>
      </c>
    </row>
    <row r="229" spans="1:11" x14ac:dyDescent="0.2">
      <c r="A229" t="s">
        <v>723</v>
      </c>
      <c r="B229" t="s">
        <v>1347</v>
      </c>
      <c r="C229" t="s">
        <v>722</v>
      </c>
      <c r="D229" t="s">
        <v>1032</v>
      </c>
      <c r="E229">
        <v>0</v>
      </c>
      <c r="F229">
        <v>0</v>
      </c>
      <c r="G229">
        <v>0</v>
      </c>
      <c r="H229">
        <v>0</v>
      </c>
      <c r="I229">
        <v>0</v>
      </c>
      <c r="J229">
        <v>0</v>
      </c>
      <c r="K229">
        <v>0</v>
      </c>
    </row>
    <row r="230" spans="1:11" x14ac:dyDescent="0.2">
      <c r="A230" t="s">
        <v>723</v>
      </c>
      <c r="B230" t="s">
        <v>1348</v>
      </c>
      <c r="C230" t="s">
        <v>722</v>
      </c>
      <c r="D230" t="s">
        <v>1843</v>
      </c>
      <c r="E230">
        <v>832010</v>
      </c>
      <c r="F230">
        <v>0</v>
      </c>
      <c r="G230">
        <v>-26290</v>
      </c>
      <c r="H230">
        <v>877693</v>
      </c>
      <c r="I230">
        <v>0</v>
      </c>
      <c r="J230">
        <v>74250</v>
      </c>
      <c r="K230">
        <v>75365.343347639486</v>
      </c>
    </row>
    <row r="231" spans="1:11" x14ac:dyDescent="0.2">
      <c r="A231" t="s">
        <v>729</v>
      </c>
      <c r="B231" t="s">
        <v>1349</v>
      </c>
      <c r="C231" t="s">
        <v>728</v>
      </c>
      <c r="D231" t="s">
        <v>1042</v>
      </c>
      <c r="E231">
        <v>173179</v>
      </c>
      <c r="F231">
        <v>0</v>
      </c>
      <c r="G231">
        <v>0</v>
      </c>
      <c r="H231">
        <v>97743</v>
      </c>
      <c r="I231">
        <v>75436</v>
      </c>
      <c r="J231">
        <v>19959</v>
      </c>
      <c r="K231">
        <v>20258.813304721029</v>
      </c>
    </row>
    <row r="232" spans="1:11" x14ac:dyDescent="0.2">
      <c r="A232" t="s">
        <v>739</v>
      </c>
      <c r="B232" t="s">
        <v>1350</v>
      </c>
      <c r="C232" t="s">
        <v>738</v>
      </c>
      <c r="D232" t="s">
        <v>1844</v>
      </c>
      <c r="E232">
        <v>2855050</v>
      </c>
      <c r="F232">
        <v>0</v>
      </c>
      <c r="G232">
        <v>-174544</v>
      </c>
      <c r="H232">
        <v>2412509</v>
      </c>
      <c r="I232">
        <v>267997</v>
      </c>
      <c r="J232">
        <v>0</v>
      </c>
      <c r="K232">
        <v>0</v>
      </c>
    </row>
    <row r="233" spans="1:11" x14ac:dyDescent="0.2">
      <c r="A233" t="s">
        <v>743</v>
      </c>
      <c r="B233" t="s">
        <v>1588</v>
      </c>
      <c r="C233" t="s">
        <v>742</v>
      </c>
      <c r="D233" t="s">
        <v>1845</v>
      </c>
      <c r="E233">
        <v>835957</v>
      </c>
      <c r="F233">
        <v>0</v>
      </c>
      <c r="G233">
        <v>433574</v>
      </c>
      <c r="H233">
        <v>745853</v>
      </c>
      <c r="I233">
        <v>523678</v>
      </c>
      <c r="J233">
        <v>0</v>
      </c>
      <c r="K233">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M332"/>
  <sheetViews>
    <sheetView workbookViewId="0"/>
  </sheetViews>
  <sheetFormatPr defaultRowHeight="12.75" x14ac:dyDescent="0.2"/>
  <cols>
    <col min="1" max="1" width="4.28515625" style="214" customWidth="1"/>
    <col min="3" max="3" width="34" customWidth="1"/>
    <col min="4" max="4" width="13.140625" style="600" customWidth="1"/>
    <col min="5" max="5" width="9.42578125" style="600" bestFit="1" customWidth="1"/>
    <col min="6" max="6" width="14.42578125" style="600" customWidth="1"/>
    <col min="7" max="7" width="11.140625" style="600" bestFit="1" customWidth="1"/>
    <col min="8" max="8" width="9.42578125" style="600" bestFit="1" customWidth="1"/>
    <col min="9" max="9" width="11.140625" style="600" bestFit="1" customWidth="1"/>
    <col min="10" max="12" width="9.42578125" style="600" bestFit="1" customWidth="1"/>
    <col min="13" max="13" width="10.140625" style="600" bestFit="1" customWidth="1"/>
    <col min="14" max="14" width="9.42578125" style="600" bestFit="1" customWidth="1"/>
    <col min="15" max="15" width="10.140625" style="600" bestFit="1" customWidth="1"/>
    <col min="16" max="16" width="11.140625" style="600" bestFit="1" customWidth="1"/>
    <col min="17" max="17" width="9.42578125" style="600" bestFit="1" customWidth="1"/>
    <col min="18" max="18" width="12.85546875" style="600" customWidth="1"/>
    <col min="19" max="19" width="13.42578125" style="600" bestFit="1" customWidth="1"/>
    <col min="20" max="20" width="9.7109375" style="600" bestFit="1" customWidth="1"/>
    <col min="21" max="21" width="13.42578125" style="600" bestFit="1" customWidth="1"/>
    <col min="22" max="22" width="9.7109375" style="600" bestFit="1" customWidth="1"/>
    <col min="23" max="23" width="9.42578125" style="600" bestFit="1" customWidth="1"/>
    <col min="24" max="24" width="9.7109375" style="600" bestFit="1" customWidth="1"/>
    <col min="25" max="25" width="10.7109375" style="600" bestFit="1" customWidth="1"/>
    <col min="26" max="26" width="9.42578125" style="600" bestFit="1" customWidth="1"/>
    <col min="27" max="28" width="10.7109375" style="600" bestFit="1" customWidth="1"/>
    <col min="29" max="29" width="9.42578125" style="600" bestFit="1" customWidth="1"/>
    <col min="30" max="30" width="10.7109375" style="600" bestFit="1" customWidth="1"/>
    <col min="31" max="33" width="9.42578125" style="600" bestFit="1" customWidth="1"/>
    <col min="34" max="34" width="11.140625" style="600" bestFit="1" customWidth="1"/>
    <col min="35" max="35" width="9.42578125" style="600" bestFit="1" customWidth="1"/>
    <col min="36" max="36" width="11.140625" style="600" bestFit="1" customWidth="1"/>
    <col min="37" max="37" width="9.7109375" style="600" bestFit="1" customWidth="1"/>
    <col min="38" max="38" width="9.42578125" style="600" bestFit="1" customWidth="1"/>
    <col min="39" max="39" width="9.7109375" style="600" bestFit="1" customWidth="1"/>
    <col min="40" max="40" width="13.42578125" style="600" bestFit="1" customWidth="1"/>
    <col min="41" max="41" width="9.7109375" style="600" bestFit="1" customWidth="1"/>
    <col min="42" max="42" width="13.42578125" style="600" bestFit="1" customWidth="1"/>
    <col min="43" max="43" width="9.7109375" style="600" bestFit="1" customWidth="1"/>
    <col min="44" max="44" width="9.42578125" style="600" bestFit="1" customWidth="1"/>
    <col min="45" max="45" width="9.7109375" style="600" bestFit="1" customWidth="1"/>
    <col min="46" max="46" width="10.7109375" style="600" bestFit="1" customWidth="1"/>
    <col min="47" max="47" width="9.42578125" style="600" bestFit="1" customWidth="1"/>
    <col min="48" max="48" width="10.7109375" style="600" bestFit="1" customWidth="1"/>
    <col min="49" max="51" width="9.42578125" style="600" bestFit="1" customWidth="1"/>
    <col min="52" max="52" width="9.7109375" style="600" bestFit="1" customWidth="1"/>
    <col min="53" max="53" width="9.42578125" style="600" bestFit="1" customWidth="1"/>
    <col min="54" max="54" width="9.7109375" style="600" bestFit="1" customWidth="1"/>
    <col min="55" max="57" width="9.42578125" style="600" bestFit="1" customWidth="1"/>
    <col min="58" max="58" width="13.42578125" style="600" bestFit="1" customWidth="1"/>
    <col min="59" max="59" width="9.7109375" style="600" bestFit="1" customWidth="1"/>
    <col min="60" max="60" width="13.42578125" style="600" bestFit="1" customWidth="1"/>
    <col min="61" max="61" width="10.7109375" style="600" bestFit="1" customWidth="1"/>
    <col min="62" max="62" width="9.42578125" style="600" bestFit="1" customWidth="1"/>
    <col min="63" max="64" width="10.7109375" style="600" bestFit="1" customWidth="1"/>
    <col min="65" max="65" width="9.42578125" style="600" bestFit="1" customWidth="1"/>
    <col min="66" max="66" width="10.7109375" style="600" bestFit="1" customWidth="1"/>
    <col min="67" max="67" width="11.7109375" style="600" bestFit="1" customWidth="1"/>
    <col min="68" max="68" width="10.7109375" style="600" bestFit="1" customWidth="1"/>
    <col min="69" max="69" width="11.7109375" style="600" bestFit="1" customWidth="1"/>
    <col min="70" max="70" width="10.7109375" style="600" bestFit="1" customWidth="1"/>
    <col min="71" max="71" width="9.42578125" style="600" bestFit="1" customWidth="1"/>
    <col min="72" max="72" width="10.7109375" style="600" bestFit="1" customWidth="1"/>
    <col min="73" max="73" width="11.7109375" style="600" bestFit="1" customWidth="1"/>
    <col min="74" max="74" width="10.7109375" style="600" bestFit="1" customWidth="1"/>
    <col min="75" max="75" width="11.7109375" style="600" bestFit="1" customWidth="1"/>
    <col min="76" max="76" width="10.7109375" style="600" bestFit="1" customWidth="1"/>
    <col min="77" max="77" width="9.42578125" style="600" bestFit="1" customWidth="1"/>
    <col min="78" max="78" width="10.7109375" style="600" bestFit="1" customWidth="1"/>
    <col min="79" max="81" width="9.42578125" style="600" bestFit="1" customWidth="1"/>
    <col min="82" max="82" width="10.7109375" style="600" bestFit="1" customWidth="1"/>
    <col min="83" max="83" width="9.42578125" style="600" bestFit="1" customWidth="1"/>
    <col min="84" max="84" width="10.7109375" style="600" bestFit="1" customWidth="1"/>
    <col min="85" max="85" width="9.7109375" style="600" bestFit="1" customWidth="1"/>
    <col min="86" max="86" width="9.42578125" style="600" bestFit="1" customWidth="1"/>
    <col min="87" max="88" width="9.7109375" style="600" bestFit="1" customWidth="1"/>
    <col min="89" max="89" width="9.42578125" style="600" bestFit="1" customWidth="1"/>
    <col min="90" max="90" width="9.7109375" style="600" bestFit="1" customWidth="1"/>
    <col min="91" max="93" width="9.42578125" style="600" bestFit="1" customWidth="1"/>
    <col min="94" max="94" width="9.7109375" style="600" bestFit="1" customWidth="1"/>
    <col min="95" max="95" width="9.42578125" style="600" bestFit="1" customWidth="1"/>
    <col min="96" max="96" width="9.7109375" style="600" bestFit="1" customWidth="1"/>
    <col min="97" max="99" width="9.42578125" style="600" bestFit="1" customWidth="1"/>
    <col min="100" max="100" width="9.7109375" style="600" bestFit="1" customWidth="1"/>
    <col min="101" max="101" width="9.42578125" style="600" bestFit="1" customWidth="1"/>
    <col min="102" max="102" width="9.7109375" style="600" bestFit="1" customWidth="1"/>
    <col min="103" max="105" width="9.42578125" style="600" bestFit="1" customWidth="1"/>
    <col min="106" max="107" width="9.7109375" style="600" bestFit="1" customWidth="1"/>
    <col min="108" max="108" width="10" style="600" customWidth="1"/>
    <col min="109" max="111" width="9.42578125" style="600" bestFit="1" customWidth="1"/>
    <col min="112" max="112" width="14.42578125" style="600" customWidth="1"/>
    <col min="113" max="113" width="13.42578125" style="600" customWidth="1"/>
    <col min="114" max="114" width="10.7109375" style="600" bestFit="1" customWidth="1"/>
    <col min="115" max="115" width="9.7109375" style="600" bestFit="1" customWidth="1"/>
    <col min="116" max="116" width="11.7109375" style="600" bestFit="1" customWidth="1"/>
    <col min="117" max="117" width="9.7109375" style="600" bestFit="1" customWidth="1"/>
    <col min="118" max="118" width="9.42578125" style="600" bestFit="1" customWidth="1"/>
    <col min="119" max="119" width="9.5703125" style="600" customWidth="1"/>
    <col min="120" max="122" width="9.42578125" style="600" bestFit="1" customWidth="1"/>
    <col min="123" max="123" width="10.7109375" style="600" bestFit="1" customWidth="1"/>
    <col min="124" max="124" width="9.42578125" style="600" bestFit="1" customWidth="1"/>
    <col min="125" max="125" width="10.7109375" style="600" bestFit="1" customWidth="1"/>
    <col min="126" max="126" width="9.7109375" style="600" bestFit="1" customWidth="1"/>
    <col min="127" max="127" width="9.42578125" style="600" bestFit="1" customWidth="1"/>
    <col min="128" max="128" width="9.7109375" style="600" bestFit="1" customWidth="1"/>
    <col min="129" max="129" width="11.7109375" style="600" bestFit="1" customWidth="1"/>
    <col min="130" max="130" width="9.42578125" style="600" bestFit="1" customWidth="1"/>
    <col min="131" max="131" width="11.7109375" style="600" bestFit="1" customWidth="1"/>
    <col min="132" max="132" width="9.7109375" style="600" bestFit="1" customWidth="1"/>
    <col min="133" max="133" width="9.42578125" style="600" bestFit="1" customWidth="1"/>
    <col min="134" max="134" width="9.7109375" style="600" bestFit="1" customWidth="1"/>
    <col min="135" max="137" width="9.42578125" style="600" bestFit="1" customWidth="1"/>
    <col min="138" max="155" width="9.7109375" style="600" customWidth="1"/>
    <col min="156" max="156" width="11.7109375" style="600" bestFit="1" customWidth="1"/>
    <col min="157" max="157" width="9.42578125" style="600" bestFit="1" customWidth="1"/>
    <col min="158" max="158" width="11.7109375" style="600" bestFit="1" customWidth="1"/>
    <col min="159" max="159" width="9.7109375" style="600" bestFit="1" customWidth="1"/>
    <col min="160" max="160" width="9.42578125" style="600" bestFit="1" customWidth="1"/>
    <col min="161" max="161" width="9.7109375" style="600" bestFit="1" customWidth="1"/>
    <col min="162" max="164" width="9.42578125" style="600" bestFit="1" customWidth="1"/>
    <col min="165" max="165" width="9.7109375" style="600" bestFit="1" customWidth="1"/>
    <col min="166" max="166" width="9.42578125" style="600" bestFit="1" customWidth="1"/>
    <col min="167" max="167" width="9.7109375" style="600" bestFit="1" customWidth="1"/>
    <col min="168" max="168" width="11.85546875" style="600" customWidth="1"/>
    <col min="169" max="169" width="10.42578125" style="600" customWidth="1"/>
    <col min="170" max="170" width="10.5703125" style="600" customWidth="1"/>
    <col min="171" max="171" width="10" style="600" customWidth="1"/>
    <col min="172" max="172" width="9.42578125" style="600" bestFit="1" customWidth="1"/>
    <col min="173" max="173" width="11.140625" style="600" bestFit="1" customWidth="1"/>
    <col min="174" max="174" width="13.42578125" style="600" bestFit="1" customWidth="1"/>
    <col min="175" max="175" width="9.7109375" style="600" bestFit="1" customWidth="1"/>
    <col min="176" max="176" width="13.42578125" style="600" bestFit="1" customWidth="1"/>
    <col min="177" max="177" width="11.7109375" style="600" bestFit="1" customWidth="1"/>
    <col min="178" max="178" width="10.7109375" style="600" bestFit="1" customWidth="1"/>
    <col min="179" max="179" width="11.7109375" style="600" bestFit="1" customWidth="1"/>
    <col min="180" max="180" width="10.7109375" style="600" bestFit="1" customWidth="1"/>
    <col min="181" max="181" width="9.7109375" style="600" bestFit="1" customWidth="1"/>
    <col min="182" max="183" width="11.7109375" style="600" bestFit="1" customWidth="1"/>
    <col min="184" max="184" width="9.42578125" style="600" bestFit="1" customWidth="1"/>
    <col min="185" max="185" width="11.7109375" style="600" bestFit="1" customWidth="1"/>
    <col min="186" max="186" width="9.7109375" style="600" bestFit="1" customWidth="1"/>
    <col min="187" max="187" width="9.42578125" style="600" bestFit="1" customWidth="1"/>
    <col min="188" max="188" width="9.7109375" style="600" bestFit="1" customWidth="1"/>
    <col min="189" max="189" width="12.140625" style="600" customWidth="1"/>
    <col min="190" max="190" width="11.28515625" style="600" customWidth="1"/>
    <col min="191" max="191" width="10.42578125" style="600" customWidth="1"/>
    <col min="192" max="192" width="13.42578125" style="600" customWidth="1"/>
    <col min="193" max="193" width="10.42578125" style="600" customWidth="1"/>
    <col min="194" max="194" width="14.140625" style="600" customWidth="1"/>
  </cols>
  <sheetData>
    <row r="1" spans="1:195" s="601" customFormat="1" ht="68.25" customHeight="1" x14ac:dyDescent="0.2">
      <c r="B1" s="215"/>
      <c r="C1" s="603"/>
      <c r="D1" s="1054" t="s">
        <v>1487</v>
      </c>
      <c r="E1" s="1054"/>
      <c r="F1" s="1054"/>
      <c r="G1" s="1054" t="s">
        <v>1080</v>
      </c>
      <c r="H1" s="1054"/>
      <c r="I1" s="1054"/>
      <c r="J1" s="1054" t="s">
        <v>1488</v>
      </c>
      <c r="K1" s="1054"/>
      <c r="L1" s="1054"/>
      <c r="M1" s="1054" t="s">
        <v>1081</v>
      </c>
      <c r="N1" s="1054"/>
      <c r="O1" s="1054"/>
      <c r="P1" s="1054" t="s">
        <v>1082</v>
      </c>
      <c r="Q1" s="1054"/>
      <c r="R1" s="1054"/>
      <c r="S1" s="1054" t="s">
        <v>1489</v>
      </c>
      <c r="T1" s="1054"/>
      <c r="U1" s="1054"/>
      <c r="V1" s="1054" t="s">
        <v>1083</v>
      </c>
      <c r="W1" s="1054"/>
      <c r="X1" s="1054"/>
      <c r="Y1" s="1054" t="s">
        <v>1084</v>
      </c>
      <c r="Z1" s="1054"/>
      <c r="AA1" s="1054"/>
      <c r="AB1" s="1054" t="s">
        <v>1490</v>
      </c>
      <c r="AC1" s="1054"/>
      <c r="AD1" s="1054"/>
      <c r="AE1" s="1054" t="s">
        <v>1085</v>
      </c>
      <c r="AF1" s="1054"/>
      <c r="AG1" s="1054"/>
      <c r="AH1" s="1054" t="s">
        <v>1491</v>
      </c>
      <c r="AI1" s="1054"/>
      <c r="AJ1" s="1054"/>
      <c r="AK1" s="1054" t="s">
        <v>1086</v>
      </c>
      <c r="AL1" s="1054"/>
      <c r="AM1" s="1054"/>
      <c r="AN1" s="1054" t="s">
        <v>1492</v>
      </c>
      <c r="AO1" s="1054"/>
      <c r="AP1" s="1054"/>
      <c r="AQ1" s="1054" t="s">
        <v>1087</v>
      </c>
      <c r="AR1" s="1054"/>
      <c r="AS1" s="1054"/>
      <c r="AT1" s="1054" t="s">
        <v>1493</v>
      </c>
      <c r="AU1" s="1054"/>
      <c r="AV1" s="1054"/>
      <c r="AW1" s="1054" t="s">
        <v>1088</v>
      </c>
      <c r="AX1" s="1054"/>
      <c r="AY1" s="1054"/>
      <c r="AZ1" s="1054" t="s">
        <v>1494</v>
      </c>
      <c r="BA1" s="1054"/>
      <c r="BB1" s="1054"/>
      <c r="BC1" s="1054" t="s">
        <v>1089</v>
      </c>
      <c r="BD1" s="1054"/>
      <c r="BE1" s="1054"/>
      <c r="BF1" s="1054" t="s">
        <v>1090</v>
      </c>
      <c r="BG1" s="1054"/>
      <c r="BH1" s="1054"/>
      <c r="BI1" s="1054" t="s">
        <v>1495</v>
      </c>
      <c r="BJ1" s="1054"/>
      <c r="BK1" s="1054"/>
      <c r="BL1" s="1054" t="s">
        <v>1091</v>
      </c>
      <c r="BM1" s="1054"/>
      <c r="BN1" s="1054"/>
      <c r="BO1" s="1054" t="s">
        <v>1496</v>
      </c>
      <c r="BP1" s="1054"/>
      <c r="BQ1" s="1054"/>
      <c r="BR1" s="1054" t="s">
        <v>1092</v>
      </c>
      <c r="BS1" s="1054"/>
      <c r="BT1" s="1054"/>
      <c r="BU1" s="1054" t="s">
        <v>1093</v>
      </c>
      <c r="BV1" s="1054"/>
      <c r="BW1" s="1054"/>
      <c r="BX1" s="1054" t="s">
        <v>1497</v>
      </c>
      <c r="BY1" s="1054"/>
      <c r="BZ1" s="1054"/>
      <c r="CA1" s="1054" t="s">
        <v>1094</v>
      </c>
      <c r="CB1" s="1054"/>
      <c r="CC1" s="1054"/>
      <c r="CD1" s="1054" t="s">
        <v>1498</v>
      </c>
      <c r="CE1" s="1054"/>
      <c r="CF1" s="1054"/>
      <c r="CG1" s="1054" t="s">
        <v>1095</v>
      </c>
      <c r="CH1" s="1054"/>
      <c r="CI1" s="1054"/>
      <c r="CJ1" s="1054" t="s">
        <v>1493</v>
      </c>
      <c r="CK1" s="1054"/>
      <c r="CL1" s="1054"/>
      <c r="CM1" s="1054" t="s">
        <v>1088</v>
      </c>
      <c r="CN1" s="1054"/>
      <c r="CO1" s="1054"/>
      <c r="CP1" s="1054" t="s">
        <v>1499</v>
      </c>
      <c r="CQ1" s="1054"/>
      <c r="CR1" s="1054"/>
      <c r="CS1" s="1054" t="s">
        <v>1096</v>
      </c>
      <c r="CT1" s="1054"/>
      <c r="CU1" s="1054"/>
      <c r="CV1" s="1054" t="s">
        <v>1500</v>
      </c>
      <c r="CW1" s="1054"/>
      <c r="CX1" s="1054"/>
      <c r="CY1" s="1054" t="s">
        <v>1097</v>
      </c>
      <c r="CZ1" s="1054"/>
      <c r="DA1" s="1054"/>
      <c r="DB1" s="1054" t="s">
        <v>1501</v>
      </c>
      <c r="DC1" s="1054"/>
      <c r="DD1" s="1054"/>
      <c r="DE1" s="1054" t="s">
        <v>1098</v>
      </c>
      <c r="DF1" s="1054"/>
      <c r="DG1" s="1054"/>
      <c r="DH1" s="605" t="s">
        <v>90</v>
      </c>
      <c r="DI1" s="605" t="s">
        <v>91</v>
      </c>
      <c r="DJ1" s="1054" t="s">
        <v>1099</v>
      </c>
      <c r="DK1" s="1054"/>
      <c r="DL1" s="1054"/>
      <c r="DM1" s="1054" t="s">
        <v>1503</v>
      </c>
      <c r="DN1" s="1054"/>
      <c r="DO1" s="1054"/>
      <c r="DP1" s="1054" t="s">
        <v>1100</v>
      </c>
      <c r="DQ1" s="1054"/>
      <c r="DR1" s="1054"/>
      <c r="DS1" s="1054" t="s">
        <v>1504</v>
      </c>
      <c r="DT1" s="1054"/>
      <c r="DU1" s="1054"/>
      <c r="DV1" s="1054" t="s">
        <v>1101</v>
      </c>
      <c r="DW1" s="1054"/>
      <c r="DX1" s="1054"/>
      <c r="DY1" s="1054" t="s">
        <v>1502</v>
      </c>
      <c r="DZ1" s="1054"/>
      <c r="EA1" s="1054"/>
      <c r="EB1" s="1054" t="s">
        <v>1505</v>
      </c>
      <c r="EC1" s="1054"/>
      <c r="ED1" s="1054"/>
      <c r="EE1" s="1054" t="s">
        <v>1102</v>
      </c>
      <c r="EF1" s="1054"/>
      <c r="EG1" s="1054"/>
      <c r="EH1" s="1054" t="s">
        <v>1179</v>
      </c>
      <c r="EI1" s="1054"/>
      <c r="EJ1" s="1054"/>
      <c r="EK1" s="1054" t="s">
        <v>1506</v>
      </c>
      <c r="EL1" s="1054"/>
      <c r="EM1" s="1054"/>
      <c r="EN1" s="1055" t="s">
        <v>1507</v>
      </c>
      <c r="EO1" s="1056"/>
      <c r="EP1" s="1057"/>
      <c r="EQ1" s="1055" t="s">
        <v>1508</v>
      </c>
      <c r="ER1" s="1056"/>
      <c r="ES1" s="1057"/>
      <c r="ET1" s="1055" t="s">
        <v>1509</v>
      </c>
      <c r="EU1" s="1056"/>
      <c r="EV1" s="1057"/>
      <c r="EW1" s="1055" t="s">
        <v>1375</v>
      </c>
      <c r="EX1" s="1056"/>
      <c r="EY1" s="1057"/>
      <c r="EZ1" s="1054" t="s">
        <v>1103</v>
      </c>
      <c r="FA1" s="1054"/>
      <c r="FB1" s="1054"/>
      <c r="FC1" s="1054" t="s">
        <v>1180</v>
      </c>
      <c r="FD1" s="1054"/>
      <c r="FE1" s="1054"/>
      <c r="FF1" s="1054" t="s">
        <v>1104</v>
      </c>
      <c r="FG1" s="1054"/>
      <c r="FH1" s="1054"/>
      <c r="FI1" s="1054" t="s">
        <v>1105</v>
      </c>
      <c r="FJ1" s="1054"/>
      <c r="FK1" s="1054"/>
      <c r="FL1" s="1054" t="s">
        <v>1106</v>
      </c>
      <c r="FM1" s="1054"/>
      <c r="FN1" s="1054"/>
      <c r="FO1" s="1054" t="s">
        <v>1107</v>
      </c>
      <c r="FP1" s="1054"/>
      <c r="FQ1" s="1054"/>
      <c r="FR1" s="1054" t="s">
        <v>1108</v>
      </c>
      <c r="FS1" s="1054"/>
      <c r="FT1" s="1054"/>
      <c r="FU1" s="1054" t="s">
        <v>1109</v>
      </c>
      <c r="FV1" s="1054"/>
      <c r="FW1" s="1054"/>
      <c r="FX1" s="1054" t="s">
        <v>1110</v>
      </c>
      <c r="FY1" s="1054"/>
      <c r="FZ1" s="1054"/>
      <c r="GA1" s="1054" t="s">
        <v>1111</v>
      </c>
      <c r="GB1" s="1054"/>
      <c r="GC1" s="1054"/>
      <c r="GD1" s="1054" t="s">
        <v>1112</v>
      </c>
      <c r="GE1" s="1054"/>
      <c r="GF1" s="1054"/>
      <c r="GG1" s="1054" t="s">
        <v>1113</v>
      </c>
      <c r="GH1" s="1054"/>
      <c r="GI1" s="1054"/>
      <c r="GJ1" s="1058" t="s">
        <v>1114</v>
      </c>
      <c r="GK1" s="1058"/>
      <c r="GL1" s="1058"/>
    </row>
    <row r="2" spans="1:195" s="214" customFormat="1" x14ac:dyDescent="0.2">
      <c r="B2" s="215"/>
      <c r="C2" s="214" t="s">
        <v>1049</v>
      </c>
      <c r="D2" s="625">
        <v>1</v>
      </c>
      <c r="E2" s="625"/>
      <c r="F2" s="625"/>
      <c r="G2" s="625">
        <v>2</v>
      </c>
      <c r="H2" s="625"/>
      <c r="I2" s="625"/>
      <c r="J2" s="625">
        <v>3</v>
      </c>
      <c r="K2" s="625"/>
      <c r="L2" s="625"/>
      <c r="M2" s="625">
        <v>4</v>
      </c>
      <c r="N2" s="625"/>
      <c r="O2" s="625"/>
      <c r="P2" s="625">
        <v>5</v>
      </c>
      <c r="Q2" s="625"/>
      <c r="R2" s="625"/>
      <c r="S2" s="625">
        <v>6</v>
      </c>
      <c r="T2" s="625"/>
      <c r="U2" s="625"/>
      <c r="V2" s="625">
        <v>7</v>
      </c>
      <c r="W2" s="625"/>
      <c r="X2" s="625"/>
      <c r="Y2" s="625">
        <v>8</v>
      </c>
      <c r="Z2" s="625"/>
      <c r="AA2" s="625"/>
      <c r="AB2" s="625">
        <v>9</v>
      </c>
      <c r="AC2" s="625"/>
      <c r="AD2" s="625"/>
      <c r="AE2" s="625">
        <v>10</v>
      </c>
      <c r="AF2" s="625"/>
      <c r="AG2" s="625"/>
      <c r="AH2" s="625">
        <v>11</v>
      </c>
      <c r="AI2" s="625"/>
      <c r="AJ2" s="625"/>
      <c r="AK2" s="625">
        <v>12</v>
      </c>
      <c r="AL2" s="625"/>
      <c r="AM2" s="625"/>
      <c r="AN2" s="625">
        <v>13</v>
      </c>
      <c r="AO2" s="625"/>
      <c r="AP2" s="625"/>
      <c r="AQ2" s="625">
        <v>14</v>
      </c>
      <c r="AR2" s="625"/>
      <c r="AS2" s="625"/>
      <c r="AT2" s="625">
        <v>15</v>
      </c>
      <c r="AU2" s="625"/>
      <c r="AV2" s="625"/>
      <c r="AW2" s="625">
        <v>16</v>
      </c>
      <c r="AX2" s="625"/>
      <c r="AY2" s="625"/>
      <c r="AZ2" s="625">
        <v>17</v>
      </c>
      <c r="BA2" s="625"/>
      <c r="BB2" s="625"/>
      <c r="BC2" s="625">
        <v>18</v>
      </c>
      <c r="BD2" s="625"/>
      <c r="BE2" s="625"/>
      <c r="BF2" s="625">
        <v>19</v>
      </c>
      <c r="BG2" s="625"/>
      <c r="BH2" s="625"/>
      <c r="BI2" s="625">
        <v>20</v>
      </c>
      <c r="BJ2" s="625"/>
      <c r="BK2" s="625"/>
      <c r="BL2" s="625">
        <v>21</v>
      </c>
      <c r="BM2" s="625"/>
      <c r="BN2" s="625"/>
      <c r="BO2" s="625">
        <v>22</v>
      </c>
      <c r="BP2" s="625"/>
      <c r="BQ2" s="625"/>
      <c r="BR2" s="625">
        <v>23</v>
      </c>
      <c r="BS2" s="625"/>
      <c r="BT2" s="625"/>
      <c r="BU2" s="625">
        <v>24</v>
      </c>
      <c r="BV2" s="625"/>
      <c r="BW2" s="625"/>
      <c r="BX2" s="625">
        <v>25</v>
      </c>
      <c r="BY2" s="625"/>
      <c r="BZ2" s="625"/>
      <c r="CA2" s="625">
        <v>26</v>
      </c>
      <c r="CB2" s="625"/>
      <c r="CC2" s="625"/>
      <c r="CD2" s="625">
        <v>27</v>
      </c>
      <c r="CE2" s="625"/>
      <c r="CF2" s="625"/>
      <c r="CG2" s="625">
        <v>28</v>
      </c>
      <c r="CH2" s="625"/>
      <c r="CI2" s="625"/>
      <c r="CJ2" s="625">
        <v>29</v>
      </c>
      <c r="CK2" s="625"/>
      <c r="CL2" s="625"/>
      <c r="CM2" s="625">
        <v>30</v>
      </c>
      <c r="CN2" s="625"/>
      <c r="CO2" s="625"/>
      <c r="CP2" s="625">
        <v>31</v>
      </c>
      <c r="CQ2" s="625"/>
      <c r="CR2" s="625"/>
      <c r="CS2" s="625">
        <v>32</v>
      </c>
      <c r="CT2" s="625"/>
      <c r="CU2" s="625"/>
      <c r="CV2" s="625">
        <v>33</v>
      </c>
      <c r="CW2" s="625"/>
      <c r="CX2" s="625"/>
      <c r="CY2" s="625">
        <v>34</v>
      </c>
      <c r="CZ2" s="625"/>
      <c r="DA2" s="625"/>
      <c r="DB2" s="625">
        <v>35</v>
      </c>
      <c r="DC2" s="625"/>
      <c r="DD2" s="625"/>
      <c r="DE2" s="625">
        <v>36</v>
      </c>
      <c r="DF2" s="625"/>
      <c r="DG2" s="625"/>
      <c r="DH2" s="625">
        <v>37</v>
      </c>
      <c r="DI2" s="625">
        <v>38</v>
      </c>
      <c r="DJ2" s="625">
        <v>39</v>
      </c>
      <c r="DK2" s="625"/>
      <c r="DL2" s="625"/>
      <c r="DM2" s="625">
        <v>40</v>
      </c>
      <c r="DN2" s="625"/>
      <c r="DO2" s="625"/>
      <c r="DP2" s="625">
        <v>41</v>
      </c>
      <c r="DQ2" s="625"/>
      <c r="DR2" s="625"/>
      <c r="DS2" s="625">
        <v>42</v>
      </c>
      <c r="DT2" s="625"/>
      <c r="DU2" s="625"/>
      <c r="DV2" s="625">
        <v>43</v>
      </c>
      <c r="DW2" s="625"/>
      <c r="DX2" s="625"/>
      <c r="DY2" s="625">
        <v>44</v>
      </c>
      <c r="DZ2" s="625"/>
      <c r="EA2" s="625"/>
      <c r="EB2" s="625">
        <v>45</v>
      </c>
      <c r="EC2" s="625"/>
      <c r="ED2" s="625"/>
      <c r="EE2" s="625">
        <v>46</v>
      </c>
      <c r="EF2" s="625"/>
      <c r="EG2" s="625"/>
      <c r="EH2" s="625">
        <v>47</v>
      </c>
      <c r="EI2" s="625"/>
      <c r="EJ2" s="625"/>
      <c r="EK2" s="625">
        <v>48</v>
      </c>
      <c r="EL2" s="625"/>
      <c r="EM2" s="625"/>
      <c r="EN2" s="625">
        <v>49</v>
      </c>
      <c r="EO2" s="625"/>
      <c r="EP2" s="625"/>
      <c r="EQ2" s="625">
        <v>50</v>
      </c>
      <c r="ER2" s="625"/>
      <c r="ES2" s="625"/>
      <c r="ET2" s="625">
        <v>51</v>
      </c>
      <c r="EU2" s="625"/>
      <c r="EV2" s="625"/>
      <c r="EW2" s="625">
        <v>52</v>
      </c>
      <c r="EX2" s="625"/>
      <c r="EY2" s="625"/>
      <c r="EZ2" s="625">
        <v>53</v>
      </c>
      <c r="FA2" s="625"/>
      <c r="FB2" s="625"/>
      <c r="FC2" s="625">
        <v>54</v>
      </c>
      <c r="FD2" s="625"/>
      <c r="FE2" s="625"/>
      <c r="FF2" s="625">
        <v>55</v>
      </c>
      <c r="FG2" s="625"/>
      <c r="FH2" s="625"/>
      <c r="FI2" s="625">
        <v>56</v>
      </c>
      <c r="FJ2" s="625"/>
      <c r="FK2" s="625"/>
      <c r="FL2" s="625">
        <v>57</v>
      </c>
      <c r="FM2" s="625"/>
      <c r="FN2" s="625"/>
      <c r="FO2" s="625">
        <v>58</v>
      </c>
      <c r="FP2" s="625"/>
      <c r="FQ2" s="625"/>
      <c r="FR2" s="625">
        <v>59</v>
      </c>
      <c r="FS2" s="625"/>
      <c r="FT2" s="625"/>
      <c r="FU2" s="625">
        <v>60</v>
      </c>
      <c r="FV2" s="625"/>
      <c r="FW2" s="625"/>
      <c r="FX2" s="625">
        <v>61</v>
      </c>
      <c r="FY2" s="625"/>
      <c r="FZ2" s="625"/>
      <c r="GA2" s="625">
        <v>62</v>
      </c>
      <c r="GB2" s="625"/>
      <c r="GC2" s="625"/>
      <c r="GD2" s="625">
        <v>63</v>
      </c>
      <c r="GE2" s="625"/>
      <c r="GF2" s="625"/>
      <c r="GG2" s="625">
        <v>64</v>
      </c>
      <c r="GH2" s="625"/>
      <c r="GI2" s="625"/>
      <c r="GJ2" s="625">
        <v>65</v>
      </c>
      <c r="GK2" s="625"/>
      <c r="GL2" s="625"/>
    </row>
    <row r="3" spans="1:195" s="214" customFormat="1" x14ac:dyDescent="0.2">
      <c r="B3" s="215"/>
      <c r="C3" s="214" t="s">
        <v>1062</v>
      </c>
      <c r="D3" s="625">
        <v>1</v>
      </c>
      <c r="E3" s="625">
        <v>2</v>
      </c>
      <c r="F3" s="625">
        <v>3</v>
      </c>
      <c r="G3" s="625">
        <v>1</v>
      </c>
      <c r="H3" s="625">
        <v>2</v>
      </c>
      <c r="I3" s="625">
        <v>3</v>
      </c>
      <c r="J3" s="625">
        <v>1</v>
      </c>
      <c r="K3" s="625">
        <v>2</v>
      </c>
      <c r="L3" s="625">
        <v>3</v>
      </c>
      <c r="M3" s="625">
        <v>1</v>
      </c>
      <c r="N3" s="625">
        <v>2</v>
      </c>
      <c r="O3" s="625">
        <v>3</v>
      </c>
      <c r="P3" s="625">
        <v>1</v>
      </c>
      <c r="Q3" s="625">
        <v>2</v>
      </c>
      <c r="R3" s="625">
        <v>3</v>
      </c>
      <c r="S3" s="625">
        <v>1</v>
      </c>
      <c r="T3" s="625">
        <v>2</v>
      </c>
      <c r="U3" s="625">
        <v>3</v>
      </c>
      <c r="V3" s="625">
        <v>1</v>
      </c>
      <c r="W3" s="625">
        <v>2</v>
      </c>
      <c r="X3" s="625">
        <v>3</v>
      </c>
      <c r="Y3" s="625">
        <v>1</v>
      </c>
      <c r="Z3" s="625">
        <v>2</v>
      </c>
      <c r="AA3" s="625">
        <v>3</v>
      </c>
      <c r="AB3" s="625">
        <v>1</v>
      </c>
      <c r="AC3" s="625">
        <v>2</v>
      </c>
      <c r="AD3" s="625">
        <v>3</v>
      </c>
      <c r="AE3" s="625">
        <v>1</v>
      </c>
      <c r="AF3" s="625">
        <v>2</v>
      </c>
      <c r="AG3" s="625">
        <v>3</v>
      </c>
      <c r="AH3" s="625">
        <v>1</v>
      </c>
      <c r="AI3" s="625">
        <v>2</v>
      </c>
      <c r="AJ3" s="625">
        <v>3</v>
      </c>
      <c r="AK3" s="625">
        <v>1</v>
      </c>
      <c r="AL3" s="625">
        <v>2</v>
      </c>
      <c r="AM3" s="625">
        <v>3</v>
      </c>
      <c r="AN3" s="625">
        <v>1</v>
      </c>
      <c r="AO3" s="625">
        <v>2</v>
      </c>
      <c r="AP3" s="625">
        <v>3</v>
      </c>
      <c r="AQ3" s="625">
        <v>1</v>
      </c>
      <c r="AR3" s="625">
        <v>2</v>
      </c>
      <c r="AS3" s="625">
        <v>3</v>
      </c>
      <c r="AT3" s="625">
        <v>1</v>
      </c>
      <c r="AU3" s="625">
        <v>2</v>
      </c>
      <c r="AV3" s="625">
        <v>3</v>
      </c>
      <c r="AW3" s="625">
        <v>1</v>
      </c>
      <c r="AX3" s="625">
        <v>2</v>
      </c>
      <c r="AY3" s="625">
        <v>3</v>
      </c>
      <c r="AZ3" s="625">
        <v>1</v>
      </c>
      <c r="BA3" s="625">
        <v>2</v>
      </c>
      <c r="BB3" s="625">
        <v>3</v>
      </c>
      <c r="BC3" s="625">
        <v>1</v>
      </c>
      <c r="BD3" s="625">
        <v>2</v>
      </c>
      <c r="BE3" s="625">
        <v>3</v>
      </c>
      <c r="BF3" s="625">
        <v>1</v>
      </c>
      <c r="BG3" s="625">
        <v>2</v>
      </c>
      <c r="BH3" s="625">
        <v>3</v>
      </c>
      <c r="BI3" s="625">
        <v>1</v>
      </c>
      <c r="BJ3" s="625">
        <v>2</v>
      </c>
      <c r="BK3" s="625">
        <v>3</v>
      </c>
      <c r="BL3" s="625">
        <v>1</v>
      </c>
      <c r="BM3" s="625">
        <v>2</v>
      </c>
      <c r="BN3" s="625">
        <v>3</v>
      </c>
      <c r="BO3" s="625">
        <v>1</v>
      </c>
      <c r="BP3" s="625">
        <v>2</v>
      </c>
      <c r="BQ3" s="625">
        <v>3</v>
      </c>
      <c r="BR3" s="625">
        <v>1</v>
      </c>
      <c r="BS3" s="625">
        <v>2</v>
      </c>
      <c r="BT3" s="625">
        <v>3</v>
      </c>
      <c r="BU3" s="625">
        <v>1</v>
      </c>
      <c r="BV3" s="625">
        <v>2</v>
      </c>
      <c r="BW3" s="625">
        <v>3</v>
      </c>
      <c r="BX3" s="625">
        <v>1</v>
      </c>
      <c r="BY3" s="625">
        <v>2</v>
      </c>
      <c r="BZ3" s="625">
        <v>3</v>
      </c>
      <c r="CA3" s="625">
        <v>1</v>
      </c>
      <c r="CB3" s="625">
        <v>2</v>
      </c>
      <c r="CC3" s="625">
        <v>3</v>
      </c>
      <c r="CD3" s="625">
        <v>1</v>
      </c>
      <c r="CE3" s="625">
        <v>2</v>
      </c>
      <c r="CF3" s="625">
        <v>3</v>
      </c>
      <c r="CG3" s="625">
        <v>1</v>
      </c>
      <c r="CH3" s="625">
        <v>2</v>
      </c>
      <c r="CI3" s="625">
        <v>3</v>
      </c>
      <c r="CJ3" s="625">
        <v>1</v>
      </c>
      <c r="CK3" s="625">
        <v>2</v>
      </c>
      <c r="CL3" s="625">
        <v>3</v>
      </c>
      <c r="CM3" s="625">
        <v>1</v>
      </c>
      <c r="CN3" s="625">
        <v>2</v>
      </c>
      <c r="CO3" s="625">
        <v>3</v>
      </c>
      <c r="CP3" s="625">
        <v>1</v>
      </c>
      <c r="CQ3" s="625">
        <v>2</v>
      </c>
      <c r="CR3" s="625">
        <v>3</v>
      </c>
      <c r="CS3" s="625">
        <v>1</v>
      </c>
      <c r="CT3" s="625">
        <v>2</v>
      </c>
      <c r="CU3" s="625">
        <v>3</v>
      </c>
      <c r="CV3" s="625">
        <v>1</v>
      </c>
      <c r="CW3" s="625">
        <v>2</v>
      </c>
      <c r="CX3" s="625">
        <v>3</v>
      </c>
      <c r="CY3" s="625">
        <v>1</v>
      </c>
      <c r="CZ3" s="625">
        <v>2</v>
      </c>
      <c r="DA3" s="625">
        <v>3</v>
      </c>
      <c r="DB3" s="625">
        <v>1</v>
      </c>
      <c r="DC3" s="625">
        <v>2</v>
      </c>
      <c r="DD3" s="625">
        <v>3</v>
      </c>
      <c r="DE3" s="625">
        <v>1</v>
      </c>
      <c r="DF3" s="625">
        <v>2</v>
      </c>
      <c r="DG3" s="625">
        <v>3</v>
      </c>
      <c r="DH3" s="625">
        <v>2</v>
      </c>
      <c r="DI3" s="625">
        <v>1</v>
      </c>
      <c r="DJ3" s="625">
        <v>1</v>
      </c>
      <c r="DK3" s="625">
        <v>2</v>
      </c>
      <c r="DL3" s="625">
        <v>3</v>
      </c>
      <c r="DM3" s="625">
        <v>1</v>
      </c>
      <c r="DN3" s="625">
        <v>2</v>
      </c>
      <c r="DO3" s="625">
        <v>3</v>
      </c>
      <c r="DP3" s="625">
        <v>1</v>
      </c>
      <c r="DQ3" s="625">
        <v>2</v>
      </c>
      <c r="DR3" s="625">
        <v>3</v>
      </c>
      <c r="DS3" s="625">
        <v>1</v>
      </c>
      <c r="DT3" s="625">
        <v>2</v>
      </c>
      <c r="DU3" s="625">
        <v>3</v>
      </c>
      <c r="DV3" s="625">
        <v>1</v>
      </c>
      <c r="DW3" s="625">
        <v>2</v>
      </c>
      <c r="DX3" s="625">
        <v>3</v>
      </c>
      <c r="DY3" s="625">
        <v>1</v>
      </c>
      <c r="DZ3" s="625">
        <v>2</v>
      </c>
      <c r="EA3" s="625">
        <v>3</v>
      </c>
      <c r="EB3" s="625">
        <v>1</v>
      </c>
      <c r="EC3" s="625">
        <v>2</v>
      </c>
      <c r="ED3" s="625">
        <v>3</v>
      </c>
      <c r="EE3" s="625">
        <v>1</v>
      </c>
      <c r="EF3" s="625">
        <v>2</v>
      </c>
      <c r="EG3" s="625">
        <v>3</v>
      </c>
      <c r="EH3" s="625">
        <v>1</v>
      </c>
      <c r="EI3" s="625">
        <v>2</v>
      </c>
      <c r="EJ3" s="625">
        <v>3</v>
      </c>
      <c r="EK3" s="625">
        <v>1</v>
      </c>
      <c r="EL3" s="625">
        <v>2</v>
      </c>
      <c r="EM3" s="625">
        <v>3</v>
      </c>
      <c r="EN3" s="625">
        <v>1</v>
      </c>
      <c r="EO3" s="625">
        <v>2</v>
      </c>
      <c r="EP3" s="625">
        <v>3</v>
      </c>
      <c r="EQ3" s="625">
        <v>1</v>
      </c>
      <c r="ER3" s="625">
        <v>2</v>
      </c>
      <c r="ES3" s="625">
        <v>3</v>
      </c>
      <c r="ET3" s="625">
        <v>1</v>
      </c>
      <c r="EU3" s="625">
        <v>2</v>
      </c>
      <c r="EV3" s="625">
        <v>3</v>
      </c>
      <c r="EW3" s="625">
        <v>1</v>
      </c>
      <c r="EX3" s="625">
        <v>2</v>
      </c>
      <c r="EY3" s="625">
        <v>3</v>
      </c>
      <c r="EZ3" s="625">
        <v>1</v>
      </c>
      <c r="FA3" s="625">
        <v>2</v>
      </c>
      <c r="FB3" s="625">
        <v>3</v>
      </c>
      <c r="FC3" s="625">
        <v>1</v>
      </c>
      <c r="FD3" s="625">
        <v>2</v>
      </c>
      <c r="FE3" s="625">
        <v>3</v>
      </c>
      <c r="FF3" s="625">
        <v>1</v>
      </c>
      <c r="FG3" s="625">
        <v>2</v>
      </c>
      <c r="FH3" s="625">
        <v>3</v>
      </c>
      <c r="FI3" s="625">
        <v>1</v>
      </c>
      <c r="FJ3" s="625">
        <v>2</v>
      </c>
      <c r="FK3" s="625">
        <v>3</v>
      </c>
      <c r="FL3" s="625">
        <v>1</v>
      </c>
      <c r="FM3" s="625">
        <v>2</v>
      </c>
      <c r="FN3" s="625">
        <v>3</v>
      </c>
      <c r="FO3" s="625">
        <v>1</v>
      </c>
      <c r="FP3" s="625">
        <v>2</v>
      </c>
      <c r="FQ3" s="625">
        <v>3</v>
      </c>
      <c r="FR3" s="625">
        <v>1</v>
      </c>
      <c r="FS3" s="625">
        <v>2</v>
      </c>
      <c r="FT3" s="625">
        <v>3</v>
      </c>
      <c r="FU3" s="625">
        <v>1</v>
      </c>
      <c r="FV3" s="625">
        <v>2</v>
      </c>
      <c r="FW3" s="625">
        <v>3</v>
      </c>
      <c r="FX3" s="625">
        <v>1</v>
      </c>
      <c r="FY3" s="625">
        <v>2</v>
      </c>
      <c r="FZ3" s="625">
        <v>3</v>
      </c>
      <c r="GA3" s="625">
        <v>1</v>
      </c>
      <c r="GB3" s="625">
        <v>2</v>
      </c>
      <c r="GC3" s="625">
        <v>3</v>
      </c>
      <c r="GD3" s="625">
        <v>1</v>
      </c>
      <c r="GE3" s="625">
        <v>2</v>
      </c>
      <c r="GF3" s="625">
        <v>3</v>
      </c>
      <c r="GG3" s="625">
        <v>1</v>
      </c>
      <c r="GH3" s="625">
        <v>2</v>
      </c>
      <c r="GI3" s="625">
        <v>3</v>
      </c>
      <c r="GJ3" s="625">
        <v>1</v>
      </c>
      <c r="GK3" s="625">
        <v>2</v>
      </c>
      <c r="GL3" s="625">
        <v>3</v>
      </c>
    </row>
    <row r="4" spans="1:195" s="214" customFormat="1" x14ac:dyDescent="0.2">
      <c r="A4" s="626"/>
      <c r="B4" s="626" t="s">
        <v>1063</v>
      </c>
      <c r="C4" s="626" t="s">
        <v>1064</v>
      </c>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c r="BL4" s="625"/>
      <c r="BM4" s="625"/>
      <c r="BN4" s="625"/>
      <c r="BO4" s="625"/>
      <c r="BP4" s="625"/>
      <c r="BQ4" s="625"/>
      <c r="BR4" s="625"/>
      <c r="BS4" s="625"/>
      <c r="BT4" s="625"/>
      <c r="BU4" s="625"/>
      <c r="BV4" s="625"/>
      <c r="BW4" s="625"/>
      <c r="BX4" s="625"/>
      <c r="BY4" s="625"/>
      <c r="BZ4" s="625"/>
      <c r="CA4" s="625"/>
      <c r="CB4" s="625"/>
      <c r="CC4" s="625"/>
      <c r="CD4" s="625"/>
      <c r="CE4" s="625"/>
      <c r="CF4" s="625"/>
      <c r="CG4" s="625"/>
      <c r="CH4" s="625"/>
      <c r="CI4" s="625"/>
      <c r="CJ4" s="625"/>
      <c r="CK4" s="625"/>
      <c r="CL4" s="625"/>
      <c r="CM4" s="625"/>
      <c r="CN4" s="625"/>
      <c r="CO4" s="625"/>
      <c r="CP4" s="625"/>
      <c r="CQ4" s="625"/>
      <c r="CR4" s="625"/>
      <c r="CS4" s="625"/>
      <c r="CT4" s="625"/>
      <c r="CU4" s="625"/>
      <c r="CV4" s="625"/>
      <c r="CW4" s="625"/>
      <c r="CX4" s="625"/>
      <c r="CY4" s="625"/>
      <c r="CZ4" s="625"/>
      <c r="DA4" s="625"/>
      <c r="DB4" s="625"/>
      <c r="DC4" s="625"/>
      <c r="DD4" s="625"/>
      <c r="DE4" s="625"/>
      <c r="DF4" s="625"/>
      <c r="DG4" s="625"/>
      <c r="DH4" s="625"/>
      <c r="DI4" s="625"/>
      <c r="DJ4" s="625"/>
      <c r="DK4" s="625"/>
      <c r="DL4" s="625"/>
      <c r="DM4" s="625"/>
      <c r="DN4" s="625"/>
      <c r="DO4" s="625"/>
      <c r="DP4" s="625"/>
      <c r="DQ4" s="625"/>
      <c r="DR4" s="625"/>
      <c r="DS4" s="625"/>
      <c r="DT4" s="625"/>
      <c r="DU4" s="625"/>
      <c r="DV4" s="625"/>
      <c r="DW4" s="625"/>
      <c r="DX4" s="625"/>
      <c r="DY4" s="625"/>
      <c r="DZ4" s="625"/>
      <c r="EA4" s="625"/>
      <c r="EB4" s="625"/>
      <c r="EC4" s="625"/>
      <c r="ED4" s="625"/>
      <c r="EE4" s="625"/>
      <c r="EF4" s="625"/>
      <c r="EG4" s="625"/>
      <c r="EH4" s="625"/>
      <c r="EI4" s="625"/>
      <c r="EJ4" s="625"/>
      <c r="EK4" s="625"/>
      <c r="EL4" s="625"/>
      <c r="EM4" s="625"/>
      <c r="EN4" s="625"/>
      <c r="EO4" s="625"/>
      <c r="EP4" s="625"/>
      <c r="EQ4" s="625"/>
      <c r="ER4" s="625"/>
      <c r="ES4" s="625"/>
      <c r="ET4" s="625"/>
      <c r="EU4" s="625"/>
      <c r="EV4" s="625"/>
      <c r="EW4" s="625"/>
      <c r="EX4" s="625"/>
      <c r="EY4" s="625"/>
      <c r="EZ4" s="625"/>
      <c r="FA4" s="625"/>
      <c r="FB4" s="625"/>
      <c r="FC4" s="625"/>
      <c r="FD4" s="625"/>
      <c r="FE4" s="625"/>
      <c r="FF4" s="625"/>
      <c r="FG4" s="625"/>
      <c r="FH4" s="625"/>
      <c r="FI4" s="625"/>
      <c r="FJ4" s="625"/>
      <c r="FK4" s="625"/>
      <c r="FL4" s="625"/>
      <c r="FM4" s="625"/>
      <c r="FN4" s="625"/>
      <c r="FO4" s="625"/>
      <c r="FP4" s="625"/>
      <c r="FQ4" s="625"/>
      <c r="FR4" s="625"/>
      <c r="FS4" s="625"/>
      <c r="FT4" s="625"/>
      <c r="FU4" s="625"/>
      <c r="FV4" s="625"/>
      <c r="FW4" s="625"/>
      <c r="FX4" s="625"/>
      <c r="FY4" s="625"/>
      <c r="FZ4" s="625"/>
      <c r="GA4" s="625"/>
      <c r="GB4" s="625"/>
      <c r="GC4" s="625"/>
      <c r="GD4" s="625"/>
      <c r="GE4" s="625"/>
      <c r="GF4" s="625"/>
      <c r="GG4" s="625"/>
      <c r="GH4" s="625"/>
      <c r="GI4" s="625"/>
      <c r="GJ4" s="625"/>
      <c r="GK4" s="625"/>
      <c r="GL4" s="625"/>
      <c r="GM4" s="626" t="s">
        <v>1157</v>
      </c>
    </row>
    <row r="5" spans="1:195" s="214" customFormat="1" x14ac:dyDescent="0.2">
      <c r="B5" s="602" t="s">
        <v>93</v>
      </c>
      <c r="C5" s="602" t="s">
        <v>92</v>
      </c>
      <c r="D5" s="239">
        <v>-635539</v>
      </c>
      <c r="E5" s="239">
        <v>0</v>
      </c>
      <c r="F5" s="239">
        <v>-635539</v>
      </c>
      <c r="G5" s="239">
        <v>22820</v>
      </c>
      <c r="H5" s="239">
        <v>0</v>
      </c>
      <c r="I5" s="239">
        <v>22820</v>
      </c>
      <c r="J5" s="239">
        <v>1633711</v>
      </c>
      <c r="K5" s="239">
        <v>0</v>
      </c>
      <c r="L5" s="239">
        <v>1633711</v>
      </c>
      <c r="M5" s="239">
        <v>17914</v>
      </c>
      <c r="N5" s="239">
        <v>0</v>
      </c>
      <c r="O5" s="239">
        <v>17914</v>
      </c>
      <c r="P5" s="239">
        <v>1038906</v>
      </c>
      <c r="Q5" s="239">
        <v>0</v>
      </c>
      <c r="R5" s="239">
        <v>1038906</v>
      </c>
      <c r="S5" s="239">
        <v>-1912463</v>
      </c>
      <c r="T5" s="239">
        <v>0</v>
      </c>
      <c r="U5" s="239">
        <v>-1912463</v>
      </c>
      <c r="V5" s="239">
        <v>0</v>
      </c>
      <c r="W5" s="239">
        <v>0</v>
      </c>
      <c r="X5" s="239">
        <v>0</v>
      </c>
      <c r="Y5" s="239">
        <v>-52061</v>
      </c>
      <c r="Z5" s="239">
        <v>0</v>
      </c>
      <c r="AA5" s="239">
        <v>-52061</v>
      </c>
      <c r="AB5" s="239">
        <v>-41353</v>
      </c>
      <c r="AC5" s="239">
        <v>0</v>
      </c>
      <c r="AD5" s="239">
        <v>-41353</v>
      </c>
      <c r="AE5" s="239">
        <v>0</v>
      </c>
      <c r="AF5" s="239">
        <v>0</v>
      </c>
      <c r="AG5" s="239">
        <v>0</v>
      </c>
      <c r="AH5" s="239">
        <v>396928</v>
      </c>
      <c r="AI5" s="239">
        <v>0</v>
      </c>
      <c r="AJ5" s="239">
        <v>396928</v>
      </c>
      <c r="AK5" s="239">
        <v>-9948</v>
      </c>
      <c r="AL5" s="239">
        <v>0</v>
      </c>
      <c r="AM5" s="239">
        <v>-9948</v>
      </c>
      <c r="AN5" s="239">
        <v>-1685600</v>
      </c>
      <c r="AO5" s="239">
        <v>0</v>
      </c>
      <c r="AP5" s="239">
        <v>-1685600</v>
      </c>
      <c r="AQ5" s="239">
        <v>5047</v>
      </c>
      <c r="AR5" s="239">
        <v>0</v>
      </c>
      <c r="AS5" s="239">
        <v>5047</v>
      </c>
      <c r="AT5" s="239">
        <v>-58624</v>
      </c>
      <c r="AU5" s="239">
        <v>0</v>
      </c>
      <c r="AV5" s="239">
        <v>-58624</v>
      </c>
      <c r="AW5" s="239">
        <v>0</v>
      </c>
      <c r="AX5" s="239">
        <v>0</v>
      </c>
      <c r="AY5" s="239">
        <v>0</v>
      </c>
      <c r="AZ5" s="239">
        <v>0</v>
      </c>
      <c r="BA5" s="239">
        <v>0</v>
      </c>
      <c r="BB5" s="239">
        <v>0</v>
      </c>
      <c r="BC5" s="239">
        <v>0</v>
      </c>
      <c r="BD5" s="239">
        <v>0</v>
      </c>
      <c r="BE5" s="239">
        <v>0</v>
      </c>
      <c r="BF5" s="239">
        <v>-3316721</v>
      </c>
      <c r="BG5" s="239">
        <v>0</v>
      </c>
      <c r="BH5" s="239">
        <v>-3316721</v>
      </c>
      <c r="BI5" s="239">
        <v>0</v>
      </c>
      <c r="BJ5" s="239">
        <v>0</v>
      </c>
      <c r="BK5" s="239">
        <v>0</v>
      </c>
      <c r="BL5" s="239">
        <v>0</v>
      </c>
      <c r="BM5" s="239">
        <v>0</v>
      </c>
      <c r="BN5" s="239">
        <v>0</v>
      </c>
      <c r="BO5" s="239">
        <v>-250431</v>
      </c>
      <c r="BP5" s="239">
        <v>0</v>
      </c>
      <c r="BQ5" s="239">
        <v>-250431</v>
      </c>
      <c r="BR5" s="239">
        <v>-286839</v>
      </c>
      <c r="BS5" s="239">
        <v>0</v>
      </c>
      <c r="BT5" s="239">
        <v>-286839</v>
      </c>
      <c r="BU5" s="239">
        <v>-537270</v>
      </c>
      <c r="BV5" s="239">
        <v>0</v>
      </c>
      <c r="BW5" s="239">
        <v>-537270</v>
      </c>
      <c r="BX5" s="239">
        <v>-44545</v>
      </c>
      <c r="BY5" s="239">
        <v>0</v>
      </c>
      <c r="BZ5" s="239">
        <v>-44545</v>
      </c>
      <c r="CA5" s="239">
        <v>-341</v>
      </c>
      <c r="CB5" s="239">
        <v>0</v>
      </c>
      <c r="CC5" s="239">
        <v>-341</v>
      </c>
      <c r="CD5" s="239">
        <v>-19222</v>
      </c>
      <c r="CE5" s="239">
        <v>0</v>
      </c>
      <c r="CF5" s="239">
        <v>-19222</v>
      </c>
      <c r="CG5" s="239">
        <v>0</v>
      </c>
      <c r="CH5" s="239">
        <v>0</v>
      </c>
      <c r="CI5" s="239">
        <v>0</v>
      </c>
      <c r="CJ5" s="239">
        <v>-2993</v>
      </c>
      <c r="CK5" s="239">
        <v>0</v>
      </c>
      <c r="CL5" s="239">
        <v>-2993</v>
      </c>
      <c r="CM5" s="239">
        <v>0</v>
      </c>
      <c r="CN5" s="239">
        <v>0</v>
      </c>
      <c r="CO5" s="239">
        <v>0</v>
      </c>
      <c r="CP5" s="239">
        <v>0</v>
      </c>
      <c r="CQ5" s="239">
        <v>0</v>
      </c>
      <c r="CR5" s="239">
        <v>0</v>
      </c>
      <c r="CS5" s="239">
        <v>0</v>
      </c>
      <c r="CT5" s="239">
        <v>0</v>
      </c>
      <c r="CU5" s="239">
        <v>0</v>
      </c>
      <c r="CV5" s="239">
        <v>0</v>
      </c>
      <c r="CW5" s="239">
        <v>0</v>
      </c>
      <c r="CX5" s="239">
        <v>0</v>
      </c>
      <c r="CY5" s="239">
        <v>0</v>
      </c>
      <c r="CZ5" s="239">
        <v>0</v>
      </c>
      <c r="DA5" s="239">
        <v>0</v>
      </c>
      <c r="DB5" s="239">
        <v>0</v>
      </c>
      <c r="DC5" s="239">
        <v>0</v>
      </c>
      <c r="DD5" s="239">
        <v>0</v>
      </c>
      <c r="DE5" s="239">
        <v>0</v>
      </c>
      <c r="DF5" s="239">
        <v>0</v>
      </c>
      <c r="DG5" s="239">
        <v>0</v>
      </c>
      <c r="DH5" s="239">
        <v>0</v>
      </c>
      <c r="DI5" s="239">
        <v>0</v>
      </c>
      <c r="DJ5" s="239">
        <v>-67101</v>
      </c>
      <c r="DK5" s="239">
        <v>0</v>
      </c>
      <c r="DL5" s="239">
        <v>-67101</v>
      </c>
      <c r="DM5" s="239">
        <v>0</v>
      </c>
      <c r="DN5" s="239">
        <v>0</v>
      </c>
      <c r="DO5" s="239">
        <v>0</v>
      </c>
      <c r="DP5" s="239">
        <v>0</v>
      </c>
      <c r="DQ5" s="239">
        <v>0</v>
      </c>
      <c r="DR5" s="239">
        <v>0</v>
      </c>
      <c r="DS5" s="239">
        <v>0</v>
      </c>
      <c r="DT5" s="239">
        <v>0</v>
      </c>
      <c r="DU5" s="239">
        <v>0</v>
      </c>
      <c r="DV5" s="239">
        <v>0</v>
      </c>
      <c r="DW5" s="239">
        <v>0</v>
      </c>
      <c r="DX5" s="239">
        <v>0</v>
      </c>
      <c r="DY5" s="239">
        <v>1798</v>
      </c>
      <c r="DZ5" s="239">
        <v>0</v>
      </c>
      <c r="EA5" s="239">
        <v>1798</v>
      </c>
      <c r="EB5" s="239">
        <v>0</v>
      </c>
      <c r="EC5" s="239">
        <v>0</v>
      </c>
      <c r="ED5" s="239">
        <v>0</v>
      </c>
      <c r="EE5" s="239">
        <v>0</v>
      </c>
      <c r="EF5" s="239">
        <v>0</v>
      </c>
      <c r="EG5" s="239">
        <v>0</v>
      </c>
      <c r="EH5" s="239">
        <v>0</v>
      </c>
      <c r="EI5" s="239">
        <v>0</v>
      </c>
      <c r="EJ5" s="239">
        <v>0</v>
      </c>
      <c r="EK5" s="239">
        <v>0</v>
      </c>
      <c r="EL5" s="239">
        <v>0</v>
      </c>
      <c r="EM5" s="239">
        <v>0</v>
      </c>
      <c r="EN5" s="239">
        <v>0</v>
      </c>
      <c r="EO5" s="239">
        <v>0</v>
      </c>
      <c r="EP5" s="239">
        <v>0</v>
      </c>
      <c r="EQ5" s="239">
        <v>-7549</v>
      </c>
      <c r="ER5" s="239">
        <v>0</v>
      </c>
      <c r="ES5" s="239">
        <v>-7549</v>
      </c>
      <c r="ET5" s="239">
        <v>-80550</v>
      </c>
      <c r="EU5" s="239">
        <v>0</v>
      </c>
      <c r="EV5" s="239">
        <v>-80550</v>
      </c>
      <c r="EW5" s="239">
        <v>-15408</v>
      </c>
      <c r="EX5" s="239">
        <v>0</v>
      </c>
      <c r="EY5" s="239">
        <v>-15408</v>
      </c>
      <c r="EZ5" s="239">
        <v>-101709</v>
      </c>
      <c r="FA5" s="239">
        <v>0</v>
      </c>
      <c r="FB5" s="239">
        <v>-101709</v>
      </c>
      <c r="FC5" s="239">
        <v>0</v>
      </c>
      <c r="FD5" s="239">
        <v>0</v>
      </c>
      <c r="FE5" s="239">
        <v>0</v>
      </c>
      <c r="FF5" s="239">
        <v>0</v>
      </c>
      <c r="FG5" s="239">
        <v>0</v>
      </c>
      <c r="FH5" s="239">
        <v>0</v>
      </c>
      <c r="FI5" s="239">
        <v>0</v>
      </c>
      <c r="FJ5" s="239">
        <v>0</v>
      </c>
      <c r="FK5" s="239">
        <v>0</v>
      </c>
      <c r="FL5" s="239">
        <v>21194339</v>
      </c>
      <c r="FM5" s="239">
        <v>0</v>
      </c>
      <c r="FN5" s="239">
        <v>21194339</v>
      </c>
      <c r="FO5" s="239">
        <v>1038906</v>
      </c>
      <c r="FP5" s="239">
        <v>0</v>
      </c>
      <c r="FQ5" s="239">
        <v>1038906</v>
      </c>
      <c r="FR5" s="239">
        <v>-3316721</v>
      </c>
      <c r="FS5" s="239">
        <v>0</v>
      </c>
      <c r="FT5" s="239">
        <v>-3316721</v>
      </c>
      <c r="FU5" s="239">
        <v>-537270</v>
      </c>
      <c r="FV5" s="239">
        <v>0</v>
      </c>
      <c r="FW5" s="239">
        <v>-537270</v>
      </c>
      <c r="FX5" s="239">
        <v>-67101</v>
      </c>
      <c r="FY5" s="239">
        <v>0</v>
      </c>
      <c r="FZ5" s="239">
        <v>-67101</v>
      </c>
      <c r="GA5" s="239">
        <v>-101709</v>
      </c>
      <c r="GB5" s="239">
        <v>0</v>
      </c>
      <c r="GC5" s="239">
        <v>-101709</v>
      </c>
      <c r="GD5" s="239">
        <v>0</v>
      </c>
      <c r="GE5" s="239">
        <v>0</v>
      </c>
      <c r="GF5" s="239">
        <v>0</v>
      </c>
      <c r="GG5" s="239">
        <v>-2983895</v>
      </c>
      <c r="GH5" s="239">
        <v>0</v>
      </c>
      <c r="GI5" s="239">
        <v>-2983895</v>
      </c>
      <c r="GJ5" s="239">
        <v>18210444</v>
      </c>
      <c r="GK5" s="239">
        <v>0</v>
      </c>
      <c r="GL5" s="239">
        <v>18210444</v>
      </c>
      <c r="GM5" s="214" t="s">
        <v>1158</v>
      </c>
    </row>
    <row r="6" spans="1:195" s="214" customFormat="1" x14ac:dyDescent="0.2">
      <c r="B6" s="602" t="s">
        <v>95</v>
      </c>
      <c r="C6" s="602" t="s">
        <v>94</v>
      </c>
      <c r="D6" s="239">
        <v>-2098241</v>
      </c>
      <c r="E6" s="239">
        <v>0</v>
      </c>
      <c r="F6" s="239">
        <v>-2098241</v>
      </c>
      <c r="G6" s="239">
        <v>59136</v>
      </c>
      <c r="H6" s="239">
        <v>0</v>
      </c>
      <c r="I6" s="239">
        <v>59136</v>
      </c>
      <c r="J6" s="239">
        <v>1399036</v>
      </c>
      <c r="K6" s="239">
        <v>0</v>
      </c>
      <c r="L6" s="239">
        <v>1399036</v>
      </c>
      <c r="M6" s="239">
        <v>12089</v>
      </c>
      <c r="N6" s="239">
        <v>0</v>
      </c>
      <c r="O6" s="239">
        <v>12089</v>
      </c>
      <c r="P6" s="239">
        <v>-627980</v>
      </c>
      <c r="Q6" s="239">
        <v>0</v>
      </c>
      <c r="R6" s="239">
        <v>-627980</v>
      </c>
      <c r="S6" s="239">
        <v>-4744641</v>
      </c>
      <c r="T6" s="239">
        <v>0</v>
      </c>
      <c r="U6" s="239">
        <v>-4744641</v>
      </c>
      <c r="V6" s="239">
        <v>-12506</v>
      </c>
      <c r="W6" s="239">
        <v>0</v>
      </c>
      <c r="X6" s="239">
        <v>-12506</v>
      </c>
      <c r="Y6" s="239">
        <v>-217569</v>
      </c>
      <c r="Z6" s="239">
        <v>0</v>
      </c>
      <c r="AA6" s="239">
        <v>-217569</v>
      </c>
      <c r="AB6" s="239">
        <v>-184463</v>
      </c>
      <c r="AC6" s="239">
        <v>0</v>
      </c>
      <c r="AD6" s="239">
        <v>-184463</v>
      </c>
      <c r="AE6" s="239">
        <v>121</v>
      </c>
      <c r="AF6" s="239">
        <v>0</v>
      </c>
      <c r="AG6" s="239">
        <v>121</v>
      </c>
      <c r="AH6" s="239">
        <v>584583</v>
      </c>
      <c r="AI6" s="239">
        <v>0</v>
      </c>
      <c r="AJ6" s="239">
        <v>584583</v>
      </c>
      <c r="AK6" s="239">
        <v>-13799</v>
      </c>
      <c r="AL6" s="239">
        <v>0</v>
      </c>
      <c r="AM6" s="239">
        <v>-13799</v>
      </c>
      <c r="AN6" s="239">
        <v>-2119015</v>
      </c>
      <c r="AO6" s="239">
        <v>0</v>
      </c>
      <c r="AP6" s="239">
        <v>-2119015</v>
      </c>
      <c r="AQ6" s="239">
        <v>10158</v>
      </c>
      <c r="AR6" s="239">
        <v>0</v>
      </c>
      <c r="AS6" s="239">
        <v>10158</v>
      </c>
      <c r="AT6" s="239">
        <v>-60062</v>
      </c>
      <c r="AU6" s="239">
        <v>0</v>
      </c>
      <c r="AV6" s="239">
        <v>-60062</v>
      </c>
      <c r="AW6" s="239">
        <v>1073</v>
      </c>
      <c r="AX6" s="239">
        <v>0</v>
      </c>
      <c r="AY6" s="239">
        <v>1073</v>
      </c>
      <c r="AZ6" s="239">
        <v>-34466</v>
      </c>
      <c r="BA6" s="239">
        <v>0</v>
      </c>
      <c r="BB6" s="239">
        <v>-34466</v>
      </c>
      <c r="BC6" s="239">
        <v>-2211</v>
      </c>
      <c r="BD6" s="239">
        <v>0</v>
      </c>
      <c r="BE6" s="239">
        <v>-2211</v>
      </c>
      <c r="BF6" s="239">
        <v>-6595949</v>
      </c>
      <c r="BG6" s="239">
        <v>0</v>
      </c>
      <c r="BH6" s="239">
        <v>-6595949</v>
      </c>
      <c r="BI6" s="239">
        <v>-649</v>
      </c>
      <c r="BJ6" s="239">
        <v>0</v>
      </c>
      <c r="BK6" s="239">
        <v>-649</v>
      </c>
      <c r="BL6" s="239">
        <v>-73</v>
      </c>
      <c r="BM6" s="239">
        <v>0</v>
      </c>
      <c r="BN6" s="239">
        <v>-73</v>
      </c>
      <c r="BO6" s="239">
        <v>-514543</v>
      </c>
      <c r="BP6" s="239">
        <v>0</v>
      </c>
      <c r="BQ6" s="239">
        <v>-514543</v>
      </c>
      <c r="BR6" s="239">
        <v>19293</v>
      </c>
      <c r="BS6" s="239">
        <v>0</v>
      </c>
      <c r="BT6" s="239">
        <v>19293</v>
      </c>
      <c r="BU6" s="239">
        <v>-495972</v>
      </c>
      <c r="BV6" s="239">
        <v>0</v>
      </c>
      <c r="BW6" s="239">
        <v>-495972</v>
      </c>
      <c r="BX6" s="239">
        <v>-169563</v>
      </c>
      <c r="BY6" s="239">
        <v>0</v>
      </c>
      <c r="BZ6" s="239">
        <v>-169563</v>
      </c>
      <c r="CA6" s="239">
        <v>-160</v>
      </c>
      <c r="CB6" s="239">
        <v>0</v>
      </c>
      <c r="CC6" s="239">
        <v>-160</v>
      </c>
      <c r="CD6" s="239">
        <v>-71761</v>
      </c>
      <c r="CE6" s="239">
        <v>0</v>
      </c>
      <c r="CF6" s="239">
        <v>-71761</v>
      </c>
      <c r="CG6" s="239">
        <v>4917</v>
      </c>
      <c r="CH6" s="239">
        <v>0</v>
      </c>
      <c r="CI6" s="239">
        <v>4917</v>
      </c>
      <c r="CJ6" s="239">
        <v>-1198</v>
      </c>
      <c r="CK6" s="239">
        <v>0</v>
      </c>
      <c r="CL6" s="239">
        <v>-1198</v>
      </c>
      <c r="CM6" s="239">
        <v>0</v>
      </c>
      <c r="CN6" s="239">
        <v>0</v>
      </c>
      <c r="CO6" s="239">
        <v>0</v>
      </c>
      <c r="CP6" s="239">
        <v>0</v>
      </c>
      <c r="CQ6" s="239">
        <v>0</v>
      </c>
      <c r="CR6" s="239">
        <v>0</v>
      </c>
      <c r="CS6" s="239">
        <v>0</v>
      </c>
      <c r="CT6" s="239">
        <v>0</v>
      </c>
      <c r="CU6" s="239">
        <v>0</v>
      </c>
      <c r="CV6" s="239">
        <v>0</v>
      </c>
      <c r="CW6" s="239">
        <v>0</v>
      </c>
      <c r="CX6" s="239">
        <v>0</v>
      </c>
      <c r="CY6" s="239">
        <v>0</v>
      </c>
      <c r="CZ6" s="239">
        <v>0</v>
      </c>
      <c r="DA6" s="239">
        <v>0</v>
      </c>
      <c r="DB6" s="239">
        <v>0</v>
      </c>
      <c r="DC6" s="239">
        <v>0</v>
      </c>
      <c r="DD6" s="239">
        <v>0</v>
      </c>
      <c r="DE6" s="239">
        <v>0</v>
      </c>
      <c r="DF6" s="239">
        <v>0</v>
      </c>
      <c r="DG6" s="239">
        <v>0</v>
      </c>
      <c r="DH6" s="239">
        <v>0</v>
      </c>
      <c r="DI6" s="239">
        <v>0</v>
      </c>
      <c r="DJ6" s="239">
        <v>-237765</v>
      </c>
      <c r="DK6" s="239">
        <v>0</v>
      </c>
      <c r="DL6" s="239">
        <v>-237765</v>
      </c>
      <c r="DM6" s="239">
        <v>0</v>
      </c>
      <c r="DN6" s="239">
        <v>0</v>
      </c>
      <c r="DO6" s="239">
        <v>0</v>
      </c>
      <c r="DP6" s="239">
        <v>0</v>
      </c>
      <c r="DQ6" s="239">
        <v>0</v>
      </c>
      <c r="DR6" s="239">
        <v>0</v>
      </c>
      <c r="DS6" s="239">
        <v>0</v>
      </c>
      <c r="DT6" s="239">
        <v>0</v>
      </c>
      <c r="DU6" s="239">
        <v>0</v>
      </c>
      <c r="DV6" s="239">
        <v>0</v>
      </c>
      <c r="DW6" s="239">
        <v>0</v>
      </c>
      <c r="DX6" s="239">
        <v>0</v>
      </c>
      <c r="DY6" s="239">
        <v>10136</v>
      </c>
      <c r="DZ6" s="239">
        <v>0</v>
      </c>
      <c r="EA6" s="239">
        <v>10136</v>
      </c>
      <c r="EB6" s="239">
        <v>-6495</v>
      </c>
      <c r="EC6" s="239">
        <v>0</v>
      </c>
      <c r="ED6" s="239">
        <v>-6495</v>
      </c>
      <c r="EE6" s="239">
        <v>-4107</v>
      </c>
      <c r="EF6" s="239">
        <v>0</v>
      </c>
      <c r="EG6" s="239">
        <v>-4107</v>
      </c>
      <c r="EH6" s="239">
        <v>5323</v>
      </c>
      <c r="EI6" s="239">
        <v>0</v>
      </c>
      <c r="EJ6" s="239">
        <v>5323</v>
      </c>
      <c r="EK6" s="239">
        <v>-47589</v>
      </c>
      <c r="EL6" s="239">
        <v>0</v>
      </c>
      <c r="EM6" s="239">
        <v>-47589</v>
      </c>
      <c r="EN6" s="239">
        <v>0</v>
      </c>
      <c r="EO6" s="239">
        <v>0</v>
      </c>
      <c r="EP6" s="239">
        <v>0</v>
      </c>
      <c r="EQ6" s="239">
        <v>-28815</v>
      </c>
      <c r="ER6" s="239">
        <v>0</v>
      </c>
      <c r="ES6" s="239">
        <v>-28815</v>
      </c>
      <c r="ET6" s="239">
        <v>-322062</v>
      </c>
      <c r="EU6" s="239">
        <v>0</v>
      </c>
      <c r="EV6" s="239">
        <v>-322062</v>
      </c>
      <c r="EW6" s="239">
        <v>-61350</v>
      </c>
      <c r="EX6" s="239">
        <v>0</v>
      </c>
      <c r="EY6" s="239">
        <v>-61350</v>
      </c>
      <c r="EZ6" s="239">
        <v>-454959</v>
      </c>
      <c r="FA6" s="239">
        <v>0</v>
      </c>
      <c r="FB6" s="239">
        <v>-454959</v>
      </c>
      <c r="FC6" s="239">
        <v>0</v>
      </c>
      <c r="FD6" s="239">
        <v>0</v>
      </c>
      <c r="FE6" s="239">
        <v>0</v>
      </c>
      <c r="FF6" s="239">
        <v>0</v>
      </c>
      <c r="FG6" s="239">
        <v>0</v>
      </c>
      <c r="FH6" s="239">
        <v>0</v>
      </c>
      <c r="FI6" s="239">
        <v>0</v>
      </c>
      <c r="FJ6" s="239">
        <v>0</v>
      </c>
      <c r="FK6" s="239">
        <v>0</v>
      </c>
      <c r="FL6" s="239">
        <v>36158046</v>
      </c>
      <c r="FM6" s="239">
        <v>0</v>
      </c>
      <c r="FN6" s="239">
        <v>36158046</v>
      </c>
      <c r="FO6" s="239">
        <v>-627980</v>
      </c>
      <c r="FP6" s="239">
        <v>0</v>
      </c>
      <c r="FQ6" s="239">
        <v>-627980</v>
      </c>
      <c r="FR6" s="239">
        <v>-6595949</v>
      </c>
      <c r="FS6" s="239">
        <v>0</v>
      </c>
      <c r="FT6" s="239">
        <v>-6595949</v>
      </c>
      <c r="FU6" s="239">
        <v>-495972</v>
      </c>
      <c r="FV6" s="239">
        <v>0</v>
      </c>
      <c r="FW6" s="239">
        <v>-495972</v>
      </c>
      <c r="FX6" s="239">
        <v>-237765</v>
      </c>
      <c r="FY6" s="239">
        <v>0</v>
      </c>
      <c r="FZ6" s="239">
        <v>-237765</v>
      </c>
      <c r="GA6" s="239">
        <v>-454959</v>
      </c>
      <c r="GB6" s="239">
        <v>0</v>
      </c>
      <c r="GC6" s="239">
        <v>-454959</v>
      </c>
      <c r="GD6" s="239">
        <v>0</v>
      </c>
      <c r="GE6" s="239">
        <v>0</v>
      </c>
      <c r="GF6" s="239">
        <v>0</v>
      </c>
      <c r="GG6" s="239">
        <v>-8412625</v>
      </c>
      <c r="GH6" s="239">
        <v>0</v>
      </c>
      <c r="GI6" s="239">
        <v>-8412625</v>
      </c>
      <c r="GJ6" s="239">
        <v>27745421</v>
      </c>
      <c r="GK6" s="239">
        <v>0</v>
      </c>
      <c r="GL6" s="239">
        <v>27745421</v>
      </c>
      <c r="GM6" s="214" t="s">
        <v>1158</v>
      </c>
    </row>
    <row r="7" spans="1:195" s="214" customFormat="1" x14ac:dyDescent="0.2">
      <c r="B7" s="602" t="s">
        <v>97</v>
      </c>
      <c r="C7" s="602" t="s">
        <v>96</v>
      </c>
      <c r="D7" s="239">
        <v>-1453197</v>
      </c>
      <c r="E7" s="239">
        <v>0</v>
      </c>
      <c r="F7" s="239">
        <v>-1453197</v>
      </c>
      <c r="G7" s="239">
        <v>9572</v>
      </c>
      <c r="H7" s="239">
        <v>0</v>
      </c>
      <c r="I7" s="239">
        <v>9572</v>
      </c>
      <c r="J7" s="239">
        <v>1019061</v>
      </c>
      <c r="K7" s="239">
        <v>0</v>
      </c>
      <c r="L7" s="239">
        <v>1019061</v>
      </c>
      <c r="M7" s="239">
        <v>53797</v>
      </c>
      <c r="N7" s="239">
        <v>0</v>
      </c>
      <c r="O7" s="239">
        <v>53797</v>
      </c>
      <c r="P7" s="239">
        <v>-370767</v>
      </c>
      <c r="Q7" s="239">
        <v>0</v>
      </c>
      <c r="R7" s="239">
        <v>-370767</v>
      </c>
      <c r="S7" s="239">
        <v>-4073287</v>
      </c>
      <c r="T7" s="239">
        <v>0</v>
      </c>
      <c r="U7" s="239">
        <v>-4073287</v>
      </c>
      <c r="V7" s="239">
        <v>0</v>
      </c>
      <c r="W7" s="239">
        <v>0</v>
      </c>
      <c r="X7" s="239">
        <v>0</v>
      </c>
      <c r="Y7" s="239">
        <v>-88694</v>
      </c>
      <c r="Z7" s="239">
        <v>0</v>
      </c>
      <c r="AA7" s="239">
        <v>-88694</v>
      </c>
      <c r="AB7" s="239">
        <v>-88694</v>
      </c>
      <c r="AC7" s="239">
        <v>0</v>
      </c>
      <c r="AD7" s="239">
        <v>-88694</v>
      </c>
      <c r="AE7" s="239">
        <v>0</v>
      </c>
      <c r="AF7" s="239">
        <v>0</v>
      </c>
      <c r="AG7" s="239">
        <v>0</v>
      </c>
      <c r="AH7" s="239">
        <v>692131</v>
      </c>
      <c r="AI7" s="239">
        <v>0</v>
      </c>
      <c r="AJ7" s="239">
        <v>692131</v>
      </c>
      <c r="AK7" s="239">
        <v>-14100</v>
      </c>
      <c r="AL7" s="239">
        <v>0</v>
      </c>
      <c r="AM7" s="239">
        <v>-14100</v>
      </c>
      <c r="AN7" s="239">
        <v>-1768631</v>
      </c>
      <c r="AO7" s="239">
        <v>0</v>
      </c>
      <c r="AP7" s="239">
        <v>-1768631</v>
      </c>
      <c r="AQ7" s="239">
        <v>-22838</v>
      </c>
      <c r="AR7" s="239">
        <v>0</v>
      </c>
      <c r="AS7" s="239">
        <v>-22838</v>
      </c>
      <c r="AT7" s="239">
        <v>-9772</v>
      </c>
      <c r="AU7" s="239">
        <v>0</v>
      </c>
      <c r="AV7" s="239">
        <v>-9772</v>
      </c>
      <c r="AW7" s="239">
        <v>0</v>
      </c>
      <c r="AX7" s="239">
        <v>0</v>
      </c>
      <c r="AY7" s="239">
        <v>0</v>
      </c>
      <c r="AZ7" s="239">
        <v>-14876</v>
      </c>
      <c r="BA7" s="239">
        <v>0</v>
      </c>
      <c r="BB7" s="239">
        <v>-14876</v>
      </c>
      <c r="BC7" s="239">
        <v>782</v>
      </c>
      <c r="BD7" s="239">
        <v>0</v>
      </c>
      <c r="BE7" s="239">
        <v>782</v>
      </c>
      <c r="BF7" s="239">
        <v>-5299285</v>
      </c>
      <c r="BG7" s="239">
        <v>0</v>
      </c>
      <c r="BH7" s="239">
        <v>-5299285</v>
      </c>
      <c r="BI7" s="239">
        <v>-58977</v>
      </c>
      <c r="BJ7" s="239">
        <v>0</v>
      </c>
      <c r="BK7" s="239">
        <v>-58977</v>
      </c>
      <c r="BL7" s="239">
        <v>391</v>
      </c>
      <c r="BM7" s="239">
        <v>0</v>
      </c>
      <c r="BN7" s="239">
        <v>391</v>
      </c>
      <c r="BO7" s="239">
        <v>-1073059</v>
      </c>
      <c r="BP7" s="239">
        <v>0</v>
      </c>
      <c r="BQ7" s="239">
        <v>-1073059</v>
      </c>
      <c r="BR7" s="239">
        <v>37054</v>
      </c>
      <c r="BS7" s="239">
        <v>0</v>
      </c>
      <c r="BT7" s="239">
        <v>37054</v>
      </c>
      <c r="BU7" s="239">
        <v>-1094591</v>
      </c>
      <c r="BV7" s="239">
        <v>0</v>
      </c>
      <c r="BW7" s="239">
        <v>-1094591</v>
      </c>
      <c r="BX7" s="239">
        <v>-47488</v>
      </c>
      <c r="BY7" s="239">
        <v>0</v>
      </c>
      <c r="BZ7" s="239">
        <v>-47488</v>
      </c>
      <c r="CA7" s="239">
        <v>470</v>
      </c>
      <c r="CB7" s="239">
        <v>0</v>
      </c>
      <c r="CC7" s="239">
        <v>470</v>
      </c>
      <c r="CD7" s="239">
        <v>-405206</v>
      </c>
      <c r="CE7" s="239">
        <v>0</v>
      </c>
      <c r="CF7" s="239">
        <v>-405206</v>
      </c>
      <c r="CG7" s="239">
        <v>-106</v>
      </c>
      <c r="CH7" s="239">
        <v>0</v>
      </c>
      <c r="CI7" s="239">
        <v>-106</v>
      </c>
      <c r="CJ7" s="239">
        <v>0</v>
      </c>
      <c r="CK7" s="239">
        <v>0</v>
      </c>
      <c r="CL7" s="239">
        <v>0</v>
      </c>
      <c r="CM7" s="239">
        <v>0</v>
      </c>
      <c r="CN7" s="239">
        <v>0</v>
      </c>
      <c r="CO7" s="239">
        <v>0</v>
      </c>
      <c r="CP7" s="239">
        <v>-2227</v>
      </c>
      <c r="CQ7" s="239">
        <v>0</v>
      </c>
      <c r="CR7" s="239">
        <v>-2227</v>
      </c>
      <c r="CS7" s="239">
        <v>782</v>
      </c>
      <c r="CT7" s="239">
        <v>0</v>
      </c>
      <c r="CU7" s="239">
        <v>782</v>
      </c>
      <c r="CV7" s="239">
        <v>-803</v>
      </c>
      <c r="CW7" s="239">
        <v>0</v>
      </c>
      <c r="CX7" s="239">
        <v>-803</v>
      </c>
      <c r="CY7" s="239">
        <v>0</v>
      </c>
      <c r="CZ7" s="239">
        <v>0</v>
      </c>
      <c r="DA7" s="239">
        <v>0</v>
      </c>
      <c r="DB7" s="239">
        <v>0</v>
      </c>
      <c r="DC7" s="239">
        <v>0</v>
      </c>
      <c r="DD7" s="239">
        <v>0</v>
      </c>
      <c r="DE7" s="239">
        <v>0</v>
      </c>
      <c r="DF7" s="239">
        <v>0</v>
      </c>
      <c r="DG7" s="239">
        <v>0</v>
      </c>
      <c r="DH7" s="239">
        <v>0</v>
      </c>
      <c r="DI7" s="239">
        <v>0</v>
      </c>
      <c r="DJ7" s="239">
        <v>-454578</v>
      </c>
      <c r="DK7" s="239">
        <v>0</v>
      </c>
      <c r="DL7" s="239">
        <v>-454578</v>
      </c>
      <c r="DM7" s="239">
        <v>0</v>
      </c>
      <c r="DN7" s="239">
        <v>0</v>
      </c>
      <c r="DO7" s="239">
        <v>0</v>
      </c>
      <c r="DP7" s="239">
        <v>0</v>
      </c>
      <c r="DQ7" s="239">
        <v>0</v>
      </c>
      <c r="DR7" s="239">
        <v>0</v>
      </c>
      <c r="DS7" s="239">
        <v>0</v>
      </c>
      <c r="DT7" s="239">
        <v>0</v>
      </c>
      <c r="DU7" s="239">
        <v>0</v>
      </c>
      <c r="DV7" s="239">
        <v>0</v>
      </c>
      <c r="DW7" s="239">
        <v>0</v>
      </c>
      <c r="DX7" s="239">
        <v>0</v>
      </c>
      <c r="DY7" s="239">
        <v>1485</v>
      </c>
      <c r="DZ7" s="239">
        <v>0</v>
      </c>
      <c r="EA7" s="239">
        <v>1485</v>
      </c>
      <c r="EB7" s="239">
        <v>0</v>
      </c>
      <c r="EC7" s="239">
        <v>0</v>
      </c>
      <c r="ED7" s="239">
        <v>0</v>
      </c>
      <c r="EE7" s="239">
        <v>0</v>
      </c>
      <c r="EF7" s="239">
        <v>0</v>
      </c>
      <c r="EG7" s="239">
        <v>0</v>
      </c>
      <c r="EH7" s="239">
        <v>990</v>
      </c>
      <c r="EI7" s="239">
        <v>0</v>
      </c>
      <c r="EJ7" s="239">
        <v>990</v>
      </c>
      <c r="EK7" s="239">
        <v>-12649</v>
      </c>
      <c r="EL7" s="239">
        <v>0</v>
      </c>
      <c r="EM7" s="239">
        <v>-12649</v>
      </c>
      <c r="EN7" s="239">
        <v>0</v>
      </c>
      <c r="EO7" s="239">
        <v>0</v>
      </c>
      <c r="EP7" s="239">
        <v>0</v>
      </c>
      <c r="EQ7" s="239">
        <v>-48791</v>
      </c>
      <c r="ER7" s="239">
        <v>0</v>
      </c>
      <c r="ES7" s="239">
        <v>-48791</v>
      </c>
      <c r="ET7" s="239">
        <v>-24465</v>
      </c>
      <c r="EU7" s="239">
        <v>0</v>
      </c>
      <c r="EV7" s="239">
        <v>-24465</v>
      </c>
      <c r="EW7" s="239">
        <v>-42594</v>
      </c>
      <c r="EX7" s="239">
        <v>0</v>
      </c>
      <c r="EY7" s="239">
        <v>-42594</v>
      </c>
      <c r="EZ7" s="239">
        <v>-126024</v>
      </c>
      <c r="FA7" s="239">
        <v>0</v>
      </c>
      <c r="FB7" s="239">
        <v>-126024</v>
      </c>
      <c r="FC7" s="239">
        <v>0</v>
      </c>
      <c r="FD7" s="239">
        <v>0</v>
      </c>
      <c r="FE7" s="239">
        <v>0</v>
      </c>
      <c r="FF7" s="239">
        <v>0</v>
      </c>
      <c r="FG7" s="239">
        <v>0</v>
      </c>
      <c r="FH7" s="239">
        <v>0</v>
      </c>
      <c r="FI7" s="239">
        <v>0</v>
      </c>
      <c r="FJ7" s="239">
        <v>0</v>
      </c>
      <c r="FK7" s="239">
        <v>0</v>
      </c>
      <c r="FL7" s="239">
        <v>37957506</v>
      </c>
      <c r="FM7" s="239">
        <v>0</v>
      </c>
      <c r="FN7" s="239">
        <v>37957506</v>
      </c>
      <c r="FO7" s="239">
        <v>-370767</v>
      </c>
      <c r="FP7" s="239">
        <v>0</v>
      </c>
      <c r="FQ7" s="239">
        <v>-370767</v>
      </c>
      <c r="FR7" s="239">
        <v>-5299285</v>
      </c>
      <c r="FS7" s="239">
        <v>0</v>
      </c>
      <c r="FT7" s="239">
        <v>-5299285</v>
      </c>
      <c r="FU7" s="239">
        <v>-1094591</v>
      </c>
      <c r="FV7" s="239">
        <v>0</v>
      </c>
      <c r="FW7" s="239">
        <v>-1094591</v>
      </c>
      <c r="FX7" s="239">
        <v>-454578</v>
      </c>
      <c r="FY7" s="239">
        <v>0</v>
      </c>
      <c r="FZ7" s="239">
        <v>-454578</v>
      </c>
      <c r="GA7" s="239">
        <v>-126024</v>
      </c>
      <c r="GB7" s="239">
        <v>0</v>
      </c>
      <c r="GC7" s="239">
        <v>-126024</v>
      </c>
      <c r="GD7" s="239">
        <v>0</v>
      </c>
      <c r="GE7" s="239">
        <v>0</v>
      </c>
      <c r="GF7" s="239">
        <v>0</v>
      </c>
      <c r="GG7" s="239">
        <v>-7345245</v>
      </c>
      <c r="GH7" s="239">
        <v>0</v>
      </c>
      <c r="GI7" s="239">
        <v>-7345245</v>
      </c>
      <c r="GJ7" s="239">
        <v>30612261</v>
      </c>
      <c r="GK7" s="239">
        <v>0</v>
      </c>
      <c r="GL7" s="239">
        <v>30612261</v>
      </c>
      <c r="GM7" s="214" t="s">
        <v>1158</v>
      </c>
    </row>
    <row r="8" spans="1:195" s="214" customFormat="1" x14ac:dyDescent="0.2">
      <c r="B8" s="602" t="s">
        <v>99</v>
      </c>
      <c r="C8" s="602" t="s">
        <v>98</v>
      </c>
      <c r="D8" s="239">
        <v>-1972312</v>
      </c>
      <c r="E8" s="239">
        <v>0</v>
      </c>
      <c r="F8" s="239">
        <v>-1972312</v>
      </c>
      <c r="G8" s="239">
        <v>33456</v>
      </c>
      <c r="H8" s="239">
        <v>0</v>
      </c>
      <c r="I8" s="239">
        <v>33456</v>
      </c>
      <c r="J8" s="239">
        <v>2084829</v>
      </c>
      <c r="K8" s="239">
        <v>0</v>
      </c>
      <c r="L8" s="239">
        <v>2084829</v>
      </c>
      <c r="M8" s="239">
        <v>161816</v>
      </c>
      <c r="N8" s="239">
        <v>0</v>
      </c>
      <c r="O8" s="239">
        <v>161816</v>
      </c>
      <c r="P8" s="239">
        <v>307789</v>
      </c>
      <c r="Q8" s="239">
        <v>0</v>
      </c>
      <c r="R8" s="239">
        <v>307789</v>
      </c>
      <c r="S8" s="239">
        <v>-4970043</v>
      </c>
      <c r="T8" s="239">
        <v>0</v>
      </c>
      <c r="U8" s="239">
        <v>-4970043</v>
      </c>
      <c r="V8" s="239">
        <v>-26689</v>
      </c>
      <c r="W8" s="239">
        <v>0</v>
      </c>
      <c r="X8" s="239">
        <v>-26689</v>
      </c>
      <c r="Y8" s="239">
        <v>-389272</v>
      </c>
      <c r="Z8" s="239">
        <v>0</v>
      </c>
      <c r="AA8" s="239">
        <v>-389272</v>
      </c>
      <c r="AB8" s="239">
        <v>-288030</v>
      </c>
      <c r="AC8" s="239">
        <v>0</v>
      </c>
      <c r="AD8" s="239">
        <v>-288030</v>
      </c>
      <c r="AE8" s="239">
        <v>-429</v>
      </c>
      <c r="AF8" s="239">
        <v>0</v>
      </c>
      <c r="AG8" s="239">
        <v>-429</v>
      </c>
      <c r="AH8" s="239">
        <v>793533</v>
      </c>
      <c r="AI8" s="239">
        <v>0</v>
      </c>
      <c r="AJ8" s="239">
        <v>793533</v>
      </c>
      <c r="AK8" s="239">
        <v>347864</v>
      </c>
      <c r="AL8" s="239">
        <v>0</v>
      </c>
      <c r="AM8" s="239">
        <v>347864</v>
      </c>
      <c r="AN8" s="239">
        <v>-2920230</v>
      </c>
      <c r="AO8" s="239">
        <v>0</v>
      </c>
      <c r="AP8" s="239">
        <v>-2920230</v>
      </c>
      <c r="AQ8" s="239">
        <v>40990</v>
      </c>
      <c r="AR8" s="239">
        <v>0</v>
      </c>
      <c r="AS8" s="239">
        <v>40990</v>
      </c>
      <c r="AT8" s="239">
        <v>-109543</v>
      </c>
      <c r="AU8" s="239">
        <v>0</v>
      </c>
      <c r="AV8" s="239">
        <v>-109543</v>
      </c>
      <c r="AW8" s="239">
        <v>-52272</v>
      </c>
      <c r="AX8" s="239">
        <v>0</v>
      </c>
      <c r="AY8" s="239">
        <v>-52272</v>
      </c>
      <c r="AZ8" s="239">
        <v>-2383</v>
      </c>
      <c r="BA8" s="239">
        <v>0</v>
      </c>
      <c r="BB8" s="239">
        <v>-2383</v>
      </c>
      <c r="BC8" s="239">
        <v>0</v>
      </c>
      <c r="BD8" s="239">
        <v>0</v>
      </c>
      <c r="BE8" s="239">
        <v>0</v>
      </c>
      <c r="BF8" s="239">
        <v>-7261356</v>
      </c>
      <c r="BG8" s="239">
        <v>0</v>
      </c>
      <c r="BH8" s="239">
        <v>-7261356</v>
      </c>
      <c r="BI8" s="239">
        <v>0</v>
      </c>
      <c r="BJ8" s="239">
        <v>0</v>
      </c>
      <c r="BK8" s="239">
        <v>0</v>
      </c>
      <c r="BL8" s="239">
        <v>0</v>
      </c>
      <c r="BM8" s="239">
        <v>0</v>
      </c>
      <c r="BN8" s="239">
        <v>0</v>
      </c>
      <c r="BO8" s="239">
        <v>-643269</v>
      </c>
      <c r="BP8" s="239">
        <v>0</v>
      </c>
      <c r="BQ8" s="239">
        <v>-643269</v>
      </c>
      <c r="BR8" s="239">
        <v>-24049</v>
      </c>
      <c r="BS8" s="239">
        <v>0</v>
      </c>
      <c r="BT8" s="239">
        <v>-24049</v>
      </c>
      <c r="BU8" s="239">
        <v>-667318</v>
      </c>
      <c r="BV8" s="239">
        <v>0</v>
      </c>
      <c r="BW8" s="239">
        <v>-667318</v>
      </c>
      <c r="BX8" s="239">
        <v>-108974</v>
      </c>
      <c r="BY8" s="239">
        <v>0</v>
      </c>
      <c r="BZ8" s="239">
        <v>-108974</v>
      </c>
      <c r="CA8" s="239">
        <v>-2105</v>
      </c>
      <c r="CB8" s="239">
        <v>0</v>
      </c>
      <c r="CC8" s="239">
        <v>-2105</v>
      </c>
      <c r="CD8" s="239">
        <v>-26314</v>
      </c>
      <c r="CE8" s="239">
        <v>0</v>
      </c>
      <c r="CF8" s="239">
        <v>-26314</v>
      </c>
      <c r="CG8" s="239">
        <v>-1363</v>
      </c>
      <c r="CH8" s="239">
        <v>0</v>
      </c>
      <c r="CI8" s="239">
        <v>-1363</v>
      </c>
      <c r="CJ8" s="239">
        <v>-231</v>
      </c>
      <c r="CK8" s="239">
        <v>0</v>
      </c>
      <c r="CL8" s="239">
        <v>-231</v>
      </c>
      <c r="CM8" s="239">
        <v>0</v>
      </c>
      <c r="CN8" s="239">
        <v>0</v>
      </c>
      <c r="CO8" s="239">
        <v>0</v>
      </c>
      <c r="CP8" s="239">
        <v>0</v>
      </c>
      <c r="CQ8" s="239">
        <v>0</v>
      </c>
      <c r="CR8" s="239">
        <v>0</v>
      </c>
      <c r="CS8" s="239">
        <v>0</v>
      </c>
      <c r="CT8" s="239">
        <v>0</v>
      </c>
      <c r="CU8" s="239">
        <v>0</v>
      </c>
      <c r="CV8" s="239">
        <v>0</v>
      </c>
      <c r="CW8" s="239">
        <v>0</v>
      </c>
      <c r="CX8" s="239">
        <v>0</v>
      </c>
      <c r="CY8" s="239">
        <v>0</v>
      </c>
      <c r="CZ8" s="239">
        <v>0</v>
      </c>
      <c r="DA8" s="239">
        <v>0</v>
      </c>
      <c r="DB8" s="239">
        <v>0</v>
      </c>
      <c r="DC8" s="239">
        <v>0</v>
      </c>
      <c r="DD8" s="239">
        <v>0</v>
      </c>
      <c r="DE8" s="239">
        <v>0</v>
      </c>
      <c r="DF8" s="239">
        <v>0</v>
      </c>
      <c r="DG8" s="239">
        <v>0</v>
      </c>
      <c r="DH8" s="239">
        <v>0</v>
      </c>
      <c r="DI8" s="239">
        <v>0</v>
      </c>
      <c r="DJ8" s="239">
        <v>-138987</v>
      </c>
      <c r="DK8" s="239">
        <v>0</v>
      </c>
      <c r="DL8" s="239">
        <v>-138987</v>
      </c>
      <c r="DM8" s="239">
        <v>0</v>
      </c>
      <c r="DN8" s="239">
        <v>0</v>
      </c>
      <c r="DO8" s="239">
        <v>0</v>
      </c>
      <c r="DP8" s="239">
        <v>-7903</v>
      </c>
      <c r="DQ8" s="239">
        <v>0</v>
      </c>
      <c r="DR8" s="239">
        <v>-7903</v>
      </c>
      <c r="DS8" s="239">
        <v>-12101</v>
      </c>
      <c r="DT8" s="239">
        <v>0</v>
      </c>
      <c r="DU8" s="239">
        <v>-12101</v>
      </c>
      <c r="DV8" s="239">
        <v>141</v>
      </c>
      <c r="DW8" s="239">
        <v>0</v>
      </c>
      <c r="DX8" s="239">
        <v>141</v>
      </c>
      <c r="DY8" s="239">
        <v>12424</v>
      </c>
      <c r="DZ8" s="239">
        <v>0</v>
      </c>
      <c r="EA8" s="239">
        <v>12424</v>
      </c>
      <c r="EB8" s="239">
        <v>0</v>
      </c>
      <c r="EC8" s="239">
        <v>0</v>
      </c>
      <c r="ED8" s="239">
        <v>0</v>
      </c>
      <c r="EE8" s="239">
        <v>0</v>
      </c>
      <c r="EF8" s="239">
        <v>0</v>
      </c>
      <c r="EG8" s="239">
        <v>0</v>
      </c>
      <c r="EH8" s="239">
        <v>0</v>
      </c>
      <c r="EI8" s="239">
        <v>0</v>
      </c>
      <c r="EJ8" s="239">
        <v>0</v>
      </c>
      <c r="EK8" s="239">
        <v>-2383</v>
      </c>
      <c r="EL8" s="239">
        <v>0</v>
      </c>
      <c r="EM8" s="239">
        <v>-2383</v>
      </c>
      <c r="EN8" s="239">
        <v>0</v>
      </c>
      <c r="EO8" s="239">
        <v>0</v>
      </c>
      <c r="EP8" s="239">
        <v>0</v>
      </c>
      <c r="EQ8" s="239">
        <v>-48182</v>
      </c>
      <c r="ER8" s="239">
        <v>0</v>
      </c>
      <c r="ES8" s="239">
        <v>-48182</v>
      </c>
      <c r="ET8" s="239">
        <v>-353287</v>
      </c>
      <c r="EU8" s="239">
        <v>0</v>
      </c>
      <c r="EV8" s="239">
        <v>-353287</v>
      </c>
      <c r="EW8" s="239">
        <v>-63069</v>
      </c>
      <c r="EX8" s="239">
        <v>0</v>
      </c>
      <c r="EY8" s="239">
        <v>-63069</v>
      </c>
      <c r="EZ8" s="239">
        <v>-474360</v>
      </c>
      <c r="FA8" s="239">
        <v>0</v>
      </c>
      <c r="FB8" s="239">
        <v>-474360</v>
      </c>
      <c r="FC8" s="239">
        <v>0</v>
      </c>
      <c r="FD8" s="239">
        <v>0</v>
      </c>
      <c r="FE8" s="239">
        <v>0</v>
      </c>
      <c r="FF8" s="239">
        <v>0</v>
      </c>
      <c r="FG8" s="239">
        <v>0</v>
      </c>
      <c r="FH8" s="239">
        <v>0</v>
      </c>
      <c r="FI8" s="239">
        <v>0</v>
      </c>
      <c r="FJ8" s="239">
        <v>0</v>
      </c>
      <c r="FK8" s="239">
        <v>0</v>
      </c>
      <c r="FL8" s="239">
        <v>42856430</v>
      </c>
      <c r="FM8" s="239">
        <v>0</v>
      </c>
      <c r="FN8" s="239">
        <v>42856430</v>
      </c>
      <c r="FO8" s="239">
        <v>307789</v>
      </c>
      <c r="FP8" s="239">
        <v>0</v>
      </c>
      <c r="FQ8" s="239">
        <v>307789</v>
      </c>
      <c r="FR8" s="239">
        <v>-7261356</v>
      </c>
      <c r="FS8" s="239">
        <v>0</v>
      </c>
      <c r="FT8" s="239">
        <v>-7261356</v>
      </c>
      <c r="FU8" s="239">
        <v>-667318</v>
      </c>
      <c r="FV8" s="239">
        <v>0</v>
      </c>
      <c r="FW8" s="239">
        <v>-667318</v>
      </c>
      <c r="FX8" s="239">
        <v>-138987</v>
      </c>
      <c r="FY8" s="239">
        <v>0</v>
      </c>
      <c r="FZ8" s="239">
        <v>-138987</v>
      </c>
      <c r="GA8" s="239">
        <v>-474360</v>
      </c>
      <c r="GB8" s="239">
        <v>0</v>
      </c>
      <c r="GC8" s="239">
        <v>-474360</v>
      </c>
      <c r="GD8" s="239">
        <v>0</v>
      </c>
      <c r="GE8" s="239">
        <v>0</v>
      </c>
      <c r="GF8" s="239">
        <v>0</v>
      </c>
      <c r="GG8" s="239">
        <v>-8234232</v>
      </c>
      <c r="GH8" s="239">
        <v>0</v>
      </c>
      <c r="GI8" s="239">
        <v>-8234232</v>
      </c>
      <c r="GJ8" s="239">
        <v>34622198</v>
      </c>
      <c r="GK8" s="239">
        <v>0</v>
      </c>
      <c r="GL8" s="239">
        <v>34622198</v>
      </c>
      <c r="GM8" s="214" t="s">
        <v>1158</v>
      </c>
    </row>
    <row r="9" spans="1:195" s="214" customFormat="1" x14ac:dyDescent="0.2">
      <c r="B9" s="602" t="s">
        <v>101</v>
      </c>
      <c r="C9" s="602" t="s">
        <v>100</v>
      </c>
      <c r="D9" s="239">
        <v>-1030936</v>
      </c>
      <c r="E9" s="239">
        <v>0</v>
      </c>
      <c r="F9" s="239">
        <v>-1030936</v>
      </c>
      <c r="G9" s="239">
        <v>36040</v>
      </c>
      <c r="H9" s="239">
        <v>0</v>
      </c>
      <c r="I9" s="239">
        <v>36040</v>
      </c>
      <c r="J9" s="239">
        <v>769776</v>
      </c>
      <c r="K9" s="239">
        <v>0</v>
      </c>
      <c r="L9" s="239">
        <v>769776</v>
      </c>
      <c r="M9" s="239">
        <v>-28096</v>
      </c>
      <c r="N9" s="239">
        <v>0</v>
      </c>
      <c r="O9" s="239">
        <v>-28096</v>
      </c>
      <c r="P9" s="239">
        <v>-253216</v>
      </c>
      <c r="Q9" s="239">
        <v>0</v>
      </c>
      <c r="R9" s="239">
        <v>-253216</v>
      </c>
      <c r="S9" s="239">
        <v>-2871806</v>
      </c>
      <c r="T9" s="239">
        <v>0</v>
      </c>
      <c r="U9" s="239">
        <v>-2871806</v>
      </c>
      <c r="V9" s="239">
        <v>0</v>
      </c>
      <c r="W9" s="239">
        <v>0</v>
      </c>
      <c r="X9" s="239">
        <v>0</v>
      </c>
      <c r="Y9" s="239">
        <v>-143523</v>
      </c>
      <c r="Z9" s="239">
        <v>0</v>
      </c>
      <c r="AA9" s="239">
        <v>-143523</v>
      </c>
      <c r="AB9" s="239">
        <v>0</v>
      </c>
      <c r="AC9" s="239">
        <v>0</v>
      </c>
      <c r="AD9" s="239">
        <v>0</v>
      </c>
      <c r="AE9" s="239">
        <v>0</v>
      </c>
      <c r="AF9" s="239">
        <v>0</v>
      </c>
      <c r="AG9" s="239">
        <v>0</v>
      </c>
      <c r="AH9" s="239">
        <v>878930</v>
      </c>
      <c r="AI9" s="239">
        <v>0</v>
      </c>
      <c r="AJ9" s="239">
        <v>878930</v>
      </c>
      <c r="AK9" s="239">
        <v>-51243</v>
      </c>
      <c r="AL9" s="239">
        <v>0</v>
      </c>
      <c r="AM9" s="239">
        <v>-51243</v>
      </c>
      <c r="AN9" s="239">
        <v>-1978292</v>
      </c>
      <c r="AO9" s="239">
        <v>0</v>
      </c>
      <c r="AP9" s="239">
        <v>-1978292</v>
      </c>
      <c r="AQ9" s="239">
        <v>-32999</v>
      </c>
      <c r="AR9" s="239">
        <v>0</v>
      </c>
      <c r="AS9" s="239">
        <v>-32999</v>
      </c>
      <c r="AT9" s="239">
        <v>-12231</v>
      </c>
      <c r="AU9" s="239">
        <v>0</v>
      </c>
      <c r="AV9" s="239">
        <v>-12231</v>
      </c>
      <c r="AW9" s="239">
        <v>0</v>
      </c>
      <c r="AX9" s="239">
        <v>0</v>
      </c>
      <c r="AY9" s="239">
        <v>0</v>
      </c>
      <c r="AZ9" s="239">
        <v>-9832</v>
      </c>
      <c r="BA9" s="239">
        <v>0</v>
      </c>
      <c r="BB9" s="239">
        <v>-9832</v>
      </c>
      <c r="BC9" s="239">
        <v>0</v>
      </c>
      <c r="BD9" s="239">
        <v>0</v>
      </c>
      <c r="BE9" s="239">
        <v>0</v>
      </c>
      <c r="BF9" s="239">
        <v>-4220996</v>
      </c>
      <c r="BG9" s="239">
        <v>0</v>
      </c>
      <c r="BH9" s="239">
        <v>-4220996</v>
      </c>
      <c r="BI9" s="239">
        <v>-50906</v>
      </c>
      <c r="BJ9" s="239">
        <v>0</v>
      </c>
      <c r="BK9" s="239">
        <v>-50906</v>
      </c>
      <c r="BL9" s="239">
        <v>0</v>
      </c>
      <c r="BM9" s="239">
        <v>0</v>
      </c>
      <c r="BN9" s="239">
        <v>0</v>
      </c>
      <c r="BO9" s="239">
        <v>-691127</v>
      </c>
      <c r="BP9" s="239">
        <v>0</v>
      </c>
      <c r="BQ9" s="239">
        <v>-691127</v>
      </c>
      <c r="BR9" s="239">
        <v>-21046</v>
      </c>
      <c r="BS9" s="239">
        <v>0</v>
      </c>
      <c r="BT9" s="239">
        <v>-21046</v>
      </c>
      <c r="BU9" s="239">
        <v>-763079</v>
      </c>
      <c r="BV9" s="239">
        <v>0</v>
      </c>
      <c r="BW9" s="239">
        <v>-763079</v>
      </c>
      <c r="BX9" s="239">
        <v>-151800</v>
      </c>
      <c r="BY9" s="239">
        <v>0</v>
      </c>
      <c r="BZ9" s="239">
        <v>-151800</v>
      </c>
      <c r="CA9" s="239">
        <v>2075</v>
      </c>
      <c r="CB9" s="239">
        <v>0</v>
      </c>
      <c r="CC9" s="239">
        <v>2075</v>
      </c>
      <c r="CD9" s="239">
        <v>-40884</v>
      </c>
      <c r="CE9" s="239">
        <v>0</v>
      </c>
      <c r="CF9" s="239">
        <v>-40884</v>
      </c>
      <c r="CG9" s="239">
        <v>-9402</v>
      </c>
      <c r="CH9" s="239">
        <v>0</v>
      </c>
      <c r="CI9" s="239">
        <v>-9402</v>
      </c>
      <c r="CJ9" s="239">
        <v>0</v>
      </c>
      <c r="CK9" s="239">
        <v>0</v>
      </c>
      <c r="CL9" s="239">
        <v>0</v>
      </c>
      <c r="CM9" s="239">
        <v>0</v>
      </c>
      <c r="CN9" s="239">
        <v>0</v>
      </c>
      <c r="CO9" s="239">
        <v>0</v>
      </c>
      <c r="CP9" s="239">
        <v>-7954</v>
      </c>
      <c r="CQ9" s="239">
        <v>0</v>
      </c>
      <c r="CR9" s="239">
        <v>-7954</v>
      </c>
      <c r="CS9" s="239">
        <v>0</v>
      </c>
      <c r="CT9" s="239">
        <v>0</v>
      </c>
      <c r="CU9" s="239">
        <v>0</v>
      </c>
      <c r="CV9" s="239">
        <v>-4306</v>
      </c>
      <c r="CW9" s="239">
        <v>0</v>
      </c>
      <c r="CX9" s="239">
        <v>-4306</v>
      </c>
      <c r="CY9" s="239">
        <v>0</v>
      </c>
      <c r="CZ9" s="239">
        <v>0</v>
      </c>
      <c r="DA9" s="239">
        <v>0</v>
      </c>
      <c r="DB9" s="239">
        <v>0</v>
      </c>
      <c r="DC9" s="239">
        <v>0</v>
      </c>
      <c r="DD9" s="239">
        <v>0</v>
      </c>
      <c r="DE9" s="239">
        <v>0</v>
      </c>
      <c r="DF9" s="239">
        <v>0</v>
      </c>
      <c r="DG9" s="239">
        <v>0</v>
      </c>
      <c r="DH9" s="239">
        <v>0</v>
      </c>
      <c r="DI9" s="239">
        <v>0</v>
      </c>
      <c r="DJ9" s="239">
        <v>-212271</v>
      </c>
      <c r="DK9" s="239">
        <v>0</v>
      </c>
      <c r="DL9" s="239">
        <v>-212271</v>
      </c>
      <c r="DM9" s="239">
        <v>-86642</v>
      </c>
      <c r="DN9" s="239">
        <v>0</v>
      </c>
      <c r="DO9" s="239">
        <v>-86642</v>
      </c>
      <c r="DP9" s="239">
        <v>17447</v>
      </c>
      <c r="DQ9" s="239">
        <v>0</v>
      </c>
      <c r="DR9" s="239">
        <v>17447</v>
      </c>
      <c r="DS9" s="239">
        <v>0</v>
      </c>
      <c r="DT9" s="239">
        <v>0</v>
      </c>
      <c r="DU9" s="239">
        <v>0</v>
      </c>
      <c r="DV9" s="239">
        <v>0</v>
      </c>
      <c r="DW9" s="239">
        <v>0</v>
      </c>
      <c r="DX9" s="239">
        <v>0</v>
      </c>
      <c r="DY9" s="239">
        <v>1871</v>
      </c>
      <c r="DZ9" s="239">
        <v>0</v>
      </c>
      <c r="EA9" s="239">
        <v>1871</v>
      </c>
      <c r="EB9" s="239">
        <v>0</v>
      </c>
      <c r="EC9" s="239">
        <v>0</v>
      </c>
      <c r="ED9" s="239">
        <v>0</v>
      </c>
      <c r="EE9" s="239">
        <v>0</v>
      </c>
      <c r="EF9" s="239">
        <v>0</v>
      </c>
      <c r="EG9" s="239">
        <v>0</v>
      </c>
      <c r="EH9" s="239">
        <v>0</v>
      </c>
      <c r="EI9" s="239">
        <v>0</v>
      </c>
      <c r="EJ9" s="239">
        <v>0</v>
      </c>
      <c r="EK9" s="239">
        <v>-7954</v>
      </c>
      <c r="EL9" s="239">
        <v>0</v>
      </c>
      <c r="EM9" s="239">
        <v>-7954</v>
      </c>
      <c r="EN9" s="239">
        <v>0</v>
      </c>
      <c r="EO9" s="239">
        <v>0</v>
      </c>
      <c r="EP9" s="239">
        <v>0</v>
      </c>
      <c r="EQ9" s="239">
        <v>-17921</v>
      </c>
      <c r="ER9" s="239">
        <v>0</v>
      </c>
      <c r="ES9" s="239">
        <v>-17921</v>
      </c>
      <c r="ET9" s="239">
        <v>-186042</v>
      </c>
      <c r="EU9" s="239">
        <v>0</v>
      </c>
      <c r="EV9" s="239">
        <v>-186042</v>
      </c>
      <c r="EW9" s="239">
        <v>-32769</v>
      </c>
      <c r="EX9" s="239">
        <v>0</v>
      </c>
      <c r="EY9" s="239">
        <v>-32769</v>
      </c>
      <c r="EZ9" s="239">
        <v>-312010</v>
      </c>
      <c r="FA9" s="239">
        <v>0</v>
      </c>
      <c r="FB9" s="239">
        <v>-312010</v>
      </c>
      <c r="FC9" s="239">
        <v>0</v>
      </c>
      <c r="FD9" s="239">
        <v>0</v>
      </c>
      <c r="FE9" s="239">
        <v>0</v>
      </c>
      <c r="FF9" s="239">
        <v>0</v>
      </c>
      <c r="FG9" s="239">
        <v>0</v>
      </c>
      <c r="FH9" s="239">
        <v>0</v>
      </c>
      <c r="FI9" s="239">
        <v>0</v>
      </c>
      <c r="FJ9" s="239">
        <v>0</v>
      </c>
      <c r="FK9" s="239">
        <v>0</v>
      </c>
      <c r="FL9" s="239">
        <v>40094583</v>
      </c>
      <c r="FM9" s="239">
        <v>0</v>
      </c>
      <c r="FN9" s="239">
        <v>40094583</v>
      </c>
      <c r="FO9" s="239">
        <v>-253216</v>
      </c>
      <c r="FP9" s="239">
        <v>0</v>
      </c>
      <c r="FQ9" s="239">
        <v>-253216</v>
      </c>
      <c r="FR9" s="239">
        <v>-4220996</v>
      </c>
      <c r="FS9" s="239">
        <v>0</v>
      </c>
      <c r="FT9" s="239">
        <v>-4220996</v>
      </c>
      <c r="FU9" s="239">
        <v>-763079</v>
      </c>
      <c r="FV9" s="239">
        <v>0</v>
      </c>
      <c r="FW9" s="239">
        <v>-763079</v>
      </c>
      <c r="FX9" s="239">
        <v>-212271</v>
      </c>
      <c r="FY9" s="239">
        <v>0</v>
      </c>
      <c r="FZ9" s="239">
        <v>-212271</v>
      </c>
      <c r="GA9" s="239">
        <v>-312010</v>
      </c>
      <c r="GB9" s="239">
        <v>0</v>
      </c>
      <c r="GC9" s="239">
        <v>-312010</v>
      </c>
      <c r="GD9" s="239">
        <v>0</v>
      </c>
      <c r="GE9" s="239">
        <v>0</v>
      </c>
      <c r="GF9" s="239">
        <v>0</v>
      </c>
      <c r="GG9" s="239">
        <v>-5761572</v>
      </c>
      <c r="GH9" s="239">
        <v>0</v>
      </c>
      <c r="GI9" s="239">
        <v>-5761572</v>
      </c>
      <c r="GJ9" s="239">
        <v>34333011</v>
      </c>
      <c r="GK9" s="239">
        <v>0</v>
      </c>
      <c r="GL9" s="239">
        <v>34333011</v>
      </c>
      <c r="GM9" s="214" t="s">
        <v>1158</v>
      </c>
    </row>
    <row r="10" spans="1:195" s="214" customFormat="1" x14ac:dyDescent="0.2">
      <c r="B10" s="602" t="s">
        <v>103</v>
      </c>
      <c r="C10" s="602" t="s">
        <v>102</v>
      </c>
      <c r="D10" s="239">
        <v>-1970888</v>
      </c>
      <c r="E10" s="239">
        <v>0</v>
      </c>
      <c r="F10" s="239">
        <v>-1970888</v>
      </c>
      <c r="G10" s="239">
        <v>15722</v>
      </c>
      <c r="H10" s="239">
        <v>0</v>
      </c>
      <c r="I10" s="239">
        <v>15722</v>
      </c>
      <c r="J10" s="239">
        <v>1998369</v>
      </c>
      <c r="K10" s="239">
        <v>0</v>
      </c>
      <c r="L10" s="239">
        <v>1998369</v>
      </c>
      <c r="M10" s="239">
        <v>10258</v>
      </c>
      <c r="N10" s="239">
        <v>0</v>
      </c>
      <c r="O10" s="239">
        <v>10258</v>
      </c>
      <c r="P10" s="239">
        <v>53461</v>
      </c>
      <c r="Q10" s="239">
        <v>0</v>
      </c>
      <c r="R10" s="239">
        <v>53461</v>
      </c>
      <c r="S10" s="239">
        <v>-4463073</v>
      </c>
      <c r="T10" s="239">
        <v>0</v>
      </c>
      <c r="U10" s="239">
        <v>-4463073</v>
      </c>
      <c r="V10" s="239">
        <v>-7552</v>
      </c>
      <c r="W10" s="239">
        <v>0</v>
      </c>
      <c r="X10" s="239">
        <v>-7552</v>
      </c>
      <c r="Y10" s="239">
        <v>-279863</v>
      </c>
      <c r="Z10" s="239">
        <v>0</v>
      </c>
      <c r="AA10" s="239">
        <v>-279863</v>
      </c>
      <c r="AB10" s="239">
        <v>-218556</v>
      </c>
      <c r="AC10" s="239">
        <v>0</v>
      </c>
      <c r="AD10" s="239">
        <v>-218556</v>
      </c>
      <c r="AE10" s="239">
        <v>-10916</v>
      </c>
      <c r="AF10" s="239">
        <v>0</v>
      </c>
      <c r="AG10" s="239">
        <v>-10916</v>
      </c>
      <c r="AH10" s="239">
        <v>824052</v>
      </c>
      <c r="AI10" s="239">
        <v>0</v>
      </c>
      <c r="AJ10" s="239">
        <v>824052</v>
      </c>
      <c r="AK10" s="239">
        <v>370116</v>
      </c>
      <c r="AL10" s="239">
        <v>0</v>
      </c>
      <c r="AM10" s="239">
        <v>370116</v>
      </c>
      <c r="AN10" s="239">
        <v>-3761285</v>
      </c>
      <c r="AO10" s="239">
        <v>0</v>
      </c>
      <c r="AP10" s="239">
        <v>-3761285</v>
      </c>
      <c r="AQ10" s="239">
        <v>-13877</v>
      </c>
      <c r="AR10" s="239">
        <v>0</v>
      </c>
      <c r="AS10" s="239">
        <v>-13877</v>
      </c>
      <c r="AT10" s="239">
        <v>-88795</v>
      </c>
      <c r="AU10" s="239">
        <v>0</v>
      </c>
      <c r="AV10" s="239">
        <v>-88795</v>
      </c>
      <c r="AW10" s="239">
        <v>162</v>
      </c>
      <c r="AX10" s="239">
        <v>0</v>
      </c>
      <c r="AY10" s="239">
        <v>162</v>
      </c>
      <c r="AZ10" s="239">
        <v>-20742</v>
      </c>
      <c r="BA10" s="239">
        <v>0</v>
      </c>
      <c r="BB10" s="239">
        <v>-20742</v>
      </c>
      <c r="BC10" s="239">
        <v>-1677</v>
      </c>
      <c r="BD10" s="239">
        <v>0</v>
      </c>
      <c r="BE10" s="239">
        <v>-1677</v>
      </c>
      <c r="BF10" s="239">
        <v>-7434982</v>
      </c>
      <c r="BG10" s="239">
        <v>0</v>
      </c>
      <c r="BH10" s="239">
        <v>-7434982</v>
      </c>
      <c r="BI10" s="239">
        <v>-3777</v>
      </c>
      <c r="BJ10" s="239">
        <v>0</v>
      </c>
      <c r="BK10" s="239">
        <v>-3777</v>
      </c>
      <c r="BL10" s="239">
        <v>-228</v>
      </c>
      <c r="BM10" s="239">
        <v>0</v>
      </c>
      <c r="BN10" s="239">
        <v>-228</v>
      </c>
      <c r="BO10" s="239">
        <v>-1723755</v>
      </c>
      <c r="BP10" s="239">
        <v>0</v>
      </c>
      <c r="BQ10" s="239">
        <v>-1723755</v>
      </c>
      <c r="BR10" s="239">
        <v>198974</v>
      </c>
      <c r="BS10" s="239">
        <v>0</v>
      </c>
      <c r="BT10" s="239">
        <v>198974</v>
      </c>
      <c r="BU10" s="239">
        <v>-1528786</v>
      </c>
      <c r="BV10" s="239">
        <v>0</v>
      </c>
      <c r="BW10" s="239">
        <v>-1528786</v>
      </c>
      <c r="BX10" s="239">
        <v>-159043</v>
      </c>
      <c r="BY10" s="239">
        <v>0</v>
      </c>
      <c r="BZ10" s="239">
        <v>-159043</v>
      </c>
      <c r="CA10" s="239">
        <v>-4019</v>
      </c>
      <c r="CB10" s="239">
        <v>0</v>
      </c>
      <c r="CC10" s="239">
        <v>-4019</v>
      </c>
      <c r="CD10" s="239">
        <v>-53633</v>
      </c>
      <c r="CE10" s="239">
        <v>0</v>
      </c>
      <c r="CF10" s="239">
        <v>-53633</v>
      </c>
      <c r="CG10" s="239">
        <v>710</v>
      </c>
      <c r="CH10" s="239">
        <v>0</v>
      </c>
      <c r="CI10" s="239">
        <v>710</v>
      </c>
      <c r="CJ10" s="239">
        <v>-11919</v>
      </c>
      <c r="CK10" s="239">
        <v>0</v>
      </c>
      <c r="CL10" s="239">
        <v>-11919</v>
      </c>
      <c r="CM10" s="239">
        <v>40</v>
      </c>
      <c r="CN10" s="239">
        <v>0</v>
      </c>
      <c r="CO10" s="239">
        <v>40</v>
      </c>
      <c r="CP10" s="239">
        <v>-10490</v>
      </c>
      <c r="CQ10" s="239">
        <v>0</v>
      </c>
      <c r="CR10" s="239">
        <v>-10490</v>
      </c>
      <c r="CS10" s="239">
        <v>0</v>
      </c>
      <c r="CT10" s="239">
        <v>0</v>
      </c>
      <c r="CU10" s="239">
        <v>0</v>
      </c>
      <c r="CV10" s="239">
        <v>-39232</v>
      </c>
      <c r="CW10" s="239">
        <v>0</v>
      </c>
      <c r="CX10" s="239">
        <v>-39232</v>
      </c>
      <c r="CY10" s="239">
        <v>-48</v>
      </c>
      <c r="CZ10" s="239">
        <v>0</v>
      </c>
      <c r="DA10" s="239">
        <v>-48</v>
      </c>
      <c r="DB10" s="239">
        <v>0</v>
      </c>
      <c r="DC10" s="239">
        <v>0</v>
      </c>
      <c r="DD10" s="239">
        <v>0</v>
      </c>
      <c r="DE10" s="239">
        <v>0</v>
      </c>
      <c r="DF10" s="239">
        <v>0</v>
      </c>
      <c r="DG10" s="239">
        <v>0</v>
      </c>
      <c r="DH10" s="239">
        <v>0</v>
      </c>
      <c r="DI10" s="239">
        <v>0</v>
      </c>
      <c r="DJ10" s="239">
        <v>-277634</v>
      </c>
      <c r="DK10" s="239">
        <v>0</v>
      </c>
      <c r="DL10" s="239">
        <v>-277634</v>
      </c>
      <c r="DM10" s="239">
        <v>0</v>
      </c>
      <c r="DN10" s="239">
        <v>0</v>
      </c>
      <c r="DO10" s="239">
        <v>0</v>
      </c>
      <c r="DP10" s="239">
        <v>87</v>
      </c>
      <c r="DQ10" s="239">
        <v>0</v>
      </c>
      <c r="DR10" s="239">
        <v>87</v>
      </c>
      <c r="DS10" s="239">
        <v>-2253</v>
      </c>
      <c r="DT10" s="239">
        <v>0</v>
      </c>
      <c r="DU10" s="239">
        <v>-2253</v>
      </c>
      <c r="DV10" s="239">
        <v>0</v>
      </c>
      <c r="DW10" s="239">
        <v>0</v>
      </c>
      <c r="DX10" s="239">
        <v>0</v>
      </c>
      <c r="DY10" s="239">
        <v>14685</v>
      </c>
      <c r="DZ10" s="239">
        <v>0</v>
      </c>
      <c r="EA10" s="239">
        <v>14685</v>
      </c>
      <c r="EB10" s="239">
        <v>0</v>
      </c>
      <c r="EC10" s="239">
        <v>0</v>
      </c>
      <c r="ED10" s="239">
        <v>0</v>
      </c>
      <c r="EE10" s="239">
        <v>0</v>
      </c>
      <c r="EF10" s="239">
        <v>0</v>
      </c>
      <c r="EG10" s="239">
        <v>0</v>
      </c>
      <c r="EH10" s="239">
        <v>0</v>
      </c>
      <c r="EI10" s="239">
        <v>0</v>
      </c>
      <c r="EJ10" s="239">
        <v>0</v>
      </c>
      <c r="EK10" s="239">
        <v>-10252</v>
      </c>
      <c r="EL10" s="239">
        <v>0</v>
      </c>
      <c r="EM10" s="239">
        <v>-10252</v>
      </c>
      <c r="EN10" s="239">
        <v>0</v>
      </c>
      <c r="EO10" s="239">
        <v>0</v>
      </c>
      <c r="EP10" s="239">
        <v>0</v>
      </c>
      <c r="EQ10" s="239">
        <v>-28073</v>
      </c>
      <c r="ER10" s="239">
        <v>0</v>
      </c>
      <c r="ES10" s="239">
        <v>-28073</v>
      </c>
      <c r="ET10" s="239">
        <v>-149850</v>
      </c>
      <c r="EU10" s="239">
        <v>0</v>
      </c>
      <c r="EV10" s="239">
        <v>-149850</v>
      </c>
      <c r="EW10" s="239">
        <v>-68768</v>
      </c>
      <c r="EX10" s="239">
        <v>0</v>
      </c>
      <c r="EY10" s="239">
        <v>-68768</v>
      </c>
      <c r="EZ10" s="239">
        <v>-244424</v>
      </c>
      <c r="FA10" s="239">
        <v>0</v>
      </c>
      <c r="FB10" s="239">
        <v>-244424</v>
      </c>
      <c r="FC10" s="239">
        <v>0</v>
      </c>
      <c r="FD10" s="239">
        <v>0</v>
      </c>
      <c r="FE10" s="239">
        <v>0</v>
      </c>
      <c r="FF10" s="239">
        <v>0</v>
      </c>
      <c r="FG10" s="239">
        <v>0</v>
      </c>
      <c r="FH10" s="239">
        <v>0</v>
      </c>
      <c r="FI10" s="239">
        <v>0</v>
      </c>
      <c r="FJ10" s="239">
        <v>0</v>
      </c>
      <c r="FK10" s="239">
        <v>0</v>
      </c>
      <c r="FL10" s="239">
        <v>58612104</v>
      </c>
      <c r="FM10" s="239">
        <v>0</v>
      </c>
      <c r="FN10" s="239">
        <v>58612104</v>
      </c>
      <c r="FO10" s="239">
        <v>53461</v>
      </c>
      <c r="FP10" s="239">
        <v>0</v>
      </c>
      <c r="FQ10" s="239">
        <v>53461</v>
      </c>
      <c r="FR10" s="239">
        <v>-7434982</v>
      </c>
      <c r="FS10" s="239">
        <v>0</v>
      </c>
      <c r="FT10" s="239">
        <v>-7434982</v>
      </c>
      <c r="FU10" s="239">
        <v>-1528786</v>
      </c>
      <c r="FV10" s="239">
        <v>0</v>
      </c>
      <c r="FW10" s="239">
        <v>-1528786</v>
      </c>
      <c r="FX10" s="239">
        <v>-277634</v>
      </c>
      <c r="FY10" s="239">
        <v>0</v>
      </c>
      <c r="FZ10" s="239">
        <v>-277634</v>
      </c>
      <c r="GA10" s="239">
        <v>-244424</v>
      </c>
      <c r="GB10" s="239">
        <v>0</v>
      </c>
      <c r="GC10" s="239">
        <v>-244424</v>
      </c>
      <c r="GD10" s="239">
        <v>0</v>
      </c>
      <c r="GE10" s="239">
        <v>0</v>
      </c>
      <c r="GF10" s="239">
        <v>0</v>
      </c>
      <c r="GG10" s="239">
        <v>-9432365</v>
      </c>
      <c r="GH10" s="239">
        <v>0</v>
      </c>
      <c r="GI10" s="239">
        <v>-9432365</v>
      </c>
      <c r="GJ10" s="239">
        <v>49179739</v>
      </c>
      <c r="GK10" s="239">
        <v>0</v>
      </c>
      <c r="GL10" s="239">
        <v>49179739</v>
      </c>
      <c r="GM10" s="214" t="s">
        <v>1158</v>
      </c>
    </row>
    <row r="11" spans="1:195" s="214" customFormat="1" x14ac:dyDescent="0.2">
      <c r="B11" s="602" t="s">
        <v>105</v>
      </c>
      <c r="C11" s="602" t="s">
        <v>104</v>
      </c>
      <c r="D11" s="239">
        <v>-2328003</v>
      </c>
      <c r="E11" s="239">
        <v>0</v>
      </c>
      <c r="F11" s="239">
        <v>-2328003</v>
      </c>
      <c r="G11" s="239">
        <v>28534</v>
      </c>
      <c r="H11" s="239">
        <v>0</v>
      </c>
      <c r="I11" s="239">
        <v>28534</v>
      </c>
      <c r="J11" s="239">
        <v>2717931</v>
      </c>
      <c r="K11" s="239">
        <v>4163</v>
      </c>
      <c r="L11" s="239">
        <v>2722094</v>
      </c>
      <c r="M11" s="239">
        <v>25802</v>
      </c>
      <c r="N11" s="239">
        <v>0</v>
      </c>
      <c r="O11" s="239">
        <v>25802</v>
      </c>
      <c r="P11" s="239">
        <v>444264</v>
      </c>
      <c r="Q11" s="239">
        <v>4163</v>
      </c>
      <c r="R11" s="239">
        <v>448427</v>
      </c>
      <c r="S11" s="239">
        <v>-5137476</v>
      </c>
      <c r="T11" s="239">
        <v>0</v>
      </c>
      <c r="U11" s="239">
        <v>-5137476</v>
      </c>
      <c r="V11" s="239">
        <v>-21505</v>
      </c>
      <c r="W11" s="239">
        <v>0</v>
      </c>
      <c r="X11" s="239">
        <v>-21505</v>
      </c>
      <c r="Y11" s="239">
        <v>-89774</v>
      </c>
      <c r="Z11" s="239">
        <v>0</v>
      </c>
      <c r="AA11" s="239">
        <v>-89774</v>
      </c>
      <c r="AB11" s="239">
        <v>-84952</v>
      </c>
      <c r="AC11" s="239">
        <v>0</v>
      </c>
      <c r="AD11" s="239">
        <v>-84952</v>
      </c>
      <c r="AE11" s="239">
        <v>2257</v>
      </c>
      <c r="AF11" s="239">
        <v>0</v>
      </c>
      <c r="AG11" s="239">
        <v>2257</v>
      </c>
      <c r="AH11" s="239">
        <v>1236701</v>
      </c>
      <c r="AI11" s="239">
        <v>0</v>
      </c>
      <c r="AJ11" s="239">
        <v>1236701</v>
      </c>
      <c r="AK11" s="239">
        <v>640487</v>
      </c>
      <c r="AL11" s="239">
        <v>0</v>
      </c>
      <c r="AM11" s="239">
        <v>640487</v>
      </c>
      <c r="AN11" s="239">
        <v>-5173560</v>
      </c>
      <c r="AO11" s="239">
        <v>0</v>
      </c>
      <c r="AP11" s="239">
        <v>-5173560</v>
      </c>
      <c r="AQ11" s="239">
        <v>-97510</v>
      </c>
      <c r="AR11" s="239">
        <v>0</v>
      </c>
      <c r="AS11" s="239">
        <v>-97510</v>
      </c>
      <c r="AT11" s="239">
        <v>-20274</v>
      </c>
      <c r="AU11" s="239">
        <v>0</v>
      </c>
      <c r="AV11" s="239">
        <v>-20274</v>
      </c>
      <c r="AW11" s="239">
        <v>0</v>
      </c>
      <c r="AX11" s="239">
        <v>0</v>
      </c>
      <c r="AY11" s="239">
        <v>0</v>
      </c>
      <c r="AZ11" s="239">
        <v>-52113</v>
      </c>
      <c r="BA11" s="239">
        <v>0</v>
      </c>
      <c r="BB11" s="239">
        <v>-52113</v>
      </c>
      <c r="BC11" s="239">
        <v>0</v>
      </c>
      <c r="BD11" s="239">
        <v>0</v>
      </c>
      <c r="BE11" s="239">
        <v>0</v>
      </c>
      <c r="BF11" s="239">
        <v>-8693519</v>
      </c>
      <c r="BG11" s="239">
        <v>0</v>
      </c>
      <c r="BH11" s="239">
        <v>-8693519</v>
      </c>
      <c r="BI11" s="239">
        <v>-565</v>
      </c>
      <c r="BJ11" s="239">
        <v>0</v>
      </c>
      <c r="BK11" s="239">
        <v>-565</v>
      </c>
      <c r="BL11" s="239">
        <v>-3382</v>
      </c>
      <c r="BM11" s="239">
        <v>0</v>
      </c>
      <c r="BN11" s="239">
        <v>-3382</v>
      </c>
      <c r="BO11" s="239">
        <v>-1195666</v>
      </c>
      <c r="BP11" s="239">
        <v>-15954</v>
      </c>
      <c r="BQ11" s="239">
        <v>-1211620</v>
      </c>
      <c r="BR11" s="239">
        <v>2442663</v>
      </c>
      <c r="BS11" s="239">
        <v>0</v>
      </c>
      <c r="BT11" s="239">
        <v>2442663</v>
      </c>
      <c r="BU11" s="239">
        <v>1243050</v>
      </c>
      <c r="BV11" s="239">
        <v>-15954</v>
      </c>
      <c r="BW11" s="239">
        <v>1227096</v>
      </c>
      <c r="BX11" s="239">
        <v>-225787</v>
      </c>
      <c r="BY11" s="239">
        <v>0</v>
      </c>
      <c r="BZ11" s="239">
        <v>-225787</v>
      </c>
      <c r="CA11" s="239">
        <v>-2547</v>
      </c>
      <c r="CB11" s="239">
        <v>0</v>
      </c>
      <c r="CC11" s="239">
        <v>-2547</v>
      </c>
      <c r="CD11" s="239">
        <v>-76728</v>
      </c>
      <c r="CE11" s="239">
        <v>0</v>
      </c>
      <c r="CF11" s="239">
        <v>-76728</v>
      </c>
      <c r="CG11" s="239">
        <v>-146</v>
      </c>
      <c r="CH11" s="239">
        <v>0</v>
      </c>
      <c r="CI11" s="239">
        <v>-146</v>
      </c>
      <c r="CJ11" s="239">
        <v>-3868</v>
      </c>
      <c r="CK11" s="239">
        <v>0</v>
      </c>
      <c r="CL11" s="239">
        <v>-3868</v>
      </c>
      <c r="CM11" s="239">
        <v>0</v>
      </c>
      <c r="CN11" s="239">
        <v>0</v>
      </c>
      <c r="CO11" s="239">
        <v>0</v>
      </c>
      <c r="CP11" s="239">
        <v>0</v>
      </c>
      <c r="CQ11" s="239">
        <v>0</v>
      </c>
      <c r="CR11" s="239">
        <v>0</v>
      </c>
      <c r="CS11" s="239">
        <v>0</v>
      </c>
      <c r="CT11" s="239">
        <v>0</v>
      </c>
      <c r="CU11" s="239">
        <v>0</v>
      </c>
      <c r="CV11" s="239">
        <v>0</v>
      </c>
      <c r="CW11" s="239">
        <v>0</v>
      </c>
      <c r="CX11" s="239">
        <v>0</v>
      </c>
      <c r="CY11" s="239">
        <v>0</v>
      </c>
      <c r="CZ11" s="239">
        <v>0</v>
      </c>
      <c r="DA11" s="239">
        <v>0</v>
      </c>
      <c r="DB11" s="239">
        <v>0</v>
      </c>
      <c r="DC11" s="239">
        <v>-51141</v>
      </c>
      <c r="DD11" s="239">
        <v>-51141</v>
      </c>
      <c r="DE11" s="239">
        <v>0</v>
      </c>
      <c r="DF11" s="239">
        <v>-8564</v>
      </c>
      <c r="DG11" s="239">
        <v>-8564</v>
      </c>
      <c r="DH11" s="239">
        <v>-59705</v>
      </c>
      <c r="DI11" s="239">
        <v>0</v>
      </c>
      <c r="DJ11" s="239">
        <v>-309076</v>
      </c>
      <c r="DK11" s="239">
        <v>-59705</v>
      </c>
      <c r="DL11" s="239">
        <v>-368781</v>
      </c>
      <c r="DM11" s="239">
        <v>0</v>
      </c>
      <c r="DN11" s="239">
        <v>0</v>
      </c>
      <c r="DO11" s="239">
        <v>0</v>
      </c>
      <c r="DP11" s="239">
        <v>2030</v>
      </c>
      <c r="DQ11" s="239">
        <v>0</v>
      </c>
      <c r="DR11" s="239">
        <v>2030</v>
      </c>
      <c r="DS11" s="239">
        <v>-1193</v>
      </c>
      <c r="DT11" s="239">
        <v>0</v>
      </c>
      <c r="DU11" s="239">
        <v>-1193</v>
      </c>
      <c r="DV11" s="239">
        <v>-17387</v>
      </c>
      <c r="DW11" s="239">
        <v>0</v>
      </c>
      <c r="DX11" s="239">
        <v>-17387</v>
      </c>
      <c r="DY11" s="239">
        <v>1131</v>
      </c>
      <c r="DZ11" s="239">
        <v>0</v>
      </c>
      <c r="EA11" s="239">
        <v>1131</v>
      </c>
      <c r="EB11" s="239">
        <v>0</v>
      </c>
      <c r="EC11" s="239">
        <v>0</v>
      </c>
      <c r="ED11" s="239">
        <v>0</v>
      </c>
      <c r="EE11" s="239">
        <v>0</v>
      </c>
      <c r="EF11" s="239">
        <v>0</v>
      </c>
      <c r="EG11" s="239">
        <v>0</v>
      </c>
      <c r="EH11" s="239">
        <v>0</v>
      </c>
      <c r="EI11" s="239">
        <v>0</v>
      </c>
      <c r="EJ11" s="239">
        <v>0</v>
      </c>
      <c r="EK11" s="239">
        <v>-50451</v>
      </c>
      <c r="EL11" s="239">
        <v>0</v>
      </c>
      <c r="EM11" s="239">
        <v>-50451</v>
      </c>
      <c r="EN11" s="239">
        <v>0</v>
      </c>
      <c r="EO11" s="239">
        <v>0</v>
      </c>
      <c r="EP11" s="239">
        <v>0</v>
      </c>
      <c r="EQ11" s="239">
        <v>-43058</v>
      </c>
      <c r="ER11" s="239">
        <v>0</v>
      </c>
      <c r="ES11" s="239">
        <v>-43058</v>
      </c>
      <c r="ET11" s="239">
        <v>-430957</v>
      </c>
      <c r="EU11" s="239">
        <v>0</v>
      </c>
      <c r="EV11" s="239">
        <v>-430957</v>
      </c>
      <c r="EW11" s="239">
        <v>-78188</v>
      </c>
      <c r="EX11" s="239">
        <v>0</v>
      </c>
      <c r="EY11" s="239">
        <v>-78188</v>
      </c>
      <c r="EZ11" s="239">
        <v>-618073</v>
      </c>
      <c r="FA11" s="239">
        <v>0</v>
      </c>
      <c r="FB11" s="239">
        <v>-618073</v>
      </c>
      <c r="FC11" s="239">
        <v>0</v>
      </c>
      <c r="FD11" s="239">
        <v>0</v>
      </c>
      <c r="FE11" s="239">
        <v>0</v>
      </c>
      <c r="FF11" s="239">
        <v>0</v>
      </c>
      <c r="FG11" s="239">
        <v>0</v>
      </c>
      <c r="FH11" s="239">
        <v>0</v>
      </c>
      <c r="FI11" s="239">
        <v>0</v>
      </c>
      <c r="FJ11" s="239">
        <v>0</v>
      </c>
      <c r="FK11" s="239">
        <v>0</v>
      </c>
      <c r="FL11" s="239">
        <v>61513061</v>
      </c>
      <c r="FM11" s="239">
        <v>383013</v>
      </c>
      <c r="FN11" s="239">
        <v>61896074</v>
      </c>
      <c r="FO11" s="239">
        <v>444264</v>
      </c>
      <c r="FP11" s="239">
        <v>4163</v>
      </c>
      <c r="FQ11" s="239">
        <v>448427</v>
      </c>
      <c r="FR11" s="239">
        <v>-8693519</v>
      </c>
      <c r="FS11" s="239">
        <v>0</v>
      </c>
      <c r="FT11" s="239">
        <v>-8693519</v>
      </c>
      <c r="FU11" s="239">
        <v>1243050</v>
      </c>
      <c r="FV11" s="239">
        <v>-15954</v>
      </c>
      <c r="FW11" s="239">
        <v>1227096</v>
      </c>
      <c r="FX11" s="239">
        <v>-309076</v>
      </c>
      <c r="FY11" s="239">
        <v>-59705</v>
      </c>
      <c r="FZ11" s="239">
        <v>-368781</v>
      </c>
      <c r="GA11" s="239">
        <v>-618073</v>
      </c>
      <c r="GB11" s="239">
        <v>0</v>
      </c>
      <c r="GC11" s="239">
        <v>-618073</v>
      </c>
      <c r="GD11" s="239">
        <v>0</v>
      </c>
      <c r="GE11" s="239">
        <v>0</v>
      </c>
      <c r="GF11" s="239">
        <v>0</v>
      </c>
      <c r="GG11" s="239">
        <v>-7933354</v>
      </c>
      <c r="GH11" s="239">
        <v>-71496</v>
      </c>
      <c r="GI11" s="239">
        <v>-8004850</v>
      </c>
      <c r="GJ11" s="239">
        <v>53579707</v>
      </c>
      <c r="GK11" s="239">
        <v>311517</v>
      </c>
      <c r="GL11" s="239">
        <v>53891224</v>
      </c>
      <c r="GM11" s="214" t="s">
        <v>1158</v>
      </c>
    </row>
    <row r="12" spans="1:195" s="214" customFormat="1" x14ac:dyDescent="0.2">
      <c r="B12" s="602" t="s">
        <v>107</v>
      </c>
      <c r="C12" s="602" t="s">
        <v>106</v>
      </c>
      <c r="D12" s="239">
        <v>-1040991</v>
      </c>
      <c r="E12" s="239">
        <v>0</v>
      </c>
      <c r="F12" s="239">
        <v>-1040991</v>
      </c>
      <c r="G12" s="239">
        <v>81972</v>
      </c>
      <c r="H12" s="239">
        <v>0</v>
      </c>
      <c r="I12" s="239">
        <v>81972</v>
      </c>
      <c r="J12" s="239">
        <v>1269444</v>
      </c>
      <c r="K12" s="239">
        <v>0</v>
      </c>
      <c r="L12" s="239">
        <v>1269444</v>
      </c>
      <c r="M12" s="239">
        <v>13952</v>
      </c>
      <c r="N12" s="239">
        <v>0</v>
      </c>
      <c r="O12" s="239">
        <v>13952</v>
      </c>
      <c r="P12" s="239">
        <v>324377</v>
      </c>
      <c r="Q12" s="239">
        <v>0</v>
      </c>
      <c r="R12" s="239">
        <v>324377</v>
      </c>
      <c r="S12" s="239">
        <v>-3367190</v>
      </c>
      <c r="T12" s="239">
        <v>0</v>
      </c>
      <c r="U12" s="239">
        <v>-3367190</v>
      </c>
      <c r="V12" s="239">
        <v>-36605</v>
      </c>
      <c r="W12" s="239">
        <v>0</v>
      </c>
      <c r="X12" s="239">
        <v>-36605</v>
      </c>
      <c r="Y12" s="239">
        <v>-64428</v>
      </c>
      <c r="Z12" s="239">
        <v>0</v>
      </c>
      <c r="AA12" s="239">
        <v>-64428</v>
      </c>
      <c r="AB12" s="239">
        <v>-65298</v>
      </c>
      <c r="AC12" s="239">
        <v>0</v>
      </c>
      <c r="AD12" s="239">
        <v>-65298</v>
      </c>
      <c r="AE12" s="239">
        <v>4324</v>
      </c>
      <c r="AF12" s="239">
        <v>0</v>
      </c>
      <c r="AG12" s="239">
        <v>4324</v>
      </c>
      <c r="AH12" s="239">
        <v>491057</v>
      </c>
      <c r="AI12" s="239">
        <v>0</v>
      </c>
      <c r="AJ12" s="239">
        <v>491057</v>
      </c>
      <c r="AK12" s="239">
        <v>-2316</v>
      </c>
      <c r="AL12" s="239">
        <v>0</v>
      </c>
      <c r="AM12" s="239">
        <v>-2316</v>
      </c>
      <c r="AN12" s="239">
        <v>-2215596</v>
      </c>
      <c r="AO12" s="239">
        <v>0</v>
      </c>
      <c r="AP12" s="239">
        <v>-2215596</v>
      </c>
      <c r="AQ12" s="239">
        <v>-24888</v>
      </c>
      <c r="AR12" s="239">
        <v>0</v>
      </c>
      <c r="AS12" s="239">
        <v>-24888</v>
      </c>
      <c r="AT12" s="239">
        <v>-48658</v>
      </c>
      <c r="AU12" s="239">
        <v>0</v>
      </c>
      <c r="AV12" s="239">
        <v>-48658</v>
      </c>
      <c r="AW12" s="239">
        <v>0</v>
      </c>
      <c r="AX12" s="239">
        <v>0</v>
      </c>
      <c r="AY12" s="239">
        <v>0</v>
      </c>
      <c r="AZ12" s="239">
        <v>-70603</v>
      </c>
      <c r="BA12" s="239">
        <v>0</v>
      </c>
      <c r="BB12" s="239">
        <v>-70603</v>
      </c>
      <c r="BC12" s="239">
        <v>-8480</v>
      </c>
      <c r="BD12" s="239">
        <v>0</v>
      </c>
      <c r="BE12" s="239">
        <v>-8480</v>
      </c>
      <c r="BF12" s="239">
        <v>-5311102</v>
      </c>
      <c r="BG12" s="239">
        <v>0</v>
      </c>
      <c r="BH12" s="239">
        <v>-5311102</v>
      </c>
      <c r="BI12" s="239">
        <v>-10011</v>
      </c>
      <c r="BJ12" s="239">
        <v>0</v>
      </c>
      <c r="BK12" s="239">
        <v>-10011</v>
      </c>
      <c r="BL12" s="239">
        <v>-11465</v>
      </c>
      <c r="BM12" s="239">
        <v>0</v>
      </c>
      <c r="BN12" s="239">
        <v>-11465</v>
      </c>
      <c r="BO12" s="239">
        <v>-560688</v>
      </c>
      <c r="BP12" s="239">
        <v>0</v>
      </c>
      <c r="BQ12" s="239">
        <v>-560688</v>
      </c>
      <c r="BR12" s="239">
        <v>-2809</v>
      </c>
      <c r="BS12" s="239">
        <v>0</v>
      </c>
      <c r="BT12" s="239">
        <v>-2809</v>
      </c>
      <c r="BU12" s="239">
        <v>-584973</v>
      </c>
      <c r="BV12" s="239">
        <v>0</v>
      </c>
      <c r="BW12" s="239">
        <v>-584973</v>
      </c>
      <c r="BX12" s="239">
        <v>-44588</v>
      </c>
      <c r="BY12" s="239">
        <v>0</v>
      </c>
      <c r="BZ12" s="239">
        <v>-44588</v>
      </c>
      <c r="CA12" s="239">
        <v>-265</v>
      </c>
      <c r="CB12" s="239">
        <v>0</v>
      </c>
      <c r="CC12" s="239">
        <v>-265</v>
      </c>
      <c r="CD12" s="239">
        <v>-16736</v>
      </c>
      <c r="CE12" s="239">
        <v>0</v>
      </c>
      <c r="CF12" s="239">
        <v>-16736</v>
      </c>
      <c r="CG12" s="239">
        <v>0</v>
      </c>
      <c r="CH12" s="239">
        <v>0</v>
      </c>
      <c r="CI12" s="239">
        <v>0</v>
      </c>
      <c r="CJ12" s="239">
        <v>-6082</v>
      </c>
      <c r="CK12" s="239">
        <v>0</v>
      </c>
      <c r="CL12" s="239">
        <v>-6082</v>
      </c>
      <c r="CM12" s="239">
        <v>0</v>
      </c>
      <c r="CN12" s="239">
        <v>0</v>
      </c>
      <c r="CO12" s="239">
        <v>0</v>
      </c>
      <c r="CP12" s="239">
        <v>0</v>
      </c>
      <c r="CQ12" s="239">
        <v>0</v>
      </c>
      <c r="CR12" s="239">
        <v>0</v>
      </c>
      <c r="CS12" s="239">
        <v>-6230</v>
      </c>
      <c r="CT12" s="239">
        <v>0</v>
      </c>
      <c r="CU12" s="239">
        <v>-6230</v>
      </c>
      <c r="CV12" s="239">
        <v>-10311</v>
      </c>
      <c r="CW12" s="239">
        <v>0</v>
      </c>
      <c r="CX12" s="239">
        <v>-10311</v>
      </c>
      <c r="CY12" s="239">
        <v>0</v>
      </c>
      <c r="CZ12" s="239">
        <v>0</v>
      </c>
      <c r="DA12" s="239">
        <v>0</v>
      </c>
      <c r="DB12" s="239">
        <v>0</v>
      </c>
      <c r="DC12" s="239">
        <v>0</v>
      </c>
      <c r="DD12" s="239">
        <v>0</v>
      </c>
      <c r="DE12" s="239">
        <v>0</v>
      </c>
      <c r="DF12" s="239">
        <v>0</v>
      </c>
      <c r="DG12" s="239">
        <v>0</v>
      </c>
      <c r="DH12" s="239">
        <v>0</v>
      </c>
      <c r="DI12" s="239">
        <v>0</v>
      </c>
      <c r="DJ12" s="239">
        <v>-84212</v>
      </c>
      <c r="DK12" s="239">
        <v>0</v>
      </c>
      <c r="DL12" s="239">
        <v>-84212</v>
      </c>
      <c r="DM12" s="239">
        <v>-4953</v>
      </c>
      <c r="DN12" s="239">
        <v>0</v>
      </c>
      <c r="DO12" s="239">
        <v>-4953</v>
      </c>
      <c r="DP12" s="239">
        <v>0</v>
      </c>
      <c r="DQ12" s="239">
        <v>0</v>
      </c>
      <c r="DR12" s="239">
        <v>0</v>
      </c>
      <c r="DS12" s="239">
        <v>-998</v>
      </c>
      <c r="DT12" s="239">
        <v>0</v>
      </c>
      <c r="DU12" s="239">
        <v>-998</v>
      </c>
      <c r="DV12" s="239">
        <v>0</v>
      </c>
      <c r="DW12" s="239">
        <v>0</v>
      </c>
      <c r="DX12" s="239">
        <v>0</v>
      </c>
      <c r="DY12" s="239">
        <v>3815</v>
      </c>
      <c r="DZ12" s="239">
        <v>0</v>
      </c>
      <c r="EA12" s="239">
        <v>3815</v>
      </c>
      <c r="EB12" s="239">
        <v>0</v>
      </c>
      <c r="EC12" s="239">
        <v>0</v>
      </c>
      <c r="ED12" s="239">
        <v>0</v>
      </c>
      <c r="EE12" s="239">
        <v>0</v>
      </c>
      <c r="EF12" s="239">
        <v>0</v>
      </c>
      <c r="EG12" s="239">
        <v>0</v>
      </c>
      <c r="EH12" s="239">
        <v>0</v>
      </c>
      <c r="EI12" s="239">
        <v>0</v>
      </c>
      <c r="EJ12" s="239">
        <v>0</v>
      </c>
      <c r="EK12" s="239">
        <v>-70603</v>
      </c>
      <c r="EL12" s="239">
        <v>0</v>
      </c>
      <c r="EM12" s="239">
        <v>-70603</v>
      </c>
      <c r="EN12" s="239">
        <v>-1500</v>
      </c>
      <c r="EO12" s="239">
        <v>0</v>
      </c>
      <c r="EP12" s="239">
        <v>-1500</v>
      </c>
      <c r="EQ12" s="239">
        <v>-41192</v>
      </c>
      <c r="ER12" s="239">
        <v>0</v>
      </c>
      <c r="ES12" s="239">
        <v>-41192</v>
      </c>
      <c r="ET12" s="239">
        <v>-181976</v>
      </c>
      <c r="EU12" s="239">
        <v>0</v>
      </c>
      <c r="EV12" s="239">
        <v>-181976</v>
      </c>
      <c r="EW12" s="239">
        <v>-50221</v>
      </c>
      <c r="EX12" s="239">
        <v>0</v>
      </c>
      <c r="EY12" s="239">
        <v>-50221</v>
      </c>
      <c r="EZ12" s="239">
        <v>-347628</v>
      </c>
      <c r="FA12" s="239">
        <v>0</v>
      </c>
      <c r="FB12" s="239">
        <v>-347628</v>
      </c>
      <c r="FC12" s="239">
        <v>0</v>
      </c>
      <c r="FD12" s="239">
        <v>0</v>
      </c>
      <c r="FE12" s="239">
        <v>0</v>
      </c>
      <c r="FF12" s="239">
        <v>0</v>
      </c>
      <c r="FG12" s="239">
        <v>0</v>
      </c>
      <c r="FH12" s="239">
        <v>0</v>
      </c>
      <c r="FI12" s="239">
        <v>0</v>
      </c>
      <c r="FJ12" s="239">
        <v>0</v>
      </c>
      <c r="FK12" s="239">
        <v>0</v>
      </c>
      <c r="FL12" s="239">
        <v>28966821</v>
      </c>
      <c r="FM12" s="239">
        <v>0</v>
      </c>
      <c r="FN12" s="239">
        <v>28966821</v>
      </c>
      <c r="FO12" s="239">
        <v>324377</v>
      </c>
      <c r="FP12" s="239">
        <v>0</v>
      </c>
      <c r="FQ12" s="239">
        <v>324377</v>
      </c>
      <c r="FR12" s="239">
        <v>-5311102</v>
      </c>
      <c r="FS12" s="239">
        <v>0</v>
      </c>
      <c r="FT12" s="239">
        <v>-5311102</v>
      </c>
      <c r="FU12" s="239">
        <v>-584973</v>
      </c>
      <c r="FV12" s="239">
        <v>0</v>
      </c>
      <c r="FW12" s="239">
        <v>-584973</v>
      </c>
      <c r="FX12" s="239">
        <v>-84212</v>
      </c>
      <c r="FY12" s="239">
        <v>0</v>
      </c>
      <c r="FZ12" s="239">
        <v>-84212</v>
      </c>
      <c r="GA12" s="239">
        <v>-347628</v>
      </c>
      <c r="GB12" s="239">
        <v>0</v>
      </c>
      <c r="GC12" s="239">
        <v>-347628</v>
      </c>
      <c r="GD12" s="239">
        <v>0</v>
      </c>
      <c r="GE12" s="239">
        <v>0</v>
      </c>
      <c r="GF12" s="239">
        <v>0</v>
      </c>
      <c r="GG12" s="239">
        <v>-6003538</v>
      </c>
      <c r="GH12" s="239">
        <v>0</v>
      </c>
      <c r="GI12" s="239">
        <v>-6003538</v>
      </c>
      <c r="GJ12" s="239">
        <v>22963283</v>
      </c>
      <c r="GK12" s="239">
        <v>0</v>
      </c>
      <c r="GL12" s="239">
        <v>22963283</v>
      </c>
      <c r="GM12" s="214" t="s">
        <v>1158</v>
      </c>
    </row>
    <row r="13" spans="1:195" s="214" customFormat="1" x14ac:dyDescent="0.2">
      <c r="B13" s="602" t="s">
        <v>109</v>
      </c>
      <c r="C13" s="602" t="s">
        <v>108</v>
      </c>
      <c r="D13" s="239">
        <v>-2910285</v>
      </c>
      <c r="E13" s="239">
        <v>0</v>
      </c>
      <c r="F13" s="239">
        <v>-2910285</v>
      </c>
      <c r="G13" s="239">
        <v>4895456</v>
      </c>
      <c r="H13" s="239">
        <v>0</v>
      </c>
      <c r="I13" s="239">
        <v>4895456</v>
      </c>
      <c r="J13" s="239">
        <v>1913710</v>
      </c>
      <c r="K13" s="239">
        <v>0</v>
      </c>
      <c r="L13" s="239">
        <v>1913710</v>
      </c>
      <c r="M13" s="239">
        <v>35990</v>
      </c>
      <c r="N13" s="239">
        <v>0</v>
      </c>
      <c r="O13" s="239">
        <v>35990</v>
      </c>
      <c r="P13" s="239">
        <v>3934871</v>
      </c>
      <c r="Q13" s="239">
        <v>0</v>
      </c>
      <c r="R13" s="239">
        <v>3934871</v>
      </c>
      <c r="S13" s="239">
        <v>-4276613</v>
      </c>
      <c r="T13" s="239">
        <v>0</v>
      </c>
      <c r="U13" s="239">
        <v>-4276613</v>
      </c>
      <c r="V13" s="239">
        <v>-11754</v>
      </c>
      <c r="W13" s="239">
        <v>0</v>
      </c>
      <c r="X13" s="239">
        <v>-11754</v>
      </c>
      <c r="Y13" s="239">
        <v>-104925</v>
      </c>
      <c r="Z13" s="239">
        <v>0</v>
      </c>
      <c r="AA13" s="239">
        <v>-104925</v>
      </c>
      <c r="AB13" s="239">
        <v>-100146</v>
      </c>
      <c r="AC13" s="239">
        <v>0</v>
      </c>
      <c r="AD13" s="239">
        <v>-100146</v>
      </c>
      <c r="AE13" s="239">
        <v>-1847</v>
      </c>
      <c r="AF13" s="239">
        <v>0</v>
      </c>
      <c r="AG13" s="239">
        <v>-1847</v>
      </c>
      <c r="AH13" s="239">
        <v>1462373</v>
      </c>
      <c r="AI13" s="239">
        <v>0</v>
      </c>
      <c r="AJ13" s="239">
        <v>1462373</v>
      </c>
      <c r="AK13" s="239">
        <v>-120132</v>
      </c>
      <c r="AL13" s="239">
        <v>0</v>
      </c>
      <c r="AM13" s="239">
        <v>-120132</v>
      </c>
      <c r="AN13" s="239">
        <v>-4433401</v>
      </c>
      <c r="AO13" s="239">
        <v>0</v>
      </c>
      <c r="AP13" s="239">
        <v>-4433401</v>
      </c>
      <c r="AQ13" s="239">
        <v>496</v>
      </c>
      <c r="AR13" s="239">
        <v>0</v>
      </c>
      <c r="AS13" s="239">
        <v>496</v>
      </c>
      <c r="AT13" s="239">
        <v>-23905</v>
      </c>
      <c r="AU13" s="239">
        <v>0</v>
      </c>
      <c r="AV13" s="239">
        <v>-23905</v>
      </c>
      <c r="AW13" s="239">
        <v>0</v>
      </c>
      <c r="AX13" s="239">
        <v>0</v>
      </c>
      <c r="AY13" s="239">
        <v>0</v>
      </c>
      <c r="AZ13" s="239">
        <v>0</v>
      </c>
      <c r="BA13" s="239">
        <v>0</v>
      </c>
      <c r="BB13" s="239">
        <v>0</v>
      </c>
      <c r="BC13" s="239">
        <v>0</v>
      </c>
      <c r="BD13" s="239">
        <v>0</v>
      </c>
      <c r="BE13" s="239">
        <v>0</v>
      </c>
      <c r="BF13" s="239">
        <v>-7496107</v>
      </c>
      <c r="BG13" s="239">
        <v>0</v>
      </c>
      <c r="BH13" s="239">
        <v>-7496107</v>
      </c>
      <c r="BI13" s="239">
        <v>-69688</v>
      </c>
      <c r="BJ13" s="239">
        <v>0</v>
      </c>
      <c r="BK13" s="239">
        <v>-69688</v>
      </c>
      <c r="BL13" s="239">
        <v>-66036</v>
      </c>
      <c r="BM13" s="239">
        <v>0</v>
      </c>
      <c r="BN13" s="239">
        <v>-66036</v>
      </c>
      <c r="BO13" s="239">
        <v>-2152330</v>
      </c>
      <c r="BP13" s="239">
        <v>0</v>
      </c>
      <c r="BQ13" s="239">
        <v>-2152330</v>
      </c>
      <c r="BR13" s="239">
        <v>1289422</v>
      </c>
      <c r="BS13" s="239">
        <v>0</v>
      </c>
      <c r="BT13" s="239">
        <v>1289422</v>
      </c>
      <c r="BU13" s="239">
        <v>-998632</v>
      </c>
      <c r="BV13" s="239">
        <v>0</v>
      </c>
      <c r="BW13" s="239">
        <v>-998632</v>
      </c>
      <c r="BX13" s="239">
        <v>-252995</v>
      </c>
      <c r="BY13" s="239">
        <v>0</v>
      </c>
      <c r="BZ13" s="239">
        <v>-252995</v>
      </c>
      <c r="CA13" s="239">
        <v>-2134</v>
      </c>
      <c r="CB13" s="239">
        <v>0</v>
      </c>
      <c r="CC13" s="239">
        <v>-2134</v>
      </c>
      <c r="CD13" s="239">
        <v>-2423</v>
      </c>
      <c r="CE13" s="239">
        <v>0</v>
      </c>
      <c r="CF13" s="239">
        <v>-2423</v>
      </c>
      <c r="CG13" s="239">
        <v>0</v>
      </c>
      <c r="CH13" s="239">
        <v>0</v>
      </c>
      <c r="CI13" s="239">
        <v>0</v>
      </c>
      <c r="CJ13" s="239">
        <v>-5976</v>
      </c>
      <c r="CK13" s="239">
        <v>0</v>
      </c>
      <c r="CL13" s="239">
        <v>-5976</v>
      </c>
      <c r="CM13" s="239">
        <v>0</v>
      </c>
      <c r="CN13" s="239">
        <v>0</v>
      </c>
      <c r="CO13" s="239">
        <v>0</v>
      </c>
      <c r="CP13" s="239">
        <v>0</v>
      </c>
      <c r="CQ13" s="239">
        <v>0</v>
      </c>
      <c r="CR13" s="239">
        <v>0</v>
      </c>
      <c r="CS13" s="239">
        <v>0</v>
      </c>
      <c r="CT13" s="239">
        <v>0</v>
      </c>
      <c r="CU13" s="239">
        <v>0</v>
      </c>
      <c r="CV13" s="239">
        <v>0</v>
      </c>
      <c r="CW13" s="239">
        <v>0</v>
      </c>
      <c r="CX13" s="239">
        <v>0</v>
      </c>
      <c r="CY13" s="239">
        <v>0</v>
      </c>
      <c r="CZ13" s="239">
        <v>0</v>
      </c>
      <c r="DA13" s="239">
        <v>0</v>
      </c>
      <c r="DB13" s="239">
        <v>0</v>
      </c>
      <c r="DC13" s="239">
        <v>0</v>
      </c>
      <c r="DD13" s="239">
        <v>0</v>
      </c>
      <c r="DE13" s="239">
        <v>0</v>
      </c>
      <c r="DF13" s="239">
        <v>0</v>
      </c>
      <c r="DG13" s="239">
        <v>0</v>
      </c>
      <c r="DH13" s="239">
        <v>0</v>
      </c>
      <c r="DI13" s="239">
        <v>0</v>
      </c>
      <c r="DJ13" s="239">
        <v>-263528</v>
      </c>
      <c r="DK13" s="239">
        <v>0</v>
      </c>
      <c r="DL13" s="239">
        <v>-263528</v>
      </c>
      <c r="DM13" s="239">
        <v>0</v>
      </c>
      <c r="DN13" s="239">
        <v>0</v>
      </c>
      <c r="DO13" s="239">
        <v>0</v>
      </c>
      <c r="DP13" s="239">
        <v>0</v>
      </c>
      <c r="DQ13" s="239">
        <v>0</v>
      </c>
      <c r="DR13" s="239">
        <v>0</v>
      </c>
      <c r="DS13" s="239">
        <v>0</v>
      </c>
      <c r="DT13" s="239">
        <v>0</v>
      </c>
      <c r="DU13" s="239">
        <v>0</v>
      </c>
      <c r="DV13" s="239">
        <v>0</v>
      </c>
      <c r="DW13" s="239">
        <v>0</v>
      </c>
      <c r="DX13" s="239">
        <v>0</v>
      </c>
      <c r="DY13" s="239">
        <v>0</v>
      </c>
      <c r="DZ13" s="239">
        <v>0</v>
      </c>
      <c r="EA13" s="239">
        <v>0</v>
      </c>
      <c r="EB13" s="239">
        <v>0</v>
      </c>
      <c r="EC13" s="239">
        <v>0</v>
      </c>
      <c r="ED13" s="239">
        <v>0</v>
      </c>
      <c r="EE13" s="239">
        <v>0</v>
      </c>
      <c r="EF13" s="239">
        <v>0</v>
      </c>
      <c r="EG13" s="239">
        <v>0</v>
      </c>
      <c r="EH13" s="239">
        <v>0</v>
      </c>
      <c r="EI13" s="239">
        <v>0</v>
      </c>
      <c r="EJ13" s="239">
        <v>0</v>
      </c>
      <c r="EK13" s="239">
        <v>0</v>
      </c>
      <c r="EL13" s="239">
        <v>0</v>
      </c>
      <c r="EM13" s="239">
        <v>0</v>
      </c>
      <c r="EN13" s="239">
        <v>0</v>
      </c>
      <c r="EO13" s="239">
        <v>0</v>
      </c>
      <c r="EP13" s="239">
        <v>0</v>
      </c>
      <c r="EQ13" s="239">
        <v>-29926</v>
      </c>
      <c r="ER13" s="239">
        <v>0</v>
      </c>
      <c r="ES13" s="239">
        <v>-29926</v>
      </c>
      <c r="ET13" s="239">
        <v>-498231</v>
      </c>
      <c r="EU13" s="239">
        <v>0</v>
      </c>
      <c r="EV13" s="239">
        <v>-498231</v>
      </c>
      <c r="EW13" s="239">
        <v>-10795</v>
      </c>
      <c r="EX13" s="239">
        <v>0</v>
      </c>
      <c r="EY13" s="239">
        <v>-10795</v>
      </c>
      <c r="EZ13" s="239">
        <v>-538952</v>
      </c>
      <c r="FA13" s="239">
        <v>0</v>
      </c>
      <c r="FB13" s="239">
        <v>-538952</v>
      </c>
      <c r="FC13" s="239">
        <v>0</v>
      </c>
      <c r="FD13" s="239">
        <v>0</v>
      </c>
      <c r="FE13" s="239">
        <v>0</v>
      </c>
      <c r="FF13" s="239">
        <v>0</v>
      </c>
      <c r="FG13" s="239">
        <v>0</v>
      </c>
      <c r="FH13" s="239">
        <v>0</v>
      </c>
      <c r="FI13" s="239">
        <v>0</v>
      </c>
      <c r="FJ13" s="239">
        <v>0</v>
      </c>
      <c r="FK13" s="239">
        <v>0</v>
      </c>
      <c r="FL13" s="239">
        <v>65969861</v>
      </c>
      <c r="FM13" s="239">
        <v>0</v>
      </c>
      <c r="FN13" s="239">
        <v>65969861</v>
      </c>
      <c r="FO13" s="239">
        <v>3934871</v>
      </c>
      <c r="FP13" s="239">
        <v>0</v>
      </c>
      <c r="FQ13" s="239">
        <v>3934871</v>
      </c>
      <c r="FR13" s="239">
        <v>-7496107</v>
      </c>
      <c r="FS13" s="239">
        <v>0</v>
      </c>
      <c r="FT13" s="239">
        <v>-7496107</v>
      </c>
      <c r="FU13" s="239">
        <v>-998632</v>
      </c>
      <c r="FV13" s="239">
        <v>0</v>
      </c>
      <c r="FW13" s="239">
        <v>-998632</v>
      </c>
      <c r="FX13" s="239">
        <v>-263528</v>
      </c>
      <c r="FY13" s="239">
        <v>0</v>
      </c>
      <c r="FZ13" s="239">
        <v>-263528</v>
      </c>
      <c r="GA13" s="239">
        <v>-538952</v>
      </c>
      <c r="GB13" s="239">
        <v>0</v>
      </c>
      <c r="GC13" s="239">
        <v>-538952</v>
      </c>
      <c r="GD13" s="239">
        <v>0</v>
      </c>
      <c r="GE13" s="239">
        <v>0</v>
      </c>
      <c r="GF13" s="239">
        <v>0</v>
      </c>
      <c r="GG13" s="239">
        <v>-5362348</v>
      </c>
      <c r="GH13" s="239">
        <v>0</v>
      </c>
      <c r="GI13" s="239">
        <v>-5362348</v>
      </c>
      <c r="GJ13" s="239">
        <v>60607513</v>
      </c>
      <c r="GK13" s="239">
        <v>0</v>
      </c>
      <c r="GL13" s="239">
        <v>60607513</v>
      </c>
      <c r="GM13" s="214" t="s">
        <v>1159</v>
      </c>
    </row>
    <row r="14" spans="1:195" s="214" customFormat="1" x14ac:dyDescent="0.2">
      <c r="B14" s="602" t="s">
        <v>111</v>
      </c>
      <c r="C14" s="602" t="s">
        <v>110</v>
      </c>
      <c r="D14" s="239">
        <v>-8306973</v>
      </c>
      <c r="E14" s="239">
        <v>0</v>
      </c>
      <c r="F14" s="239">
        <v>-8306973</v>
      </c>
      <c r="G14" s="239">
        <v>41541</v>
      </c>
      <c r="H14" s="239">
        <v>0</v>
      </c>
      <c r="I14" s="239">
        <v>41541</v>
      </c>
      <c r="J14" s="239">
        <v>5650314</v>
      </c>
      <c r="K14" s="239">
        <v>0</v>
      </c>
      <c r="L14" s="239">
        <v>5650314</v>
      </c>
      <c r="M14" s="239">
        <v>43294</v>
      </c>
      <c r="N14" s="239">
        <v>0</v>
      </c>
      <c r="O14" s="239">
        <v>43294</v>
      </c>
      <c r="P14" s="239">
        <v>-2571824</v>
      </c>
      <c r="Q14" s="239">
        <v>0</v>
      </c>
      <c r="R14" s="239">
        <v>-2571824</v>
      </c>
      <c r="S14" s="239">
        <v>-6549988</v>
      </c>
      <c r="T14" s="239">
        <v>0</v>
      </c>
      <c r="U14" s="239">
        <v>-6549988</v>
      </c>
      <c r="V14" s="239">
        <v>0</v>
      </c>
      <c r="W14" s="239">
        <v>0</v>
      </c>
      <c r="X14" s="239">
        <v>0</v>
      </c>
      <c r="Y14" s="239">
        <v>-482852</v>
      </c>
      <c r="Z14" s="239">
        <v>0</v>
      </c>
      <c r="AA14" s="239">
        <v>-482852</v>
      </c>
      <c r="AB14" s="239">
        <v>-380353</v>
      </c>
      <c r="AC14" s="239">
        <v>0</v>
      </c>
      <c r="AD14" s="239">
        <v>-380353</v>
      </c>
      <c r="AE14" s="239">
        <v>0</v>
      </c>
      <c r="AF14" s="239">
        <v>0</v>
      </c>
      <c r="AG14" s="239">
        <v>0</v>
      </c>
      <c r="AH14" s="239">
        <v>2700480</v>
      </c>
      <c r="AI14" s="239">
        <v>0</v>
      </c>
      <c r="AJ14" s="239">
        <v>2700480</v>
      </c>
      <c r="AK14" s="239">
        <v>-39993</v>
      </c>
      <c r="AL14" s="239">
        <v>0</v>
      </c>
      <c r="AM14" s="239">
        <v>-39993</v>
      </c>
      <c r="AN14" s="239">
        <v>-13006081</v>
      </c>
      <c r="AO14" s="239">
        <v>0</v>
      </c>
      <c r="AP14" s="239">
        <v>-13006081</v>
      </c>
      <c r="AQ14" s="239">
        <v>-199077</v>
      </c>
      <c r="AR14" s="239">
        <v>0</v>
      </c>
      <c r="AS14" s="239">
        <v>-199077</v>
      </c>
      <c r="AT14" s="239">
        <v>-217245</v>
      </c>
      <c r="AU14" s="239">
        <v>0</v>
      </c>
      <c r="AV14" s="239">
        <v>-217245</v>
      </c>
      <c r="AW14" s="239">
        <v>0</v>
      </c>
      <c r="AX14" s="239">
        <v>0</v>
      </c>
      <c r="AY14" s="239">
        <v>0</v>
      </c>
      <c r="AZ14" s="239">
        <v>0</v>
      </c>
      <c r="BA14" s="239">
        <v>0</v>
      </c>
      <c r="BB14" s="239">
        <v>0</v>
      </c>
      <c r="BC14" s="239">
        <v>0</v>
      </c>
      <c r="BD14" s="239">
        <v>0</v>
      </c>
      <c r="BE14" s="239">
        <v>0</v>
      </c>
      <c r="BF14" s="239">
        <v>-17794756</v>
      </c>
      <c r="BG14" s="239">
        <v>0</v>
      </c>
      <c r="BH14" s="239">
        <v>-17794756</v>
      </c>
      <c r="BI14" s="239">
        <v>-94216</v>
      </c>
      <c r="BJ14" s="239">
        <v>0</v>
      </c>
      <c r="BK14" s="239">
        <v>-94216</v>
      </c>
      <c r="BL14" s="239">
        <v>-2482</v>
      </c>
      <c r="BM14" s="239">
        <v>0</v>
      </c>
      <c r="BN14" s="239">
        <v>-2482</v>
      </c>
      <c r="BO14" s="239">
        <v>-3010208</v>
      </c>
      <c r="BP14" s="239">
        <v>0</v>
      </c>
      <c r="BQ14" s="239">
        <v>-3010208</v>
      </c>
      <c r="BR14" s="239">
        <v>543240</v>
      </c>
      <c r="BS14" s="239">
        <v>0</v>
      </c>
      <c r="BT14" s="239">
        <v>543240</v>
      </c>
      <c r="BU14" s="239">
        <v>-2563666</v>
      </c>
      <c r="BV14" s="239">
        <v>0</v>
      </c>
      <c r="BW14" s="239">
        <v>-2563666</v>
      </c>
      <c r="BX14" s="239">
        <v>-334952</v>
      </c>
      <c r="BY14" s="239">
        <v>0</v>
      </c>
      <c r="BZ14" s="239">
        <v>-334952</v>
      </c>
      <c r="CA14" s="239">
        <v>-77643</v>
      </c>
      <c r="CB14" s="239">
        <v>0</v>
      </c>
      <c r="CC14" s="239">
        <v>-77643</v>
      </c>
      <c r="CD14" s="239">
        <v>-17346</v>
      </c>
      <c r="CE14" s="239">
        <v>0</v>
      </c>
      <c r="CF14" s="239">
        <v>-17346</v>
      </c>
      <c r="CG14" s="239">
        <v>-9716</v>
      </c>
      <c r="CH14" s="239">
        <v>0</v>
      </c>
      <c r="CI14" s="239">
        <v>-9716</v>
      </c>
      <c r="CJ14" s="239">
        <v>-3542</v>
      </c>
      <c r="CK14" s="239">
        <v>0</v>
      </c>
      <c r="CL14" s="239">
        <v>-3542</v>
      </c>
      <c r="CM14" s="239">
        <v>1510</v>
      </c>
      <c r="CN14" s="239">
        <v>0</v>
      </c>
      <c r="CO14" s="239">
        <v>1510</v>
      </c>
      <c r="CP14" s="239">
        <v>0</v>
      </c>
      <c r="CQ14" s="239">
        <v>0</v>
      </c>
      <c r="CR14" s="239">
        <v>0</v>
      </c>
      <c r="CS14" s="239">
        <v>0</v>
      </c>
      <c r="CT14" s="239">
        <v>0</v>
      </c>
      <c r="CU14" s="239">
        <v>0</v>
      </c>
      <c r="CV14" s="239">
        <v>0</v>
      </c>
      <c r="CW14" s="239">
        <v>0</v>
      </c>
      <c r="CX14" s="239">
        <v>0</v>
      </c>
      <c r="CY14" s="239">
        <v>0</v>
      </c>
      <c r="CZ14" s="239">
        <v>0</v>
      </c>
      <c r="DA14" s="239">
        <v>0</v>
      </c>
      <c r="DB14" s="239">
        <v>0</v>
      </c>
      <c r="DC14" s="239">
        <v>0</v>
      </c>
      <c r="DD14" s="239">
        <v>0</v>
      </c>
      <c r="DE14" s="239">
        <v>0</v>
      </c>
      <c r="DF14" s="239">
        <v>0</v>
      </c>
      <c r="DG14" s="239">
        <v>0</v>
      </c>
      <c r="DH14" s="239">
        <v>0</v>
      </c>
      <c r="DI14" s="239">
        <v>0</v>
      </c>
      <c r="DJ14" s="239">
        <v>-441689</v>
      </c>
      <c r="DK14" s="239">
        <v>0</v>
      </c>
      <c r="DL14" s="239">
        <v>-441689</v>
      </c>
      <c r="DM14" s="239">
        <v>0</v>
      </c>
      <c r="DN14" s="239">
        <v>0</v>
      </c>
      <c r="DO14" s="239">
        <v>0</v>
      </c>
      <c r="DP14" s="239">
        <v>0</v>
      </c>
      <c r="DQ14" s="239">
        <v>0</v>
      </c>
      <c r="DR14" s="239">
        <v>0</v>
      </c>
      <c r="DS14" s="239">
        <v>-2145</v>
      </c>
      <c r="DT14" s="239">
        <v>0</v>
      </c>
      <c r="DU14" s="239">
        <v>-2145</v>
      </c>
      <c r="DV14" s="239">
        <v>-3630</v>
      </c>
      <c r="DW14" s="239">
        <v>0</v>
      </c>
      <c r="DX14" s="239">
        <v>-3630</v>
      </c>
      <c r="DY14" s="239">
        <v>10985</v>
      </c>
      <c r="DZ14" s="239">
        <v>0</v>
      </c>
      <c r="EA14" s="239">
        <v>10985</v>
      </c>
      <c r="EB14" s="239">
        <v>0</v>
      </c>
      <c r="EC14" s="239">
        <v>0</v>
      </c>
      <c r="ED14" s="239">
        <v>0</v>
      </c>
      <c r="EE14" s="239">
        <v>0</v>
      </c>
      <c r="EF14" s="239">
        <v>0</v>
      </c>
      <c r="EG14" s="239">
        <v>0</v>
      </c>
      <c r="EH14" s="239">
        <v>121</v>
      </c>
      <c r="EI14" s="239">
        <v>0</v>
      </c>
      <c r="EJ14" s="239">
        <v>121</v>
      </c>
      <c r="EK14" s="239">
        <v>0</v>
      </c>
      <c r="EL14" s="239">
        <v>0</v>
      </c>
      <c r="EM14" s="239">
        <v>0</v>
      </c>
      <c r="EN14" s="239">
        <v>0</v>
      </c>
      <c r="EO14" s="239">
        <v>0</v>
      </c>
      <c r="EP14" s="239">
        <v>0</v>
      </c>
      <c r="EQ14" s="239">
        <v>-164451</v>
      </c>
      <c r="ER14" s="239">
        <v>0</v>
      </c>
      <c r="ES14" s="239">
        <v>-164451</v>
      </c>
      <c r="ET14" s="239">
        <v>-929465</v>
      </c>
      <c r="EU14" s="239">
        <v>0</v>
      </c>
      <c r="EV14" s="239">
        <v>-929465</v>
      </c>
      <c r="EW14" s="239">
        <v>-25222</v>
      </c>
      <c r="EX14" s="239">
        <v>0</v>
      </c>
      <c r="EY14" s="239">
        <v>-25222</v>
      </c>
      <c r="EZ14" s="239">
        <v>-1113807</v>
      </c>
      <c r="FA14" s="239">
        <v>0</v>
      </c>
      <c r="FB14" s="239">
        <v>-1113807</v>
      </c>
      <c r="FC14" s="239">
        <v>0</v>
      </c>
      <c r="FD14" s="239">
        <v>0</v>
      </c>
      <c r="FE14" s="239">
        <v>0</v>
      </c>
      <c r="FF14" s="239">
        <v>-7478</v>
      </c>
      <c r="FG14" s="239">
        <v>0</v>
      </c>
      <c r="FH14" s="239">
        <v>-7478</v>
      </c>
      <c r="FI14" s="239">
        <v>-7478</v>
      </c>
      <c r="FJ14" s="239">
        <v>0</v>
      </c>
      <c r="FK14" s="239">
        <v>-7478</v>
      </c>
      <c r="FL14" s="239">
        <v>136157763</v>
      </c>
      <c r="FM14" s="239">
        <v>0</v>
      </c>
      <c r="FN14" s="239">
        <v>136157763</v>
      </c>
      <c r="FO14" s="239">
        <v>-2571824</v>
      </c>
      <c r="FP14" s="239">
        <v>0</v>
      </c>
      <c r="FQ14" s="239">
        <v>-2571824</v>
      </c>
      <c r="FR14" s="239">
        <v>-17794756</v>
      </c>
      <c r="FS14" s="239">
        <v>0</v>
      </c>
      <c r="FT14" s="239">
        <v>-17794756</v>
      </c>
      <c r="FU14" s="239">
        <v>-2563666</v>
      </c>
      <c r="FV14" s="239">
        <v>0</v>
      </c>
      <c r="FW14" s="239">
        <v>-2563666</v>
      </c>
      <c r="FX14" s="239">
        <v>-441689</v>
      </c>
      <c r="FY14" s="239">
        <v>0</v>
      </c>
      <c r="FZ14" s="239">
        <v>-441689</v>
      </c>
      <c r="GA14" s="239">
        <v>-1113807</v>
      </c>
      <c r="GB14" s="239">
        <v>0</v>
      </c>
      <c r="GC14" s="239">
        <v>-1113807</v>
      </c>
      <c r="GD14" s="239">
        <v>-7478</v>
      </c>
      <c r="GE14" s="239">
        <v>0</v>
      </c>
      <c r="GF14" s="239">
        <v>-7478</v>
      </c>
      <c r="GG14" s="239">
        <v>-24493220</v>
      </c>
      <c r="GH14" s="239">
        <v>0</v>
      </c>
      <c r="GI14" s="239">
        <v>-24493220</v>
      </c>
      <c r="GJ14" s="239">
        <v>111664543</v>
      </c>
      <c r="GK14" s="239">
        <v>0</v>
      </c>
      <c r="GL14" s="239">
        <v>111664543</v>
      </c>
      <c r="GM14" s="214" t="s">
        <v>1159</v>
      </c>
    </row>
    <row r="15" spans="1:195" s="214" customFormat="1" x14ac:dyDescent="0.2">
      <c r="B15" s="602" t="s">
        <v>113</v>
      </c>
      <c r="C15" s="602" t="s">
        <v>112</v>
      </c>
      <c r="D15" s="239">
        <v>-1591036</v>
      </c>
      <c r="E15" s="239">
        <v>-10068</v>
      </c>
      <c r="F15" s="239">
        <v>-1601104</v>
      </c>
      <c r="G15" s="239">
        <v>25195</v>
      </c>
      <c r="H15" s="239">
        <v>0</v>
      </c>
      <c r="I15" s="239">
        <v>25195</v>
      </c>
      <c r="J15" s="239">
        <v>4347860</v>
      </c>
      <c r="K15" s="239">
        <v>10675</v>
      </c>
      <c r="L15" s="239">
        <v>4358535</v>
      </c>
      <c r="M15" s="239">
        <v>-20098</v>
      </c>
      <c r="N15" s="239">
        <v>0</v>
      </c>
      <c r="O15" s="239">
        <v>-20098</v>
      </c>
      <c r="P15" s="239">
        <v>2761921</v>
      </c>
      <c r="Q15" s="239">
        <v>607</v>
      </c>
      <c r="R15" s="239">
        <v>2762528</v>
      </c>
      <c r="S15" s="239">
        <v>-6907284</v>
      </c>
      <c r="T15" s="239">
        <v>-96</v>
      </c>
      <c r="U15" s="239">
        <v>-6907380</v>
      </c>
      <c r="V15" s="239">
        <v>0</v>
      </c>
      <c r="W15" s="239">
        <v>0</v>
      </c>
      <c r="X15" s="239">
        <v>0</v>
      </c>
      <c r="Y15" s="239">
        <v>-129427</v>
      </c>
      <c r="Z15" s="239">
        <v>-229</v>
      </c>
      <c r="AA15" s="239">
        <v>-129656</v>
      </c>
      <c r="AB15" s="239">
        <v>-104345</v>
      </c>
      <c r="AC15" s="239">
        <v>-229</v>
      </c>
      <c r="AD15" s="239">
        <v>-104574</v>
      </c>
      <c r="AE15" s="239">
        <v>0</v>
      </c>
      <c r="AF15" s="239">
        <v>0</v>
      </c>
      <c r="AG15" s="239">
        <v>0</v>
      </c>
      <c r="AH15" s="239">
        <v>1177660</v>
      </c>
      <c r="AI15" s="239">
        <v>20934</v>
      </c>
      <c r="AJ15" s="239">
        <v>1198594</v>
      </c>
      <c r="AK15" s="239">
        <v>-2936</v>
      </c>
      <c r="AL15" s="239">
        <v>849</v>
      </c>
      <c r="AM15" s="239">
        <v>-2087</v>
      </c>
      <c r="AN15" s="239">
        <v>-4849659</v>
      </c>
      <c r="AO15" s="239">
        <v>0</v>
      </c>
      <c r="AP15" s="239">
        <v>-4849659</v>
      </c>
      <c r="AQ15" s="239">
        <v>-57826</v>
      </c>
      <c r="AR15" s="239">
        <v>0</v>
      </c>
      <c r="AS15" s="239">
        <v>-57826</v>
      </c>
      <c r="AT15" s="239">
        <v>0</v>
      </c>
      <c r="AU15" s="239">
        <v>0</v>
      </c>
      <c r="AV15" s="239">
        <v>0</v>
      </c>
      <c r="AW15" s="239">
        <v>0</v>
      </c>
      <c r="AX15" s="239">
        <v>0</v>
      </c>
      <c r="AY15" s="239">
        <v>0</v>
      </c>
      <c r="AZ15" s="239">
        <v>-3865</v>
      </c>
      <c r="BA15" s="239">
        <v>0</v>
      </c>
      <c r="BB15" s="239">
        <v>-3865</v>
      </c>
      <c r="BC15" s="239">
        <v>-4488</v>
      </c>
      <c r="BD15" s="239">
        <v>0</v>
      </c>
      <c r="BE15" s="239">
        <v>-4488</v>
      </c>
      <c r="BF15" s="239">
        <v>-10777825</v>
      </c>
      <c r="BG15" s="239">
        <v>21458</v>
      </c>
      <c r="BH15" s="239">
        <v>-10756367</v>
      </c>
      <c r="BI15" s="239">
        <v>-23948</v>
      </c>
      <c r="BJ15" s="239">
        <v>0</v>
      </c>
      <c r="BK15" s="239">
        <v>-23948</v>
      </c>
      <c r="BL15" s="239">
        <v>3984</v>
      </c>
      <c r="BM15" s="239">
        <v>0</v>
      </c>
      <c r="BN15" s="239">
        <v>3984</v>
      </c>
      <c r="BO15" s="239">
        <v>-1729354</v>
      </c>
      <c r="BP15" s="239">
        <v>-10283</v>
      </c>
      <c r="BQ15" s="239">
        <v>-1739637</v>
      </c>
      <c r="BR15" s="239">
        <v>-306819</v>
      </c>
      <c r="BS15" s="239">
        <v>-35630</v>
      </c>
      <c r="BT15" s="239">
        <v>-342449</v>
      </c>
      <c r="BU15" s="239">
        <v>-2056137</v>
      </c>
      <c r="BV15" s="239">
        <v>-45913</v>
      </c>
      <c r="BW15" s="239">
        <v>-2102050</v>
      </c>
      <c r="BX15" s="239">
        <v>-58712</v>
      </c>
      <c r="BY15" s="239">
        <v>0</v>
      </c>
      <c r="BZ15" s="239">
        <v>-58712</v>
      </c>
      <c r="CA15" s="239">
        <v>-303</v>
      </c>
      <c r="CB15" s="239">
        <v>0</v>
      </c>
      <c r="CC15" s="239">
        <v>-303</v>
      </c>
      <c r="CD15" s="239">
        <v>-25760</v>
      </c>
      <c r="CE15" s="239">
        <v>0</v>
      </c>
      <c r="CF15" s="239">
        <v>-25760</v>
      </c>
      <c r="CG15" s="239">
        <v>16192</v>
      </c>
      <c r="CH15" s="239">
        <v>0</v>
      </c>
      <c r="CI15" s="239">
        <v>16192</v>
      </c>
      <c r="CJ15" s="239">
        <v>0</v>
      </c>
      <c r="CK15" s="239">
        <v>0</v>
      </c>
      <c r="CL15" s="239">
        <v>0</v>
      </c>
      <c r="CM15" s="239">
        <v>0</v>
      </c>
      <c r="CN15" s="239">
        <v>0</v>
      </c>
      <c r="CO15" s="239">
        <v>0</v>
      </c>
      <c r="CP15" s="239">
        <v>-395</v>
      </c>
      <c r="CQ15" s="239">
        <v>0</v>
      </c>
      <c r="CR15" s="239">
        <v>-395</v>
      </c>
      <c r="CS15" s="239">
        <v>-4538</v>
      </c>
      <c r="CT15" s="239">
        <v>0</v>
      </c>
      <c r="CU15" s="239">
        <v>-4538</v>
      </c>
      <c r="CV15" s="239">
        <v>0</v>
      </c>
      <c r="CW15" s="239">
        <v>0</v>
      </c>
      <c r="CX15" s="239">
        <v>0</v>
      </c>
      <c r="CY15" s="239">
        <v>0</v>
      </c>
      <c r="CZ15" s="239">
        <v>0</v>
      </c>
      <c r="DA15" s="239">
        <v>0</v>
      </c>
      <c r="DB15" s="239">
        <v>-22382</v>
      </c>
      <c r="DC15" s="239">
        <v>-308525</v>
      </c>
      <c r="DD15" s="239">
        <v>-330907</v>
      </c>
      <c r="DE15" s="239">
        <v>-2024</v>
      </c>
      <c r="DF15" s="239">
        <v>0</v>
      </c>
      <c r="DG15" s="239">
        <v>-2024</v>
      </c>
      <c r="DH15" s="239">
        <v>-308525</v>
      </c>
      <c r="DI15" s="239">
        <v>0</v>
      </c>
      <c r="DJ15" s="239">
        <v>-97922</v>
      </c>
      <c r="DK15" s="239">
        <v>-308525</v>
      </c>
      <c r="DL15" s="239">
        <v>-406447</v>
      </c>
      <c r="DM15" s="239">
        <v>-141814</v>
      </c>
      <c r="DN15" s="239">
        <v>0</v>
      </c>
      <c r="DO15" s="239">
        <v>-141814</v>
      </c>
      <c r="DP15" s="239">
        <v>-47395</v>
      </c>
      <c r="DQ15" s="239">
        <v>0</v>
      </c>
      <c r="DR15" s="239">
        <v>-47395</v>
      </c>
      <c r="DS15" s="239">
        <v>-361</v>
      </c>
      <c r="DT15" s="239">
        <v>0</v>
      </c>
      <c r="DU15" s="239">
        <v>-361</v>
      </c>
      <c r="DV15" s="239">
        <v>0</v>
      </c>
      <c r="DW15" s="239">
        <v>0</v>
      </c>
      <c r="DX15" s="239">
        <v>0</v>
      </c>
      <c r="DY15" s="239">
        <v>0</v>
      </c>
      <c r="DZ15" s="239">
        <v>0</v>
      </c>
      <c r="EA15" s="239">
        <v>0</v>
      </c>
      <c r="EB15" s="239">
        <v>0</v>
      </c>
      <c r="EC15" s="239">
        <v>0</v>
      </c>
      <c r="ED15" s="239">
        <v>0</v>
      </c>
      <c r="EE15" s="239">
        <v>0</v>
      </c>
      <c r="EF15" s="239">
        <v>0</v>
      </c>
      <c r="EG15" s="239">
        <v>0</v>
      </c>
      <c r="EH15" s="239">
        <v>0</v>
      </c>
      <c r="EI15" s="239">
        <v>0</v>
      </c>
      <c r="EJ15" s="239">
        <v>0</v>
      </c>
      <c r="EK15" s="239">
        <v>-3470</v>
      </c>
      <c r="EL15" s="239">
        <v>0</v>
      </c>
      <c r="EM15" s="239">
        <v>-3470</v>
      </c>
      <c r="EN15" s="239">
        <v>-1500</v>
      </c>
      <c r="EO15" s="239">
        <v>0</v>
      </c>
      <c r="EP15" s="239">
        <v>-1500</v>
      </c>
      <c r="EQ15" s="239">
        <v>-17061</v>
      </c>
      <c r="ER15" s="239">
        <v>0</v>
      </c>
      <c r="ES15" s="239">
        <v>-17061</v>
      </c>
      <c r="ET15" s="239">
        <v>-268184</v>
      </c>
      <c r="EU15" s="239">
        <v>-63</v>
      </c>
      <c r="EV15" s="239">
        <v>-268247</v>
      </c>
      <c r="EW15" s="239">
        <v>-104935</v>
      </c>
      <c r="EX15" s="239">
        <v>0</v>
      </c>
      <c r="EY15" s="239">
        <v>-104935</v>
      </c>
      <c r="EZ15" s="239">
        <v>-584720</v>
      </c>
      <c r="FA15" s="239">
        <v>-63</v>
      </c>
      <c r="FB15" s="239">
        <v>-584783</v>
      </c>
      <c r="FC15" s="239">
        <v>-23747</v>
      </c>
      <c r="FD15" s="239">
        <v>0</v>
      </c>
      <c r="FE15" s="239">
        <v>-23747</v>
      </c>
      <c r="FF15" s="239">
        <v>2774</v>
      </c>
      <c r="FG15" s="239">
        <v>0</v>
      </c>
      <c r="FH15" s="239">
        <v>2774</v>
      </c>
      <c r="FI15" s="239">
        <v>-20973</v>
      </c>
      <c r="FJ15" s="239">
        <v>0</v>
      </c>
      <c r="FK15" s="239">
        <v>-20973</v>
      </c>
      <c r="FL15" s="239">
        <v>62887059</v>
      </c>
      <c r="FM15" s="239">
        <v>933712</v>
      </c>
      <c r="FN15" s="239">
        <v>63820771</v>
      </c>
      <c r="FO15" s="239">
        <v>2761921</v>
      </c>
      <c r="FP15" s="239">
        <v>607</v>
      </c>
      <c r="FQ15" s="239">
        <v>2762528</v>
      </c>
      <c r="FR15" s="239">
        <v>-10777825</v>
      </c>
      <c r="FS15" s="239">
        <v>21458</v>
      </c>
      <c r="FT15" s="239">
        <v>-10756367</v>
      </c>
      <c r="FU15" s="239">
        <v>-2056137</v>
      </c>
      <c r="FV15" s="239">
        <v>-45913</v>
      </c>
      <c r="FW15" s="239">
        <v>-2102050</v>
      </c>
      <c r="FX15" s="239">
        <v>-97922</v>
      </c>
      <c r="FY15" s="239">
        <v>-308525</v>
      </c>
      <c r="FZ15" s="239">
        <v>-406447</v>
      </c>
      <c r="GA15" s="239">
        <v>-584720</v>
      </c>
      <c r="GB15" s="239">
        <v>-63</v>
      </c>
      <c r="GC15" s="239">
        <v>-584783</v>
      </c>
      <c r="GD15" s="239">
        <v>-20973</v>
      </c>
      <c r="GE15" s="239">
        <v>0</v>
      </c>
      <c r="GF15" s="239">
        <v>-20973</v>
      </c>
      <c r="GG15" s="239">
        <v>-10775656</v>
      </c>
      <c r="GH15" s="239">
        <v>-332436</v>
      </c>
      <c r="GI15" s="239">
        <v>-11108092</v>
      </c>
      <c r="GJ15" s="239">
        <v>52111403</v>
      </c>
      <c r="GK15" s="239">
        <v>601276</v>
      </c>
      <c r="GL15" s="239">
        <v>52712679</v>
      </c>
      <c r="GM15" s="214" t="s">
        <v>1160</v>
      </c>
    </row>
    <row r="16" spans="1:195" s="214" customFormat="1" x14ac:dyDescent="0.2">
      <c r="B16" s="602" t="s">
        <v>115</v>
      </c>
      <c r="C16" s="602" t="s">
        <v>114</v>
      </c>
      <c r="D16" s="239">
        <v>-642084</v>
      </c>
      <c r="E16" s="239">
        <v>0</v>
      </c>
      <c r="F16" s="239">
        <v>-642084</v>
      </c>
      <c r="G16" s="239">
        <v>24783</v>
      </c>
      <c r="H16" s="239">
        <v>0</v>
      </c>
      <c r="I16" s="239">
        <v>24783</v>
      </c>
      <c r="J16" s="239">
        <v>3658366</v>
      </c>
      <c r="K16" s="239">
        <v>0</v>
      </c>
      <c r="L16" s="239">
        <v>3658366</v>
      </c>
      <c r="M16" s="239">
        <v>15215</v>
      </c>
      <c r="N16" s="239">
        <v>0</v>
      </c>
      <c r="O16" s="239">
        <v>15215</v>
      </c>
      <c r="P16" s="239">
        <v>3056280</v>
      </c>
      <c r="Q16" s="239">
        <v>0</v>
      </c>
      <c r="R16" s="239">
        <v>3056280</v>
      </c>
      <c r="S16" s="239">
        <v>-1936041</v>
      </c>
      <c r="T16" s="239">
        <v>0</v>
      </c>
      <c r="U16" s="239">
        <v>-1936041</v>
      </c>
      <c r="V16" s="239">
        <v>0</v>
      </c>
      <c r="W16" s="239">
        <v>0</v>
      </c>
      <c r="X16" s="239">
        <v>0</v>
      </c>
      <c r="Y16" s="239">
        <v>-124208</v>
      </c>
      <c r="Z16" s="239">
        <v>0</v>
      </c>
      <c r="AA16" s="239">
        <v>-124208</v>
      </c>
      <c r="AB16" s="239">
        <v>-93354</v>
      </c>
      <c r="AC16" s="239">
        <v>0</v>
      </c>
      <c r="AD16" s="239">
        <v>-93354</v>
      </c>
      <c r="AE16" s="239">
        <v>0</v>
      </c>
      <c r="AF16" s="239">
        <v>0</v>
      </c>
      <c r="AG16" s="239">
        <v>0</v>
      </c>
      <c r="AH16" s="239">
        <v>497021</v>
      </c>
      <c r="AI16" s="239">
        <v>0</v>
      </c>
      <c r="AJ16" s="239">
        <v>497021</v>
      </c>
      <c r="AK16" s="239">
        <v>-142006</v>
      </c>
      <c r="AL16" s="239">
        <v>0</v>
      </c>
      <c r="AM16" s="239">
        <v>-142006</v>
      </c>
      <c r="AN16" s="239">
        <v>-1719855</v>
      </c>
      <c r="AO16" s="239">
        <v>0</v>
      </c>
      <c r="AP16" s="239">
        <v>-1719855</v>
      </c>
      <c r="AQ16" s="239">
        <v>34181</v>
      </c>
      <c r="AR16" s="239">
        <v>0</v>
      </c>
      <c r="AS16" s="239">
        <v>34181</v>
      </c>
      <c r="AT16" s="239">
        <v>-91633</v>
      </c>
      <c r="AU16" s="239">
        <v>0</v>
      </c>
      <c r="AV16" s="239">
        <v>-91633</v>
      </c>
      <c r="AW16" s="239">
        <v>0</v>
      </c>
      <c r="AX16" s="239">
        <v>0</v>
      </c>
      <c r="AY16" s="239">
        <v>0</v>
      </c>
      <c r="AZ16" s="239">
        <v>0</v>
      </c>
      <c r="BA16" s="239">
        <v>0</v>
      </c>
      <c r="BB16" s="239">
        <v>0</v>
      </c>
      <c r="BC16" s="239">
        <v>0</v>
      </c>
      <c r="BD16" s="239">
        <v>0</v>
      </c>
      <c r="BE16" s="239">
        <v>0</v>
      </c>
      <c r="BF16" s="239">
        <v>-3482541</v>
      </c>
      <c r="BG16" s="239">
        <v>0</v>
      </c>
      <c r="BH16" s="239">
        <v>-3482541</v>
      </c>
      <c r="BI16" s="239">
        <v>-915</v>
      </c>
      <c r="BJ16" s="239">
        <v>0</v>
      </c>
      <c r="BK16" s="239">
        <v>-915</v>
      </c>
      <c r="BL16" s="239">
        <v>-217820</v>
      </c>
      <c r="BM16" s="239">
        <v>0</v>
      </c>
      <c r="BN16" s="239">
        <v>-217820</v>
      </c>
      <c r="BO16" s="239">
        <v>-591528</v>
      </c>
      <c r="BP16" s="239">
        <v>0</v>
      </c>
      <c r="BQ16" s="239">
        <v>-591528</v>
      </c>
      <c r="BR16" s="239">
        <v>-47608</v>
      </c>
      <c r="BS16" s="239">
        <v>0</v>
      </c>
      <c r="BT16" s="239">
        <v>-47608</v>
      </c>
      <c r="BU16" s="239">
        <v>-857871</v>
      </c>
      <c r="BV16" s="239">
        <v>0</v>
      </c>
      <c r="BW16" s="239">
        <v>-857871</v>
      </c>
      <c r="BX16" s="239">
        <v>0</v>
      </c>
      <c r="BY16" s="239">
        <v>0</v>
      </c>
      <c r="BZ16" s="239">
        <v>0</v>
      </c>
      <c r="CA16" s="239">
        <v>0</v>
      </c>
      <c r="CB16" s="239">
        <v>0</v>
      </c>
      <c r="CC16" s="239">
        <v>0</v>
      </c>
      <c r="CD16" s="239">
        <v>0</v>
      </c>
      <c r="CE16" s="239">
        <v>0</v>
      </c>
      <c r="CF16" s="239">
        <v>0</v>
      </c>
      <c r="CG16" s="239">
        <v>0</v>
      </c>
      <c r="CH16" s="239">
        <v>0</v>
      </c>
      <c r="CI16" s="239">
        <v>0</v>
      </c>
      <c r="CJ16" s="239">
        <v>0</v>
      </c>
      <c r="CK16" s="239">
        <v>0</v>
      </c>
      <c r="CL16" s="239">
        <v>0</v>
      </c>
      <c r="CM16" s="239">
        <v>0</v>
      </c>
      <c r="CN16" s="239">
        <v>0</v>
      </c>
      <c r="CO16" s="239">
        <v>0</v>
      </c>
      <c r="CP16" s="239">
        <v>0</v>
      </c>
      <c r="CQ16" s="239">
        <v>0</v>
      </c>
      <c r="CR16" s="239">
        <v>0</v>
      </c>
      <c r="CS16" s="239">
        <v>0</v>
      </c>
      <c r="CT16" s="239">
        <v>0</v>
      </c>
      <c r="CU16" s="239">
        <v>0</v>
      </c>
      <c r="CV16" s="239">
        <v>0</v>
      </c>
      <c r="CW16" s="239">
        <v>0</v>
      </c>
      <c r="CX16" s="239">
        <v>0</v>
      </c>
      <c r="CY16" s="239">
        <v>0</v>
      </c>
      <c r="CZ16" s="239">
        <v>0</v>
      </c>
      <c r="DA16" s="239">
        <v>0</v>
      </c>
      <c r="DB16" s="239">
        <v>0</v>
      </c>
      <c r="DC16" s="239">
        <v>0</v>
      </c>
      <c r="DD16" s="239">
        <v>0</v>
      </c>
      <c r="DE16" s="239">
        <v>0</v>
      </c>
      <c r="DF16" s="239">
        <v>0</v>
      </c>
      <c r="DG16" s="239">
        <v>0</v>
      </c>
      <c r="DH16" s="239">
        <v>0</v>
      </c>
      <c r="DI16" s="239">
        <v>0</v>
      </c>
      <c r="DJ16" s="239">
        <v>0</v>
      </c>
      <c r="DK16" s="239">
        <v>0</v>
      </c>
      <c r="DL16" s="239">
        <v>0</v>
      </c>
      <c r="DM16" s="239">
        <v>0</v>
      </c>
      <c r="DN16" s="239">
        <v>0</v>
      </c>
      <c r="DO16" s="239">
        <v>0</v>
      </c>
      <c r="DP16" s="239">
        <v>0</v>
      </c>
      <c r="DQ16" s="239">
        <v>0</v>
      </c>
      <c r="DR16" s="239">
        <v>0</v>
      </c>
      <c r="DS16" s="239">
        <v>0</v>
      </c>
      <c r="DT16" s="239">
        <v>0</v>
      </c>
      <c r="DU16" s="239">
        <v>0</v>
      </c>
      <c r="DV16" s="239">
        <v>0</v>
      </c>
      <c r="DW16" s="239">
        <v>0</v>
      </c>
      <c r="DX16" s="239">
        <v>0</v>
      </c>
      <c r="DY16" s="239">
        <v>5032</v>
      </c>
      <c r="DZ16" s="239">
        <v>0</v>
      </c>
      <c r="EA16" s="239">
        <v>5032</v>
      </c>
      <c r="EB16" s="239">
        <v>0</v>
      </c>
      <c r="EC16" s="239">
        <v>0</v>
      </c>
      <c r="ED16" s="239">
        <v>0</v>
      </c>
      <c r="EE16" s="239">
        <v>0</v>
      </c>
      <c r="EF16" s="239">
        <v>0</v>
      </c>
      <c r="EG16" s="239">
        <v>0</v>
      </c>
      <c r="EH16" s="239">
        <v>0</v>
      </c>
      <c r="EI16" s="239">
        <v>0</v>
      </c>
      <c r="EJ16" s="239">
        <v>0</v>
      </c>
      <c r="EK16" s="239">
        <v>0</v>
      </c>
      <c r="EL16" s="239">
        <v>0</v>
      </c>
      <c r="EM16" s="239">
        <v>0</v>
      </c>
      <c r="EN16" s="239">
        <v>-1500</v>
      </c>
      <c r="EO16" s="239">
        <v>0</v>
      </c>
      <c r="EP16" s="239">
        <v>-1500</v>
      </c>
      <c r="EQ16" s="239">
        <v>-2594</v>
      </c>
      <c r="ER16" s="239">
        <v>0</v>
      </c>
      <c r="ES16" s="239">
        <v>-2594</v>
      </c>
      <c r="ET16" s="239">
        <v>-26047</v>
      </c>
      <c r="EU16" s="239">
        <v>0</v>
      </c>
      <c r="EV16" s="239">
        <v>-26047</v>
      </c>
      <c r="EW16" s="239">
        <v>-33597</v>
      </c>
      <c r="EX16" s="239">
        <v>0</v>
      </c>
      <c r="EY16" s="239">
        <v>-33597</v>
      </c>
      <c r="EZ16" s="239">
        <v>-58706</v>
      </c>
      <c r="FA16" s="239">
        <v>0</v>
      </c>
      <c r="FB16" s="239">
        <v>-58706</v>
      </c>
      <c r="FC16" s="239">
        <v>0</v>
      </c>
      <c r="FD16" s="239">
        <v>0</v>
      </c>
      <c r="FE16" s="239">
        <v>0</v>
      </c>
      <c r="FF16" s="239">
        <v>0</v>
      </c>
      <c r="FG16" s="239">
        <v>0</v>
      </c>
      <c r="FH16" s="239">
        <v>0</v>
      </c>
      <c r="FI16" s="239">
        <v>0</v>
      </c>
      <c r="FJ16" s="239">
        <v>0</v>
      </c>
      <c r="FK16" s="239">
        <v>0</v>
      </c>
      <c r="FL16" s="239">
        <v>24711246</v>
      </c>
      <c r="FM16" s="239">
        <v>0</v>
      </c>
      <c r="FN16" s="239">
        <v>24711246</v>
      </c>
      <c r="FO16" s="239">
        <v>3056280</v>
      </c>
      <c r="FP16" s="239">
        <v>0</v>
      </c>
      <c r="FQ16" s="239">
        <v>3056280</v>
      </c>
      <c r="FR16" s="239">
        <v>-3482541</v>
      </c>
      <c r="FS16" s="239">
        <v>0</v>
      </c>
      <c r="FT16" s="239">
        <v>-3482541</v>
      </c>
      <c r="FU16" s="239">
        <v>-857871</v>
      </c>
      <c r="FV16" s="239">
        <v>0</v>
      </c>
      <c r="FW16" s="239">
        <v>-857871</v>
      </c>
      <c r="FX16" s="239">
        <v>0</v>
      </c>
      <c r="FY16" s="239">
        <v>0</v>
      </c>
      <c r="FZ16" s="239">
        <v>0</v>
      </c>
      <c r="GA16" s="239">
        <v>-58706</v>
      </c>
      <c r="GB16" s="239">
        <v>0</v>
      </c>
      <c r="GC16" s="239">
        <v>-58706</v>
      </c>
      <c r="GD16" s="239">
        <v>0</v>
      </c>
      <c r="GE16" s="239">
        <v>0</v>
      </c>
      <c r="GF16" s="239">
        <v>0</v>
      </c>
      <c r="GG16" s="239">
        <v>-1342838</v>
      </c>
      <c r="GH16" s="239">
        <v>0</v>
      </c>
      <c r="GI16" s="239">
        <v>-1342838</v>
      </c>
      <c r="GJ16" s="239">
        <v>23368408</v>
      </c>
      <c r="GK16" s="239">
        <v>0</v>
      </c>
      <c r="GL16" s="239">
        <v>23368408</v>
      </c>
      <c r="GM16" s="214" t="s">
        <v>1158</v>
      </c>
    </row>
    <row r="17" spans="2:195" s="214" customFormat="1" x14ac:dyDescent="0.2">
      <c r="B17" s="602" t="s">
        <v>117</v>
      </c>
      <c r="C17" s="602" t="s">
        <v>116</v>
      </c>
      <c r="D17" s="239">
        <v>-2959581</v>
      </c>
      <c r="E17" s="239">
        <v>0</v>
      </c>
      <c r="F17" s="239">
        <v>-2959581</v>
      </c>
      <c r="G17" s="239">
        <v>1383</v>
      </c>
      <c r="H17" s="239">
        <v>0</v>
      </c>
      <c r="I17" s="239">
        <v>1383</v>
      </c>
      <c r="J17" s="239">
        <v>4854050</v>
      </c>
      <c r="K17" s="239">
        <v>0</v>
      </c>
      <c r="L17" s="239">
        <v>4854050</v>
      </c>
      <c r="M17" s="239">
        <v>220343</v>
      </c>
      <c r="N17" s="239">
        <v>0</v>
      </c>
      <c r="O17" s="239">
        <v>220343</v>
      </c>
      <c r="P17" s="239">
        <v>2116195</v>
      </c>
      <c r="Q17" s="239">
        <v>0</v>
      </c>
      <c r="R17" s="239">
        <v>2116195</v>
      </c>
      <c r="S17" s="239">
        <v>-4678058</v>
      </c>
      <c r="T17" s="239">
        <v>0</v>
      </c>
      <c r="U17" s="239">
        <v>-4678058</v>
      </c>
      <c r="V17" s="239">
        <v>-850</v>
      </c>
      <c r="W17" s="239">
        <v>0</v>
      </c>
      <c r="X17" s="239">
        <v>-850</v>
      </c>
      <c r="Y17" s="239">
        <v>-163744</v>
      </c>
      <c r="Z17" s="239">
        <v>0</v>
      </c>
      <c r="AA17" s="239">
        <v>-163744</v>
      </c>
      <c r="AB17" s="239">
        <v>-163744</v>
      </c>
      <c r="AC17" s="239">
        <v>0</v>
      </c>
      <c r="AD17" s="239">
        <v>-163744</v>
      </c>
      <c r="AE17" s="239">
        <v>-746</v>
      </c>
      <c r="AF17" s="239">
        <v>0</v>
      </c>
      <c r="AG17" s="239">
        <v>-746</v>
      </c>
      <c r="AH17" s="239">
        <v>1855028</v>
      </c>
      <c r="AI17" s="239">
        <v>0</v>
      </c>
      <c r="AJ17" s="239">
        <v>1855028</v>
      </c>
      <c r="AK17" s="239">
        <v>-53429</v>
      </c>
      <c r="AL17" s="239">
        <v>0</v>
      </c>
      <c r="AM17" s="239">
        <v>-53429</v>
      </c>
      <c r="AN17" s="239">
        <v>-3901373</v>
      </c>
      <c r="AO17" s="239">
        <v>0</v>
      </c>
      <c r="AP17" s="239">
        <v>-3901373</v>
      </c>
      <c r="AQ17" s="239">
        <v>130369</v>
      </c>
      <c r="AR17" s="239">
        <v>0</v>
      </c>
      <c r="AS17" s="239">
        <v>130369</v>
      </c>
      <c r="AT17" s="239">
        <v>-50743</v>
      </c>
      <c r="AU17" s="239">
        <v>0</v>
      </c>
      <c r="AV17" s="239">
        <v>-50743</v>
      </c>
      <c r="AW17" s="239">
        <v>1148</v>
      </c>
      <c r="AX17" s="239">
        <v>0</v>
      </c>
      <c r="AY17" s="239">
        <v>1148</v>
      </c>
      <c r="AZ17" s="239">
        <v>-1605</v>
      </c>
      <c r="BA17" s="239">
        <v>0</v>
      </c>
      <c r="BB17" s="239">
        <v>-1605</v>
      </c>
      <c r="BC17" s="239">
        <v>0</v>
      </c>
      <c r="BD17" s="239">
        <v>0</v>
      </c>
      <c r="BE17" s="239">
        <v>0</v>
      </c>
      <c r="BF17" s="239">
        <v>-6862407</v>
      </c>
      <c r="BG17" s="239">
        <v>0</v>
      </c>
      <c r="BH17" s="239">
        <v>-6862407</v>
      </c>
      <c r="BI17" s="239">
        <v>-345239</v>
      </c>
      <c r="BJ17" s="239">
        <v>0</v>
      </c>
      <c r="BK17" s="239">
        <v>-345239</v>
      </c>
      <c r="BL17" s="239">
        <v>-177354</v>
      </c>
      <c r="BM17" s="239">
        <v>0</v>
      </c>
      <c r="BN17" s="239">
        <v>-177354</v>
      </c>
      <c r="BO17" s="239">
        <v>-1607503</v>
      </c>
      <c r="BP17" s="239">
        <v>0</v>
      </c>
      <c r="BQ17" s="239">
        <v>-1607503</v>
      </c>
      <c r="BR17" s="239">
        <v>-106514</v>
      </c>
      <c r="BS17" s="239">
        <v>0</v>
      </c>
      <c r="BT17" s="239">
        <v>-106514</v>
      </c>
      <c r="BU17" s="239">
        <v>-2236610</v>
      </c>
      <c r="BV17" s="239">
        <v>0</v>
      </c>
      <c r="BW17" s="239">
        <v>-2236610</v>
      </c>
      <c r="BX17" s="239">
        <v>-11260</v>
      </c>
      <c r="BY17" s="239">
        <v>0</v>
      </c>
      <c r="BZ17" s="239">
        <v>-11260</v>
      </c>
      <c r="CA17" s="239">
        <v>-626</v>
      </c>
      <c r="CB17" s="239">
        <v>0</v>
      </c>
      <c r="CC17" s="239">
        <v>-626</v>
      </c>
      <c r="CD17" s="239">
        <v>-22243</v>
      </c>
      <c r="CE17" s="239">
        <v>0</v>
      </c>
      <c r="CF17" s="239">
        <v>-22243</v>
      </c>
      <c r="CG17" s="239">
        <v>1423</v>
      </c>
      <c r="CH17" s="239">
        <v>0</v>
      </c>
      <c r="CI17" s="239">
        <v>1423</v>
      </c>
      <c r="CJ17" s="239">
        <v>0</v>
      </c>
      <c r="CK17" s="239">
        <v>0</v>
      </c>
      <c r="CL17" s="239">
        <v>0</v>
      </c>
      <c r="CM17" s="239">
        <v>0</v>
      </c>
      <c r="CN17" s="239">
        <v>0</v>
      </c>
      <c r="CO17" s="239">
        <v>0</v>
      </c>
      <c r="CP17" s="239">
        <v>0</v>
      </c>
      <c r="CQ17" s="239">
        <v>0</v>
      </c>
      <c r="CR17" s="239">
        <v>0</v>
      </c>
      <c r="CS17" s="239">
        <v>0</v>
      </c>
      <c r="CT17" s="239">
        <v>0</v>
      </c>
      <c r="CU17" s="239">
        <v>0</v>
      </c>
      <c r="CV17" s="239">
        <v>0</v>
      </c>
      <c r="CW17" s="239">
        <v>0</v>
      </c>
      <c r="CX17" s="239">
        <v>0</v>
      </c>
      <c r="CY17" s="239">
        <v>0</v>
      </c>
      <c r="CZ17" s="239">
        <v>0</v>
      </c>
      <c r="DA17" s="239">
        <v>0</v>
      </c>
      <c r="DB17" s="239">
        <v>0</v>
      </c>
      <c r="DC17" s="239">
        <v>0</v>
      </c>
      <c r="DD17" s="239">
        <v>0</v>
      </c>
      <c r="DE17" s="239">
        <v>0</v>
      </c>
      <c r="DF17" s="239">
        <v>0</v>
      </c>
      <c r="DG17" s="239">
        <v>0</v>
      </c>
      <c r="DH17" s="239">
        <v>0</v>
      </c>
      <c r="DI17" s="239">
        <v>0</v>
      </c>
      <c r="DJ17" s="239">
        <v>-32706</v>
      </c>
      <c r="DK17" s="239">
        <v>0</v>
      </c>
      <c r="DL17" s="239">
        <v>-32706</v>
      </c>
      <c r="DM17" s="239">
        <v>-18266</v>
      </c>
      <c r="DN17" s="239">
        <v>0</v>
      </c>
      <c r="DO17" s="239">
        <v>-18266</v>
      </c>
      <c r="DP17" s="239">
        <v>-14114</v>
      </c>
      <c r="DQ17" s="239">
        <v>0</v>
      </c>
      <c r="DR17" s="239">
        <v>-14114</v>
      </c>
      <c r="DS17" s="239">
        <v>0</v>
      </c>
      <c r="DT17" s="239">
        <v>0</v>
      </c>
      <c r="DU17" s="239">
        <v>0</v>
      </c>
      <c r="DV17" s="239">
        <v>0</v>
      </c>
      <c r="DW17" s="239">
        <v>0</v>
      </c>
      <c r="DX17" s="239">
        <v>0</v>
      </c>
      <c r="DY17" s="239">
        <v>8041</v>
      </c>
      <c r="DZ17" s="239">
        <v>0</v>
      </c>
      <c r="EA17" s="239">
        <v>8041</v>
      </c>
      <c r="EB17" s="239">
        <v>0</v>
      </c>
      <c r="EC17" s="239">
        <v>0</v>
      </c>
      <c r="ED17" s="239">
        <v>0</v>
      </c>
      <c r="EE17" s="239">
        <v>0</v>
      </c>
      <c r="EF17" s="239">
        <v>0</v>
      </c>
      <c r="EG17" s="239">
        <v>0</v>
      </c>
      <c r="EH17" s="239">
        <v>748</v>
      </c>
      <c r="EI17" s="239">
        <v>0</v>
      </c>
      <c r="EJ17" s="239">
        <v>748</v>
      </c>
      <c r="EK17" s="239">
        <v>-1605</v>
      </c>
      <c r="EL17" s="239">
        <v>0</v>
      </c>
      <c r="EM17" s="239">
        <v>-1605</v>
      </c>
      <c r="EN17" s="239">
        <v>0</v>
      </c>
      <c r="EO17" s="239">
        <v>0</v>
      </c>
      <c r="EP17" s="239">
        <v>0</v>
      </c>
      <c r="EQ17" s="239">
        <v>-22836</v>
      </c>
      <c r="ER17" s="239">
        <v>0</v>
      </c>
      <c r="ES17" s="239">
        <v>-22836</v>
      </c>
      <c r="ET17" s="239">
        <v>-258478</v>
      </c>
      <c r="EU17" s="239">
        <v>0</v>
      </c>
      <c r="EV17" s="239">
        <v>-258478</v>
      </c>
      <c r="EW17" s="239">
        <v>-10000</v>
      </c>
      <c r="EX17" s="239">
        <v>0</v>
      </c>
      <c r="EY17" s="239">
        <v>-10000</v>
      </c>
      <c r="EZ17" s="239">
        <v>-316510</v>
      </c>
      <c r="FA17" s="239">
        <v>0</v>
      </c>
      <c r="FB17" s="239">
        <v>-316510</v>
      </c>
      <c r="FC17" s="239">
        <v>0</v>
      </c>
      <c r="FD17" s="239">
        <v>0</v>
      </c>
      <c r="FE17" s="239">
        <v>0</v>
      </c>
      <c r="FF17" s="239">
        <v>0</v>
      </c>
      <c r="FG17" s="239">
        <v>0</v>
      </c>
      <c r="FH17" s="239">
        <v>0</v>
      </c>
      <c r="FI17" s="239">
        <v>0</v>
      </c>
      <c r="FJ17" s="239">
        <v>0</v>
      </c>
      <c r="FK17" s="239">
        <v>0</v>
      </c>
      <c r="FL17" s="239">
        <v>88132291</v>
      </c>
      <c r="FM17" s="239">
        <v>0</v>
      </c>
      <c r="FN17" s="239">
        <v>88132291</v>
      </c>
      <c r="FO17" s="239">
        <v>2116195</v>
      </c>
      <c r="FP17" s="239">
        <v>0</v>
      </c>
      <c r="FQ17" s="239">
        <v>2116195</v>
      </c>
      <c r="FR17" s="239">
        <v>-6862407</v>
      </c>
      <c r="FS17" s="239">
        <v>0</v>
      </c>
      <c r="FT17" s="239">
        <v>-6862407</v>
      </c>
      <c r="FU17" s="239">
        <v>-2236610</v>
      </c>
      <c r="FV17" s="239">
        <v>0</v>
      </c>
      <c r="FW17" s="239">
        <v>-2236610</v>
      </c>
      <c r="FX17" s="239">
        <v>-32706</v>
      </c>
      <c r="FY17" s="239">
        <v>0</v>
      </c>
      <c r="FZ17" s="239">
        <v>-32706</v>
      </c>
      <c r="GA17" s="239">
        <v>-316510</v>
      </c>
      <c r="GB17" s="239">
        <v>0</v>
      </c>
      <c r="GC17" s="239">
        <v>-316510</v>
      </c>
      <c r="GD17" s="239">
        <v>0</v>
      </c>
      <c r="GE17" s="239">
        <v>0</v>
      </c>
      <c r="GF17" s="239">
        <v>0</v>
      </c>
      <c r="GG17" s="239">
        <v>-7332038</v>
      </c>
      <c r="GH17" s="239">
        <v>0</v>
      </c>
      <c r="GI17" s="239">
        <v>-7332038</v>
      </c>
      <c r="GJ17" s="239">
        <v>80800253</v>
      </c>
      <c r="GK17" s="239">
        <v>0</v>
      </c>
      <c r="GL17" s="239">
        <v>80800253</v>
      </c>
      <c r="GM17" s="214" t="s">
        <v>1158</v>
      </c>
    </row>
    <row r="18" spans="2:195" s="214" customFormat="1" x14ac:dyDescent="0.2">
      <c r="B18" s="602" t="s">
        <v>119</v>
      </c>
      <c r="C18" s="602" t="s">
        <v>118</v>
      </c>
      <c r="D18" s="239">
        <v>-2354295</v>
      </c>
      <c r="E18" s="239">
        <v>-37988</v>
      </c>
      <c r="F18" s="239">
        <v>-2392283</v>
      </c>
      <c r="G18" s="239">
        <v>5775</v>
      </c>
      <c r="H18" s="239">
        <v>0</v>
      </c>
      <c r="I18" s="239">
        <v>5775</v>
      </c>
      <c r="J18" s="239">
        <v>5637987</v>
      </c>
      <c r="K18" s="239">
        <v>83875</v>
      </c>
      <c r="L18" s="239">
        <v>5721862</v>
      </c>
      <c r="M18" s="239">
        <v>57974</v>
      </c>
      <c r="N18" s="239">
        <v>0</v>
      </c>
      <c r="O18" s="239">
        <v>57974</v>
      </c>
      <c r="P18" s="239">
        <v>3347441</v>
      </c>
      <c r="Q18" s="239">
        <v>45887</v>
      </c>
      <c r="R18" s="239">
        <v>3393328</v>
      </c>
      <c r="S18" s="239">
        <v>-2554786</v>
      </c>
      <c r="T18" s="239">
        <v>-63091</v>
      </c>
      <c r="U18" s="239">
        <v>-2617877</v>
      </c>
      <c r="V18" s="239">
        <v>-1249</v>
      </c>
      <c r="W18" s="239">
        <v>0</v>
      </c>
      <c r="X18" s="239">
        <v>-1249</v>
      </c>
      <c r="Y18" s="239">
        <v>-110629</v>
      </c>
      <c r="Z18" s="239">
        <v>-4613</v>
      </c>
      <c r="AA18" s="239">
        <v>-115242</v>
      </c>
      <c r="AB18" s="239">
        <v>-102577</v>
      </c>
      <c r="AC18" s="239">
        <v>-4613</v>
      </c>
      <c r="AD18" s="239">
        <v>-107190</v>
      </c>
      <c r="AE18" s="239">
        <v>-1249</v>
      </c>
      <c r="AF18" s="239">
        <v>0</v>
      </c>
      <c r="AG18" s="239">
        <v>-1249</v>
      </c>
      <c r="AH18" s="239">
        <v>1803391</v>
      </c>
      <c r="AI18" s="239">
        <v>48664</v>
      </c>
      <c r="AJ18" s="239">
        <v>1852055</v>
      </c>
      <c r="AK18" s="239">
        <v>-27333</v>
      </c>
      <c r="AL18" s="239">
        <v>674</v>
      </c>
      <c r="AM18" s="239">
        <v>-26659</v>
      </c>
      <c r="AN18" s="239">
        <v>-3757389</v>
      </c>
      <c r="AO18" s="239">
        <v>-30058</v>
      </c>
      <c r="AP18" s="239">
        <v>-3787447</v>
      </c>
      <c r="AQ18" s="239">
        <v>-5293</v>
      </c>
      <c r="AR18" s="239">
        <v>-721</v>
      </c>
      <c r="AS18" s="239">
        <v>-6014</v>
      </c>
      <c r="AT18" s="239">
        <v>-10902</v>
      </c>
      <c r="AU18" s="239">
        <v>0</v>
      </c>
      <c r="AV18" s="239">
        <v>-10902</v>
      </c>
      <c r="AW18" s="239">
        <v>0</v>
      </c>
      <c r="AX18" s="239">
        <v>0</v>
      </c>
      <c r="AY18" s="239">
        <v>0</v>
      </c>
      <c r="AZ18" s="239">
        <v>-25294</v>
      </c>
      <c r="BA18" s="239">
        <v>0</v>
      </c>
      <c r="BB18" s="239">
        <v>-25294</v>
      </c>
      <c r="BC18" s="239">
        <v>5800</v>
      </c>
      <c r="BD18" s="239">
        <v>0</v>
      </c>
      <c r="BE18" s="239">
        <v>5800</v>
      </c>
      <c r="BF18" s="239">
        <v>-4682435</v>
      </c>
      <c r="BG18" s="239">
        <v>-49145</v>
      </c>
      <c r="BH18" s="239">
        <v>-4731580</v>
      </c>
      <c r="BI18" s="239">
        <v>-497295</v>
      </c>
      <c r="BJ18" s="239">
        <v>-51703</v>
      </c>
      <c r="BK18" s="239">
        <v>-548998</v>
      </c>
      <c r="BL18" s="239">
        <v>-17989</v>
      </c>
      <c r="BM18" s="239">
        <v>0</v>
      </c>
      <c r="BN18" s="239">
        <v>-17989</v>
      </c>
      <c r="BO18" s="239">
        <v>-3719271</v>
      </c>
      <c r="BP18" s="239">
        <v>-299675</v>
      </c>
      <c r="BQ18" s="239">
        <v>-4018946</v>
      </c>
      <c r="BR18" s="239">
        <v>-4462</v>
      </c>
      <c r="BS18" s="239">
        <v>11789</v>
      </c>
      <c r="BT18" s="239">
        <v>7327</v>
      </c>
      <c r="BU18" s="239">
        <v>-4239017</v>
      </c>
      <c r="BV18" s="239">
        <v>-339589</v>
      </c>
      <c r="BW18" s="239">
        <v>-4578606</v>
      </c>
      <c r="BX18" s="239">
        <v>-495007</v>
      </c>
      <c r="BY18" s="239">
        <v>-1088</v>
      </c>
      <c r="BZ18" s="239">
        <v>-496095</v>
      </c>
      <c r="CA18" s="239">
        <v>-2765</v>
      </c>
      <c r="CB18" s="239">
        <v>-180</v>
      </c>
      <c r="CC18" s="239">
        <v>-2945</v>
      </c>
      <c r="CD18" s="239">
        <v>-144738</v>
      </c>
      <c r="CE18" s="239">
        <v>0</v>
      </c>
      <c r="CF18" s="239">
        <v>-144738</v>
      </c>
      <c r="CG18" s="239">
        <v>0</v>
      </c>
      <c r="CH18" s="239">
        <v>0</v>
      </c>
      <c r="CI18" s="239">
        <v>0</v>
      </c>
      <c r="CJ18" s="239">
        <v>-2726</v>
      </c>
      <c r="CK18" s="239">
        <v>0</v>
      </c>
      <c r="CL18" s="239">
        <v>-2726</v>
      </c>
      <c r="CM18" s="239">
        <v>0</v>
      </c>
      <c r="CN18" s="239">
        <v>0</v>
      </c>
      <c r="CO18" s="239">
        <v>0</v>
      </c>
      <c r="CP18" s="239">
        <v>-36776</v>
      </c>
      <c r="CQ18" s="239">
        <v>0</v>
      </c>
      <c r="CR18" s="239">
        <v>-36776</v>
      </c>
      <c r="CS18" s="239">
        <v>5800</v>
      </c>
      <c r="CT18" s="239">
        <v>0</v>
      </c>
      <c r="CU18" s="239">
        <v>5800</v>
      </c>
      <c r="CV18" s="239">
        <v>-26499</v>
      </c>
      <c r="CW18" s="239">
        <v>0</v>
      </c>
      <c r="CX18" s="239">
        <v>-26499</v>
      </c>
      <c r="CY18" s="239">
        <v>0</v>
      </c>
      <c r="CZ18" s="239">
        <v>0</v>
      </c>
      <c r="DA18" s="239">
        <v>0</v>
      </c>
      <c r="DB18" s="239">
        <v>0</v>
      </c>
      <c r="DC18" s="239">
        <v>-82396</v>
      </c>
      <c r="DD18" s="239">
        <v>-82396</v>
      </c>
      <c r="DE18" s="239">
        <v>0</v>
      </c>
      <c r="DF18" s="239">
        <v>0</v>
      </c>
      <c r="DG18" s="239">
        <v>0</v>
      </c>
      <c r="DH18" s="239">
        <v>-82396</v>
      </c>
      <c r="DI18" s="239">
        <v>0</v>
      </c>
      <c r="DJ18" s="239">
        <v>-702711</v>
      </c>
      <c r="DK18" s="239">
        <v>-83664</v>
      </c>
      <c r="DL18" s="239">
        <v>-786375</v>
      </c>
      <c r="DM18" s="239">
        <v>0</v>
      </c>
      <c r="DN18" s="239">
        <v>0</v>
      </c>
      <c r="DO18" s="239">
        <v>0</v>
      </c>
      <c r="DP18" s="239">
        <v>0</v>
      </c>
      <c r="DQ18" s="239">
        <v>0</v>
      </c>
      <c r="DR18" s="239">
        <v>0</v>
      </c>
      <c r="DS18" s="239">
        <v>-1622</v>
      </c>
      <c r="DT18" s="239">
        <v>0</v>
      </c>
      <c r="DU18" s="239">
        <v>-1622</v>
      </c>
      <c r="DV18" s="239">
        <v>438</v>
      </c>
      <c r="DW18" s="239">
        <v>0</v>
      </c>
      <c r="DX18" s="239">
        <v>438</v>
      </c>
      <c r="DY18" s="239">
        <v>-1492</v>
      </c>
      <c r="DZ18" s="239">
        <v>1526</v>
      </c>
      <c r="EA18" s="239">
        <v>34</v>
      </c>
      <c r="EB18" s="239">
        <v>0</v>
      </c>
      <c r="EC18" s="239">
        <v>0</v>
      </c>
      <c r="ED18" s="239">
        <v>0</v>
      </c>
      <c r="EE18" s="239">
        <v>0</v>
      </c>
      <c r="EF18" s="239">
        <v>0</v>
      </c>
      <c r="EG18" s="239">
        <v>0</v>
      </c>
      <c r="EH18" s="239">
        <v>131</v>
      </c>
      <c r="EI18" s="239">
        <v>0</v>
      </c>
      <c r="EJ18" s="239">
        <v>131</v>
      </c>
      <c r="EK18" s="239">
        <v>-25294</v>
      </c>
      <c r="EL18" s="239">
        <v>0</v>
      </c>
      <c r="EM18" s="239">
        <v>-25294</v>
      </c>
      <c r="EN18" s="239">
        <v>-1500</v>
      </c>
      <c r="EO18" s="239">
        <v>0</v>
      </c>
      <c r="EP18" s="239">
        <v>-1500</v>
      </c>
      <c r="EQ18" s="239">
        <v>-30709</v>
      </c>
      <c r="ER18" s="239">
        <v>-823</v>
      </c>
      <c r="ES18" s="239">
        <v>-31532</v>
      </c>
      <c r="ET18" s="239">
        <v>-483833</v>
      </c>
      <c r="EU18" s="239">
        <v>-9239</v>
      </c>
      <c r="EV18" s="239">
        <v>-493072</v>
      </c>
      <c r="EW18" s="239">
        <v>-65792</v>
      </c>
      <c r="EX18" s="239">
        <v>0</v>
      </c>
      <c r="EY18" s="239">
        <v>-65792</v>
      </c>
      <c r="EZ18" s="239">
        <v>-609673</v>
      </c>
      <c r="FA18" s="239">
        <v>-8536</v>
      </c>
      <c r="FB18" s="239">
        <v>-618209</v>
      </c>
      <c r="FC18" s="239">
        <v>0</v>
      </c>
      <c r="FD18" s="239">
        <v>0</v>
      </c>
      <c r="FE18" s="239">
        <v>0</v>
      </c>
      <c r="FF18" s="239">
        <v>0</v>
      </c>
      <c r="FG18" s="239">
        <v>0</v>
      </c>
      <c r="FH18" s="239">
        <v>0</v>
      </c>
      <c r="FI18" s="239">
        <v>0</v>
      </c>
      <c r="FJ18" s="239">
        <v>0</v>
      </c>
      <c r="FK18" s="239">
        <v>0</v>
      </c>
      <c r="FL18" s="239">
        <v>81601992</v>
      </c>
      <c r="FM18" s="239">
        <v>2330074</v>
      </c>
      <c r="FN18" s="239">
        <v>83932066</v>
      </c>
      <c r="FO18" s="239">
        <v>3347441</v>
      </c>
      <c r="FP18" s="239">
        <v>45887</v>
      </c>
      <c r="FQ18" s="239">
        <v>3393328</v>
      </c>
      <c r="FR18" s="239">
        <v>-4682435</v>
      </c>
      <c r="FS18" s="239">
        <v>-49145</v>
      </c>
      <c r="FT18" s="239">
        <v>-4731580</v>
      </c>
      <c r="FU18" s="239">
        <v>-4239017</v>
      </c>
      <c r="FV18" s="239">
        <v>-339589</v>
      </c>
      <c r="FW18" s="239">
        <v>-4578606</v>
      </c>
      <c r="FX18" s="239">
        <v>-702711</v>
      </c>
      <c r="FY18" s="239">
        <v>-83664</v>
      </c>
      <c r="FZ18" s="239">
        <v>-786375</v>
      </c>
      <c r="GA18" s="239">
        <v>-609673</v>
      </c>
      <c r="GB18" s="239">
        <v>-8536</v>
      </c>
      <c r="GC18" s="239">
        <v>-618209</v>
      </c>
      <c r="GD18" s="239">
        <v>0</v>
      </c>
      <c r="GE18" s="239">
        <v>0</v>
      </c>
      <c r="GF18" s="239">
        <v>0</v>
      </c>
      <c r="GG18" s="239">
        <v>-6886395</v>
      </c>
      <c r="GH18" s="239">
        <v>-435047</v>
      </c>
      <c r="GI18" s="239">
        <v>-7321442</v>
      </c>
      <c r="GJ18" s="239">
        <v>74715597</v>
      </c>
      <c r="GK18" s="239">
        <v>1895027</v>
      </c>
      <c r="GL18" s="239">
        <v>76610624</v>
      </c>
      <c r="GM18" s="214" t="s">
        <v>1158</v>
      </c>
    </row>
    <row r="19" spans="2:195" s="214" customFormat="1" x14ac:dyDescent="0.2">
      <c r="B19" s="602" t="s">
        <v>121</v>
      </c>
      <c r="C19" s="602" t="s">
        <v>120</v>
      </c>
      <c r="D19" s="239">
        <v>-1844311</v>
      </c>
      <c r="E19" s="239">
        <v>0</v>
      </c>
      <c r="F19" s="239">
        <v>-1844311</v>
      </c>
      <c r="G19" s="239">
        <v>1721184</v>
      </c>
      <c r="H19" s="239">
        <v>0</v>
      </c>
      <c r="I19" s="239">
        <v>1721184</v>
      </c>
      <c r="J19" s="239">
        <v>9206154</v>
      </c>
      <c r="K19" s="239">
        <v>0</v>
      </c>
      <c r="L19" s="239">
        <v>9206154</v>
      </c>
      <c r="M19" s="239">
        <v>-25726</v>
      </c>
      <c r="N19" s="239">
        <v>0</v>
      </c>
      <c r="O19" s="239">
        <v>-25726</v>
      </c>
      <c r="P19" s="239">
        <v>9057301</v>
      </c>
      <c r="Q19" s="239">
        <v>0</v>
      </c>
      <c r="R19" s="239">
        <v>9057301</v>
      </c>
      <c r="S19" s="239">
        <v>-3704838</v>
      </c>
      <c r="T19" s="239">
        <v>0</v>
      </c>
      <c r="U19" s="239">
        <v>-3704838</v>
      </c>
      <c r="V19" s="239">
        <v>-17244</v>
      </c>
      <c r="W19" s="239">
        <v>0</v>
      </c>
      <c r="X19" s="239">
        <v>-17244</v>
      </c>
      <c r="Y19" s="239">
        <v>-227037</v>
      </c>
      <c r="Z19" s="239">
        <v>0</v>
      </c>
      <c r="AA19" s="239">
        <v>-227037</v>
      </c>
      <c r="AB19" s="239">
        <v>-206225</v>
      </c>
      <c r="AC19" s="239">
        <v>0</v>
      </c>
      <c r="AD19" s="239">
        <v>-206225</v>
      </c>
      <c r="AE19" s="239">
        <v>-377</v>
      </c>
      <c r="AF19" s="239">
        <v>0</v>
      </c>
      <c r="AG19" s="239">
        <v>-377</v>
      </c>
      <c r="AH19" s="239">
        <v>1050009</v>
      </c>
      <c r="AI19" s="239">
        <v>0</v>
      </c>
      <c r="AJ19" s="239">
        <v>1050009</v>
      </c>
      <c r="AK19" s="239">
        <v>947978</v>
      </c>
      <c r="AL19" s="239">
        <v>0</v>
      </c>
      <c r="AM19" s="239">
        <v>947978</v>
      </c>
      <c r="AN19" s="239">
        <v>-3101290</v>
      </c>
      <c r="AO19" s="239">
        <v>0</v>
      </c>
      <c r="AP19" s="239">
        <v>-3101290</v>
      </c>
      <c r="AQ19" s="239">
        <v>-7294</v>
      </c>
      <c r="AR19" s="239">
        <v>0</v>
      </c>
      <c r="AS19" s="239">
        <v>-7294</v>
      </c>
      <c r="AT19" s="239">
        <v>-14571</v>
      </c>
      <c r="AU19" s="239">
        <v>0</v>
      </c>
      <c r="AV19" s="239">
        <v>-14571</v>
      </c>
      <c r="AW19" s="239">
        <v>-634</v>
      </c>
      <c r="AX19" s="239">
        <v>0</v>
      </c>
      <c r="AY19" s="239">
        <v>-634</v>
      </c>
      <c r="AZ19" s="239">
        <v>-31769</v>
      </c>
      <c r="BA19" s="239">
        <v>0</v>
      </c>
      <c r="BB19" s="239">
        <v>-31769</v>
      </c>
      <c r="BC19" s="239">
        <v>5</v>
      </c>
      <c r="BD19" s="239">
        <v>0</v>
      </c>
      <c r="BE19" s="239">
        <v>5</v>
      </c>
      <c r="BF19" s="239">
        <v>-5089441</v>
      </c>
      <c r="BG19" s="239">
        <v>0</v>
      </c>
      <c r="BH19" s="239">
        <v>-5089441</v>
      </c>
      <c r="BI19" s="239">
        <v>-332871</v>
      </c>
      <c r="BJ19" s="239">
        <v>0</v>
      </c>
      <c r="BK19" s="239">
        <v>-332871</v>
      </c>
      <c r="BL19" s="239">
        <v>0</v>
      </c>
      <c r="BM19" s="239">
        <v>0</v>
      </c>
      <c r="BN19" s="239">
        <v>0</v>
      </c>
      <c r="BO19" s="239">
        <v>-1660444</v>
      </c>
      <c r="BP19" s="239">
        <v>0</v>
      </c>
      <c r="BQ19" s="239">
        <v>-1660444</v>
      </c>
      <c r="BR19" s="239">
        <v>-51658</v>
      </c>
      <c r="BS19" s="239">
        <v>0</v>
      </c>
      <c r="BT19" s="239">
        <v>-51658</v>
      </c>
      <c r="BU19" s="239">
        <v>-2044973</v>
      </c>
      <c r="BV19" s="239">
        <v>0</v>
      </c>
      <c r="BW19" s="239">
        <v>-2044973</v>
      </c>
      <c r="BX19" s="239">
        <v>-86997</v>
      </c>
      <c r="BY19" s="239">
        <v>0</v>
      </c>
      <c r="BZ19" s="239">
        <v>-86997</v>
      </c>
      <c r="CA19" s="239">
        <v>5185</v>
      </c>
      <c r="CB19" s="239">
        <v>0</v>
      </c>
      <c r="CC19" s="239">
        <v>5185</v>
      </c>
      <c r="CD19" s="239">
        <v>-48955</v>
      </c>
      <c r="CE19" s="239">
        <v>0</v>
      </c>
      <c r="CF19" s="239">
        <v>-48955</v>
      </c>
      <c r="CG19" s="239">
        <v>0</v>
      </c>
      <c r="CH19" s="239">
        <v>0</v>
      </c>
      <c r="CI19" s="239">
        <v>0</v>
      </c>
      <c r="CJ19" s="239">
        <v>-1912</v>
      </c>
      <c r="CK19" s="239">
        <v>0</v>
      </c>
      <c r="CL19" s="239">
        <v>-1912</v>
      </c>
      <c r="CM19" s="239">
        <v>0</v>
      </c>
      <c r="CN19" s="239">
        <v>0</v>
      </c>
      <c r="CO19" s="239">
        <v>0</v>
      </c>
      <c r="CP19" s="239">
        <v>-31769</v>
      </c>
      <c r="CQ19" s="239">
        <v>0</v>
      </c>
      <c r="CR19" s="239">
        <v>-31769</v>
      </c>
      <c r="CS19" s="239">
        <v>5</v>
      </c>
      <c r="CT19" s="239">
        <v>0</v>
      </c>
      <c r="CU19" s="239">
        <v>5</v>
      </c>
      <c r="CV19" s="239">
        <v>-3110</v>
      </c>
      <c r="CW19" s="239">
        <v>0</v>
      </c>
      <c r="CX19" s="239">
        <v>-3110</v>
      </c>
      <c r="CY19" s="239">
        <v>0</v>
      </c>
      <c r="CZ19" s="239">
        <v>0</v>
      </c>
      <c r="DA19" s="239">
        <v>0</v>
      </c>
      <c r="DB19" s="239">
        <v>0</v>
      </c>
      <c r="DC19" s="239">
        <v>0</v>
      </c>
      <c r="DD19" s="239">
        <v>0</v>
      </c>
      <c r="DE19" s="239">
        <v>0</v>
      </c>
      <c r="DF19" s="239">
        <v>0</v>
      </c>
      <c r="DG19" s="239">
        <v>0</v>
      </c>
      <c r="DH19" s="239">
        <v>0</v>
      </c>
      <c r="DI19" s="239">
        <v>0</v>
      </c>
      <c r="DJ19" s="239">
        <v>-167553</v>
      </c>
      <c r="DK19" s="239">
        <v>0</v>
      </c>
      <c r="DL19" s="239">
        <v>-167553</v>
      </c>
      <c r="DM19" s="239">
        <v>-580</v>
      </c>
      <c r="DN19" s="239">
        <v>0</v>
      </c>
      <c r="DO19" s="239">
        <v>-580</v>
      </c>
      <c r="DP19" s="239">
        <v>762</v>
      </c>
      <c r="DQ19" s="239">
        <v>0</v>
      </c>
      <c r="DR19" s="239">
        <v>762</v>
      </c>
      <c r="DS19" s="239">
        <v>-4626</v>
      </c>
      <c r="DT19" s="239">
        <v>0</v>
      </c>
      <c r="DU19" s="239">
        <v>-4626</v>
      </c>
      <c r="DV19" s="239">
        <v>-23225</v>
      </c>
      <c r="DW19" s="239">
        <v>0</v>
      </c>
      <c r="DX19" s="239">
        <v>-23225</v>
      </c>
      <c r="DY19" s="239">
        <v>-292</v>
      </c>
      <c r="DZ19" s="239">
        <v>0</v>
      </c>
      <c r="EA19" s="239">
        <v>-292</v>
      </c>
      <c r="EB19" s="239">
        <v>0</v>
      </c>
      <c r="EC19" s="239">
        <v>0</v>
      </c>
      <c r="ED19" s="239">
        <v>0</v>
      </c>
      <c r="EE19" s="239">
        <v>0</v>
      </c>
      <c r="EF19" s="239">
        <v>0</v>
      </c>
      <c r="EG19" s="239">
        <v>0</v>
      </c>
      <c r="EH19" s="239">
        <v>0</v>
      </c>
      <c r="EI19" s="239">
        <v>0</v>
      </c>
      <c r="EJ19" s="239">
        <v>0</v>
      </c>
      <c r="EK19" s="239">
        <v>0</v>
      </c>
      <c r="EL19" s="239">
        <v>0</v>
      </c>
      <c r="EM19" s="239">
        <v>0</v>
      </c>
      <c r="EN19" s="239">
        <v>-1500</v>
      </c>
      <c r="EO19" s="239">
        <v>0</v>
      </c>
      <c r="EP19" s="239">
        <v>-1500</v>
      </c>
      <c r="EQ19" s="239">
        <v>-42475</v>
      </c>
      <c r="ER19" s="239">
        <v>0</v>
      </c>
      <c r="ES19" s="239">
        <v>-42475</v>
      </c>
      <c r="ET19" s="239">
        <v>-214401</v>
      </c>
      <c r="EU19" s="239">
        <v>0</v>
      </c>
      <c r="EV19" s="239">
        <v>-214401</v>
      </c>
      <c r="EW19" s="239">
        <v>-64144</v>
      </c>
      <c r="EX19" s="239">
        <v>0</v>
      </c>
      <c r="EY19" s="239">
        <v>-64144</v>
      </c>
      <c r="EZ19" s="239">
        <v>-350481</v>
      </c>
      <c r="FA19" s="239">
        <v>0</v>
      </c>
      <c r="FB19" s="239">
        <v>-350481</v>
      </c>
      <c r="FC19" s="239">
        <v>-11017</v>
      </c>
      <c r="FD19" s="239">
        <v>0</v>
      </c>
      <c r="FE19" s="239">
        <v>-11017</v>
      </c>
      <c r="FF19" s="239">
        <v>0</v>
      </c>
      <c r="FG19" s="239">
        <v>0</v>
      </c>
      <c r="FH19" s="239">
        <v>0</v>
      </c>
      <c r="FI19" s="239">
        <v>-11017</v>
      </c>
      <c r="FJ19" s="239">
        <v>0</v>
      </c>
      <c r="FK19" s="239">
        <v>-11017</v>
      </c>
      <c r="FL19" s="239">
        <v>46290555</v>
      </c>
      <c r="FM19" s="239">
        <v>0</v>
      </c>
      <c r="FN19" s="239">
        <v>46290555</v>
      </c>
      <c r="FO19" s="239">
        <v>9057301</v>
      </c>
      <c r="FP19" s="239">
        <v>0</v>
      </c>
      <c r="FQ19" s="239">
        <v>9057301</v>
      </c>
      <c r="FR19" s="239">
        <v>-5089441</v>
      </c>
      <c r="FS19" s="239">
        <v>0</v>
      </c>
      <c r="FT19" s="239">
        <v>-5089441</v>
      </c>
      <c r="FU19" s="239">
        <v>-2044973</v>
      </c>
      <c r="FV19" s="239">
        <v>0</v>
      </c>
      <c r="FW19" s="239">
        <v>-2044973</v>
      </c>
      <c r="FX19" s="239">
        <v>-167553</v>
      </c>
      <c r="FY19" s="239">
        <v>0</v>
      </c>
      <c r="FZ19" s="239">
        <v>-167553</v>
      </c>
      <c r="GA19" s="239">
        <v>-350481</v>
      </c>
      <c r="GB19" s="239">
        <v>0</v>
      </c>
      <c r="GC19" s="239">
        <v>-350481</v>
      </c>
      <c r="GD19" s="239">
        <v>-11017</v>
      </c>
      <c r="GE19" s="239">
        <v>0</v>
      </c>
      <c r="GF19" s="239">
        <v>-11017</v>
      </c>
      <c r="GG19" s="239">
        <v>1393836</v>
      </c>
      <c r="GH19" s="239">
        <v>0</v>
      </c>
      <c r="GI19" s="239">
        <v>1393836</v>
      </c>
      <c r="GJ19" s="239">
        <v>47684391</v>
      </c>
      <c r="GK19" s="239">
        <v>0</v>
      </c>
      <c r="GL19" s="239">
        <v>47684391</v>
      </c>
      <c r="GM19" s="214" t="s">
        <v>1158</v>
      </c>
    </row>
    <row r="20" spans="2:195" s="214" customFormat="1" x14ac:dyDescent="0.2">
      <c r="B20" s="602" t="s">
        <v>123</v>
      </c>
      <c r="C20" s="602" t="s">
        <v>122</v>
      </c>
      <c r="D20" s="239">
        <v>-2288178</v>
      </c>
      <c r="E20" s="239">
        <v>-126038</v>
      </c>
      <c r="F20" s="239">
        <v>-2414216</v>
      </c>
      <c r="G20" s="239">
        <v>12326</v>
      </c>
      <c r="H20" s="239">
        <v>0</v>
      </c>
      <c r="I20" s="239">
        <v>12326</v>
      </c>
      <c r="J20" s="239">
        <v>2727438</v>
      </c>
      <c r="K20" s="239">
        <v>170086</v>
      </c>
      <c r="L20" s="239">
        <v>2897524</v>
      </c>
      <c r="M20" s="239">
        <v>7064</v>
      </c>
      <c r="N20" s="239">
        <v>0</v>
      </c>
      <c r="O20" s="239">
        <v>7064</v>
      </c>
      <c r="P20" s="239">
        <v>458650</v>
      </c>
      <c r="Q20" s="239">
        <v>44048</v>
      </c>
      <c r="R20" s="239">
        <v>502698</v>
      </c>
      <c r="S20" s="239">
        <v>-5977624</v>
      </c>
      <c r="T20" s="239">
        <v>-122109</v>
      </c>
      <c r="U20" s="239">
        <v>-6099733</v>
      </c>
      <c r="V20" s="239">
        <v>-25674</v>
      </c>
      <c r="W20" s="239">
        <v>-2</v>
      </c>
      <c r="X20" s="239">
        <v>-25676</v>
      </c>
      <c r="Y20" s="239">
        <v>-248819</v>
      </c>
      <c r="Z20" s="239">
        <v>5910</v>
      </c>
      <c r="AA20" s="239">
        <v>-242909</v>
      </c>
      <c r="AB20" s="239">
        <v>-248819</v>
      </c>
      <c r="AC20" s="239">
        <v>5910</v>
      </c>
      <c r="AD20" s="239">
        <v>-242909</v>
      </c>
      <c r="AE20" s="239">
        <v>-13750</v>
      </c>
      <c r="AF20" s="239">
        <v>0</v>
      </c>
      <c r="AG20" s="239">
        <v>-13750</v>
      </c>
      <c r="AH20" s="239">
        <v>1493756</v>
      </c>
      <c r="AI20" s="239">
        <v>156106</v>
      </c>
      <c r="AJ20" s="239">
        <v>1649862</v>
      </c>
      <c r="AK20" s="239">
        <v>513773</v>
      </c>
      <c r="AL20" s="239">
        <v>8196</v>
      </c>
      <c r="AM20" s="239">
        <v>521969</v>
      </c>
      <c r="AN20" s="239">
        <v>-8720904</v>
      </c>
      <c r="AO20" s="239">
        <v>-335393</v>
      </c>
      <c r="AP20" s="239">
        <v>-9056297</v>
      </c>
      <c r="AQ20" s="239">
        <v>-348599</v>
      </c>
      <c r="AR20" s="239">
        <v>-2268</v>
      </c>
      <c r="AS20" s="239">
        <v>-350867</v>
      </c>
      <c r="AT20" s="239">
        <v>-157009</v>
      </c>
      <c r="AU20" s="239">
        <v>0</v>
      </c>
      <c r="AV20" s="239">
        <v>-157009</v>
      </c>
      <c r="AW20" s="239">
        <v>0</v>
      </c>
      <c r="AX20" s="239">
        <v>0</v>
      </c>
      <c r="AY20" s="239">
        <v>0</v>
      </c>
      <c r="AZ20" s="239">
        <v>-17768</v>
      </c>
      <c r="BA20" s="239">
        <v>0</v>
      </c>
      <c r="BB20" s="239">
        <v>-17768</v>
      </c>
      <c r="BC20" s="239">
        <v>-9230</v>
      </c>
      <c r="BD20" s="239">
        <v>0</v>
      </c>
      <c r="BE20" s="239">
        <v>-9230</v>
      </c>
      <c r="BF20" s="239">
        <v>-13472424</v>
      </c>
      <c r="BG20" s="239">
        <v>-289558</v>
      </c>
      <c r="BH20" s="239">
        <v>-13761982</v>
      </c>
      <c r="BI20" s="239">
        <v>0</v>
      </c>
      <c r="BJ20" s="239">
        <v>0</v>
      </c>
      <c r="BK20" s="239">
        <v>0</v>
      </c>
      <c r="BL20" s="239">
        <v>0</v>
      </c>
      <c r="BM20" s="239">
        <v>12982</v>
      </c>
      <c r="BN20" s="239">
        <v>12982</v>
      </c>
      <c r="BO20" s="239">
        <v>-2759354</v>
      </c>
      <c r="BP20" s="239">
        <v>-228758</v>
      </c>
      <c r="BQ20" s="239">
        <v>-2988112</v>
      </c>
      <c r="BR20" s="239">
        <v>5483</v>
      </c>
      <c r="BS20" s="239">
        <v>-17048</v>
      </c>
      <c r="BT20" s="239">
        <v>-11565</v>
      </c>
      <c r="BU20" s="239">
        <v>-2753871</v>
      </c>
      <c r="BV20" s="239">
        <v>-232824</v>
      </c>
      <c r="BW20" s="239">
        <v>-2986695</v>
      </c>
      <c r="BX20" s="239">
        <v>-90072</v>
      </c>
      <c r="BY20" s="239">
        <v>0</v>
      </c>
      <c r="BZ20" s="239">
        <v>-90072</v>
      </c>
      <c r="CA20" s="239">
        <v>-1083</v>
      </c>
      <c r="CB20" s="239">
        <v>0</v>
      </c>
      <c r="CC20" s="239">
        <v>-1083</v>
      </c>
      <c r="CD20" s="239">
        <v>-51455</v>
      </c>
      <c r="CE20" s="239">
        <v>0</v>
      </c>
      <c r="CF20" s="239">
        <v>-51455</v>
      </c>
      <c r="CG20" s="239">
        <v>-8746</v>
      </c>
      <c r="CH20" s="239">
        <v>0</v>
      </c>
      <c r="CI20" s="239">
        <v>-8746</v>
      </c>
      <c r="CJ20" s="239">
        <v>-21107</v>
      </c>
      <c r="CK20" s="239">
        <v>0</v>
      </c>
      <c r="CL20" s="239">
        <v>-21107</v>
      </c>
      <c r="CM20" s="239">
        <v>0</v>
      </c>
      <c r="CN20" s="239">
        <v>0</v>
      </c>
      <c r="CO20" s="239">
        <v>0</v>
      </c>
      <c r="CP20" s="239">
        <v>0</v>
      </c>
      <c r="CQ20" s="239">
        <v>0</v>
      </c>
      <c r="CR20" s="239">
        <v>0</v>
      </c>
      <c r="CS20" s="239">
        <v>9198</v>
      </c>
      <c r="CT20" s="239">
        <v>0</v>
      </c>
      <c r="CU20" s="239">
        <v>9198</v>
      </c>
      <c r="CV20" s="239">
        <v>-21600</v>
      </c>
      <c r="CW20" s="239">
        <v>0</v>
      </c>
      <c r="CX20" s="239">
        <v>-21600</v>
      </c>
      <c r="CY20" s="239">
        <v>-40</v>
      </c>
      <c r="CZ20" s="239">
        <v>0</v>
      </c>
      <c r="DA20" s="239">
        <v>-40</v>
      </c>
      <c r="DB20" s="239">
        <v>0</v>
      </c>
      <c r="DC20" s="239">
        <v>0</v>
      </c>
      <c r="DD20" s="239">
        <v>0</v>
      </c>
      <c r="DE20" s="239">
        <v>0</v>
      </c>
      <c r="DF20" s="239">
        <v>0</v>
      </c>
      <c r="DG20" s="239">
        <v>0</v>
      </c>
      <c r="DH20" s="239">
        <v>0</v>
      </c>
      <c r="DI20" s="239">
        <v>0</v>
      </c>
      <c r="DJ20" s="239">
        <v>-184905</v>
      </c>
      <c r="DK20" s="239">
        <v>0</v>
      </c>
      <c r="DL20" s="239">
        <v>-184905</v>
      </c>
      <c r="DM20" s="239">
        <v>0</v>
      </c>
      <c r="DN20" s="239">
        <v>0</v>
      </c>
      <c r="DO20" s="239">
        <v>0</v>
      </c>
      <c r="DP20" s="239">
        <v>0</v>
      </c>
      <c r="DQ20" s="239">
        <v>0</v>
      </c>
      <c r="DR20" s="239">
        <v>0</v>
      </c>
      <c r="DS20" s="239">
        <v>-3904</v>
      </c>
      <c r="DT20" s="239">
        <v>0</v>
      </c>
      <c r="DU20" s="239">
        <v>-3904</v>
      </c>
      <c r="DV20" s="239">
        <v>0</v>
      </c>
      <c r="DW20" s="239">
        <v>0</v>
      </c>
      <c r="DX20" s="239">
        <v>0</v>
      </c>
      <c r="DY20" s="239">
        <v>10086</v>
      </c>
      <c r="DZ20" s="239">
        <v>0</v>
      </c>
      <c r="EA20" s="239">
        <v>10086</v>
      </c>
      <c r="EB20" s="239">
        <v>0</v>
      </c>
      <c r="EC20" s="239">
        <v>0</v>
      </c>
      <c r="ED20" s="239">
        <v>0</v>
      </c>
      <c r="EE20" s="239">
        <v>0</v>
      </c>
      <c r="EF20" s="239">
        <v>0</v>
      </c>
      <c r="EG20" s="239">
        <v>0</v>
      </c>
      <c r="EH20" s="239">
        <v>0</v>
      </c>
      <c r="EI20" s="239">
        <v>0</v>
      </c>
      <c r="EJ20" s="239">
        <v>0</v>
      </c>
      <c r="EK20" s="239">
        <v>-17768</v>
      </c>
      <c r="EL20" s="239">
        <v>0</v>
      </c>
      <c r="EM20" s="239">
        <v>-17768</v>
      </c>
      <c r="EN20" s="239">
        <v>-1500</v>
      </c>
      <c r="EO20" s="239">
        <v>0</v>
      </c>
      <c r="EP20" s="239">
        <v>-1500</v>
      </c>
      <c r="EQ20" s="239">
        <v>-29850</v>
      </c>
      <c r="ER20" s="239">
        <v>0</v>
      </c>
      <c r="ES20" s="239">
        <v>-29850</v>
      </c>
      <c r="ET20" s="239">
        <v>-301330</v>
      </c>
      <c r="EU20" s="239">
        <v>0</v>
      </c>
      <c r="EV20" s="239">
        <v>-301330</v>
      </c>
      <c r="EW20" s="239">
        <v>-40786</v>
      </c>
      <c r="EX20" s="239">
        <v>-1315</v>
      </c>
      <c r="EY20" s="239">
        <v>-42101</v>
      </c>
      <c r="EZ20" s="239">
        <v>-385052</v>
      </c>
      <c r="FA20" s="239">
        <v>-1315</v>
      </c>
      <c r="FB20" s="239">
        <v>-386367</v>
      </c>
      <c r="FC20" s="239">
        <v>0</v>
      </c>
      <c r="FD20" s="239">
        <v>0</v>
      </c>
      <c r="FE20" s="239">
        <v>0</v>
      </c>
      <c r="FF20" s="239">
        <v>0</v>
      </c>
      <c r="FG20" s="239">
        <v>0</v>
      </c>
      <c r="FH20" s="239">
        <v>0</v>
      </c>
      <c r="FI20" s="239">
        <v>0</v>
      </c>
      <c r="FJ20" s="239">
        <v>0</v>
      </c>
      <c r="FK20" s="239">
        <v>0</v>
      </c>
      <c r="FL20" s="239">
        <v>76398023</v>
      </c>
      <c r="FM20" s="239">
        <v>6361622</v>
      </c>
      <c r="FN20" s="239">
        <v>82759645</v>
      </c>
      <c r="FO20" s="239">
        <v>458650</v>
      </c>
      <c r="FP20" s="239">
        <v>44048</v>
      </c>
      <c r="FQ20" s="239">
        <v>502698</v>
      </c>
      <c r="FR20" s="239">
        <v>-13472424</v>
      </c>
      <c r="FS20" s="239">
        <v>-289558</v>
      </c>
      <c r="FT20" s="239">
        <v>-13761982</v>
      </c>
      <c r="FU20" s="239">
        <v>-2753871</v>
      </c>
      <c r="FV20" s="239">
        <v>-232824</v>
      </c>
      <c r="FW20" s="239">
        <v>-2986695</v>
      </c>
      <c r="FX20" s="239">
        <v>-184905</v>
      </c>
      <c r="FY20" s="239">
        <v>0</v>
      </c>
      <c r="FZ20" s="239">
        <v>-184905</v>
      </c>
      <c r="GA20" s="239">
        <v>-385052</v>
      </c>
      <c r="GB20" s="239">
        <v>-1315</v>
      </c>
      <c r="GC20" s="239">
        <v>-386367</v>
      </c>
      <c r="GD20" s="239">
        <v>0</v>
      </c>
      <c r="GE20" s="239">
        <v>0</v>
      </c>
      <c r="GF20" s="239">
        <v>0</v>
      </c>
      <c r="GG20" s="239">
        <v>-16337602</v>
      </c>
      <c r="GH20" s="239">
        <v>-479649</v>
      </c>
      <c r="GI20" s="239">
        <v>-16817251</v>
      </c>
      <c r="GJ20" s="239">
        <v>60060421</v>
      </c>
      <c r="GK20" s="239">
        <v>5881973</v>
      </c>
      <c r="GL20" s="239">
        <v>65942394</v>
      </c>
      <c r="GM20" s="214" t="s">
        <v>746</v>
      </c>
    </row>
    <row r="21" spans="2:195" s="214" customFormat="1" x14ac:dyDescent="0.2">
      <c r="B21" s="602" t="s">
        <v>125</v>
      </c>
      <c r="C21" s="602" t="s">
        <v>124</v>
      </c>
      <c r="D21" s="239">
        <v>-1223390</v>
      </c>
      <c r="E21" s="239">
        <v>0</v>
      </c>
      <c r="F21" s="239">
        <v>-1223390</v>
      </c>
      <c r="G21" s="239">
        <v>43908</v>
      </c>
      <c r="H21" s="239">
        <v>0</v>
      </c>
      <c r="I21" s="239">
        <v>43908</v>
      </c>
      <c r="J21" s="239">
        <v>5919061</v>
      </c>
      <c r="K21" s="239">
        <v>0</v>
      </c>
      <c r="L21" s="239">
        <v>5919061</v>
      </c>
      <c r="M21" s="239">
        <v>145509</v>
      </c>
      <c r="N21" s="239">
        <v>0</v>
      </c>
      <c r="O21" s="239">
        <v>145509</v>
      </c>
      <c r="P21" s="239">
        <v>4885088</v>
      </c>
      <c r="Q21" s="239">
        <v>0</v>
      </c>
      <c r="R21" s="239">
        <v>4885088</v>
      </c>
      <c r="S21" s="239">
        <v>-5165829</v>
      </c>
      <c r="T21" s="239">
        <v>0</v>
      </c>
      <c r="U21" s="239">
        <v>-5165829</v>
      </c>
      <c r="V21" s="239">
        <v>-19859</v>
      </c>
      <c r="W21" s="239">
        <v>0</v>
      </c>
      <c r="X21" s="239">
        <v>-19859</v>
      </c>
      <c r="Y21" s="239">
        <v>-150003</v>
      </c>
      <c r="Z21" s="239">
        <v>0</v>
      </c>
      <c r="AA21" s="239">
        <v>-150003</v>
      </c>
      <c r="AB21" s="239">
        <v>-133947</v>
      </c>
      <c r="AC21" s="239">
        <v>0</v>
      </c>
      <c r="AD21" s="239">
        <v>-133947</v>
      </c>
      <c r="AE21" s="239">
        <v>1088</v>
      </c>
      <c r="AF21" s="239">
        <v>0</v>
      </c>
      <c r="AG21" s="239">
        <v>1088</v>
      </c>
      <c r="AH21" s="239">
        <v>1547382</v>
      </c>
      <c r="AI21" s="239">
        <v>0</v>
      </c>
      <c r="AJ21" s="239">
        <v>1547382</v>
      </c>
      <c r="AK21" s="239">
        <v>96026</v>
      </c>
      <c r="AL21" s="239">
        <v>0</v>
      </c>
      <c r="AM21" s="239">
        <v>96026</v>
      </c>
      <c r="AN21" s="239">
        <v>-6097595</v>
      </c>
      <c r="AO21" s="239">
        <v>0</v>
      </c>
      <c r="AP21" s="239">
        <v>-6097595</v>
      </c>
      <c r="AQ21" s="239">
        <v>80278</v>
      </c>
      <c r="AR21" s="239">
        <v>0</v>
      </c>
      <c r="AS21" s="239">
        <v>80278</v>
      </c>
      <c r="AT21" s="239">
        <v>-149290</v>
      </c>
      <c r="AU21" s="239">
        <v>0</v>
      </c>
      <c r="AV21" s="239">
        <v>-149290</v>
      </c>
      <c r="AW21" s="239">
        <v>-47</v>
      </c>
      <c r="AX21" s="239">
        <v>0</v>
      </c>
      <c r="AY21" s="239">
        <v>-47</v>
      </c>
      <c r="AZ21" s="239">
        <v>-37534</v>
      </c>
      <c r="BA21" s="239">
        <v>0</v>
      </c>
      <c r="BB21" s="239">
        <v>-37534</v>
      </c>
      <c r="BC21" s="239">
        <v>-580</v>
      </c>
      <c r="BD21" s="239">
        <v>0</v>
      </c>
      <c r="BE21" s="239">
        <v>-580</v>
      </c>
      <c r="BF21" s="239">
        <v>-9877192</v>
      </c>
      <c r="BG21" s="239">
        <v>0</v>
      </c>
      <c r="BH21" s="239">
        <v>-9877192</v>
      </c>
      <c r="BI21" s="239">
        <v>0</v>
      </c>
      <c r="BJ21" s="239">
        <v>0</v>
      </c>
      <c r="BK21" s="239">
        <v>0</v>
      </c>
      <c r="BL21" s="239">
        <v>-62119</v>
      </c>
      <c r="BM21" s="239">
        <v>0</v>
      </c>
      <c r="BN21" s="239">
        <v>-62119</v>
      </c>
      <c r="BO21" s="239">
        <v>-1562360</v>
      </c>
      <c r="BP21" s="239">
        <v>0</v>
      </c>
      <c r="BQ21" s="239">
        <v>-1562360</v>
      </c>
      <c r="BR21" s="239">
        <v>73626</v>
      </c>
      <c r="BS21" s="239">
        <v>0</v>
      </c>
      <c r="BT21" s="239">
        <v>73626</v>
      </c>
      <c r="BU21" s="239">
        <v>-1550853</v>
      </c>
      <c r="BV21" s="239">
        <v>0</v>
      </c>
      <c r="BW21" s="239">
        <v>-1550853</v>
      </c>
      <c r="BX21" s="239">
        <v>-94042</v>
      </c>
      <c r="BY21" s="239">
        <v>0</v>
      </c>
      <c r="BZ21" s="239">
        <v>-94042</v>
      </c>
      <c r="CA21" s="239">
        <v>-5596</v>
      </c>
      <c r="CB21" s="239">
        <v>0</v>
      </c>
      <c r="CC21" s="239">
        <v>-5596</v>
      </c>
      <c r="CD21" s="239">
        <v>0</v>
      </c>
      <c r="CE21" s="239">
        <v>0</v>
      </c>
      <c r="CF21" s="239">
        <v>0</v>
      </c>
      <c r="CG21" s="239">
        <v>-3155</v>
      </c>
      <c r="CH21" s="239">
        <v>0</v>
      </c>
      <c r="CI21" s="239">
        <v>-3155</v>
      </c>
      <c r="CJ21" s="239">
        <v>-656</v>
      </c>
      <c r="CK21" s="239">
        <v>0</v>
      </c>
      <c r="CL21" s="239">
        <v>-656</v>
      </c>
      <c r="CM21" s="239">
        <v>0</v>
      </c>
      <c r="CN21" s="239">
        <v>0</v>
      </c>
      <c r="CO21" s="239">
        <v>0</v>
      </c>
      <c r="CP21" s="239">
        <v>0</v>
      </c>
      <c r="CQ21" s="239">
        <v>0</v>
      </c>
      <c r="CR21" s="239">
        <v>0</v>
      </c>
      <c r="CS21" s="239">
        <v>-372</v>
      </c>
      <c r="CT21" s="239">
        <v>0</v>
      </c>
      <c r="CU21" s="239">
        <v>-372</v>
      </c>
      <c r="CV21" s="239">
        <v>-8458</v>
      </c>
      <c r="CW21" s="239">
        <v>0</v>
      </c>
      <c r="CX21" s="239">
        <v>-8458</v>
      </c>
      <c r="CY21" s="239">
        <v>0</v>
      </c>
      <c r="CZ21" s="239">
        <v>0</v>
      </c>
      <c r="DA21" s="239">
        <v>0</v>
      </c>
      <c r="DB21" s="239">
        <v>0</v>
      </c>
      <c r="DC21" s="239">
        <v>0</v>
      </c>
      <c r="DD21" s="239">
        <v>0</v>
      </c>
      <c r="DE21" s="239">
        <v>0</v>
      </c>
      <c r="DF21" s="239">
        <v>0</v>
      </c>
      <c r="DG21" s="239">
        <v>0</v>
      </c>
      <c r="DH21" s="239">
        <v>0</v>
      </c>
      <c r="DI21" s="239">
        <v>0</v>
      </c>
      <c r="DJ21" s="239">
        <v>-112279</v>
      </c>
      <c r="DK21" s="239">
        <v>0</v>
      </c>
      <c r="DL21" s="239">
        <v>-112279</v>
      </c>
      <c r="DM21" s="239">
        <v>-2566</v>
      </c>
      <c r="DN21" s="239">
        <v>0</v>
      </c>
      <c r="DO21" s="239">
        <v>-2566</v>
      </c>
      <c r="DP21" s="239">
        <v>17018</v>
      </c>
      <c r="DQ21" s="239">
        <v>0</v>
      </c>
      <c r="DR21" s="239">
        <v>17018</v>
      </c>
      <c r="DS21" s="239">
        <v>-2402</v>
      </c>
      <c r="DT21" s="239">
        <v>0</v>
      </c>
      <c r="DU21" s="239">
        <v>-2402</v>
      </c>
      <c r="DV21" s="239">
        <v>0</v>
      </c>
      <c r="DW21" s="239">
        <v>0</v>
      </c>
      <c r="DX21" s="239">
        <v>0</v>
      </c>
      <c r="DY21" s="239">
        <v>385</v>
      </c>
      <c r="DZ21" s="239">
        <v>0</v>
      </c>
      <c r="EA21" s="239">
        <v>385</v>
      </c>
      <c r="EB21" s="239">
        <v>0</v>
      </c>
      <c r="EC21" s="239">
        <v>0</v>
      </c>
      <c r="ED21" s="239">
        <v>0</v>
      </c>
      <c r="EE21" s="239">
        <v>0</v>
      </c>
      <c r="EF21" s="239">
        <v>0</v>
      </c>
      <c r="EG21" s="239">
        <v>0</v>
      </c>
      <c r="EH21" s="239">
        <v>0</v>
      </c>
      <c r="EI21" s="239">
        <v>0</v>
      </c>
      <c r="EJ21" s="239">
        <v>0</v>
      </c>
      <c r="EK21" s="239">
        <v>-35075</v>
      </c>
      <c r="EL21" s="239">
        <v>0</v>
      </c>
      <c r="EM21" s="239">
        <v>-35075</v>
      </c>
      <c r="EN21" s="239">
        <v>-1500</v>
      </c>
      <c r="EO21" s="239">
        <v>0</v>
      </c>
      <c r="EP21" s="239">
        <v>-1500</v>
      </c>
      <c r="EQ21" s="239">
        <v>-14748</v>
      </c>
      <c r="ER21" s="239">
        <v>0</v>
      </c>
      <c r="ES21" s="239">
        <v>-14748</v>
      </c>
      <c r="ET21" s="239">
        <v>-217028</v>
      </c>
      <c r="EU21" s="239">
        <v>0</v>
      </c>
      <c r="EV21" s="239">
        <v>-217028</v>
      </c>
      <c r="EW21" s="239">
        <v>-37833</v>
      </c>
      <c r="EX21" s="239">
        <v>0</v>
      </c>
      <c r="EY21" s="239">
        <v>-37833</v>
      </c>
      <c r="EZ21" s="239">
        <v>-293749</v>
      </c>
      <c r="FA21" s="239">
        <v>0</v>
      </c>
      <c r="FB21" s="239">
        <v>-293749</v>
      </c>
      <c r="FC21" s="239">
        <v>-9437</v>
      </c>
      <c r="FD21" s="239">
        <v>0</v>
      </c>
      <c r="FE21" s="239">
        <v>-9437</v>
      </c>
      <c r="FF21" s="239">
        <v>609</v>
      </c>
      <c r="FG21" s="239">
        <v>0</v>
      </c>
      <c r="FH21" s="239">
        <v>609</v>
      </c>
      <c r="FI21" s="239">
        <v>-8828</v>
      </c>
      <c r="FJ21" s="239">
        <v>0</v>
      </c>
      <c r="FK21" s="239">
        <v>-8828</v>
      </c>
      <c r="FL21" s="239">
        <v>71739802</v>
      </c>
      <c r="FM21" s="239">
        <v>0</v>
      </c>
      <c r="FN21" s="239">
        <v>71739802</v>
      </c>
      <c r="FO21" s="239">
        <v>4885088</v>
      </c>
      <c r="FP21" s="239">
        <v>0</v>
      </c>
      <c r="FQ21" s="239">
        <v>4885088</v>
      </c>
      <c r="FR21" s="239">
        <v>-9877192</v>
      </c>
      <c r="FS21" s="239">
        <v>0</v>
      </c>
      <c r="FT21" s="239">
        <v>-9877192</v>
      </c>
      <c r="FU21" s="239">
        <v>-1550853</v>
      </c>
      <c r="FV21" s="239">
        <v>0</v>
      </c>
      <c r="FW21" s="239">
        <v>-1550853</v>
      </c>
      <c r="FX21" s="239">
        <v>-112279</v>
      </c>
      <c r="FY21" s="239">
        <v>0</v>
      </c>
      <c r="FZ21" s="239">
        <v>-112279</v>
      </c>
      <c r="GA21" s="239">
        <v>-293749</v>
      </c>
      <c r="GB21" s="239">
        <v>0</v>
      </c>
      <c r="GC21" s="239">
        <v>-293749</v>
      </c>
      <c r="GD21" s="239">
        <v>-8828</v>
      </c>
      <c r="GE21" s="239">
        <v>0</v>
      </c>
      <c r="GF21" s="239">
        <v>-8828</v>
      </c>
      <c r="GG21" s="239">
        <v>-6957813</v>
      </c>
      <c r="GH21" s="239">
        <v>0</v>
      </c>
      <c r="GI21" s="239">
        <v>-6957813</v>
      </c>
      <c r="GJ21" s="239">
        <v>64781989</v>
      </c>
      <c r="GK21" s="239">
        <v>0</v>
      </c>
      <c r="GL21" s="239">
        <v>64781989</v>
      </c>
      <c r="GM21" s="214" t="s">
        <v>746</v>
      </c>
    </row>
    <row r="22" spans="2:195" s="214" customFormat="1" x14ac:dyDescent="0.2">
      <c r="B22" s="602" t="s">
        <v>127</v>
      </c>
      <c r="C22" s="602" t="s">
        <v>126</v>
      </c>
      <c r="D22" s="239">
        <v>-2726040</v>
      </c>
      <c r="E22" s="239">
        <v>0</v>
      </c>
      <c r="F22" s="239">
        <v>-2726040</v>
      </c>
      <c r="G22" s="239">
        <v>24040</v>
      </c>
      <c r="H22" s="239">
        <v>0</v>
      </c>
      <c r="I22" s="239">
        <v>24040</v>
      </c>
      <c r="J22" s="239">
        <v>3262010</v>
      </c>
      <c r="K22" s="239">
        <v>0</v>
      </c>
      <c r="L22" s="239">
        <v>3262010</v>
      </c>
      <c r="M22" s="239">
        <v>159490</v>
      </c>
      <c r="N22" s="239">
        <v>0</v>
      </c>
      <c r="O22" s="239">
        <v>159490</v>
      </c>
      <c r="P22" s="239">
        <v>719500</v>
      </c>
      <c r="Q22" s="239">
        <v>0</v>
      </c>
      <c r="R22" s="239">
        <v>719500</v>
      </c>
      <c r="S22" s="239">
        <v>-5960540</v>
      </c>
      <c r="T22" s="239">
        <v>0</v>
      </c>
      <c r="U22" s="239">
        <v>-5960540</v>
      </c>
      <c r="V22" s="239">
        <v>0</v>
      </c>
      <c r="W22" s="239">
        <v>0</v>
      </c>
      <c r="X22" s="239">
        <v>0</v>
      </c>
      <c r="Y22" s="239">
        <v>-146671</v>
      </c>
      <c r="Z22" s="239">
        <v>0</v>
      </c>
      <c r="AA22" s="239">
        <v>-146671</v>
      </c>
      <c r="AB22" s="239">
        <v>-41339</v>
      </c>
      <c r="AC22" s="239">
        <v>0</v>
      </c>
      <c r="AD22" s="239">
        <v>-41339</v>
      </c>
      <c r="AE22" s="239">
        <v>0</v>
      </c>
      <c r="AF22" s="239">
        <v>0</v>
      </c>
      <c r="AG22" s="239">
        <v>0</v>
      </c>
      <c r="AH22" s="239">
        <v>1821959</v>
      </c>
      <c r="AI22" s="239">
        <v>0</v>
      </c>
      <c r="AJ22" s="239">
        <v>1821959</v>
      </c>
      <c r="AK22" s="239">
        <v>-24697</v>
      </c>
      <c r="AL22" s="239">
        <v>0</v>
      </c>
      <c r="AM22" s="239">
        <v>-24697</v>
      </c>
      <c r="AN22" s="239">
        <v>-7843423</v>
      </c>
      <c r="AO22" s="239">
        <v>0</v>
      </c>
      <c r="AP22" s="239">
        <v>-7843423</v>
      </c>
      <c r="AQ22" s="239">
        <v>-619022</v>
      </c>
      <c r="AR22" s="239">
        <v>0</v>
      </c>
      <c r="AS22" s="239">
        <v>-619022</v>
      </c>
      <c r="AT22" s="239">
        <v>-100326</v>
      </c>
      <c r="AU22" s="239">
        <v>0</v>
      </c>
      <c r="AV22" s="239">
        <v>-100326</v>
      </c>
      <c r="AW22" s="239">
        <v>4752</v>
      </c>
      <c r="AX22" s="239">
        <v>0</v>
      </c>
      <c r="AY22" s="239">
        <v>4752</v>
      </c>
      <c r="AZ22" s="239">
        <v>0</v>
      </c>
      <c r="BA22" s="239">
        <v>0</v>
      </c>
      <c r="BB22" s="239">
        <v>0</v>
      </c>
      <c r="BC22" s="239">
        <v>0</v>
      </c>
      <c r="BD22" s="239">
        <v>0</v>
      </c>
      <c r="BE22" s="239">
        <v>0</v>
      </c>
      <c r="BF22" s="239">
        <v>-12867968</v>
      </c>
      <c r="BG22" s="239">
        <v>0</v>
      </c>
      <c r="BH22" s="239">
        <v>-12867968</v>
      </c>
      <c r="BI22" s="239">
        <v>-156024</v>
      </c>
      <c r="BJ22" s="239">
        <v>0</v>
      </c>
      <c r="BK22" s="239">
        <v>-156024</v>
      </c>
      <c r="BL22" s="239">
        <v>-52127</v>
      </c>
      <c r="BM22" s="239">
        <v>0</v>
      </c>
      <c r="BN22" s="239">
        <v>-52127</v>
      </c>
      <c r="BO22" s="239">
        <v>-1605764</v>
      </c>
      <c r="BP22" s="239">
        <v>0</v>
      </c>
      <c r="BQ22" s="239">
        <v>-1605764</v>
      </c>
      <c r="BR22" s="239">
        <v>44557</v>
      </c>
      <c r="BS22" s="239">
        <v>0</v>
      </c>
      <c r="BT22" s="239">
        <v>44557</v>
      </c>
      <c r="BU22" s="239">
        <v>-1769358</v>
      </c>
      <c r="BV22" s="239">
        <v>0</v>
      </c>
      <c r="BW22" s="239">
        <v>-1769358</v>
      </c>
      <c r="BX22" s="239">
        <v>0</v>
      </c>
      <c r="BY22" s="239">
        <v>0</v>
      </c>
      <c r="BZ22" s="239">
        <v>0</v>
      </c>
      <c r="CA22" s="239">
        <v>0</v>
      </c>
      <c r="CB22" s="239">
        <v>0</v>
      </c>
      <c r="CC22" s="239">
        <v>0</v>
      </c>
      <c r="CD22" s="239">
        <v>0</v>
      </c>
      <c r="CE22" s="239">
        <v>0</v>
      </c>
      <c r="CF22" s="239">
        <v>0</v>
      </c>
      <c r="CG22" s="239">
        <v>0</v>
      </c>
      <c r="CH22" s="239">
        <v>0</v>
      </c>
      <c r="CI22" s="239">
        <v>0</v>
      </c>
      <c r="CJ22" s="239">
        <v>0</v>
      </c>
      <c r="CK22" s="239">
        <v>0</v>
      </c>
      <c r="CL22" s="239">
        <v>0</v>
      </c>
      <c r="CM22" s="239">
        <v>0</v>
      </c>
      <c r="CN22" s="239">
        <v>0</v>
      </c>
      <c r="CO22" s="239">
        <v>0</v>
      </c>
      <c r="CP22" s="239">
        <v>0</v>
      </c>
      <c r="CQ22" s="239">
        <v>0</v>
      </c>
      <c r="CR22" s="239">
        <v>0</v>
      </c>
      <c r="CS22" s="239">
        <v>0</v>
      </c>
      <c r="CT22" s="239">
        <v>0</v>
      </c>
      <c r="CU22" s="239">
        <v>0</v>
      </c>
      <c r="CV22" s="239">
        <v>0</v>
      </c>
      <c r="CW22" s="239">
        <v>0</v>
      </c>
      <c r="CX22" s="239">
        <v>0</v>
      </c>
      <c r="CY22" s="239">
        <v>0</v>
      </c>
      <c r="CZ22" s="239">
        <v>0</v>
      </c>
      <c r="DA22" s="239">
        <v>0</v>
      </c>
      <c r="DB22" s="239">
        <v>0</v>
      </c>
      <c r="DC22" s="239">
        <v>0</v>
      </c>
      <c r="DD22" s="239">
        <v>0</v>
      </c>
      <c r="DE22" s="239">
        <v>0</v>
      </c>
      <c r="DF22" s="239">
        <v>0</v>
      </c>
      <c r="DG22" s="239">
        <v>0</v>
      </c>
      <c r="DH22" s="239">
        <v>0</v>
      </c>
      <c r="DI22" s="239">
        <v>0</v>
      </c>
      <c r="DJ22" s="239">
        <v>0</v>
      </c>
      <c r="DK22" s="239">
        <v>0</v>
      </c>
      <c r="DL22" s="239">
        <v>0</v>
      </c>
      <c r="DM22" s="239">
        <v>0</v>
      </c>
      <c r="DN22" s="239">
        <v>0</v>
      </c>
      <c r="DO22" s="239">
        <v>0</v>
      </c>
      <c r="DP22" s="239">
        <v>0</v>
      </c>
      <c r="DQ22" s="239">
        <v>0</v>
      </c>
      <c r="DR22" s="239">
        <v>0</v>
      </c>
      <c r="DS22" s="239">
        <v>-1938</v>
      </c>
      <c r="DT22" s="239">
        <v>0</v>
      </c>
      <c r="DU22" s="239">
        <v>-1938</v>
      </c>
      <c r="DV22" s="239">
        <v>-45130</v>
      </c>
      <c r="DW22" s="239">
        <v>0</v>
      </c>
      <c r="DX22" s="239">
        <v>-45130</v>
      </c>
      <c r="DY22" s="239">
        <v>7739</v>
      </c>
      <c r="DZ22" s="239">
        <v>0</v>
      </c>
      <c r="EA22" s="239">
        <v>7739</v>
      </c>
      <c r="EB22" s="239">
        <v>0</v>
      </c>
      <c r="EC22" s="239">
        <v>0</v>
      </c>
      <c r="ED22" s="239">
        <v>0</v>
      </c>
      <c r="EE22" s="239">
        <v>0</v>
      </c>
      <c r="EF22" s="239">
        <v>0</v>
      </c>
      <c r="EG22" s="239">
        <v>0</v>
      </c>
      <c r="EH22" s="239">
        <v>0</v>
      </c>
      <c r="EI22" s="239">
        <v>0</v>
      </c>
      <c r="EJ22" s="239">
        <v>0</v>
      </c>
      <c r="EK22" s="239">
        <v>0</v>
      </c>
      <c r="EL22" s="239">
        <v>0</v>
      </c>
      <c r="EM22" s="239">
        <v>0</v>
      </c>
      <c r="EN22" s="239">
        <v>0</v>
      </c>
      <c r="EO22" s="239">
        <v>0</v>
      </c>
      <c r="EP22" s="239">
        <v>0</v>
      </c>
      <c r="EQ22" s="239">
        <v>-44478</v>
      </c>
      <c r="ER22" s="239">
        <v>0</v>
      </c>
      <c r="ES22" s="239">
        <v>-44478</v>
      </c>
      <c r="ET22" s="239">
        <v>-479387</v>
      </c>
      <c r="EU22" s="239">
        <v>0</v>
      </c>
      <c r="EV22" s="239">
        <v>-479387</v>
      </c>
      <c r="EW22" s="239">
        <v>-41504</v>
      </c>
      <c r="EX22" s="239">
        <v>0</v>
      </c>
      <c r="EY22" s="239">
        <v>-41504</v>
      </c>
      <c r="EZ22" s="239">
        <v>-604698</v>
      </c>
      <c r="FA22" s="239">
        <v>0</v>
      </c>
      <c r="FB22" s="239">
        <v>-604698</v>
      </c>
      <c r="FC22" s="239">
        <v>0</v>
      </c>
      <c r="FD22" s="239">
        <v>0</v>
      </c>
      <c r="FE22" s="239">
        <v>0</v>
      </c>
      <c r="FF22" s="239">
        <v>0</v>
      </c>
      <c r="FG22" s="239">
        <v>0</v>
      </c>
      <c r="FH22" s="239">
        <v>0</v>
      </c>
      <c r="FI22" s="239">
        <v>0</v>
      </c>
      <c r="FJ22" s="239">
        <v>0</v>
      </c>
      <c r="FK22" s="239">
        <v>0</v>
      </c>
      <c r="FL22" s="239">
        <v>86834326</v>
      </c>
      <c r="FM22" s="239">
        <v>0</v>
      </c>
      <c r="FN22" s="239">
        <v>86834326</v>
      </c>
      <c r="FO22" s="239">
        <v>719500</v>
      </c>
      <c r="FP22" s="239">
        <v>0</v>
      </c>
      <c r="FQ22" s="239">
        <v>719500</v>
      </c>
      <c r="FR22" s="239">
        <v>-12867968</v>
      </c>
      <c r="FS22" s="239">
        <v>0</v>
      </c>
      <c r="FT22" s="239">
        <v>-12867968</v>
      </c>
      <c r="FU22" s="239">
        <v>-1769358</v>
      </c>
      <c r="FV22" s="239">
        <v>0</v>
      </c>
      <c r="FW22" s="239">
        <v>-1769358</v>
      </c>
      <c r="FX22" s="239">
        <v>0</v>
      </c>
      <c r="FY22" s="239">
        <v>0</v>
      </c>
      <c r="FZ22" s="239">
        <v>0</v>
      </c>
      <c r="GA22" s="239">
        <v>-604698</v>
      </c>
      <c r="GB22" s="239">
        <v>0</v>
      </c>
      <c r="GC22" s="239">
        <v>-604698</v>
      </c>
      <c r="GD22" s="239">
        <v>0</v>
      </c>
      <c r="GE22" s="239">
        <v>0</v>
      </c>
      <c r="GF22" s="239">
        <v>0</v>
      </c>
      <c r="GG22" s="239">
        <v>-14522524</v>
      </c>
      <c r="GH22" s="239">
        <v>0</v>
      </c>
      <c r="GI22" s="239">
        <v>-14522524</v>
      </c>
      <c r="GJ22" s="239">
        <v>72311802</v>
      </c>
      <c r="GK22" s="239">
        <v>0</v>
      </c>
      <c r="GL22" s="239">
        <v>72311802</v>
      </c>
      <c r="GM22" s="214" t="s">
        <v>1159</v>
      </c>
    </row>
    <row r="23" spans="2:195" s="214" customFormat="1" x14ac:dyDescent="0.2">
      <c r="B23" s="602" t="s">
        <v>129</v>
      </c>
      <c r="C23" s="602" t="s">
        <v>128</v>
      </c>
      <c r="D23" s="239">
        <v>-20355582</v>
      </c>
      <c r="E23" s="239">
        <v>-425169</v>
      </c>
      <c r="F23" s="239">
        <v>-20780751</v>
      </c>
      <c r="G23" s="239">
        <v>59834</v>
      </c>
      <c r="H23" s="239">
        <v>-79376</v>
      </c>
      <c r="I23" s="239">
        <v>-19542</v>
      </c>
      <c r="J23" s="239">
        <v>27585380</v>
      </c>
      <c r="K23" s="239">
        <v>651957</v>
      </c>
      <c r="L23" s="239">
        <v>28237337</v>
      </c>
      <c r="M23" s="239">
        <v>681548</v>
      </c>
      <c r="N23" s="239">
        <v>57022</v>
      </c>
      <c r="O23" s="239">
        <v>738570</v>
      </c>
      <c r="P23" s="239">
        <v>7971180</v>
      </c>
      <c r="Q23" s="239">
        <v>204434</v>
      </c>
      <c r="R23" s="239">
        <v>8175614</v>
      </c>
      <c r="S23" s="239">
        <v>-33495504</v>
      </c>
      <c r="T23" s="239">
        <v>-643868</v>
      </c>
      <c r="U23" s="239">
        <v>-34139372</v>
      </c>
      <c r="V23" s="239">
        <v>-70324</v>
      </c>
      <c r="W23" s="239">
        <v>-2105</v>
      </c>
      <c r="X23" s="239">
        <v>-72429</v>
      </c>
      <c r="Y23" s="239">
        <v>-1566626</v>
      </c>
      <c r="Z23" s="239">
        <v>-91514</v>
      </c>
      <c r="AA23" s="239">
        <v>-1658140</v>
      </c>
      <c r="AB23" s="239">
        <v>-1386909</v>
      </c>
      <c r="AC23" s="239">
        <v>-88026</v>
      </c>
      <c r="AD23" s="239">
        <v>-1474935</v>
      </c>
      <c r="AE23" s="239">
        <v>-20702</v>
      </c>
      <c r="AF23" s="239">
        <v>5464</v>
      </c>
      <c r="AG23" s="239">
        <v>-15238</v>
      </c>
      <c r="AH23" s="239">
        <v>10419773</v>
      </c>
      <c r="AI23" s="239">
        <v>349832</v>
      </c>
      <c r="AJ23" s="239">
        <v>10769605</v>
      </c>
      <c r="AK23" s="239">
        <v>5300176</v>
      </c>
      <c r="AL23" s="239">
        <v>208345</v>
      </c>
      <c r="AM23" s="239">
        <v>5508521</v>
      </c>
      <c r="AN23" s="239">
        <v>-34236032</v>
      </c>
      <c r="AO23" s="239">
        <v>-1685720</v>
      </c>
      <c r="AP23" s="239">
        <v>-35921752</v>
      </c>
      <c r="AQ23" s="239">
        <v>-1268144</v>
      </c>
      <c r="AR23" s="239">
        <v>-842526</v>
      </c>
      <c r="AS23" s="239">
        <v>-2110670</v>
      </c>
      <c r="AT23" s="239">
        <v>-100611</v>
      </c>
      <c r="AU23" s="239">
        <v>0</v>
      </c>
      <c r="AV23" s="239">
        <v>-100611</v>
      </c>
      <c r="AW23" s="239">
        <v>0</v>
      </c>
      <c r="AX23" s="239">
        <v>0</v>
      </c>
      <c r="AY23" s="239">
        <v>0</v>
      </c>
      <c r="AZ23" s="239">
        <v>0</v>
      </c>
      <c r="BA23" s="239">
        <v>0</v>
      </c>
      <c r="BB23" s="239">
        <v>0</v>
      </c>
      <c r="BC23" s="239">
        <v>0</v>
      </c>
      <c r="BD23" s="239">
        <v>0</v>
      </c>
      <c r="BE23" s="239">
        <v>0</v>
      </c>
      <c r="BF23" s="239">
        <v>-54946968</v>
      </c>
      <c r="BG23" s="239">
        <v>-2705451</v>
      </c>
      <c r="BH23" s="239">
        <v>-57652419</v>
      </c>
      <c r="BI23" s="239">
        <v>-120894</v>
      </c>
      <c r="BJ23" s="239">
        <v>0</v>
      </c>
      <c r="BK23" s="239">
        <v>-120894</v>
      </c>
      <c r="BL23" s="239">
        <v>-147759</v>
      </c>
      <c r="BM23" s="239">
        <v>46428</v>
      </c>
      <c r="BN23" s="239">
        <v>-101331</v>
      </c>
      <c r="BO23" s="239">
        <v>-23449685</v>
      </c>
      <c r="BP23" s="239">
        <v>-710528</v>
      </c>
      <c r="BQ23" s="239">
        <v>-24160213</v>
      </c>
      <c r="BR23" s="239">
        <v>2968882</v>
      </c>
      <c r="BS23" s="239">
        <v>102892</v>
      </c>
      <c r="BT23" s="239">
        <v>3071774</v>
      </c>
      <c r="BU23" s="239">
        <v>-20749456</v>
      </c>
      <c r="BV23" s="239">
        <v>-561208</v>
      </c>
      <c r="BW23" s="239">
        <v>-21310664</v>
      </c>
      <c r="BX23" s="239">
        <v>-115272</v>
      </c>
      <c r="BY23" s="239">
        <v>0</v>
      </c>
      <c r="BZ23" s="239">
        <v>-115272</v>
      </c>
      <c r="CA23" s="239">
        <v>-244274</v>
      </c>
      <c r="CB23" s="239">
        <v>0</v>
      </c>
      <c r="CC23" s="239">
        <v>-244274</v>
      </c>
      <c r="CD23" s="239">
        <v>-353669</v>
      </c>
      <c r="CE23" s="239">
        <v>-13010</v>
      </c>
      <c r="CF23" s="239">
        <v>-366679</v>
      </c>
      <c r="CG23" s="239">
        <v>788333</v>
      </c>
      <c r="CH23" s="239">
        <v>1520</v>
      </c>
      <c r="CI23" s="239">
        <v>789853</v>
      </c>
      <c r="CJ23" s="239">
        <v>0</v>
      </c>
      <c r="CK23" s="239">
        <v>0</v>
      </c>
      <c r="CL23" s="239">
        <v>0</v>
      </c>
      <c r="CM23" s="239">
        <v>0</v>
      </c>
      <c r="CN23" s="239">
        <v>0</v>
      </c>
      <c r="CO23" s="239">
        <v>0</v>
      </c>
      <c r="CP23" s="239">
        <v>0</v>
      </c>
      <c r="CQ23" s="239">
        <v>0</v>
      </c>
      <c r="CR23" s="239">
        <v>0</v>
      </c>
      <c r="CS23" s="239">
        <v>0</v>
      </c>
      <c r="CT23" s="239">
        <v>0</v>
      </c>
      <c r="CU23" s="239">
        <v>0</v>
      </c>
      <c r="CV23" s="239">
        <v>0</v>
      </c>
      <c r="CW23" s="239">
        <v>0</v>
      </c>
      <c r="CX23" s="239">
        <v>0</v>
      </c>
      <c r="CY23" s="239">
        <v>0</v>
      </c>
      <c r="CZ23" s="239">
        <v>0</v>
      </c>
      <c r="DA23" s="239">
        <v>0</v>
      </c>
      <c r="DB23" s="239">
        <v>0</v>
      </c>
      <c r="DC23" s="239">
        <v>-708459</v>
      </c>
      <c r="DD23" s="239">
        <v>-708459</v>
      </c>
      <c r="DE23" s="239">
        <v>0</v>
      </c>
      <c r="DF23" s="239">
        <v>85851</v>
      </c>
      <c r="DG23" s="239">
        <v>85851</v>
      </c>
      <c r="DH23" s="239">
        <v>-622608</v>
      </c>
      <c r="DI23" s="239">
        <v>0</v>
      </c>
      <c r="DJ23" s="239">
        <v>75118</v>
      </c>
      <c r="DK23" s="239">
        <v>-634098</v>
      </c>
      <c r="DL23" s="239">
        <v>-558980</v>
      </c>
      <c r="DM23" s="239">
        <v>-31442</v>
      </c>
      <c r="DN23" s="239">
        <v>0</v>
      </c>
      <c r="DO23" s="239">
        <v>-31442</v>
      </c>
      <c r="DP23" s="239">
        <v>-138689</v>
      </c>
      <c r="DQ23" s="239">
        <v>-33283</v>
      </c>
      <c r="DR23" s="239">
        <v>-171972</v>
      </c>
      <c r="DS23" s="239">
        <v>-8314</v>
      </c>
      <c r="DT23" s="239">
        <v>0</v>
      </c>
      <c r="DU23" s="239">
        <v>-8314</v>
      </c>
      <c r="DV23" s="239">
        <v>-272284</v>
      </c>
      <c r="DW23" s="239">
        <v>0</v>
      </c>
      <c r="DX23" s="239">
        <v>-272284</v>
      </c>
      <c r="DY23" s="239">
        <v>41515</v>
      </c>
      <c r="DZ23" s="239">
        <v>2783</v>
      </c>
      <c r="EA23" s="239">
        <v>44298</v>
      </c>
      <c r="EB23" s="239">
        <v>0</v>
      </c>
      <c r="EC23" s="239">
        <v>0</v>
      </c>
      <c r="ED23" s="239">
        <v>0</v>
      </c>
      <c r="EE23" s="239">
        <v>0</v>
      </c>
      <c r="EF23" s="239">
        <v>0</v>
      </c>
      <c r="EG23" s="239">
        <v>0</v>
      </c>
      <c r="EH23" s="239">
        <v>0</v>
      </c>
      <c r="EI23" s="239">
        <v>0</v>
      </c>
      <c r="EJ23" s="239">
        <v>0</v>
      </c>
      <c r="EK23" s="239">
        <v>0</v>
      </c>
      <c r="EL23" s="239">
        <v>0</v>
      </c>
      <c r="EM23" s="239">
        <v>0</v>
      </c>
      <c r="EN23" s="239">
        <v>0</v>
      </c>
      <c r="EO23" s="239">
        <v>0</v>
      </c>
      <c r="EP23" s="239">
        <v>0</v>
      </c>
      <c r="EQ23" s="239">
        <v>-503506</v>
      </c>
      <c r="ER23" s="239">
        <v>-2511</v>
      </c>
      <c r="ES23" s="239">
        <v>-506017</v>
      </c>
      <c r="ET23" s="239">
        <v>-2338718</v>
      </c>
      <c r="EU23" s="239">
        <v>-95017</v>
      </c>
      <c r="EV23" s="239">
        <v>-2433735</v>
      </c>
      <c r="EW23" s="239">
        <v>-178290</v>
      </c>
      <c r="EX23" s="239">
        <v>-4960</v>
      </c>
      <c r="EY23" s="239">
        <v>-183250</v>
      </c>
      <c r="EZ23" s="239">
        <v>-3429728</v>
      </c>
      <c r="FA23" s="239">
        <v>-132988</v>
      </c>
      <c r="FB23" s="239">
        <v>-3562716</v>
      </c>
      <c r="FC23" s="239">
        <v>0</v>
      </c>
      <c r="FD23" s="239">
        <v>0</v>
      </c>
      <c r="FE23" s="239">
        <v>0</v>
      </c>
      <c r="FF23" s="239">
        <v>-304</v>
      </c>
      <c r="FG23" s="239">
        <v>0</v>
      </c>
      <c r="FH23" s="239">
        <v>-304</v>
      </c>
      <c r="FI23" s="239">
        <v>-304</v>
      </c>
      <c r="FJ23" s="239">
        <v>0</v>
      </c>
      <c r="FK23" s="239">
        <v>-304</v>
      </c>
      <c r="FL23" s="239">
        <v>484789620</v>
      </c>
      <c r="FM23" s="239">
        <v>14917794</v>
      </c>
      <c r="FN23" s="239">
        <v>499707414</v>
      </c>
      <c r="FO23" s="239">
        <v>7971180</v>
      </c>
      <c r="FP23" s="239">
        <v>204434</v>
      </c>
      <c r="FQ23" s="239">
        <v>8175614</v>
      </c>
      <c r="FR23" s="239">
        <v>-54946968</v>
      </c>
      <c r="FS23" s="239">
        <v>-2705451</v>
      </c>
      <c r="FT23" s="239">
        <v>-57652419</v>
      </c>
      <c r="FU23" s="239">
        <v>-20749456</v>
      </c>
      <c r="FV23" s="239">
        <v>-561208</v>
      </c>
      <c r="FW23" s="239">
        <v>-21310664</v>
      </c>
      <c r="FX23" s="239">
        <v>75118</v>
      </c>
      <c r="FY23" s="239">
        <v>-634098</v>
      </c>
      <c r="FZ23" s="239">
        <v>-558980</v>
      </c>
      <c r="GA23" s="239">
        <v>-3429728</v>
      </c>
      <c r="GB23" s="239">
        <v>-132988</v>
      </c>
      <c r="GC23" s="239">
        <v>-3562716</v>
      </c>
      <c r="GD23" s="239">
        <v>-304</v>
      </c>
      <c r="GE23" s="239">
        <v>0</v>
      </c>
      <c r="GF23" s="239">
        <v>-304</v>
      </c>
      <c r="GG23" s="239">
        <v>-71080158</v>
      </c>
      <c r="GH23" s="239">
        <v>-3829311</v>
      </c>
      <c r="GI23" s="239">
        <v>-74909469</v>
      </c>
      <c r="GJ23" s="239">
        <v>413709462</v>
      </c>
      <c r="GK23" s="239">
        <v>11088483</v>
      </c>
      <c r="GL23" s="239">
        <v>424797945</v>
      </c>
      <c r="GM23" s="214" t="s">
        <v>1160</v>
      </c>
    </row>
    <row r="24" spans="2:195" s="214" customFormat="1" x14ac:dyDescent="0.2">
      <c r="B24" s="602" t="s">
        <v>131</v>
      </c>
      <c r="C24" s="602" t="s">
        <v>130</v>
      </c>
      <c r="D24" s="239">
        <v>-1145701</v>
      </c>
      <c r="E24" s="239">
        <v>0</v>
      </c>
      <c r="F24" s="239">
        <v>-1145701</v>
      </c>
      <c r="G24" s="239">
        <v>171250</v>
      </c>
      <c r="H24" s="239">
        <v>0</v>
      </c>
      <c r="I24" s="239">
        <v>171250</v>
      </c>
      <c r="J24" s="239">
        <v>1001972</v>
      </c>
      <c r="K24" s="239">
        <v>0</v>
      </c>
      <c r="L24" s="239">
        <v>1001972</v>
      </c>
      <c r="M24" s="239">
        <v>116744</v>
      </c>
      <c r="N24" s="239">
        <v>0</v>
      </c>
      <c r="O24" s="239">
        <v>116744</v>
      </c>
      <c r="P24" s="239">
        <v>144265</v>
      </c>
      <c r="Q24" s="239">
        <v>0</v>
      </c>
      <c r="R24" s="239">
        <v>144265</v>
      </c>
      <c r="S24" s="239">
        <v>-1904555</v>
      </c>
      <c r="T24" s="239">
        <v>0</v>
      </c>
      <c r="U24" s="239">
        <v>-1904555</v>
      </c>
      <c r="V24" s="239">
        <v>-4700</v>
      </c>
      <c r="W24" s="239">
        <v>0</v>
      </c>
      <c r="X24" s="239">
        <v>-4700</v>
      </c>
      <c r="Y24" s="239">
        <v>-75067</v>
      </c>
      <c r="Z24" s="239">
        <v>0</v>
      </c>
      <c r="AA24" s="239">
        <v>-75067</v>
      </c>
      <c r="AB24" s="239">
        <v>-69447</v>
      </c>
      <c r="AC24" s="239">
        <v>0</v>
      </c>
      <c r="AD24" s="239">
        <v>-69447</v>
      </c>
      <c r="AE24" s="239">
        <v>-2686</v>
      </c>
      <c r="AF24" s="239">
        <v>0</v>
      </c>
      <c r="AG24" s="239">
        <v>-2686</v>
      </c>
      <c r="AH24" s="239">
        <v>1143888</v>
      </c>
      <c r="AI24" s="239">
        <v>0</v>
      </c>
      <c r="AJ24" s="239">
        <v>1143888</v>
      </c>
      <c r="AK24" s="239">
        <v>1188930</v>
      </c>
      <c r="AL24" s="239">
        <v>0</v>
      </c>
      <c r="AM24" s="239">
        <v>1188930</v>
      </c>
      <c r="AN24" s="239">
        <v>-1020049</v>
      </c>
      <c r="AO24" s="239">
        <v>0</v>
      </c>
      <c r="AP24" s="239">
        <v>-1020049</v>
      </c>
      <c r="AQ24" s="239">
        <v>2206</v>
      </c>
      <c r="AR24" s="239">
        <v>0</v>
      </c>
      <c r="AS24" s="239">
        <v>2206</v>
      </c>
      <c r="AT24" s="239">
        <v>-43597</v>
      </c>
      <c r="AU24" s="239">
        <v>0</v>
      </c>
      <c r="AV24" s="239">
        <v>-43597</v>
      </c>
      <c r="AW24" s="239">
        <v>-1508</v>
      </c>
      <c r="AX24" s="239">
        <v>0</v>
      </c>
      <c r="AY24" s="239">
        <v>-1508</v>
      </c>
      <c r="AZ24" s="239">
        <v>0</v>
      </c>
      <c r="BA24" s="239">
        <v>0</v>
      </c>
      <c r="BB24" s="239">
        <v>0</v>
      </c>
      <c r="BC24" s="239">
        <v>0</v>
      </c>
      <c r="BD24" s="239">
        <v>0</v>
      </c>
      <c r="BE24" s="239">
        <v>0</v>
      </c>
      <c r="BF24" s="239">
        <v>-709752</v>
      </c>
      <c r="BG24" s="239">
        <v>0</v>
      </c>
      <c r="BH24" s="239">
        <v>-709752</v>
      </c>
      <c r="BI24" s="239">
        <v>-37959</v>
      </c>
      <c r="BJ24" s="239">
        <v>0</v>
      </c>
      <c r="BK24" s="239">
        <v>-37959</v>
      </c>
      <c r="BL24" s="239">
        <v>16442</v>
      </c>
      <c r="BM24" s="239">
        <v>0</v>
      </c>
      <c r="BN24" s="239">
        <v>16442</v>
      </c>
      <c r="BO24" s="239">
        <v>-1232922</v>
      </c>
      <c r="BP24" s="239">
        <v>0</v>
      </c>
      <c r="BQ24" s="239">
        <v>-1232922</v>
      </c>
      <c r="BR24" s="239">
        <v>-68053</v>
      </c>
      <c r="BS24" s="239">
        <v>0</v>
      </c>
      <c r="BT24" s="239">
        <v>-68053</v>
      </c>
      <c r="BU24" s="239">
        <v>-1322492</v>
      </c>
      <c r="BV24" s="239">
        <v>0</v>
      </c>
      <c r="BW24" s="239">
        <v>-1322492</v>
      </c>
      <c r="BX24" s="239">
        <v>-55710</v>
      </c>
      <c r="BY24" s="239">
        <v>0</v>
      </c>
      <c r="BZ24" s="239">
        <v>-55710</v>
      </c>
      <c r="CA24" s="239">
        <v>0</v>
      </c>
      <c r="CB24" s="239">
        <v>0</v>
      </c>
      <c r="CC24" s="239">
        <v>0</v>
      </c>
      <c r="CD24" s="239">
        <v>-1930</v>
      </c>
      <c r="CE24" s="239">
        <v>0</v>
      </c>
      <c r="CF24" s="239">
        <v>-1930</v>
      </c>
      <c r="CG24" s="239">
        <v>-727</v>
      </c>
      <c r="CH24" s="239">
        <v>0</v>
      </c>
      <c r="CI24" s="239">
        <v>-727</v>
      </c>
      <c r="CJ24" s="239">
        <v>-4042</v>
      </c>
      <c r="CK24" s="239">
        <v>0</v>
      </c>
      <c r="CL24" s="239">
        <v>-4042</v>
      </c>
      <c r="CM24" s="239">
        <v>-20</v>
      </c>
      <c r="CN24" s="239">
        <v>0</v>
      </c>
      <c r="CO24" s="239">
        <v>-20</v>
      </c>
      <c r="CP24" s="239">
        <v>0</v>
      </c>
      <c r="CQ24" s="239">
        <v>0</v>
      </c>
      <c r="CR24" s="239">
        <v>0</v>
      </c>
      <c r="CS24" s="239">
        <v>0</v>
      </c>
      <c r="CT24" s="239">
        <v>0</v>
      </c>
      <c r="CU24" s="239">
        <v>0</v>
      </c>
      <c r="CV24" s="239">
        <v>0</v>
      </c>
      <c r="CW24" s="239">
        <v>0</v>
      </c>
      <c r="CX24" s="239">
        <v>0</v>
      </c>
      <c r="CY24" s="239">
        <v>0</v>
      </c>
      <c r="CZ24" s="239">
        <v>0</v>
      </c>
      <c r="DA24" s="239">
        <v>0</v>
      </c>
      <c r="DB24" s="239">
        <v>0</v>
      </c>
      <c r="DC24" s="239">
        <v>0</v>
      </c>
      <c r="DD24" s="239">
        <v>0</v>
      </c>
      <c r="DE24" s="239">
        <v>0</v>
      </c>
      <c r="DF24" s="239">
        <v>0</v>
      </c>
      <c r="DG24" s="239">
        <v>0</v>
      </c>
      <c r="DH24" s="239">
        <v>0</v>
      </c>
      <c r="DI24" s="239">
        <v>0</v>
      </c>
      <c r="DJ24" s="239">
        <v>-62429</v>
      </c>
      <c r="DK24" s="239">
        <v>0</v>
      </c>
      <c r="DL24" s="239">
        <v>-62429</v>
      </c>
      <c r="DM24" s="239">
        <v>-3003</v>
      </c>
      <c r="DN24" s="239">
        <v>0</v>
      </c>
      <c r="DO24" s="239">
        <v>-3003</v>
      </c>
      <c r="DP24" s="239">
        <v>-781</v>
      </c>
      <c r="DQ24" s="239">
        <v>0</v>
      </c>
      <c r="DR24" s="239">
        <v>-781</v>
      </c>
      <c r="DS24" s="239">
        <v>0</v>
      </c>
      <c r="DT24" s="239">
        <v>0</v>
      </c>
      <c r="DU24" s="239">
        <v>0</v>
      </c>
      <c r="DV24" s="239">
        <v>0</v>
      </c>
      <c r="DW24" s="239">
        <v>0</v>
      </c>
      <c r="DX24" s="239">
        <v>0</v>
      </c>
      <c r="DY24" s="239">
        <v>-267</v>
      </c>
      <c r="DZ24" s="239">
        <v>0</v>
      </c>
      <c r="EA24" s="239">
        <v>-267</v>
      </c>
      <c r="EB24" s="239">
        <v>0</v>
      </c>
      <c r="EC24" s="239">
        <v>0</v>
      </c>
      <c r="ED24" s="239">
        <v>0</v>
      </c>
      <c r="EE24" s="239">
        <v>0</v>
      </c>
      <c r="EF24" s="239">
        <v>0</v>
      </c>
      <c r="EG24" s="239">
        <v>0</v>
      </c>
      <c r="EH24" s="239">
        <v>0</v>
      </c>
      <c r="EI24" s="239">
        <v>0</v>
      </c>
      <c r="EJ24" s="239">
        <v>0</v>
      </c>
      <c r="EK24" s="239">
        <v>0</v>
      </c>
      <c r="EL24" s="239">
        <v>0</v>
      </c>
      <c r="EM24" s="239">
        <v>0</v>
      </c>
      <c r="EN24" s="239">
        <v>0</v>
      </c>
      <c r="EO24" s="239">
        <v>0</v>
      </c>
      <c r="EP24" s="239">
        <v>0</v>
      </c>
      <c r="EQ24" s="239">
        <v>-15731</v>
      </c>
      <c r="ER24" s="239">
        <v>0</v>
      </c>
      <c r="ES24" s="239">
        <v>-15731</v>
      </c>
      <c r="ET24" s="239">
        <v>-185288</v>
      </c>
      <c r="EU24" s="239">
        <v>0</v>
      </c>
      <c r="EV24" s="239">
        <v>-185288</v>
      </c>
      <c r="EW24" s="239">
        <v>-29849</v>
      </c>
      <c r="EX24" s="239">
        <v>0</v>
      </c>
      <c r="EY24" s="239">
        <v>-29849</v>
      </c>
      <c r="EZ24" s="239">
        <v>-234919</v>
      </c>
      <c r="FA24" s="239">
        <v>0</v>
      </c>
      <c r="FB24" s="239">
        <v>-234919</v>
      </c>
      <c r="FC24" s="239">
        <v>0</v>
      </c>
      <c r="FD24" s="239">
        <v>0</v>
      </c>
      <c r="FE24" s="239">
        <v>0</v>
      </c>
      <c r="FF24" s="239">
        <v>0</v>
      </c>
      <c r="FG24" s="239">
        <v>0</v>
      </c>
      <c r="FH24" s="239">
        <v>0</v>
      </c>
      <c r="FI24" s="239">
        <v>0</v>
      </c>
      <c r="FJ24" s="239">
        <v>0</v>
      </c>
      <c r="FK24" s="239">
        <v>0</v>
      </c>
      <c r="FL24" s="239">
        <v>44095341</v>
      </c>
      <c r="FM24" s="239">
        <v>0</v>
      </c>
      <c r="FN24" s="239">
        <v>44095341</v>
      </c>
      <c r="FO24" s="239">
        <v>144265</v>
      </c>
      <c r="FP24" s="239">
        <v>0</v>
      </c>
      <c r="FQ24" s="239">
        <v>144265</v>
      </c>
      <c r="FR24" s="239">
        <v>-709752</v>
      </c>
      <c r="FS24" s="239">
        <v>0</v>
      </c>
      <c r="FT24" s="239">
        <v>-709752</v>
      </c>
      <c r="FU24" s="239">
        <v>-1322492</v>
      </c>
      <c r="FV24" s="239">
        <v>0</v>
      </c>
      <c r="FW24" s="239">
        <v>-1322492</v>
      </c>
      <c r="FX24" s="239">
        <v>-62429</v>
      </c>
      <c r="FY24" s="239">
        <v>0</v>
      </c>
      <c r="FZ24" s="239">
        <v>-62429</v>
      </c>
      <c r="GA24" s="239">
        <v>-234919</v>
      </c>
      <c r="GB24" s="239">
        <v>0</v>
      </c>
      <c r="GC24" s="239">
        <v>-234919</v>
      </c>
      <c r="GD24" s="239">
        <v>0</v>
      </c>
      <c r="GE24" s="239">
        <v>0</v>
      </c>
      <c r="GF24" s="239">
        <v>0</v>
      </c>
      <c r="GG24" s="239">
        <v>-2185327</v>
      </c>
      <c r="GH24" s="239">
        <v>0</v>
      </c>
      <c r="GI24" s="239">
        <v>-2185327</v>
      </c>
      <c r="GJ24" s="239">
        <v>41910014</v>
      </c>
      <c r="GK24" s="239">
        <v>0</v>
      </c>
      <c r="GL24" s="239">
        <v>41910014</v>
      </c>
      <c r="GM24" s="214" t="s">
        <v>1158</v>
      </c>
    </row>
    <row r="25" spans="2:195" s="214" customFormat="1" x14ac:dyDescent="0.2">
      <c r="B25" s="602" t="s">
        <v>133</v>
      </c>
      <c r="C25" s="602" t="s">
        <v>132</v>
      </c>
      <c r="D25" s="239">
        <v>-1711151</v>
      </c>
      <c r="E25" s="239">
        <v>0</v>
      </c>
      <c r="F25" s="239">
        <v>-1711151</v>
      </c>
      <c r="G25" s="239">
        <v>7788</v>
      </c>
      <c r="H25" s="239">
        <v>0</v>
      </c>
      <c r="I25" s="239">
        <v>7788</v>
      </c>
      <c r="J25" s="239">
        <v>6927340</v>
      </c>
      <c r="K25" s="239">
        <v>0</v>
      </c>
      <c r="L25" s="239">
        <v>6927340</v>
      </c>
      <c r="M25" s="239">
        <v>8859</v>
      </c>
      <c r="N25" s="239">
        <v>0</v>
      </c>
      <c r="O25" s="239">
        <v>8859</v>
      </c>
      <c r="P25" s="239">
        <v>5232836</v>
      </c>
      <c r="Q25" s="239">
        <v>0</v>
      </c>
      <c r="R25" s="239">
        <v>5232836</v>
      </c>
      <c r="S25" s="239">
        <v>-7064581</v>
      </c>
      <c r="T25" s="239">
        <v>0</v>
      </c>
      <c r="U25" s="239">
        <v>-7064581</v>
      </c>
      <c r="V25" s="239">
        <v>-37640</v>
      </c>
      <c r="W25" s="239">
        <v>0</v>
      </c>
      <c r="X25" s="239">
        <v>-37640</v>
      </c>
      <c r="Y25" s="239">
        <v>-110087</v>
      </c>
      <c r="Z25" s="239">
        <v>0</v>
      </c>
      <c r="AA25" s="239">
        <v>-110087</v>
      </c>
      <c r="AB25" s="239">
        <v>-94813</v>
      </c>
      <c r="AC25" s="239">
        <v>0</v>
      </c>
      <c r="AD25" s="239">
        <v>-94813</v>
      </c>
      <c r="AE25" s="239">
        <v>1672</v>
      </c>
      <c r="AF25" s="239">
        <v>0</v>
      </c>
      <c r="AG25" s="239">
        <v>1672</v>
      </c>
      <c r="AH25" s="239">
        <v>1016736</v>
      </c>
      <c r="AI25" s="239">
        <v>0</v>
      </c>
      <c r="AJ25" s="239">
        <v>1016736</v>
      </c>
      <c r="AK25" s="239">
        <v>502280</v>
      </c>
      <c r="AL25" s="239">
        <v>0</v>
      </c>
      <c r="AM25" s="239">
        <v>502280</v>
      </c>
      <c r="AN25" s="239">
        <v>-4713725</v>
      </c>
      <c r="AO25" s="239">
        <v>0</v>
      </c>
      <c r="AP25" s="239">
        <v>-4713725</v>
      </c>
      <c r="AQ25" s="239">
        <v>46144</v>
      </c>
      <c r="AR25" s="239">
        <v>0</v>
      </c>
      <c r="AS25" s="239">
        <v>46144</v>
      </c>
      <c r="AT25" s="239">
        <v>-74662</v>
      </c>
      <c r="AU25" s="239">
        <v>0</v>
      </c>
      <c r="AV25" s="239">
        <v>-74662</v>
      </c>
      <c r="AW25" s="239">
        <v>0</v>
      </c>
      <c r="AX25" s="239">
        <v>0</v>
      </c>
      <c r="AY25" s="239">
        <v>0</v>
      </c>
      <c r="AZ25" s="239">
        <v>-2538</v>
      </c>
      <c r="BA25" s="239">
        <v>0</v>
      </c>
      <c r="BB25" s="239">
        <v>-2538</v>
      </c>
      <c r="BC25" s="239">
        <v>0</v>
      </c>
      <c r="BD25" s="239">
        <v>0</v>
      </c>
      <c r="BE25" s="239">
        <v>0</v>
      </c>
      <c r="BF25" s="239">
        <v>-10400433</v>
      </c>
      <c r="BG25" s="239">
        <v>0</v>
      </c>
      <c r="BH25" s="239">
        <v>-10400433</v>
      </c>
      <c r="BI25" s="239">
        <v>-75642</v>
      </c>
      <c r="BJ25" s="239">
        <v>0</v>
      </c>
      <c r="BK25" s="239">
        <v>-75642</v>
      </c>
      <c r="BL25" s="239">
        <v>-32856</v>
      </c>
      <c r="BM25" s="239">
        <v>0</v>
      </c>
      <c r="BN25" s="239">
        <v>-32856</v>
      </c>
      <c r="BO25" s="239">
        <v>-2682652</v>
      </c>
      <c r="BP25" s="239">
        <v>0</v>
      </c>
      <c r="BQ25" s="239">
        <v>-2682652</v>
      </c>
      <c r="BR25" s="239">
        <v>-128698</v>
      </c>
      <c r="BS25" s="239">
        <v>0</v>
      </c>
      <c r="BT25" s="239">
        <v>-128698</v>
      </c>
      <c r="BU25" s="239">
        <v>-2919848</v>
      </c>
      <c r="BV25" s="239">
        <v>0</v>
      </c>
      <c r="BW25" s="239">
        <v>-2919848</v>
      </c>
      <c r="BX25" s="239">
        <v>-25616</v>
      </c>
      <c r="BY25" s="239">
        <v>0</v>
      </c>
      <c r="BZ25" s="239">
        <v>-25616</v>
      </c>
      <c r="CA25" s="239">
        <v>0</v>
      </c>
      <c r="CB25" s="239">
        <v>0</v>
      </c>
      <c r="CC25" s="239">
        <v>0</v>
      </c>
      <c r="CD25" s="239">
        <v>0</v>
      </c>
      <c r="CE25" s="239">
        <v>0</v>
      </c>
      <c r="CF25" s="239">
        <v>0</v>
      </c>
      <c r="CG25" s="239">
        <v>0</v>
      </c>
      <c r="CH25" s="239">
        <v>0</v>
      </c>
      <c r="CI25" s="239">
        <v>0</v>
      </c>
      <c r="CJ25" s="239">
        <v>0</v>
      </c>
      <c r="CK25" s="239">
        <v>0</v>
      </c>
      <c r="CL25" s="239">
        <v>0</v>
      </c>
      <c r="CM25" s="239">
        <v>0</v>
      </c>
      <c r="CN25" s="239">
        <v>0</v>
      </c>
      <c r="CO25" s="239">
        <v>0</v>
      </c>
      <c r="CP25" s="239">
        <v>-2538</v>
      </c>
      <c r="CQ25" s="239">
        <v>0</v>
      </c>
      <c r="CR25" s="239">
        <v>-2538</v>
      </c>
      <c r="CS25" s="239">
        <v>0</v>
      </c>
      <c r="CT25" s="239">
        <v>0</v>
      </c>
      <c r="CU25" s="239">
        <v>0</v>
      </c>
      <c r="CV25" s="239">
        <v>0</v>
      </c>
      <c r="CW25" s="239">
        <v>0</v>
      </c>
      <c r="CX25" s="239">
        <v>0</v>
      </c>
      <c r="CY25" s="239">
        <v>0</v>
      </c>
      <c r="CZ25" s="239">
        <v>0</v>
      </c>
      <c r="DA25" s="239">
        <v>0</v>
      </c>
      <c r="DB25" s="239">
        <v>-49390</v>
      </c>
      <c r="DC25" s="239">
        <v>0</v>
      </c>
      <c r="DD25" s="239">
        <v>-49390</v>
      </c>
      <c r="DE25" s="239">
        <v>0</v>
      </c>
      <c r="DF25" s="239">
        <v>0</v>
      </c>
      <c r="DG25" s="239">
        <v>0</v>
      </c>
      <c r="DH25" s="239">
        <v>0</v>
      </c>
      <c r="DI25" s="239">
        <v>0</v>
      </c>
      <c r="DJ25" s="239">
        <v>-77544</v>
      </c>
      <c r="DK25" s="239">
        <v>0</v>
      </c>
      <c r="DL25" s="239">
        <v>-77544</v>
      </c>
      <c r="DM25" s="239">
        <v>-32423</v>
      </c>
      <c r="DN25" s="239">
        <v>0</v>
      </c>
      <c r="DO25" s="239">
        <v>-32423</v>
      </c>
      <c r="DP25" s="239">
        <v>0</v>
      </c>
      <c r="DQ25" s="239">
        <v>0</v>
      </c>
      <c r="DR25" s="239">
        <v>0</v>
      </c>
      <c r="DS25" s="239">
        <v>-5256</v>
      </c>
      <c r="DT25" s="239">
        <v>0</v>
      </c>
      <c r="DU25" s="239">
        <v>-5256</v>
      </c>
      <c r="DV25" s="239">
        <v>1733</v>
      </c>
      <c r="DW25" s="239">
        <v>0</v>
      </c>
      <c r="DX25" s="239">
        <v>1733</v>
      </c>
      <c r="DY25" s="239">
        <v>7055</v>
      </c>
      <c r="DZ25" s="239">
        <v>0</v>
      </c>
      <c r="EA25" s="239">
        <v>7055</v>
      </c>
      <c r="EB25" s="239">
        <v>0</v>
      </c>
      <c r="EC25" s="239">
        <v>0</v>
      </c>
      <c r="ED25" s="239">
        <v>0</v>
      </c>
      <c r="EE25" s="239">
        <v>0</v>
      </c>
      <c r="EF25" s="239">
        <v>0</v>
      </c>
      <c r="EG25" s="239">
        <v>0</v>
      </c>
      <c r="EH25" s="239">
        <v>0</v>
      </c>
      <c r="EI25" s="239">
        <v>0</v>
      </c>
      <c r="EJ25" s="239">
        <v>0</v>
      </c>
      <c r="EK25" s="239">
        <v>0</v>
      </c>
      <c r="EL25" s="239">
        <v>0</v>
      </c>
      <c r="EM25" s="239">
        <v>0</v>
      </c>
      <c r="EN25" s="239">
        <v>-8</v>
      </c>
      <c r="EO25" s="239">
        <v>0</v>
      </c>
      <c r="EP25" s="239">
        <v>-8</v>
      </c>
      <c r="EQ25" s="239">
        <v>-14741</v>
      </c>
      <c r="ER25" s="239">
        <v>0</v>
      </c>
      <c r="ES25" s="239">
        <v>-14741</v>
      </c>
      <c r="ET25" s="239">
        <v>-102145</v>
      </c>
      <c r="EU25" s="239">
        <v>0</v>
      </c>
      <c r="EV25" s="239">
        <v>-102145</v>
      </c>
      <c r="EW25" s="239">
        <v>-59322</v>
      </c>
      <c r="EX25" s="239">
        <v>0</v>
      </c>
      <c r="EY25" s="239">
        <v>-59322</v>
      </c>
      <c r="EZ25" s="239">
        <v>-205107</v>
      </c>
      <c r="FA25" s="239">
        <v>0</v>
      </c>
      <c r="FB25" s="239">
        <v>-205107</v>
      </c>
      <c r="FC25" s="239">
        <v>0</v>
      </c>
      <c r="FD25" s="239">
        <v>0</v>
      </c>
      <c r="FE25" s="239">
        <v>0</v>
      </c>
      <c r="FF25" s="239">
        <v>0</v>
      </c>
      <c r="FG25" s="239">
        <v>0</v>
      </c>
      <c r="FH25" s="239">
        <v>0</v>
      </c>
      <c r="FI25" s="239">
        <v>0</v>
      </c>
      <c r="FJ25" s="239">
        <v>0</v>
      </c>
      <c r="FK25" s="239">
        <v>0</v>
      </c>
      <c r="FL25" s="239">
        <v>53250034</v>
      </c>
      <c r="FM25" s="239">
        <v>0</v>
      </c>
      <c r="FN25" s="239">
        <v>53250034</v>
      </c>
      <c r="FO25" s="239">
        <v>5232836</v>
      </c>
      <c r="FP25" s="239">
        <v>0</v>
      </c>
      <c r="FQ25" s="239">
        <v>5232836</v>
      </c>
      <c r="FR25" s="239">
        <v>-10400433</v>
      </c>
      <c r="FS25" s="239">
        <v>0</v>
      </c>
      <c r="FT25" s="239">
        <v>-10400433</v>
      </c>
      <c r="FU25" s="239">
        <v>-2919848</v>
      </c>
      <c r="FV25" s="239">
        <v>0</v>
      </c>
      <c r="FW25" s="239">
        <v>-2919848</v>
      </c>
      <c r="FX25" s="239">
        <v>-77544</v>
      </c>
      <c r="FY25" s="239">
        <v>0</v>
      </c>
      <c r="FZ25" s="239">
        <v>-77544</v>
      </c>
      <c r="GA25" s="239">
        <v>-205107</v>
      </c>
      <c r="GB25" s="239">
        <v>0</v>
      </c>
      <c r="GC25" s="239">
        <v>-205107</v>
      </c>
      <c r="GD25" s="239">
        <v>0</v>
      </c>
      <c r="GE25" s="239">
        <v>0</v>
      </c>
      <c r="GF25" s="239">
        <v>0</v>
      </c>
      <c r="GG25" s="239">
        <v>-8370096</v>
      </c>
      <c r="GH25" s="239">
        <v>0</v>
      </c>
      <c r="GI25" s="239">
        <v>-8370096</v>
      </c>
      <c r="GJ25" s="239">
        <v>44879938</v>
      </c>
      <c r="GK25" s="239">
        <v>0</v>
      </c>
      <c r="GL25" s="239">
        <v>44879938</v>
      </c>
      <c r="GM25" s="214" t="s">
        <v>746</v>
      </c>
    </row>
    <row r="26" spans="2:195" s="214" customFormat="1" x14ac:dyDescent="0.2">
      <c r="B26" s="602" t="s">
        <v>135</v>
      </c>
      <c r="C26" s="602" t="s">
        <v>134</v>
      </c>
      <c r="D26" s="239">
        <v>-1488571</v>
      </c>
      <c r="E26" s="239">
        <v>-2191</v>
      </c>
      <c r="F26" s="239">
        <v>-1490762</v>
      </c>
      <c r="G26" s="239">
        <v>1166237</v>
      </c>
      <c r="H26" s="239">
        <v>0</v>
      </c>
      <c r="I26" s="239">
        <v>1166237</v>
      </c>
      <c r="J26" s="239">
        <v>4743225</v>
      </c>
      <c r="K26" s="239">
        <v>166366</v>
      </c>
      <c r="L26" s="239">
        <v>4909591</v>
      </c>
      <c r="M26" s="239">
        <v>4687</v>
      </c>
      <c r="N26" s="239">
        <v>0</v>
      </c>
      <c r="O26" s="239">
        <v>4687</v>
      </c>
      <c r="P26" s="239">
        <v>4425578</v>
      </c>
      <c r="Q26" s="239">
        <v>164175</v>
      </c>
      <c r="R26" s="239">
        <v>4589753</v>
      </c>
      <c r="S26" s="239">
        <v>-8488510</v>
      </c>
      <c r="T26" s="239">
        <v>-215527</v>
      </c>
      <c r="U26" s="239">
        <v>-8704037</v>
      </c>
      <c r="V26" s="239">
        <v>-4427</v>
      </c>
      <c r="W26" s="239">
        <v>0</v>
      </c>
      <c r="X26" s="239">
        <v>-4427</v>
      </c>
      <c r="Y26" s="239">
        <v>-235460</v>
      </c>
      <c r="Z26" s="239">
        <v>-11495</v>
      </c>
      <c r="AA26" s="239">
        <v>-246955</v>
      </c>
      <c r="AB26" s="239">
        <v>-196346</v>
      </c>
      <c r="AC26" s="239">
        <v>-11495</v>
      </c>
      <c r="AD26" s="239">
        <v>-207841</v>
      </c>
      <c r="AE26" s="239">
        <v>2896</v>
      </c>
      <c r="AF26" s="239">
        <v>0</v>
      </c>
      <c r="AG26" s="239">
        <v>2896</v>
      </c>
      <c r="AH26" s="239">
        <v>1030100</v>
      </c>
      <c r="AI26" s="239">
        <v>50656</v>
      </c>
      <c r="AJ26" s="239">
        <v>1080756</v>
      </c>
      <c r="AK26" s="239">
        <v>-100920</v>
      </c>
      <c r="AL26" s="239">
        <v>789</v>
      </c>
      <c r="AM26" s="239">
        <v>-100131</v>
      </c>
      <c r="AN26" s="239">
        <v>-2815741</v>
      </c>
      <c r="AO26" s="239">
        <v>-32990</v>
      </c>
      <c r="AP26" s="239">
        <v>-2848731</v>
      </c>
      <c r="AQ26" s="239">
        <v>-20034</v>
      </c>
      <c r="AR26" s="239">
        <v>0</v>
      </c>
      <c r="AS26" s="239">
        <v>-20034</v>
      </c>
      <c r="AT26" s="239">
        <v>0</v>
      </c>
      <c r="AU26" s="239">
        <v>0</v>
      </c>
      <c r="AV26" s="239">
        <v>0</v>
      </c>
      <c r="AW26" s="239">
        <v>0</v>
      </c>
      <c r="AX26" s="239">
        <v>0</v>
      </c>
      <c r="AY26" s="239">
        <v>0</v>
      </c>
      <c r="AZ26" s="239">
        <v>0</v>
      </c>
      <c r="BA26" s="239">
        <v>0</v>
      </c>
      <c r="BB26" s="239">
        <v>0</v>
      </c>
      <c r="BC26" s="239">
        <v>0</v>
      </c>
      <c r="BD26" s="239">
        <v>0</v>
      </c>
      <c r="BE26" s="239">
        <v>0</v>
      </c>
      <c r="BF26" s="239">
        <v>-10630565</v>
      </c>
      <c r="BG26" s="239">
        <v>-208567</v>
      </c>
      <c r="BH26" s="239">
        <v>-10839132</v>
      </c>
      <c r="BI26" s="239">
        <v>0</v>
      </c>
      <c r="BJ26" s="239">
        <v>0</v>
      </c>
      <c r="BK26" s="239">
        <v>0</v>
      </c>
      <c r="BL26" s="239">
        <v>-6286</v>
      </c>
      <c r="BM26" s="239">
        <v>0</v>
      </c>
      <c r="BN26" s="239">
        <v>-6286</v>
      </c>
      <c r="BO26" s="239">
        <v>-1722245</v>
      </c>
      <c r="BP26" s="239">
        <v>-163850</v>
      </c>
      <c r="BQ26" s="239">
        <v>-1886095</v>
      </c>
      <c r="BR26" s="239">
        <v>46569</v>
      </c>
      <c r="BS26" s="239">
        <v>3788</v>
      </c>
      <c r="BT26" s="239">
        <v>50357</v>
      </c>
      <c r="BU26" s="239">
        <v>-1681962</v>
      </c>
      <c r="BV26" s="239">
        <v>-160062</v>
      </c>
      <c r="BW26" s="239">
        <v>-1842024</v>
      </c>
      <c r="BX26" s="239">
        <v>-4048</v>
      </c>
      <c r="BY26" s="239">
        <v>0</v>
      </c>
      <c r="BZ26" s="239">
        <v>-4048</v>
      </c>
      <c r="CA26" s="239">
        <v>0</v>
      </c>
      <c r="CB26" s="239">
        <v>0</v>
      </c>
      <c r="CC26" s="239">
        <v>0</v>
      </c>
      <c r="CD26" s="239">
        <v>-27291</v>
      </c>
      <c r="CE26" s="239">
        <v>-5965</v>
      </c>
      <c r="CF26" s="239">
        <v>-33256</v>
      </c>
      <c r="CG26" s="239">
        <v>0</v>
      </c>
      <c r="CH26" s="239">
        <v>0</v>
      </c>
      <c r="CI26" s="239">
        <v>0</v>
      </c>
      <c r="CJ26" s="239">
        <v>0</v>
      </c>
      <c r="CK26" s="239">
        <v>0</v>
      </c>
      <c r="CL26" s="239">
        <v>0</v>
      </c>
      <c r="CM26" s="239">
        <v>0</v>
      </c>
      <c r="CN26" s="239">
        <v>0</v>
      </c>
      <c r="CO26" s="239">
        <v>0</v>
      </c>
      <c r="CP26" s="239">
        <v>0</v>
      </c>
      <c r="CQ26" s="239">
        <v>0</v>
      </c>
      <c r="CR26" s="239">
        <v>0</v>
      </c>
      <c r="CS26" s="239">
        <v>0</v>
      </c>
      <c r="CT26" s="239">
        <v>0</v>
      </c>
      <c r="CU26" s="239">
        <v>0</v>
      </c>
      <c r="CV26" s="239">
        <v>0</v>
      </c>
      <c r="CW26" s="239">
        <v>0</v>
      </c>
      <c r="CX26" s="239">
        <v>0</v>
      </c>
      <c r="CY26" s="239">
        <v>0</v>
      </c>
      <c r="CZ26" s="239">
        <v>0</v>
      </c>
      <c r="DA26" s="239">
        <v>0</v>
      </c>
      <c r="DB26" s="239">
        <v>0</v>
      </c>
      <c r="DC26" s="239">
        <v>-143059</v>
      </c>
      <c r="DD26" s="239">
        <v>-143059</v>
      </c>
      <c r="DE26" s="239">
        <v>0</v>
      </c>
      <c r="DF26" s="239">
        <v>-61473</v>
      </c>
      <c r="DG26" s="239">
        <v>-61473</v>
      </c>
      <c r="DH26" s="239">
        <v>-204532</v>
      </c>
      <c r="DI26" s="239">
        <v>0</v>
      </c>
      <c r="DJ26" s="239">
        <v>-31339</v>
      </c>
      <c r="DK26" s="239">
        <v>-210497</v>
      </c>
      <c r="DL26" s="239">
        <v>-241836</v>
      </c>
      <c r="DM26" s="239">
        <v>0</v>
      </c>
      <c r="DN26" s="239">
        <v>0</v>
      </c>
      <c r="DO26" s="239">
        <v>0</v>
      </c>
      <c r="DP26" s="239">
        <v>0</v>
      </c>
      <c r="DQ26" s="239">
        <v>0</v>
      </c>
      <c r="DR26" s="239">
        <v>0</v>
      </c>
      <c r="DS26" s="239">
        <v>-14204</v>
      </c>
      <c r="DT26" s="239">
        <v>0</v>
      </c>
      <c r="DU26" s="239">
        <v>-14204</v>
      </c>
      <c r="DV26" s="239">
        <v>0</v>
      </c>
      <c r="DW26" s="239">
        <v>0</v>
      </c>
      <c r="DX26" s="239">
        <v>0</v>
      </c>
      <c r="DY26" s="239">
        <v>10943</v>
      </c>
      <c r="DZ26" s="239">
        <v>0</v>
      </c>
      <c r="EA26" s="239">
        <v>10943</v>
      </c>
      <c r="EB26" s="239">
        <v>0</v>
      </c>
      <c r="EC26" s="239">
        <v>0</v>
      </c>
      <c r="ED26" s="239">
        <v>0</v>
      </c>
      <c r="EE26" s="239">
        <v>0</v>
      </c>
      <c r="EF26" s="239">
        <v>0</v>
      </c>
      <c r="EG26" s="239">
        <v>0</v>
      </c>
      <c r="EH26" s="239">
        <v>2493</v>
      </c>
      <c r="EI26" s="239">
        <v>0</v>
      </c>
      <c r="EJ26" s="239">
        <v>2493</v>
      </c>
      <c r="EK26" s="239">
        <v>0</v>
      </c>
      <c r="EL26" s="239">
        <v>0</v>
      </c>
      <c r="EM26" s="239">
        <v>0</v>
      </c>
      <c r="EN26" s="239">
        <v>0</v>
      </c>
      <c r="EO26" s="239">
        <v>0</v>
      </c>
      <c r="EP26" s="239">
        <v>0</v>
      </c>
      <c r="EQ26" s="239">
        <v>-13763</v>
      </c>
      <c r="ER26" s="239">
        <v>0</v>
      </c>
      <c r="ES26" s="239">
        <v>-13763</v>
      </c>
      <c r="ET26" s="239">
        <v>-219952</v>
      </c>
      <c r="EU26" s="239">
        <v>-1199</v>
      </c>
      <c r="EV26" s="239">
        <v>-221151</v>
      </c>
      <c r="EW26" s="239">
        <v>-32192</v>
      </c>
      <c r="EX26" s="239">
        <v>0</v>
      </c>
      <c r="EY26" s="239">
        <v>-32192</v>
      </c>
      <c r="EZ26" s="239">
        <v>-266675</v>
      </c>
      <c r="FA26" s="239">
        <v>-1199</v>
      </c>
      <c r="FB26" s="239">
        <v>-267874</v>
      </c>
      <c r="FC26" s="239">
        <v>0</v>
      </c>
      <c r="FD26" s="239">
        <v>0</v>
      </c>
      <c r="FE26" s="239">
        <v>0</v>
      </c>
      <c r="FF26" s="239">
        <v>0</v>
      </c>
      <c r="FG26" s="239">
        <v>0</v>
      </c>
      <c r="FH26" s="239">
        <v>0</v>
      </c>
      <c r="FI26" s="239">
        <v>0</v>
      </c>
      <c r="FJ26" s="239">
        <v>0</v>
      </c>
      <c r="FK26" s="239">
        <v>0</v>
      </c>
      <c r="FL26" s="239">
        <v>52296253</v>
      </c>
      <c r="FM26" s="239">
        <v>2635054</v>
      </c>
      <c r="FN26" s="239">
        <v>54931307</v>
      </c>
      <c r="FO26" s="239">
        <v>4425578</v>
      </c>
      <c r="FP26" s="239">
        <v>164175</v>
      </c>
      <c r="FQ26" s="239">
        <v>4589753</v>
      </c>
      <c r="FR26" s="239">
        <v>-10630565</v>
      </c>
      <c r="FS26" s="239">
        <v>-208567</v>
      </c>
      <c r="FT26" s="239">
        <v>-10839132</v>
      </c>
      <c r="FU26" s="239">
        <v>-1681962</v>
      </c>
      <c r="FV26" s="239">
        <v>-160062</v>
      </c>
      <c r="FW26" s="239">
        <v>-1842024</v>
      </c>
      <c r="FX26" s="239">
        <v>-31339</v>
      </c>
      <c r="FY26" s="239">
        <v>-210497</v>
      </c>
      <c r="FZ26" s="239">
        <v>-241836</v>
      </c>
      <c r="GA26" s="239">
        <v>-266675</v>
      </c>
      <c r="GB26" s="239">
        <v>-1199</v>
      </c>
      <c r="GC26" s="239">
        <v>-267874</v>
      </c>
      <c r="GD26" s="239">
        <v>0</v>
      </c>
      <c r="GE26" s="239">
        <v>0</v>
      </c>
      <c r="GF26" s="239">
        <v>0</v>
      </c>
      <c r="GG26" s="239">
        <v>-8184963</v>
      </c>
      <c r="GH26" s="239">
        <v>-416150</v>
      </c>
      <c r="GI26" s="239">
        <v>-8601113</v>
      </c>
      <c r="GJ26" s="239">
        <v>44111290</v>
      </c>
      <c r="GK26" s="239">
        <v>2218904</v>
      </c>
      <c r="GL26" s="239">
        <v>46330194</v>
      </c>
      <c r="GM26" s="214" t="s">
        <v>746</v>
      </c>
    </row>
    <row r="27" spans="2:195" s="214" customFormat="1" x14ac:dyDescent="0.2">
      <c r="B27" s="602" t="s">
        <v>137</v>
      </c>
      <c r="C27" s="602" t="s">
        <v>136</v>
      </c>
      <c r="D27" s="239">
        <v>-1261655</v>
      </c>
      <c r="E27" s="239">
        <v>0</v>
      </c>
      <c r="F27" s="239">
        <v>-1261655</v>
      </c>
      <c r="G27" s="239">
        <v>70161</v>
      </c>
      <c r="H27" s="239">
        <v>0</v>
      </c>
      <c r="I27" s="239">
        <v>70161</v>
      </c>
      <c r="J27" s="239">
        <v>1166903</v>
      </c>
      <c r="K27" s="239">
        <v>0</v>
      </c>
      <c r="L27" s="239">
        <v>1166903</v>
      </c>
      <c r="M27" s="239">
        <v>59410</v>
      </c>
      <c r="N27" s="239">
        <v>0</v>
      </c>
      <c r="O27" s="239">
        <v>59410</v>
      </c>
      <c r="P27" s="239">
        <v>34819</v>
      </c>
      <c r="Q27" s="239">
        <v>0</v>
      </c>
      <c r="R27" s="239">
        <v>34819</v>
      </c>
      <c r="S27" s="239">
        <v>-1797662</v>
      </c>
      <c r="T27" s="239">
        <v>0</v>
      </c>
      <c r="U27" s="239">
        <v>-1797662</v>
      </c>
      <c r="V27" s="239">
        <v>-9232</v>
      </c>
      <c r="W27" s="239">
        <v>0</v>
      </c>
      <c r="X27" s="239">
        <v>-9232</v>
      </c>
      <c r="Y27" s="239">
        <v>-64049</v>
      </c>
      <c r="Z27" s="239">
        <v>0</v>
      </c>
      <c r="AA27" s="239">
        <v>-64049</v>
      </c>
      <c r="AB27" s="239">
        <v>-51438</v>
      </c>
      <c r="AC27" s="239">
        <v>0</v>
      </c>
      <c r="AD27" s="239">
        <v>-51438</v>
      </c>
      <c r="AE27" s="239">
        <v>-2063</v>
      </c>
      <c r="AF27" s="239">
        <v>0</v>
      </c>
      <c r="AG27" s="239">
        <v>-2063</v>
      </c>
      <c r="AH27" s="239">
        <v>615275</v>
      </c>
      <c r="AI27" s="239">
        <v>0</v>
      </c>
      <c r="AJ27" s="239">
        <v>615275</v>
      </c>
      <c r="AK27" s="239">
        <v>-18420</v>
      </c>
      <c r="AL27" s="239">
        <v>0</v>
      </c>
      <c r="AM27" s="239">
        <v>-18420</v>
      </c>
      <c r="AN27" s="239">
        <v>-832791</v>
      </c>
      <c r="AO27" s="239">
        <v>0</v>
      </c>
      <c r="AP27" s="239">
        <v>-832791</v>
      </c>
      <c r="AQ27" s="239">
        <v>2805</v>
      </c>
      <c r="AR27" s="239">
        <v>0</v>
      </c>
      <c r="AS27" s="239">
        <v>2805</v>
      </c>
      <c r="AT27" s="239">
        <v>0</v>
      </c>
      <c r="AU27" s="239">
        <v>0</v>
      </c>
      <c r="AV27" s="239">
        <v>0</v>
      </c>
      <c r="AW27" s="239">
        <v>0</v>
      </c>
      <c r="AX27" s="239">
        <v>0</v>
      </c>
      <c r="AY27" s="239">
        <v>0</v>
      </c>
      <c r="AZ27" s="239">
        <v>-8235</v>
      </c>
      <c r="BA27" s="239">
        <v>0</v>
      </c>
      <c r="BB27" s="239">
        <v>-8235</v>
      </c>
      <c r="BC27" s="239">
        <v>5</v>
      </c>
      <c r="BD27" s="239">
        <v>0</v>
      </c>
      <c r="BE27" s="239">
        <v>5</v>
      </c>
      <c r="BF27" s="239">
        <v>-2103072</v>
      </c>
      <c r="BG27" s="239">
        <v>0</v>
      </c>
      <c r="BH27" s="239">
        <v>-2103072</v>
      </c>
      <c r="BI27" s="239">
        <v>-57595</v>
      </c>
      <c r="BJ27" s="239">
        <v>0</v>
      </c>
      <c r="BK27" s="239">
        <v>-57595</v>
      </c>
      <c r="BL27" s="239">
        <v>-332518</v>
      </c>
      <c r="BM27" s="239">
        <v>0</v>
      </c>
      <c r="BN27" s="239">
        <v>-332518</v>
      </c>
      <c r="BO27" s="239">
        <v>-1015646</v>
      </c>
      <c r="BP27" s="239">
        <v>0</v>
      </c>
      <c r="BQ27" s="239">
        <v>-1015646</v>
      </c>
      <c r="BR27" s="239">
        <v>2046</v>
      </c>
      <c r="BS27" s="239">
        <v>0</v>
      </c>
      <c r="BT27" s="239">
        <v>2046</v>
      </c>
      <c r="BU27" s="239">
        <v>-1403713</v>
      </c>
      <c r="BV27" s="239">
        <v>0</v>
      </c>
      <c r="BW27" s="239">
        <v>-1403713</v>
      </c>
      <c r="BX27" s="239">
        <v>0</v>
      </c>
      <c r="BY27" s="239">
        <v>0</v>
      </c>
      <c r="BZ27" s="239">
        <v>0</v>
      </c>
      <c r="CA27" s="239">
        <v>0</v>
      </c>
      <c r="CB27" s="239">
        <v>0</v>
      </c>
      <c r="CC27" s="239">
        <v>0</v>
      </c>
      <c r="CD27" s="239">
        <v>-10991</v>
      </c>
      <c r="CE27" s="239">
        <v>0</v>
      </c>
      <c r="CF27" s="239">
        <v>-10991</v>
      </c>
      <c r="CG27" s="239">
        <v>1430</v>
      </c>
      <c r="CH27" s="239">
        <v>0</v>
      </c>
      <c r="CI27" s="239">
        <v>1430</v>
      </c>
      <c r="CJ27" s="239">
        <v>0</v>
      </c>
      <c r="CK27" s="239">
        <v>0</v>
      </c>
      <c r="CL27" s="239">
        <v>0</v>
      </c>
      <c r="CM27" s="239">
        <v>0</v>
      </c>
      <c r="CN27" s="239">
        <v>0</v>
      </c>
      <c r="CO27" s="239">
        <v>0</v>
      </c>
      <c r="CP27" s="239">
        <v>0</v>
      </c>
      <c r="CQ27" s="239">
        <v>0</v>
      </c>
      <c r="CR27" s="239">
        <v>0</v>
      </c>
      <c r="CS27" s="239">
        <v>0</v>
      </c>
      <c r="CT27" s="239">
        <v>0</v>
      </c>
      <c r="CU27" s="239">
        <v>0</v>
      </c>
      <c r="CV27" s="239">
        <v>0</v>
      </c>
      <c r="CW27" s="239">
        <v>0</v>
      </c>
      <c r="CX27" s="239">
        <v>0</v>
      </c>
      <c r="CY27" s="239">
        <v>0</v>
      </c>
      <c r="CZ27" s="239">
        <v>0</v>
      </c>
      <c r="DA27" s="239">
        <v>0</v>
      </c>
      <c r="DB27" s="239">
        <v>0</v>
      </c>
      <c r="DC27" s="239">
        <v>0</v>
      </c>
      <c r="DD27" s="239">
        <v>0</v>
      </c>
      <c r="DE27" s="239">
        <v>0</v>
      </c>
      <c r="DF27" s="239">
        <v>0</v>
      </c>
      <c r="DG27" s="239">
        <v>0</v>
      </c>
      <c r="DH27" s="239">
        <v>0</v>
      </c>
      <c r="DI27" s="239">
        <v>0</v>
      </c>
      <c r="DJ27" s="239">
        <v>-9561</v>
      </c>
      <c r="DK27" s="239">
        <v>0</v>
      </c>
      <c r="DL27" s="239">
        <v>-9561</v>
      </c>
      <c r="DM27" s="239">
        <v>0</v>
      </c>
      <c r="DN27" s="239">
        <v>0</v>
      </c>
      <c r="DO27" s="239">
        <v>0</v>
      </c>
      <c r="DP27" s="239">
        <v>0</v>
      </c>
      <c r="DQ27" s="239">
        <v>0</v>
      </c>
      <c r="DR27" s="239">
        <v>0</v>
      </c>
      <c r="DS27" s="239">
        <v>0</v>
      </c>
      <c r="DT27" s="239">
        <v>0</v>
      </c>
      <c r="DU27" s="239">
        <v>0</v>
      </c>
      <c r="DV27" s="239">
        <v>0</v>
      </c>
      <c r="DW27" s="239">
        <v>0</v>
      </c>
      <c r="DX27" s="239">
        <v>0</v>
      </c>
      <c r="DY27" s="239">
        <v>3810</v>
      </c>
      <c r="DZ27" s="239">
        <v>0</v>
      </c>
      <c r="EA27" s="239">
        <v>3810</v>
      </c>
      <c r="EB27" s="239">
        <v>0</v>
      </c>
      <c r="EC27" s="239">
        <v>0</v>
      </c>
      <c r="ED27" s="239">
        <v>0</v>
      </c>
      <c r="EE27" s="239">
        <v>0</v>
      </c>
      <c r="EF27" s="239">
        <v>0</v>
      </c>
      <c r="EG27" s="239">
        <v>0</v>
      </c>
      <c r="EH27" s="239">
        <v>0</v>
      </c>
      <c r="EI27" s="239">
        <v>0</v>
      </c>
      <c r="EJ27" s="239">
        <v>0</v>
      </c>
      <c r="EK27" s="239">
        <v>-8235</v>
      </c>
      <c r="EL27" s="239">
        <v>0</v>
      </c>
      <c r="EM27" s="239">
        <v>-8235</v>
      </c>
      <c r="EN27" s="239">
        <v>0</v>
      </c>
      <c r="EO27" s="239">
        <v>0</v>
      </c>
      <c r="EP27" s="239">
        <v>0</v>
      </c>
      <c r="EQ27" s="239">
        <v>-11888</v>
      </c>
      <c r="ER27" s="239">
        <v>0</v>
      </c>
      <c r="ES27" s="239">
        <v>-11888</v>
      </c>
      <c r="ET27" s="239">
        <v>-205826</v>
      </c>
      <c r="EU27" s="239">
        <v>0</v>
      </c>
      <c r="EV27" s="239">
        <v>-205826</v>
      </c>
      <c r="EW27" s="239">
        <v>-14800</v>
      </c>
      <c r="EX27" s="239">
        <v>0</v>
      </c>
      <c r="EY27" s="239">
        <v>-14800</v>
      </c>
      <c r="EZ27" s="239">
        <v>-236939</v>
      </c>
      <c r="FA27" s="239">
        <v>0</v>
      </c>
      <c r="FB27" s="239">
        <v>-236939</v>
      </c>
      <c r="FC27" s="239">
        <v>0</v>
      </c>
      <c r="FD27" s="239">
        <v>0</v>
      </c>
      <c r="FE27" s="239">
        <v>0</v>
      </c>
      <c r="FF27" s="239">
        <v>0</v>
      </c>
      <c r="FG27" s="239">
        <v>0</v>
      </c>
      <c r="FH27" s="239">
        <v>0</v>
      </c>
      <c r="FI27" s="239">
        <v>0</v>
      </c>
      <c r="FJ27" s="239">
        <v>0</v>
      </c>
      <c r="FK27" s="239">
        <v>0</v>
      </c>
      <c r="FL27" s="239">
        <v>28661386</v>
      </c>
      <c r="FM27" s="239">
        <v>0</v>
      </c>
      <c r="FN27" s="239">
        <v>28661386</v>
      </c>
      <c r="FO27" s="239">
        <v>34819</v>
      </c>
      <c r="FP27" s="239">
        <v>0</v>
      </c>
      <c r="FQ27" s="239">
        <v>34819</v>
      </c>
      <c r="FR27" s="239">
        <v>-2103072</v>
      </c>
      <c r="FS27" s="239">
        <v>0</v>
      </c>
      <c r="FT27" s="239">
        <v>-2103072</v>
      </c>
      <c r="FU27" s="239">
        <v>-1403713</v>
      </c>
      <c r="FV27" s="239">
        <v>0</v>
      </c>
      <c r="FW27" s="239">
        <v>-1403713</v>
      </c>
      <c r="FX27" s="239">
        <v>-9561</v>
      </c>
      <c r="FY27" s="239">
        <v>0</v>
      </c>
      <c r="FZ27" s="239">
        <v>-9561</v>
      </c>
      <c r="GA27" s="239">
        <v>-236939</v>
      </c>
      <c r="GB27" s="239">
        <v>0</v>
      </c>
      <c r="GC27" s="239">
        <v>-236939</v>
      </c>
      <c r="GD27" s="239">
        <v>0</v>
      </c>
      <c r="GE27" s="239">
        <v>0</v>
      </c>
      <c r="GF27" s="239">
        <v>0</v>
      </c>
      <c r="GG27" s="239">
        <v>-3718466</v>
      </c>
      <c r="GH27" s="239">
        <v>0</v>
      </c>
      <c r="GI27" s="239">
        <v>-3718466</v>
      </c>
      <c r="GJ27" s="239">
        <v>24942920</v>
      </c>
      <c r="GK27" s="239">
        <v>0</v>
      </c>
      <c r="GL27" s="239">
        <v>24942920</v>
      </c>
      <c r="GM27" s="214" t="s">
        <v>1158</v>
      </c>
    </row>
    <row r="28" spans="2:195" s="214" customFormat="1" x14ac:dyDescent="0.2">
      <c r="B28" s="602" t="s">
        <v>139</v>
      </c>
      <c r="C28" s="602" t="s">
        <v>138</v>
      </c>
      <c r="D28" s="239">
        <v>-2964382</v>
      </c>
      <c r="E28" s="239">
        <v>0</v>
      </c>
      <c r="F28" s="239">
        <v>-2964382</v>
      </c>
      <c r="G28" s="239">
        <v>91557</v>
      </c>
      <c r="H28" s="239">
        <v>0</v>
      </c>
      <c r="I28" s="239">
        <v>91557</v>
      </c>
      <c r="J28" s="239">
        <v>8521192</v>
      </c>
      <c r="K28" s="239">
        <v>0</v>
      </c>
      <c r="L28" s="239">
        <v>8521192</v>
      </c>
      <c r="M28" s="239">
        <v>-55216</v>
      </c>
      <c r="N28" s="239">
        <v>0</v>
      </c>
      <c r="O28" s="239">
        <v>-55216</v>
      </c>
      <c r="P28" s="239">
        <v>5593151</v>
      </c>
      <c r="Q28" s="239">
        <v>0</v>
      </c>
      <c r="R28" s="239">
        <v>5593151</v>
      </c>
      <c r="S28" s="239">
        <v>-11061655</v>
      </c>
      <c r="T28" s="239">
        <v>0</v>
      </c>
      <c r="U28" s="239">
        <v>-11061655</v>
      </c>
      <c r="V28" s="239">
        <v>-337</v>
      </c>
      <c r="W28" s="239">
        <v>0</v>
      </c>
      <c r="X28" s="239">
        <v>-337</v>
      </c>
      <c r="Y28" s="239">
        <v>-269755</v>
      </c>
      <c r="Z28" s="239">
        <v>0</v>
      </c>
      <c r="AA28" s="239">
        <v>-269755</v>
      </c>
      <c r="AB28" s="239">
        <v>-243557</v>
      </c>
      <c r="AC28" s="239">
        <v>0</v>
      </c>
      <c r="AD28" s="239">
        <v>-243557</v>
      </c>
      <c r="AE28" s="239">
        <v>-276</v>
      </c>
      <c r="AF28" s="239">
        <v>0</v>
      </c>
      <c r="AG28" s="239">
        <v>-276</v>
      </c>
      <c r="AH28" s="239">
        <v>2084353</v>
      </c>
      <c r="AI28" s="239">
        <v>0</v>
      </c>
      <c r="AJ28" s="239">
        <v>2084353</v>
      </c>
      <c r="AK28" s="239">
        <v>-49289</v>
      </c>
      <c r="AL28" s="239">
        <v>0</v>
      </c>
      <c r="AM28" s="239">
        <v>-49289</v>
      </c>
      <c r="AN28" s="239">
        <v>-6888796</v>
      </c>
      <c r="AO28" s="239">
        <v>0</v>
      </c>
      <c r="AP28" s="239">
        <v>-6888796</v>
      </c>
      <c r="AQ28" s="239">
        <v>12226</v>
      </c>
      <c r="AR28" s="239">
        <v>0</v>
      </c>
      <c r="AS28" s="239">
        <v>12226</v>
      </c>
      <c r="AT28" s="239">
        <v>-84305</v>
      </c>
      <c r="AU28" s="239">
        <v>0</v>
      </c>
      <c r="AV28" s="239">
        <v>-84305</v>
      </c>
      <c r="AW28" s="239">
        <v>0</v>
      </c>
      <c r="AX28" s="239">
        <v>0</v>
      </c>
      <c r="AY28" s="239">
        <v>0</v>
      </c>
      <c r="AZ28" s="239">
        <v>0</v>
      </c>
      <c r="BA28" s="239">
        <v>0</v>
      </c>
      <c r="BB28" s="239">
        <v>0</v>
      </c>
      <c r="BC28" s="239">
        <v>0</v>
      </c>
      <c r="BD28" s="239">
        <v>0</v>
      </c>
      <c r="BE28" s="239">
        <v>0</v>
      </c>
      <c r="BF28" s="239">
        <v>-16257221</v>
      </c>
      <c r="BG28" s="239">
        <v>0</v>
      </c>
      <c r="BH28" s="239">
        <v>-16257221</v>
      </c>
      <c r="BI28" s="239">
        <v>-144121</v>
      </c>
      <c r="BJ28" s="239">
        <v>0</v>
      </c>
      <c r="BK28" s="239">
        <v>-144121</v>
      </c>
      <c r="BL28" s="239">
        <v>4115</v>
      </c>
      <c r="BM28" s="239">
        <v>0</v>
      </c>
      <c r="BN28" s="239">
        <v>4115</v>
      </c>
      <c r="BO28" s="239">
        <v>-4652487</v>
      </c>
      <c r="BP28" s="239">
        <v>0</v>
      </c>
      <c r="BQ28" s="239">
        <v>-4652487</v>
      </c>
      <c r="BR28" s="239">
        <v>-52937</v>
      </c>
      <c r="BS28" s="239">
        <v>0</v>
      </c>
      <c r="BT28" s="239">
        <v>-52937</v>
      </c>
      <c r="BU28" s="239">
        <v>-4845430</v>
      </c>
      <c r="BV28" s="239">
        <v>0</v>
      </c>
      <c r="BW28" s="239">
        <v>-4845430</v>
      </c>
      <c r="BX28" s="239">
        <v>-625328</v>
      </c>
      <c r="BY28" s="239">
        <v>0</v>
      </c>
      <c r="BZ28" s="239">
        <v>-625328</v>
      </c>
      <c r="CA28" s="239">
        <v>7172</v>
      </c>
      <c r="CB28" s="239">
        <v>0</v>
      </c>
      <c r="CC28" s="239">
        <v>7172</v>
      </c>
      <c r="CD28" s="239">
        <v>-274916</v>
      </c>
      <c r="CE28" s="239">
        <v>0</v>
      </c>
      <c r="CF28" s="239">
        <v>-274916</v>
      </c>
      <c r="CG28" s="239">
        <v>-8502</v>
      </c>
      <c r="CH28" s="239">
        <v>0</v>
      </c>
      <c r="CI28" s="239">
        <v>-8502</v>
      </c>
      <c r="CJ28" s="239">
        <v>-4588</v>
      </c>
      <c r="CK28" s="239">
        <v>0</v>
      </c>
      <c r="CL28" s="239">
        <v>-4588</v>
      </c>
      <c r="CM28" s="239">
        <v>0</v>
      </c>
      <c r="CN28" s="239">
        <v>0</v>
      </c>
      <c r="CO28" s="239">
        <v>0</v>
      </c>
      <c r="CP28" s="239">
        <v>0</v>
      </c>
      <c r="CQ28" s="239">
        <v>0</v>
      </c>
      <c r="CR28" s="239">
        <v>0</v>
      </c>
      <c r="CS28" s="239">
        <v>0</v>
      </c>
      <c r="CT28" s="239">
        <v>0</v>
      </c>
      <c r="CU28" s="239">
        <v>0</v>
      </c>
      <c r="CV28" s="239">
        <v>0</v>
      </c>
      <c r="CW28" s="239">
        <v>0</v>
      </c>
      <c r="CX28" s="239">
        <v>0</v>
      </c>
      <c r="CY28" s="239">
        <v>0</v>
      </c>
      <c r="CZ28" s="239">
        <v>0</v>
      </c>
      <c r="DA28" s="239">
        <v>0</v>
      </c>
      <c r="DB28" s="239">
        <v>0</v>
      </c>
      <c r="DC28" s="239">
        <v>0</v>
      </c>
      <c r="DD28" s="239">
        <v>0</v>
      </c>
      <c r="DE28" s="239">
        <v>0</v>
      </c>
      <c r="DF28" s="239">
        <v>0</v>
      </c>
      <c r="DG28" s="239">
        <v>0</v>
      </c>
      <c r="DH28" s="239">
        <v>0</v>
      </c>
      <c r="DI28" s="239">
        <v>0</v>
      </c>
      <c r="DJ28" s="239">
        <v>-906162</v>
      </c>
      <c r="DK28" s="239">
        <v>0</v>
      </c>
      <c r="DL28" s="239">
        <v>-906162</v>
      </c>
      <c r="DM28" s="239">
        <v>0</v>
      </c>
      <c r="DN28" s="239">
        <v>0</v>
      </c>
      <c r="DO28" s="239">
        <v>0</v>
      </c>
      <c r="DP28" s="239">
        <v>5124</v>
      </c>
      <c r="DQ28" s="239">
        <v>0</v>
      </c>
      <c r="DR28" s="239">
        <v>5124</v>
      </c>
      <c r="DS28" s="239">
        <v>-5546</v>
      </c>
      <c r="DT28" s="239">
        <v>0</v>
      </c>
      <c r="DU28" s="239">
        <v>-5546</v>
      </c>
      <c r="DV28" s="239">
        <v>2125</v>
      </c>
      <c r="DW28" s="239">
        <v>0</v>
      </c>
      <c r="DX28" s="239">
        <v>2125</v>
      </c>
      <c r="DY28" s="239">
        <v>14208</v>
      </c>
      <c r="DZ28" s="239">
        <v>0</v>
      </c>
      <c r="EA28" s="239">
        <v>14208</v>
      </c>
      <c r="EB28" s="239">
        <v>0</v>
      </c>
      <c r="EC28" s="239">
        <v>0</v>
      </c>
      <c r="ED28" s="239">
        <v>0</v>
      </c>
      <c r="EE28" s="239">
        <v>0</v>
      </c>
      <c r="EF28" s="239">
        <v>0</v>
      </c>
      <c r="EG28" s="239">
        <v>0</v>
      </c>
      <c r="EH28" s="239">
        <v>0</v>
      </c>
      <c r="EI28" s="239">
        <v>0</v>
      </c>
      <c r="EJ28" s="239">
        <v>0</v>
      </c>
      <c r="EK28" s="239">
        <v>0</v>
      </c>
      <c r="EL28" s="239">
        <v>0</v>
      </c>
      <c r="EM28" s="239">
        <v>0</v>
      </c>
      <c r="EN28" s="239">
        <v>-1500</v>
      </c>
      <c r="EO28" s="239">
        <v>0</v>
      </c>
      <c r="EP28" s="239">
        <v>-1500</v>
      </c>
      <c r="EQ28" s="239">
        <v>-51364</v>
      </c>
      <c r="ER28" s="239">
        <v>0</v>
      </c>
      <c r="ES28" s="239">
        <v>-51364</v>
      </c>
      <c r="ET28" s="239">
        <v>-421826</v>
      </c>
      <c r="EU28" s="239">
        <v>0</v>
      </c>
      <c r="EV28" s="239">
        <v>-421826</v>
      </c>
      <c r="EW28" s="239">
        <v>-88281</v>
      </c>
      <c r="EX28" s="239">
        <v>0</v>
      </c>
      <c r="EY28" s="239">
        <v>-88281</v>
      </c>
      <c r="EZ28" s="239">
        <v>-547060</v>
      </c>
      <c r="FA28" s="239">
        <v>0</v>
      </c>
      <c r="FB28" s="239">
        <v>-547060</v>
      </c>
      <c r="FC28" s="239">
        <v>-6293</v>
      </c>
      <c r="FD28" s="239">
        <v>0</v>
      </c>
      <c r="FE28" s="239">
        <v>-6293</v>
      </c>
      <c r="FF28" s="239">
        <v>-1619</v>
      </c>
      <c r="FG28" s="239">
        <v>0</v>
      </c>
      <c r="FH28" s="239">
        <v>-1619</v>
      </c>
      <c r="FI28" s="239">
        <v>-7912</v>
      </c>
      <c r="FJ28" s="239">
        <v>0</v>
      </c>
      <c r="FK28" s="239">
        <v>-7912</v>
      </c>
      <c r="FL28" s="239">
        <v>104902012</v>
      </c>
      <c r="FM28" s="239">
        <v>0</v>
      </c>
      <c r="FN28" s="239">
        <v>104902012</v>
      </c>
      <c r="FO28" s="239">
        <v>5593151</v>
      </c>
      <c r="FP28" s="239">
        <v>0</v>
      </c>
      <c r="FQ28" s="239">
        <v>5593151</v>
      </c>
      <c r="FR28" s="239">
        <v>-16257221</v>
      </c>
      <c r="FS28" s="239">
        <v>0</v>
      </c>
      <c r="FT28" s="239">
        <v>-16257221</v>
      </c>
      <c r="FU28" s="239">
        <v>-4845430</v>
      </c>
      <c r="FV28" s="239">
        <v>0</v>
      </c>
      <c r="FW28" s="239">
        <v>-4845430</v>
      </c>
      <c r="FX28" s="239">
        <v>-906162</v>
      </c>
      <c r="FY28" s="239">
        <v>0</v>
      </c>
      <c r="FZ28" s="239">
        <v>-906162</v>
      </c>
      <c r="GA28" s="239">
        <v>-547060</v>
      </c>
      <c r="GB28" s="239">
        <v>0</v>
      </c>
      <c r="GC28" s="239">
        <v>-547060</v>
      </c>
      <c r="GD28" s="239">
        <v>-7912</v>
      </c>
      <c r="GE28" s="239">
        <v>0</v>
      </c>
      <c r="GF28" s="239">
        <v>-7912</v>
      </c>
      <c r="GG28" s="239">
        <v>-16970634</v>
      </c>
      <c r="GH28" s="239">
        <v>0</v>
      </c>
      <c r="GI28" s="239">
        <v>-16970634</v>
      </c>
      <c r="GJ28" s="239">
        <v>87931378</v>
      </c>
      <c r="GK28" s="239">
        <v>0</v>
      </c>
      <c r="GL28" s="239">
        <v>87931378</v>
      </c>
      <c r="GM28" s="214" t="s">
        <v>1160</v>
      </c>
    </row>
    <row r="29" spans="2:195" s="214" customFormat="1" x14ac:dyDescent="0.2">
      <c r="B29" s="602" t="s">
        <v>141</v>
      </c>
      <c r="C29" s="602" t="s">
        <v>140</v>
      </c>
      <c r="D29" s="239">
        <v>-853221</v>
      </c>
      <c r="E29" s="239">
        <v>0</v>
      </c>
      <c r="F29" s="239">
        <v>-853221</v>
      </c>
      <c r="G29" s="239">
        <v>1189</v>
      </c>
      <c r="H29" s="239">
        <v>0</v>
      </c>
      <c r="I29" s="239">
        <v>1189</v>
      </c>
      <c r="J29" s="239">
        <v>754391</v>
      </c>
      <c r="K29" s="239">
        <v>0</v>
      </c>
      <c r="L29" s="239">
        <v>754391</v>
      </c>
      <c r="M29" s="239">
        <v>21007</v>
      </c>
      <c r="N29" s="239">
        <v>0</v>
      </c>
      <c r="O29" s="239">
        <v>21007</v>
      </c>
      <c r="P29" s="239">
        <v>-76634</v>
      </c>
      <c r="Q29" s="239">
        <v>0</v>
      </c>
      <c r="R29" s="239">
        <v>-76634</v>
      </c>
      <c r="S29" s="239">
        <v>-2244503</v>
      </c>
      <c r="T29" s="239">
        <v>0</v>
      </c>
      <c r="U29" s="239">
        <v>-2244503</v>
      </c>
      <c r="V29" s="239">
        <v>-14191</v>
      </c>
      <c r="W29" s="239">
        <v>0</v>
      </c>
      <c r="X29" s="239">
        <v>-14191</v>
      </c>
      <c r="Y29" s="239">
        <v>-89696</v>
      </c>
      <c r="Z29" s="239">
        <v>0</v>
      </c>
      <c r="AA29" s="239">
        <v>-89696</v>
      </c>
      <c r="AB29" s="239">
        <v>-78891</v>
      </c>
      <c r="AC29" s="239">
        <v>0</v>
      </c>
      <c r="AD29" s="239">
        <v>-78891</v>
      </c>
      <c r="AE29" s="239">
        <v>-297</v>
      </c>
      <c r="AF29" s="239">
        <v>0</v>
      </c>
      <c r="AG29" s="239">
        <v>-297</v>
      </c>
      <c r="AH29" s="239">
        <v>467099</v>
      </c>
      <c r="AI29" s="239">
        <v>0</v>
      </c>
      <c r="AJ29" s="239">
        <v>467099</v>
      </c>
      <c r="AK29" s="239">
        <v>-9592</v>
      </c>
      <c r="AL29" s="239">
        <v>0</v>
      </c>
      <c r="AM29" s="239">
        <v>-9592</v>
      </c>
      <c r="AN29" s="239">
        <v>-1645455</v>
      </c>
      <c r="AO29" s="239">
        <v>0</v>
      </c>
      <c r="AP29" s="239">
        <v>-1645455</v>
      </c>
      <c r="AQ29" s="239">
        <v>31352</v>
      </c>
      <c r="AR29" s="239">
        <v>0</v>
      </c>
      <c r="AS29" s="239">
        <v>31352</v>
      </c>
      <c r="AT29" s="239">
        <v>-76984</v>
      </c>
      <c r="AU29" s="239">
        <v>0</v>
      </c>
      <c r="AV29" s="239">
        <v>-76984</v>
      </c>
      <c r="AW29" s="239">
        <v>-4752</v>
      </c>
      <c r="AX29" s="239">
        <v>0</v>
      </c>
      <c r="AY29" s="239">
        <v>-4752</v>
      </c>
      <c r="AZ29" s="239">
        <v>-16698</v>
      </c>
      <c r="BA29" s="239">
        <v>0</v>
      </c>
      <c r="BB29" s="239">
        <v>-16698</v>
      </c>
      <c r="BC29" s="239">
        <v>0</v>
      </c>
      <c r="BD29" s="239">
        <v>0</v>
      </c>
      <c r="BE29" s="239">
        <v>0</v>
      </c>
      <c r="BF29" s="239">
        <v>-3589229</v>
      </c>
      <c r="BG29" s="239">
        <v>0</v>
      </c>
      <c r="BH29" s="239">
        <v>-3589229</v>
      </c>
      <c r="BI29" s="239">
        <v>0</v>
      </c>
      <c r="BJ29" s="239">
        <v>0</v>
      </c>
      <c r="BK29" s="239">
        <v>0</v>
      </c>
      <c r="BL29" s="239">
        <v>5942</v>
      </c>
      <c r="BM29" s="239">
        <v>0</v>
      </c>
      <c r="BN29" s="239">
        <v>5942</v>
      </c>
      <c r="BO29" s="239">
        <v>-764753</v>
      </c>
      <c r="BP29" s="239">
        <v>0</v>
      </c>
      <c r="BQ29" s="239">
        <v>-764753</v>
      </c>
      <c r="BR29" s="239">
        <v>144520</v>
      </c>
      <c r="BS29" s="239">
        <v>0</v>
      </c>
      <c r="BT29" s="239">
        <v>144520</v>
      </c>
      <c r="BU29" s="239">
        <v>-614291</v>
      </c>
      <c r="BV29" s="239">
        <v>0</v>
      </c>
      <c r="BW29" s="239">
        <v>-614291</v>
      </c>
      <c r="BX29" s="239">
        <v>-45835</v>
      </c>
      <c r="BY29" s="239">
        <v>0</v>
      </c>
      <c r="BZ29" s="239">
        <v>-45835</v>
      </c>
      <c r="CA29" s="239">
        <v>3648</v>
      </c>
      <c r="CB29" s="239">
        <v>0</v>
      </c>
      <c r="CC29" s="239">
        <v>3648</v>
      </c>
      <c r="CD29" s="239">
        <v>-18043</v>
      </c>
      <c r="CE29" s="239">
        <v>0</v>
      </c>
      <c r="CF29" s="239">
        <v>-18043</v>
      </c>
      <c r="CG29" s="239">
        <v>0</v>
      </c>
      <c r="CH29" s="239">
        <v>0</v>
      </c>
      <c r="CI29" s="239">
        <v>0</v>
      </c>
      <c r="CJ29" s="239">
        <v>-14434</v>
      </c>
      <c r="CK29" s="239">
        <v>0</v>
      </c>
      <c r="CL29" s="239">
        <v>-14434</v>
      </c>
      <c r="CM29" s="239">
        <v>-891</v>
      </c>
      <c r="CN29" s="239">
        <v>0</v>
      </c>
      <c r="CO29" s="239">
        <v>-891</v>
      </c>
      <c r="CP29" s="239">
        <v>0</v>
      </c>
      <c r="CQ29" s="239">
        <v>0</v>
      </c>
      <c r="CR29" s="239">
        <v>0</v>
      </c>
      <c r="CS29" s="239">
        <v>0</v>
      </c>
      <c r="CT29" s="239">
        <v>0</v>
      </c>
      <c r="CU29" s="239">
        <v>0</v>
      </c>
      <c r="CV29" s="239">
        <v>0</v>
      </c>
      <c r="CW29" s="239">
        <v>0</v>
      </c>
      <c r="CX29" s="239">
        <v>0</v>
      </c>
      <c r="CY29" s="239">
        <v>0</v>
      </c>
      <c r="CZ29" s="239">
        <v>0</v>
      </c>
      <c r="DA29" s="239">
        <v>0</v>
      </c>
      <c r="DB29" s="239">
        <v>0</v>
      </c>
      <c r="DC29" s="239">
        <v>0</v>
      </c>
      <c r="DD29" s="239">
        <v>0</v>
      </c>
      <c r="DE29" s="239">
        <v>0</v>
      </c>
      <c r="DF29" s="239">
        <v>0</v>
      </c>
      <c r="DG29" s="239">
        <v>0</v>
      </c>
      <c r="DH29" s="239">
        <v>0</v>
      </c>
      <c r="DI29" s="239">
        <v>0</v>
      </c>
      <c r="DJ29" s="239">
        <v>-75555</v>
      </c>
      <c r="DK29" s="239">
        <v>0</v>
      </c>
      <c r="DL29" s="239">
        <v>-75555</v>
      </c>
      <c r="DM29" s="239">
        <v>0</v>
      </c>
      <c r="DN29" s="239">
        <v>0</v>
      </c>
      <c r="DO29" s="239">
        <v>0</v>
      </c>
      <c r="DP29" s="239">
        <v>0</v>
      </c>
      <c r="DQ29" s="239">
        <v>0</v>
      </c>
      <c r="DR29" s="239">
        <v>0</v>
      </c>
      <c r="DS29" s="239">
        <v>-2921</v>
      </c>
      <c r="DT29" s="239">
        <v>0</v>
      </c>
      <c r="DU29" s="239">
        <v>-2921</v>
      </c>
      <c r="DV29" s="239">
        <v>0</v>
      </c>
      <c r="DW29" s="239">
        <v>0</v>
      </c>
      <c r="DX29" s="239">
        <v>0</v>
      </c>
      <c r="DY29" s="239">
        <v>3507</v>
      </c>
      <c r="DZ29" s="239">
        <v>0</v>
      </c>
      <c r="EA29" s="239">
        <v>3507</v>
      </c>
      <c r="EB29" s="239">
        <v>0</v>
      </c>
      <c r="EC29" s="239">
        <v>0</v>
      </c>
      <c r="ED29" s="239">
        <v>0</v>
      </c>
      <c r="EE29" s="239">
        <v>0</v>
      </c>
      <c r="EF29" s="239">
        <v>0</v>
      </c>
      <c r="EG29" s="239">
        <v>0</v>
      </c>
      <c r="EH29" s="239">
        <v>0</v>
      </c>
      <c r="EI29" s="239">
        <v>0</v>
      </c>
      <c r="EJ29" s="239">
        <v>0</v>
      </c>
      <c r="EK29" s="239">
        <v>-16698</v>
      </c>
      <c r="EL29" s="239">
        <v>0</v>
      </c>
      <c r="EM29" s="239">
        <v>-16698</v>
      </c>
      <c r="EN29" s="239">
        <v>-3000</v>
      </c>
      <c r="EO29" s="239">
        <v>0</v>
      </c>
      <c r="EP29" s="239">
        <v>-3000</v>
      </c>
      <c r="EQ29" s="239">
        <v>-6044</v>
      </c>
      <c r="ER29" s="239">
        <v>0</v>
      </c>
      <c r="ES29" s="239">
        <v>-6044</v>
      </c>
      <c r="ET29" s="239">
        <v>-133178</v>
      </c>
      <c r="EU29" s="239">
        <v>0</v>
      </c>
      <c r="EV29" s="239">
        <v>-133178</v>
      </c>
      <c r="EW29" s="239">
        <v>-13903</v>
      </c>
      <c r="EX29" s="239">
        <v>0</v>
      </c>
      <c r="EY29" s="239">
        <v>-13903</v>
      </c>
      <c r="EZ29" s="239">
        <v>-172237</v>
      </c>
      <c r="FA29" s="239">
        <v>0</v>
      </c>
      <c r="FB29" s="239">
        <v>-172237</v>
      </c>
      <c r="FC29" s="239">
        <v>0</v>
      </c>
      <c r="FD29" s="239">
        <v>0</v>
      </c>
      <c r="FE29" s="239">
        <v>0</v>
      </c>
      <c r="FF29" s="239">
        <v>0</v>
      </c>
      <c r="FG29" s="239">
        <v>0</v>
      </c>
      <c r="FH29" s="239">
        <v>0</v>
      </c>
      <c r="FI29" s="239">
        <v>0</v>
      </c>
      <c r="FJ29" s="239">
        <v>0</v>
      </c>
      <c r="FK29" s="239">
        <v>0</v>
      </c>
      <c r="FL29" s="239">
        <v>24261970</v>
      </c>
      <c r="FM29" s="239">
        <v>0</v>
      </c>
      <c r="FN29" s="239">
        <v>24261970</v>
      </c>
      <c r="FO29" s="239">
        <v>-76634</v>
      </c>
      <c r="FP29" s="239">
        <v>0</v>
      </c>
      <c r="FQ29" s="239">
        <v>-76634</v>
      </c>
      <c r="FR29" s="239">
        <v>-3589229</v>
      </c>
      <c r="FS29" s="239">
        <v>0</v>
      </c>
      <c r="FT29" s="239">
        <v>-3589229</v>
      </c>
      <c r="FU29" s="239">
        <v>-614291</v>
      </c>
      <c r="FV29" s="239">
        <v>0</v>
      </c>
      <c r="FW29" s="239">
        <v>-614291</v>
      </c>
      <c r="FX29" s="239">
        <v>-75555</v>
      </c>
      <c r="FY29" s="239">
        <v>0</v>
      </c>
      <c r="FZ29" s="239">
        <v>-75555</v>
      </c>
      <c r="GA29" s="239">
        <v>-172237</v>
      </c>
      <c r="GB29" s="239">
        <v>0</v>
      </c>
      <c r="GC29" s="239">
        <v>-172237</v>
      </c>
      <c r="GD29" s="239">
        <v>0</v>
      </c>
      <c r="GE29" s="239">
        <v>0</v>
      </c>
      <c r="GF29" s="239">
        <v>0</v>
      </c>
      <c r="GG29" s="239">
        <v>-4527946</v>
      </c>
      <c r="GH29" s="239">
        <v>0</v>
      </c>
      <c r="GI29" s="239">
        <v>-4527946</v>
      </c>
      <c r="GJ29" s="239">
        <v>19734024</v>
      </c>
      <c r="GK29" s="239">
        <v>0</v>
      </c>
      <c r="GL29" s="239">
        <v>19734024</v>
      </c>
      <c r="GM29" s="214" t="s">
        <v>1158</v>
      </c>
    </row>
    <row r="30" spans="2:195" s="214" customFormat="1" x14ac:dyDescent="0.2">
      <c r="B30" s="602" t="s">
        <v>143</v>
      </c>
      <c r="C30" s="602" t="s">
        <v>142</v>
      </c>
      <c r="D30" s="239">
        <v>-2211381</v>
      </c>
      <c r="E30" s="239">
        <v>0</v>
      </c>
      <c r="F30" s="239">
        <v>-2211381</v>
      </c>
      <c r="G30" s="239">
        <v>28210</v>
      </c>
      <c r="H30" s="239">
        <v>0</v>
      </c>
      <c r="I30" s="239">
        <v>28210</v>
      </c>
      <c r="J30" s="239">
        <v>5562066</v>
      </c>
      <c r="K30" s="239">
        <v>0</v>
      </c>
      <c r="L30" s="239">
        <v>5562066</v>
      </c>
      <c r="M30" s="239">
        <v>84877</v>
      </c>
      <c r="N30" s="239">
        <v>0</v>
      </c>
      <c r="O30" s="239">
        <v>84877</v>
      </c>
      <c r="P30" s="239">
        <v>3463772</v>
      </c>
      <c r="Q30" s="239">
        <v>0</v>
      </c>
      <c r="R30" s="239">
        <v>3463772</v>
      </c>
      <c r="S30" s="239">
        <v>-6689237</v>
      </c>
      <c r="T30" s="239">
        <v>0</v>
      </c>
      <c r="U30" s="239">
        <v>-6689237</v>
      </c>
      <c r="V30" s="239">
        <v>-20713</v>
      </c>
      <c r="W30" s="239">
        <v>0</v>
      </c>
      <c r="X30" s="239">
        <v>-20713</v>
      </c>
      <c r="Y30" s="239">
        <v>-154241</v>
      </c>
      <c r="Z30" s="239">
        <v>0</v>
      </c>
      <c r="AA30" s="239">
        <v>-154241</v>
      </c>
      <c r="AB30" s="239">
        <v>-123704</v>
      </c>
      <c r="AC30" s="239">
        <v>0</v>
      </c>
      <c r="AD30" s="239">
        <v>-123704</v>
      </c>
      <c r="AE30" s="239">
        <v>-3850</v>
      </c>
      <c r="AF30" s="239">
        <v>0</v>
      </c>
      <c r="AG30" s="239">
        <v>-3850</v>
      </c>
      <c r="AH30" s="239">
        <v>1532520</v>
      </c>
      <c r="AI30" s="239">
        <v>0</v>
      </c>
      <c r="AJ30" s="239">
        <v>1532520</v>
      </c>
      <c r="AK30" s="239">
        <v>-50908</v>
      </c>
      <c r="AL30" s="239">
        <v>0</v>
      </c>
      <c r="AM30" s="239">
        <v>-50908</v>
      </c>
      <c r="AN30" s="239">
        <v>-5872173</v>
      </c>
      <c r="AO30" s="239">
        <v>0</v>
      </c>
      <c r="AP30" s="239">
        <v>-5872173</v>
      </c>
      <c r="AQ30" s="239">
        <v>1631</v>
      </c>
      <c r="AR30" s="239">
        <v>0</v>
      </c>
      <c r="AS30" s="239">
        <v>1631</v>
      </c>
      <c r="AT30" s="239">
        <v>-140826</v>
      </c>
      <c r="AU30" s="239">
        <v>0</v>
      </c>
      <c r="AV30" s="239">
        <v>-140826</v>
      </c>
      <c r="AW30" s="239">
        <v>0</v>
      </c>
      <c r="AX30" s="239">
        <v>0</v>
      </c>
      <c r="AY30" s="239">
        <v>0</v>
      </c>
      <c r="AZ30" s="239">
        <v>0</v>
      </c>
      <c r="BA30" s="239">
        <v>0</v>
      </c>
      <c r="BB30" s="239">
        <v>0</v>
      </c>
      <c r="BC30" s="239">
        <v>0</v>
      </c>
      <c r="BD30" s="239">
        <v>0</v>
      </c>
      <c r="BE30" s="239">
        <v>0</v>
      </c>
      <c r="BF30" s="239">
        <v>-11373234</v>
      </c>
      <c r="BG30" s="239">
        <v>0</v>
      </c>
      <c r="BH30" s="239">
        <v>-11373234</v>
      </c>
      <c r="BI30" s="239">
        <v>-4333</v>
      </c>
      <c r="BJ30" s="239">
        <v>0</v>
      </c>
      <c r="BK30" s="239">
        <v>-4333</v>
      </c>
      <c r="BL30" s="239">
        <v>0</v>
      </c>
      <c r="BM30" s="239">
        <v>0</v>
      </c>
      <c r="BN30" s="239">
        <v>0</v>
      </c>
      <c r="BO30" s="239">
        <v>-1674879</v>
      </c>
      <c r="BP30" s="239">
        <v>0</v>
      </c>
      <c r="BQ30" s="239">
        <v>-1674879</v>
      </c>
      <c r="BR30" s="239">
        <v>145802</v>
      </c>
      <c r="BS30" s="239">
        <v>0</v>
      </c>
      <c r="BT30" s="239">
        <v>145802</v>
      </c>
      <c r="BU30" s="239">
        <v>-1533410</v>
      </c>
      <c r="BV30" s="239">
        <v>0</v>
      </c>
      <c r="BW30" s="239">
        <v>-1533410</v>
      </c>
      <c r="BX30" s="239">
        <v>-78523</v>
      </c>
      <c r="BY30" s="239">
        <v>0</v>
      </c>
      <c r="BZ30" s="239">
        <v>-78523</v>
      </c>
      <c r="CA30" s="239">
        <v>-95</v>
      </c>
      <c r="CB30" s="239">
        <v>0</v>
      </c>
      <c r="CC30" s="239">
        <v>-95</v>
      </c>
      <c r="CD30" s="239">
        <v>-15896</v>
      </c>
      <c r="CE30" s="239">
        <v>0</v>
      </c>
      <c r="CF30" s="239">
        <v>-15896</v>
      </c>
      <c r="CG30" s="239">
        <v>0</v>
      </c>
      <c r="CH30" s="239">
        <v>0</v>
      </c>
      <c r="CI30" s="239">
        <v>0</v>
      </c>
      <c r="CJ30" s="239">
        <v>-4000</v>
      </c>
      <c r="CK30" s="239">
        <v>0</v>
      </c>
      <c r="CL30" s="239">
        <v>-4000</v>
      </c>
      <c r="CM30" s="239">
        <v>0</v>
      </c>
      <c r="CN30" s="239">
        <v>0</v>
      </c>
      <c r="CO30" s="239">
        <v>0</v>
      </c>
      <c r="CP30" s="239">
        <v>0</v>
      </c>
      <c r="CQ30" s="239">
        <v>0</v>
      </c>
      <c r="CR30" s="239">
        <v>0</v>
      </c>
      <c r="CS30" s="239">
        <v>0</v>
      </c>
      <c r="CT30" s="239">
        <v>0</v>
      </c>
      <c r="CU30" s="239">
        <v>0</v>
      </c>
      <c r="CV30" s="239">
        <v>0</v>
      </c>
      <c r="CW30" s="239">
        <v>0</v>
      </c>
      <c r="CX30" s="239">
        <v>0</v>
      </c>
      <c r="CY30" s="239">
        <v>0</v>
      </c>
      <c r="CZ30" s="239">
        <v>0</v>
      </c>
      <c r="DA30" s="239">
        <v>0</v>
      </c>
      <c r="DB30" s="239">
        <v>0</v>
      </c>
      <c r="DC30" s="239">
        <v>0</v>
      </c>
      <c r="DD30" s="239">
        <v>0</v>
      </c>
      <c r="DE30" s="239">
        <v>0</v>
      </c>
      <c r="DF30" s="239">
        <v>0</v>
      </c>
      <c r="DG30" s="239">
        <v>0</v>
      </c>
      <c r="DH30" s="239">
        <v>0</v>
      </c>
      <c r="DI30" s="239">
        <v>0</v>
      </c>
      <c r="DJ30" s="239">
        <v>-98514</v>
      </c>
      <c r="DK30" s="239">
        <v>0</v>
      </c>
      <c r="DL30" s="239">
        <v>-98514</v>
      </c>
      <c r="DM30" s="239">
        <v>-675</v>
      </c>
      <c r="DN30" s="239">
        <v>0</v>
      </c>
      <c r="DO30" s="239">
        <v>-675</v>
      </c>
      <c r="DP30" s="239">
        <v>0</v>
      </c>
      <c r="DQ30" s="239">
        <v>0</v>
      </c>
      <c r="DR30" s="239">
        <v>0</v>
      </c>
      <c r="DS30" s="239">
        <v>-13356</v>
      </c>
      <c r="DT30" s="239">
        <v>0</v>
      </c>
      <c r="DU30" s="239">
        <v>-13356</v>
      </c>
      <c r="DV30" s="239">
        <v>-42155</v>
      </c>
      <c r="DW30" s="239">
        <v>0</v>
      </c>
      <c r="DX30" s="239">
        <v>-42155</v>
      </c>
      <c r="DY30" s="239">
        <v>11173</v>
      </c>
      <c r="DZ30" s="239">
        <v>0</v>
      </c>
      <c r="EA30" s="239">
        <v>11173</v>
      </c>
      <c r="EB30" s="239">
        <v>0</v>
      </c>
      <c r="EC30" s="239">
        <v>0</v>
      </c>
      <c r="ED30" s="239">
        <v>0</v>
      </c>
      <c r="EE30" s="239">
        <v>0</v>
      </c>
      <c r="EF30" s="239">
        <v>0</v>
      </c>
      <c r="EG30" s="239">
        <v>0</v>
      </c>
      <c r="EH30" s="239">
        <v>1013</v>
      </c>
      <c r="EI30" s="239">
        <v>0</v>
      </c>
      <c r="EJ30" s="239">
        <v>1013</v>
      </c>
      <c r="EK30" s="239">
        <v>0</v>
      </c>
      <c r="EL30" s="239">
        <v>0</v>
      </c>
      <c r="EM30" s="239">
        <v>0</v>
      </c>
      <c r="EN30" s="239">
        <v>0</v>
      </c>
      <c r="EO30" s="239">
        <v>0</v>
      </c>
      <c r="EP30" s="239">
        <v>0</v>
      </c>
      <c r="EQ30" s="239">
        <v>-65477.06</v>
      </c>
      <c r="ER30" s="239">
        <v>0</v>
      </c>
      <c r="ES30" s="239">
        <v>-65477.06</v>
      </c>
      <c r="ET30" s="239">
        <v>-323004.87</v>
      </c>
      <c r="EU30" s="239">
        <v>0</v>
      </c>
      <c r="EV30" s="239">
        <v>-323004.87</v>
      </c>
      <c r="EW30" s="239">
        <v>-14175.33</v>
      </c>
      <c r="EX30" s="239">
        <v>0</v>
      </c>
      <c r="EY30" s="239">
        <v>-14175.33</v>
      </c>
      <c r="EZ30" s="239">
        <v>-446657</v>
      </c>
      <c r="FA30" s="239">
        <v>0</v>
      </c>
      <c r="FB30" s="239">
        <v>-446657</v>
      </c>
      <c r="FC30" s="239">
        <v>0</v>
      </c>
      <c r="FD30" s="239">
        <v>0</v>
      </c>
      <c r="FE30" s="239">
        <v>0</v>
      </c>
      <c r="FF30" s="239">
        <v>0</v>
      </c>
      <c r="FG30" s="239">
        <v>0</v>
      </c>
      <c r="FH30" s="239">
        <v>0</v>
      </c>
      <c r="FI30" s="239">
        <v>0</v>
      </c>
      <c r="FJ30" s="239">
        <v>0</v>
      </c>
      <c r="FK30" s="239">
        <v>0</v>
      </c>
      <c r="FL30" s="239">
        <v>75627340</v>
      </c>
      <c r="FM30" s="239">
        <v>0</v>
      </c>
      <c r="FN30" s="239">
        <v>75627340</v>
      </c>
      <c r="FO30" s="239">
        <v>3463772</v>
      </c>
      <c r="FP30" s="239">
        <v>0</v>
      </c>
      <c r="FQ30" s="239">
        <v>3463772</v>
      </c>
      <c r="FR30" s="239">
        <v>-11373234</v>
      </c>
      <c r="FS30" s="239">
        <v>0</v>
      </c>
      <c r="FT30" s="239">
        <v>-11373234</v>
      </c>
      <c r="FU30" s="239">
        <v>-1533410</v>
      </c>
      <c r="FV30" s="239">
        <v>0</v>
      </c>
      <c r="FW30" s="239">
        <v>-1533410</v>
      </c>
      <c r="FX30" s="239">
        <v>-98514</v>
      </c>
      <c r="FY30" s="239">
        <v>0</v>
      </c>
      <c r="FZ30" s="239">
        <v>-98514</v>
      </c>
      <c r="GA30" s="239">
        <v>-446657</v>
      </c>
      <c r="GB30" s="239">
        <v>0</v>
      </c>
      <c r="GC30" s="239">
        <v>-446657</v>
      </c>
      <c r="GD30" s="239">
        <v>0</v>
      </c>
      <c r="GE30" s="239">
        <v>0</v>
      </c>
      <c r="GF30" s="239">
        <v>0</v>
      </c>
      <c r="GG30" s="239">
        <v>-9988043</v>
      </c>
      <c r="GH30" s="239">
        <v>0</v>
      </c>
      <c r="GI30" s="239">
        <v>-9988043</v>
      </c>
      <c r="GJ30" s="239">
        <v>65639297</v>
      </c>
      <c r="GK30" s="239">
        <v>0</v>
      </c>
      <c r="GL30" s="239">
        <v>65639297</v>
      </c>
      <c r="GM30" s="214" t="s">
        <v>746</v>
      </c>
    </row>
    <row r="31" spans="2:195" s="214" customFormat="1" x14ac:dyDescent="0.2">
      <c r="B31" s="602" t="s">
        <v>145</v>
      </c>
      <c r="C31" s="602" t="s">
        <v>144</v>
      </c>
      <c r="D31" s="239">
        <v>-1659675</v>
      </c>
      <c r="E31" s="239">
        <v>0</v>
      </c>
      <c r="F31" s="239">
        <v>-1659675</v>
      </c>
      <c r="G31" s="239">
        <v>176314</v>
      </c>
      <c r="H31" s="239">
        <v>0</v>
      </c>
      <c r="I31" s="239">
        <v>176314</v>
      </c>
      <c r="J31" s="239">
        <v>2799798</v>
      </c>
      <c r="K31" s="239">
        <v>0</v>
      </c>
      <c r="L31" s="239">
        <v>2799798</v>
      </c>
      <c r="M31" s="239">
        <v>102320</v>
      </c>
      <c r="N31" s="239">
        <v>0</v>
      </c>
      <c r="O31" s="239">
        <v>102320</v>
      </c>
      <c r="P31" s="239">
        <v>1418757</v>
      </c>
      <c r="Q31" s="239">
        <v>0</v>
      </c>
      <c r="R31" s="239">
        <v>1418757</v>
      </c>
      <c r="S31" s="239">
        <v>-1275791</v>
      </c>
      <c r="T31" s="239">
        <v>0</v>
      </c>
      <c r="U31" s="239">
        <v>-1275791</v>
      </c>
      <c r="V31" s="239">
        <v>-2065</v>
      </c>
      <c r="W31" s="239">
        <v>0</v>
      </c>
      <c r="X31" s="239">
        <v>-2065</v>
      </c>
      <c r="Y31" s="239">
        <v>-69834</v>
      </c>
      <c r="Z31" s="239">
        <v>0</v>
      </c>
      <c r="AA31" s="239">
        <v>-69834</v>
      </c>
      <c r="AB31" s="239">
        <v>-68282</v>
      </c>
      <c r="AC31" s="239">
        <v>0</v>
      </c>
      <c r="AD31" s="239">
        <v>-68282</v>
      </c>
      <c r="AE31" s="239">
        <v>-1946</v>
      </c>
      <c r="AF31" s="239">
        <v>0</v>
      </c>
      <c r="AG31" s="239">
        <v>-1946</v>
      </c>
      <c r="AH31" s="239">
        <v>1871038</v>
      </c>
      <c r="AI31" s="239">
        <v>0</v>
      </c>
      <c r="AJ31" s="239">
        <v>1871038</v>
      </c>
      <c r="AK31" s="239">
        <v>672188</v>
      </c>
      <c r="AL31" s="239">
        <v>0</v>
      </c>
      <c r="AM31" s="239">
        <v>672188</v>
      </c>
      <c r="AN31" s="239">
        <v>-2676839</v>
      </c>
      <c r="AO31" s="239">
        <v>0</v>
      </c>
      <c r="AP31" s="239">
        <v>-2676839</v>
      </c>
      <c r="AQ31" s="239">
        <v>-6017</v>
      </c>
      <c r="AR31" s="239">
        <v>0</v>
      </c>
      <c r="AS31" s="239">
        <v>-6017</v>
      </c>
      <c r="AT31" s="239">
        <v>-3411</v>
      </c>
      <c r="AU31" s="239">
        <v>0</v>
      </c>
      <c r="AV31" s="239">
        <v>-3411</v>
      </c>
      <c r="AW31" s="239">
        <v>0</v>
      </c>
      <c r="AX31" s="239">
        <v>0</v>
      </c>
      <c r="AY31" s="239">
        <v>0</v>
      </c>
      <c r="AZ31" s="239">
        <v>0</v>
      </c>
      <c r="BA31" s="239">
        <v>0</v>
      </c>
      <c r="BB31" s="239">
        <v>0</v>
      </c>
      <c r="BC31" s="239">
        <v>0</v>
      </c>
      <c r="BD31" s="239">
        <v>0</v>
      </c>
      <c r="BE31" s="239">
        <v>0</v>
      </c>
      <c r="BF31" s="239">
        <v>-1488666</v>
      </c>
      <c r="BG31" s="239">
        <v>0</v>
      </c>
      <c r="BH31" s="239">
        <v>-1488666</v>
      </c>
      <c r="BI31" s="239">
        <v>-31478</v>
      </c>
      <c r="BJ31" s="239">
        <v>0</v>
      </c>
      <c r="BK31" s="239">
        <v>-31478</v>
      </c>
      <c r="BL31" s="239">
        <v>7054</v>
      </c>
      <c r="BM31" s="239">
        <v>0</v>
      </c>
      <c r="BN31" s="239">
        <v>7054</v>
      </c>
      <c r="BO31" s="239">
        <v>-3700574</v>
      </c>
      <c r="BP31" s="239">
        <v>0</v>
      </c>
      <c r="BQ31" s="239">
        <v>-3700574</v>
      </c>
      <c r="BR31" s="239">
        <v>-262595</v>
      </c>
      <c r="BS31" s="239">
        <v>0</v>
      </c>
      <c r="BT31" s="239">
        <v>-262595</v>
      </c>
      <c r="BU31" s="239">
        <v>-3987593</v>
      </c>
      <c r="BV31" s="239">
        <v>0</v>
      </c>
      <c r="BW31" s="239">
        <v>-3987593</v>
      </c>
      <c r="BX31" s="239">
        <v>-52756</v>
      </c>
      <c r="BY31" s="239">
        <v>0</v>
      </c>
      <c r="BZ31" s="239">
        <v>-52756</v>
      </c>
      <c r="CA31" s="239">
        <v>0</v>
      </c>
      <c r="CB31" s="239">
        <v>0</v>
      </c>
      <c r="CC31" s="239">
        <v>0</v>
      </c>
      <c r="CD31" s="239">
        <v>-74197</v>
      </c>
      <c r="CE31" s="239">
        <v>0</v>
      </c>
      <c r="CF31" s="239">
        <v>-74197</v>
      </c>
      <c r="CG31" s="239">
        <v>-485</v>
      </c>
      <c r="CH31" s="239">
        <v>0</v>
      </c>
      <c r="CI31" s="239">
        <v>-485</v>
      </c>
      <c r="CJ31" s="239">
        <v>0</v>
      </c>
      <c r="CK31" s="239">
        <v>0</v>
      </c>
      <c r="CL31" s="239">
        <v>0</v>
      </c>
      <c r="CM31" s="239">
        <v>0</v>
      </c>
      <c r="CN31" s="239">
        <v>0</v>
      </c>
      <c r="CO31" s="239">
        <v>0</v>
      </c>
      <c r="CP31" s="239">
        <v>0</v>
      </c>
      <c r="CQ31" s="239">
        <v>0</v>
      </c>
      <c r="CR31" s="239">
        <v>0</v>
      </c>
      <c r="CS31" s="239">
        <v>0</v>
      </c>
      <c r="CT31" s="239">
        <v>0</v>
      </c>
      <c r="CU31" s="239">
        <v>0</v>
      </c>
      <c r="CV31" s="239">
        <v>0</v>
      </c>
      <c r="CW31" s="239">
        <v>0</v>
      </c>
      <c r="CX31" s="239">
        <v>0</v>
      </c>
      <c r="CY31" s="239">
        <v>0</v>
      </c>
      <c r="CZ31" s="239">
        <v>0</v>
      </c>
      <c r="DA31" s="239">
        <v>0</v>
      </c>
      <c r="DB31" s="239">
        <v>0</v>
      </c>
      <c r="DC31" s="239">
        <v>0</v>
      </c>
      <c r="DD31" s="239">
        <v>0</v>
      </c>
      <c r="DE31" s="239">
        <v>0</v>
      </c>
      <c r="DF31" s="239">
        <v>0</v>
      </c>
      <c r="DG31" s="239">
        <v>0</v>
      </c>
      <c r="DH31" s="239">
        <v>0</v>
      </c>
      <c r="DI31" s="239">
        <v>0</v>
      </c>
      <c r="DJ31" s="239">
        <v>-127438</v>
      </c>
      <c r="DK31" s="239">
        <v>0</v>
      </c>
      <c r="DL31" s="239">
        <v>-127438</v>
      </c>
      <c r="DM31" s="239">
        <v>0</v>
      </c>
      <c r="DN31" s="239">
        <v>0</v>
      </c>
      <c r="DO31" s="239">
        <v>0</v>
      </c>
      <c r="DP31" s="239">
        <v>0</v>
      </c>
      <c r="DQ31" s="239">
        <v>0</v>
      </c>
      <c r="DR31" s="239">
        <v>0</v>
      </c>
      <c r="DS31" s="239">
        <v>0</v>
      </c>
      <c r="DT31" s="239">
        <v>0</v>
      </c>
      <c r="DU31" s="239">
        <v>0</v>
      </c>
      <c r="DV31" s="239">
        <v>0</v>
      </c>
      <c r="DW31" s="239">
        <v>0</v>
      </c>
      <c r="DX31" s="239">
        <v>0</v>
      </c>
      <c r="DY31" s="239">
        <v>-1561</v>
      </c>
      <c r="DZ31" s="239">
        <v>0</v>
      </c>
      <c r="EA31" s="239">
        <v>-1561</v>
      </c>
      <c r="EB31" s="239">
        <v>0</v>
      </c>
      <c r="EC31" s="239">
        <v>0</v>
      </c>
      <c r="ED31" s="239">
        <v>0</v>
      </c>
      <c r="EE31" s="239">
        <v>0</v>
      </c>
      <c r="EF31" s="239">
        <v>0</v>
      </c>
      <c r="EG31" s="239">
        <v>0</v>
      </c>
      <c r="EH31" s="239">
        <v>0</v>
      </c>
      <c r="EI31" s="239">
        <v>0</v>
      </c>
      <c r="EJ31" s="239">
        <v>0</v>
      </c>
      <c r="EK31" s="239">
        <v>0</v>
      </c>
      <c r="EL31" s="239">
        <v>0</v>
      </c>
      <c r="EM31" s="239">
        <v>0</v>
      </c>
      <c r="EN31" s="239">
        <v>0</v>
      </c>
      <c r="EO31" s="239">
        <v>0</v>
      </c>
      <c r="EP31" s="239">
        <v>0</v>
      </c>
      <c r="EQ31" s="239">
        <v>-29132</v>
      </c>
      <c r="ER31" s="239">
        <v>0</v>
      </c>
      <c r="ES31" s="239">
        <v>-29132</v>
      </c>
      <c r="ET31" s="239">
        <v>-116467</v>
      </c>
      <c r="EU31" s="239">
        <v>0</v>
      </c>
      <c r="EV31" s="239">
        <v>-116467</v>
      </c>
      <c r="EW31" s="239">
        <v>-20169</v>
      </c>
      <c r="EX31" s="239">
        <v>0</v>
      </c>
      <c r="EY31" s="239">
        <v>-20169</v>
      </c>
      <c r="EZ31" s="239">
        <v>-167329</v>
      </c>
      <c r="FA31" s="239">
        <v>0</v>
      </c>
      <c r="FB31" s="239">
        <v>-167329</v>
      </c>
      <c r="FC31" s="239">
        <v>0</v>
      </c>
      <c r="FD31" s="239">
        <v>0</v>
      </c>
      <c r="FE31" s="239">
        <v>0</v>
      </c>
      <c r="FF31" s="239">
        <v>0</v>
      </c>
      <c r="FG31" s="239">
        <v>0</v>
      </c>
      <c r="FH31" s="239">
        <v>0</v>
      </c>
      <c r="FI31" s="239">
        <v>0</v>
      </c>
      <c r="FJ31" s="239">
        <v>0</v>
      </c>
      <c r="FK31" s="239">
        <v>0</v>
      </c>
      <c r="FL31" s="239">
        <v>73200180</v>
      </c>
      <c r="FM31" s="239">
        <v>0</v>
      </c>
      <c r="FN31" s="239">
        <v>73200180</v>
      </c>
      <c r="FO31" s="239">
        <v>1418757</v>
      </c>
      <c r="FP31" s="239">
        <v>0</v>
      </c>
      <c r="FQ31" s="239">
        <v>1418757</v>
      </c>
      <c r="FR31" s="239">
        <v>-1488666</v>
      </c>
      <c r="FS31" s="239">
        <v>0</v>
      </c>
      <c r="FT31" s="239">
        <v>-1488666</v>
      </c>
      <c r="FU31" s="239">
        <v>-3987593</v>
      </c>
      <c r="FV31" s="239">
        <v>0</v>
      </c>
      <c r="FW31" s="239">
        <v>-3987593</v>
      </c>
      <c r="FX31" s="239">
        <v>-127438</v>
      </c>
      <c r="FY31" s="239">
        <v>0</v>
      </c>
      <c r="FZ31" s="239">
        <v>-127438</v>
      </c>
      <c r="GA31" s="239">
        <v>-167329</v>
      </c>
      <c r="GB31" s="239">
        <v>0</v>
      </c>
      <c r="GC31" s="239">
        <v>-167329</v>
      </c>
      <c r="GD31" s="239">
        <v>0</v>
      </c>
      <c r="GE31" s="239">
        <v>0</v>
      </c>
      <c r="GF31" s="239">
        <v>0</v>
      </c>
      <c r="GG31" s="239">
        <v>-4352269</v>
      </c>
      <c r="GH31" s="239">
        <v>0</v>
      </c>
      <c r="GI31" s="239">
        <v>-4352269</v>
      </c>
      <c r="GJ31" s="239">
        <v>68847911</v>
      </c>
      <c r="GK31" s="239">
        <v>0</v>
      </c>
      <c r="GL31" s="239">
        <v>68847911</v>
      </c>
      <c r="GM31" s="214" t="s">
        <v>746</v>
      </c>
    </row>
    <row r="32" spans="2:195" s="214" customFormat="1" x14ac:dyDescent="0.2">
      <c r="B32" s="602" t="s">
        <v>147</v>
      </c>
      <c r="C32" s="602" t="s">
        <v>146</v>
      </c>
      <c r="D32" s="239">
        <v>-7400966</v>
      </c>
      <c r="E32" s="239">
        <v>0</v>
      </c>
      <c r="F32" s="239">
        <v>-7400966</v>
      </c>
      <c r="G32" s="239">
        <v>-256932</v>
      </c>
      <c r="H32" s="239">
        <v>0</v>
      </c>
      <c r="I32" s="239">
        <v>-256932</v>
      </c>
      <c r="J32" s="239">
        <v>10940838</v>
      </c>
      <c r="K32" s="239">
        <v>0</v>
      </c>
      <c r="L32" s="239">
        <v>10940838</v>
      </c>
      <c r="M32" s="239">
        <v>577991</v>
      </c>
      <c r="N32" s="239">
        <v>0</v>
      </c>
      <c r="O32" s="239">
        <v>577991</v>
      </c>
      <c r="P32" s="239">
        <v>3860931</v>
      </c>
      <c r="Q32" s="239">
        <v>0</v>
      </c>
      <c r="R32" s="239">
        <v>3860931</v>
      </c>
      <c r="S32" s="239">
        <v>-22418052</v>
      </c>
      <c r="T32" s="239">
        <v>0</v>
      </c>
      <c r="U32" s="239">
        <v>-22418052</v>
      </c>
      <c r="V32" s="239">
        <v>-115515</v>
      </c>
      <c r="W32" s="239">
        <v>0</v>
      </c>
      <c r="X32" s="239">
        <v>-115515</v>
      </c>
      <c r="Y32" s="239">
        <v>-433466</v>
      </c>
      <c r="Z32" s="239">
        <v>0</v>
      </c>
      <c r="AA32" s="239">
        <v>-433466</v>
      </c>
      <c r="AB32" s="239">
        <v>7175</v>
      </c>
      <c r="AC32" s="239">
        <v>0</v>
      </c>
      <c r="AD32" s="239">
        <v>7175</v>
      </c>
      <c r="AE32" s="239">
        <v>0</v>
      </c>
      <c r="AF32" s="239">
        <v>0</v>
      </c>
      <c r="AG32" s="239">
        <v>0</v>
      </c>
      <c r="AH32" s="239">
        <v>3359186</v>
      </c>
      <c r="AI32" s="239">
        <v>0</v>
      </c>
      <c r="AJ32" s="239">
        <v>3359186</v>
      </c>
      <c r="AK32" s="239">
        <v>-31862</v>
      </c>
      <c r="AL32" s="239">
        <v>0</v>
      </c>
      <c r="AM32" s="239">
        <v>-31862</v>
      </c>
      <c r="AN32" s="239">
        <v>-14740239</v>
      </c>
      <c r="AO32" s="239">
        <v>0</v>
      </c>
      <c r="AP32" s="239">
        <v>-14740239</v>
      </c>
      <c r="AQ32" s="239">
        <v>35207</v>
      </c>
      <c r="AR32" s="239">
        <v>0</v>
      </c>
      <c r="AS32" s="239">
        <v>35207</v>
      </c>
      <c r="AT32" s="239">
        <v>-171528</v>
      </c>
      <c r="AU32" s="239">
        <v>0</v>
      </c>
      <c r="AV32" s="239">
        <v>-171528</v>
      </c>
      <c r="AW32" s="239">
        <v>0</v>
      </c>
      <c r="AX32" s="239">
        <v>0</v>
      </c>
      <c r="AY32" s="239">
        <v>0</v>
      </c>
      <c r="AZ32" s="239">
        <v>-6076</v>
      </c>
      <c r="BA32" s="239">
        <v>0</v>
      </c>
      <c r="BB32" s="239">
        <v>-6076</v>
      </c>
      <c r="BC32" s="239">
        <v>0</v>
      </c>
      <c r="BD32" s="239">
        <v>0</v>
      </c>
      <c r="BE32" s="239">
        <v>0</v>
      </c>
      <c r="BF32" s="239">
        <v>-34406830</v>
      </c>
      <c r="BG32" s="239">
        <v>0</v>
      </c>
      <c r="BH32" s="239">
        <v>-34406830</v>
      </c>
      <c r="BI32" s="239">
        <v>-39610</v>
      </c>
      <c r="BJ32" s="239">
        <v>0</v>
      </c>
      <c r="BK32" s="239">
        <v>-39610</v>
      </c>
      <c r="BL32" s="239">
        <v>10447</v>
      </c>
      <c r="BM32" s="239">
        <v>0</v>
      </c>
      <c r="BN32" s="239">
        <v>10447</v>
      </c>
      <c r="BO32" s="239">
        <v>-7685797</v>
      </c>
      <c r="BP32" s="239">
        <v>0</v>
      </c>
      <c r="BQ32" s="239">
        <v>-7685797</v>
      </c>
      <c r="BR32" s="239">
        <v>86035</v>
      </c>
      <c r="BS32" s="239">
        <v>0</v>
      </c>
      <c r="BT32" s="239">
        <v>86035</v>
      </c>
      <c r="BU32" s="239">
        <v>-7628925</v>
      </c>
      <c r="BV32" s="239">
        <v>0</v>
      </c>
      <c r="BW32" s="239">
        <v>-7628925</v>
      </c>
      <c r="BX32" s="239">
        <v>-7333</v>
      </c>
      <c r="BY32" s="239">
        <v>0</v>
      </c>
      <c r="BZ32" s="239">
        <v>-7333</v>
      </c>
      <c r="CA32" s="239">
        <v>-446</v>
      </c>
      <c r="CB32" s="239">
        <v>0</v>
      </c>
      <c r="CC32" s="239">
        <v>-446</v>
      </c>
      <c r="CD32" s="239">
        <v>0</v>
      </c>
      <c r="CE32" s="239">
        <v>0</v>
      </c>
      <c r="CF32" s="239">
        <v>0</v>
      </c>
      <c r="CG32" s="239">
        <v>14618</v>
      </c>
      <c r="CH32" s="239">
        <v>0</v>
      </c>
      <c r="CI32" s="239">
        <v>14618</v>
      </c>
      <c r="CJ32" s="239">
        <v>0</v>
      </c>
      <c r="CK32" s="239">
        <v>0</v>
      </c>
      <c r="CL32" s="239">
        <v>0</v>
      </c>
      <c r="CM32" s="239">
        <v>0</v>
      </c>
      <c r="CN32" s="239">
        <v>0</v>
      </c>
      <c r="CO32" s="239">
        <v>0</v>
      </c>
      <c r="CP32" s="239">
        <v>-5467</v>
      </c>
      <c r="CQ32" s="239">
        <v>0</v>
      </c>
      <c r="CR32" s="239">
        <v>-5467</v>
      </c>
      <c r="CS32" s="239">
        <v>0</v>
      </c>
      <c r="CT32" s="239">
        <v>0</v>
      </c>
      <c r="CU32" s="239">
        <v>0</v>
      </c>
      <c r="CV32" s="239">
        <v>0</v>
      </c>
      <c r="CW32" s="239">
        <v>0</v>
      </c>
      <c r="CX32" s="239">
        <v>0</v>
      </c>
      <c r="CY32" s="239">
        <v>0</v>
      </c>
      <c r="CZ32" s="239">
        <v>0</v>
      </c>
      <c r="DA32" s="239">
        <v>0</v>
      </c>
      <c r="DB32" s="239">
        <v>0</v>
      </c>
      <c r="DC32" s="239">
        <v>0</v>
      </c>
      <c r="DD32" s="239">
        <v>0</v>
      </c>
      <c r="DE32" s="239">
        <v>0</v>
      </c>
      <c r="DF32" s="239">
        <v>0</v>
      </c>
      <c r="DG32" s="239">
        <v>0</v>
      </c>
      <c r="DH32" s="239">
        <v>0</v>
      </c>
      <c r="DI32" s="239">
        <v>0</v>
      </c>
      <c r="DJ32" s="239">
        <v>1372</v>
      </c>
      <c r="DK32" s="239">
        <v>0</v>
      </c>
      <c r="DL32" s="239">
        <v>1372</v>
      </c>
      <c r="DM32" s="239">
        <v>-1125</v>
      </c>
      <c r="DN32" s="239">
        <v>0</v>
      </c>
      <c r="DO32" s="239">
        <v>-1125</v>
      </c>
      <c r="DP32" s="239">
        <v>624</v>
      </c>
      <c r="DQ32" s="239">
        <v>0</v>
      </c>
      <c r="DR32" s="239">
        <v>624</v>
      </c>
      <c r="DS32" s="239">
        <v>-4595</v>
      </c>
      <c r="DT32" s="239">
        <v>0</v>
      </c>
      <c r="DU32" s="239">
        <v>-4595</v>
      </c>
      <c r="DV32" s="239">
        <v>-24744</v>
      </c>
      <c r="DW32" s="239">
        <v>0</v>
      </c>
      <c r="DX32" s="239">
        <v>-24744</v>
      </c>
      <c r="DY32" s="239">
        <v>9791</v>
      </c>
      <c r="DZ32" s="239">
        <v>0</v>
      </c>
      <c r="EA32" s="239">
        <v>9791</v>
      </c>
      <c r="EB32" s="239">
        <v>0</v>
      </c>
      <c r="EC32" s="239">
        <v>0</v>
      </c>
      <c r="ED32" s="239">
        <v>0</v>
      </c>
      <c r="EE32" s="239">
        <v>1464</v>
      </c>
      <c r="EF32" s="239">
        <v>0</v>
      </c>
      <c r="EG32" s="239">
        <v>1464</v>
      </c>
      <c r="EH32" s="239">
        <v>481</v>
      </c>
      <c r="EI32" s="239">
        <v>0</v>
      </c>
      <c r="EJ32" s="239">
        <v>481</v>
      </c>
      <c r="EK32" s="239">
        <v>-6076</v>
      </c>
      <c r="EL32" s="239">
        <v>0</v>
      </c>
      <c r="EM32" s="239">
        <v>-6076</v>
      </c>
      <c r="EN32" s="239">
        <v>0</v>
      </c>
      <c r="EO32" s="239">
        <v>0</v>
      </c>
      <c r="EP32" s="239">
        <v>0</v>
      </c>
      <c r="EQ32" s="239">
        <v>-71231</v>
      </c>
      <c r="ER32" s="239">
        <v>0</v>
      </c>
      <c r="ES32" s="239">
        <v>-71231</v>
      </c>
      <c r="ET32" s="239">
        <v>-972403</v>
      </c>
      <c r="EU32" s="239">
        <v>0</v>
      </c>
      <c r="EV32" s="239">
        <v>-972403</v>
      </c>
      <c r="EW32" s="239">
        <v>-174150</v>
      </c>
      <c r="EX32" s="239">
        <v>0</v>
      </c>
      <c r="EY32" s="239">
        <v>-174150</v>
      </c>
      <c r="EZ32" s="239">
        <v>-1241964</v>
      </c>
      <c r="FA32" s="239">
        <v>0</v>
      </c>
      <c r="FB32" s="239">
        <v>-1241964</v>
      </c>
      <c r="FC32" s="239">
        <v>-106612</v>
      </c>
      <c r="FD32" s="239">
        <v>0</v>
      </c>
      <c r="FE32" s="239">
        <v>-106612</v>
      </c>
      <c r="FF32" s="239">
        <v>-13249</v>
      </c>
      <c r="FG32" s="239">
        <v>0</v>
      </c>
      <c r="FH32" s="239">
        <v>-13249</v>
      </c>
      <c r="FI32" s="239">
        <v>-119861</v>
      </c>
      <c r="FJ32" s="239">
        <v>0</v>
      </c>
      <c r="FK32" s="239">
        <v>-119861</v>
      </c>
      <c r="FL32" s="239">
        <v>175172025</v>
      </c>
      <c r="FM32" s="239">
        <v>0</v>
      </c>
      <c r="FN32" s="239">
        <v>175172025</v>
      </c>
      <c r="FO32" s="239">
        <v>3860931</v>
      </c>
      <c r="FP32" s="239">
        <v>0</v>
      </c>
      <c r="FQ32" s="239">
        <v>3860931</v>
      </c>
      <c r="FR32" s="239">
        <v>-34406830</v>
      </c>
      <c r="FS32" s="239">
        <v>0</v>
      </c>
      <c r="FT32" s="239">
        <v>-34406830</v>
      </c>
      <c r="FU32" s="239">
        <v>-7628925</v>
      </c>
      <c r="FV32" s="239">
        <v>0</v>
      </c>
      <c r="FW32" s="239">
        <v>-7628925</v>
      </c>
      <c r="FX32" s="239">
        <v>1372</v>
      </c>
      <c r="FY32" s="239">
        <v>0</v>
      </c>
      <c r="FZ32" s="239">
        <v>1372</v>
      </c>
      <c r="GA32" s="239">
        <v>-1241964</v>
      </c>
      <c r="GB32" s="239">
        <v>0</v>
      </c>
      <c r="GC32" s="239">
        <v>-1241964</v>
      </c>
      <c r="GD32" s="239">
        <v>-119861</v>
      </c>
      <c r="GE32" s="239">
        <v>0</v>
      </c>
      <c r="GF32" s="239">
        <v>-119861</v>
      </c>
      <c r="GG32" s="239">
        <v>-39535277</v>
      </c>
      <c r="GH32" s="239">
        <v>0</v>
      </c>
      <c r="GI32" s="239">
        <v>-39535277</v>
      </c>
      <c r="GJ32" s="239">
        <v>135636748</v>
      </c>
      <c r="GK32" s="239">
        <v>0</v>
      </c>
      <c r="GL32" s="239">
        <v>135636748</v>
      </c>
      <c r="GM32" s="214" t="s">
        <v>1160</v>
      </c>
    </row>
    <row r="33" spans="1:195" s="214" customFormat="1" x14ac:dyDescent="0.2">
      <c r="B33" s="602" t="s">
        <v>149</v>
      </c>
      <c r="C33" s="602" t="s">
        <v>148</v>
      </c>
      <c r="D33" s="239">
        <v>-1265573</v>
      </c>
      <c r="E33" s="239">
        <v>0</v>
      </c>
      <c r="F33" s="239">
        <v>-1265573</v>
      </c>
      <c r="G33" s="239">
        <v>3461</v>
      </c>
      <c r="H33" s="239">
        <v>0</v>
      </c>
      <c r="I33" s="239">
        <v>3461</v>
      </c>
      <c r="J33" s="239">
        <v>1332390</v>
      </c>
      <c r="K33" s="239">
        <v>0</v>
      </c>
      <c r="L33" s="239">
        <v>1332390</v>
      </c>
      <c r="M33" s="239">
        <v>31516</v>
      </c>
      <c r="N33" s="239">
        <v>0</v>
      </c>
      <c r="O33" s="239">
        <v>31516</v>
      </c>
      <c r="P33" s="239">
        <v>101794</v>
      </c>
      <c r="Q33" s="239">
        <v>0</v>
      </c>
      <c r="R33" s="239">
        <v>101794</v>
      </c>
      <c r="S33" s="239">
        <v>-4796259</v>
      </c>
      <c r="T33" s="239">
        <v>0</v>
      </c>
      <c r="U33" s="239">
        <v>-4796259</v>
      </c>
      <c r="V33" s="239">
        <v>0</v>
      </c>
      <c r="W33" s="239">
        <v>0</v>
      </c>
      <c r="X33" s="239">
        <v>0</v>
      </c>
      <c r="Y33" s="239">
        <v>-174537</v>
      </c>
      <c r="Z33" s="239">
        <v>0</v>
      </c>
      <c r="AA33" s="239">
        <v>-174537</v>
      </c>
      <c r="AB33" s="239">
        <v>-132253</v>
      </c>
      <c r="AC33" s="239">
        <v>0</v>
      </c>
      <c r="AD33" s="239">
        <v>-132253</v>
      </c>
      <c r="AE33" s="239">
        <v>0</v>
      </c>
      <c r="AF33" s="239">
        <v>0</v>
      </c>
      <c r="AG33" s="239">
        <v>0</v>
      </c>
      <c r="AH33" s="239">
        <v>900026</v>
      </c>
      <c r="AI33" s="239">
        <v>0</v>
      </c>
      <c r="AJ33" s="239">
        <v>900026</v>
      </c>
      <c r="AK33" s="239">
        <v>-13622</v>
      </c>
      <c r="AL33" s="239">
        <v>0</v>
      </c>
      <c r="AM33" s="239">
        <v>-13622</v>
      </c>
      <c r="AN33" s="239">
        <v>-2925361</v>
      </c>
      <c r="AO33" s="239">
        <v>0</v>
      </c>
      <c r="AP33" s="239">
        <v>-2925361</v>
      </c>
      <c r="AQ33" s="239">
        <v>12852</v>
      </c>
      <c r="AR33" s="239">
        <v>0</v>
      </c>
      <c r="AS33" s="239">
        <v>12852</v>
      </c>
      <c r="AT33" s="239">
        <v>-107240</v>
      </c>
      <c r="AU33" s="239">
        <v>0</v>
      </c>
      <c r="AV33" s="239">
        <v>-107240</v>
      </c>
      <c r="AW33" s="239">
        <v>25202</v>
      </c>
      <c r="AX33" s="239">
        <v>0</v>
      </c>
      <c r="AY33" s="239">
        <v>25202</v>
      </c>
      <c r="AZ33" s="239">
        <v>-15266</v>
      </c>
      <c r="BA33" s="239">
        <v>0</v>
      </c>
      <c r="BB33" s="239">
        <v>-15266</v>
      </c>
      <c r="BC33" s="239">
        <v>0</v>
      </c>
      <c r="BD33" s="239">
        <v>0</v>
      </c>
      <c r="BE33" s="239">
        <v>0</v>
      </c>
      <c r="BF33" s="239">
        <v>-7094205</v>
      </c>
      <c r="BG33" s="239">
        <v>0</v>
      </c>
      <c r="BH33" s="239">
        <v>-7094205</v>
      </c>
      <c r="BI33" s="239">
        <v>-1030</v>
      </c>
      <c r="BJ33" s="239">
        <v>0</v>
      </c>
      <c r="BK33" s="239">
        <v>-1030</v>
      </c>
      <c r="BL33" s="239">
        <v>0</v>
      </c>
      <c r="BM33" s="239">
        <v>0</v>
      </c>
      <c r="BN33" s="239">
        <v>0</v>
      </c>
      <c r="BO33" s="239">
        <v>-1307268</v>
      </c>
      <c r="BP33" s="239">
        <v>0</v>
      </c>
      <c r="BQ33" s="239">
        <v>-1307268</v>
      </c>
      <c r="BR33" s="239">
        <v>-2635</v>
      </c>
      <c r="BS33" s="239">
        <v>0</v>
      </c>
      <c r="BT33" s="239">
        <v>-2635</v>
      </c>
      <c r="BU33" s="239">
        <v>-1310933</v>
      </c>
      <c r="BV33" s="239">
        <v>0</v>
      </c>
      <c r="BW33" s="239">
        <v>-1310933</v>
      </c>
      <c r="BX33" s="239">
        <v>-29519</v>
      </c>
      <c r="BY33" s="239">
        <v>0</v>
      </c>
      <c r="BZ33" s="239">
        <v>-29519</v>
      </c>
      <c r="CA33" s="239">
        <v>15703</v>
      </c>
      <c r="CB33" s="239">
        <v>0</v>
      </c>
      <c r="CC33" s="239">
        <v>15703</v>
      </c>
      <c r="CD33" s="239">
        <v>-237925</v>
      </c>
      <c r="CE33" s="239">
        <v>0</v>
      </c>
      <c r="CF33" s="239">
        <v>-237925</v>
      </c>
      <c r="CG33" s="239">
        <v>-31271</v>
      </c>
      <c r="CH33" s="239">
        <v>0</v>
      </c>
      <c r="CI33" s="239">
        <v>-31271</v>
      </c>
      <c r="CJ33" s="239">
        <v>-311</v>
      </c>
      <c r="CK33" s="239">
        <v>0</v>
      </c>
      <c r="CL33" s="239">
        <v>-311</v>
      </c>
      <c r="CM33" s="239">
        <v>0</v>
      </c>
      <c r="CN33" s="239">
        <v>0</v>
      </c>
      <c r="CO33" s="239">
        <v>0</v>
      </c>
      <c r="CP33" s="239">
        <v>0</v>
      </c>
      <c r="CQ33" s="239">
        <v>0</v>
      </c>
      <c r="CR33" s="239">
        <v>0</v>
      </c>
      <c r="CS33" s="239">
        <v>0</v>
      </c>
      <c r="CT33" s="239">
        <v>0</v>
      </c>
      <c r="CU33" s="239">
        <v>0</v>
      </c>
      <c r="CV33" s="239">
        <v>-1717</v>
      </c>
      <c r="CW33" s="239">
        <v>0</v>
      </c>
      <c r="CX33" s="239">
        <v>-1717</v>
      </c>
      <c r="CY33" s="239">
        <v>0</v>
      </c>
      <c r="CZ33" s="239">
        <v>0</v>
      </c>
      <c r="DA33" s="239">
        <v>0</v>
      </c>
      <c r="DB33" s="239">
        <v>0</v>
      </c>
      <c r="DC33" s="239">
        <v>0</v>
      </c>
      <c r="DD33" s="239">
        <v>0</v>
      </c>
      <c r="DE33" s="239">
        <v>0</v>
      </c>
      <c r="DF33" s="239">
        <v>0</v>
      </c>
      <c r="DG33" s="239">
        <v>0</v>
      </c>
      <c r="DH33" s="239">
        <v>0</v>
      </c>
      <c r="DI33" s="239">
        <v>0</v>
      </c>
      <c r="DJ33" s="239">
        <v>-285040</v>
      </c>
      <c r="DK33" s="239">
        <v>0</v>
      </c>
      <c r="DL33" s="239">
        <v>-285040</v>
      </c>
      <c r="DM33" s="239">
        <v>-706</v>
      </c>
      <c r="DN33" s="239">
        <v>0</v>
      </c>
      <c r="DO33" s="239">
        <v>-706</v>
      </c>
      <c r="DP33" s="239">
        <v>8607</v>
      </c>
      <c r="DQ33" s="239">
        <v>0</v>
      </c>
      <c r="DR33" s="239">
        <v>8607</v>
      </c>
      <c r="DS33" s="239">
        <v>-91</v>
      </c>
      <c r="DT33" s="239">
        <v>0</v>
      </c>
      <c r="DU33" s="239">
        <v>-91</v>
      </c>
      <c r="DV33" s="239">
        <v>539</v>
      </c>
      <c r="DW33" s="239">
        <v>0</v>
      </c>
      <c r="DX33" s="239">
        <v>539</v>
      </c>
      <c r="DY33" s="239">
        <v>5000</v>
      </c>
      <c r="DZ33" s="239">
        <v>0</v>
      </c>
      <c r="EA33" s="239">
        <v>5000</v>
      </c>
      <c r="EB33" s="239">
        <v>0</v>
      </c>
      <c r="EC33" s="239">
        <v>0</v>
      </c>
      <c r="ED33" s="239">
        <v>0</v>
      </c>
      <c r="EE33" s="239">
        <v>0</v>
      </c>
      <c r="EF33" s="239">
        <v>0</v>
      </c>
      <c r="EG33" s="239">
        <v>0</v>
      </c>
      <c r="EH33" s="239">
        <v>0</v>
      </c>
      <c r="EI33" s="239">
        <v>0</v>
      </c>
      <c r="EJ33" s="239">
        <v>0</v>
      </c>
      <c r="EK33" s="239">
        <v>-10383</v>
      </c>
      <c r="EL33" s="239">
        <v>0</v>
      </c>
      <c r="EM33" s="239">
        <v>-10383</v>
      </c>
      <c r="EN33" s="239">
        <v>-1500</v>
      </c>
      <c r="EO33" s="239">
        <v>0</v>
      </c>
      <c r="EP33" s="239">
        <v>-1500</v>
      </c>
      <c r="EQ33" s="239">
        <v>-25108</v>
      </c>
      <c r="ER33" s="239">
        <v>0</v>
      </c>
      <c r="ES33" s="239">
        <v>-25108</v>
      </c>
      <c r="ET33" s="239">
        <v>-284300</v>
      </c>
      <c r="EU33" s="239">
        <v>0</v>
      </c>
      <c r="EV33" s="239">
        <v>-284300</v>
      </c>
      <c r="EW33" s="239">
        <v>-60436</v>
      </c>
      <c r="EX33" s="239">
        <v>0</v>
      </c>
      <c r="EY33" s="239">
        <v>-60436</v>
      </c>
      <c r="EZ33" s="239">
        <v>-368378</v>
      </c>
      <c r="FA33" s="239">
        <v>0</v>
      </c>
      <c r="FB33" s="239">
        <v>-368378</v>
      </c>
      <c r="FC33" s="239">
        <v>0</v>
      </c>
      <c r="FD33" s="239">
        <v>0</v>
      </c>
      <c r="FE33" s="239">
        <v>0</v>
      </c>
      <c r="FF33" s="239">
        <v>0</v>
      </c>
      <c r="FG33" s="239">
        <v>0</v>
      </c>
      <c r="FH33" s="239">
        <v>0</v>
      </c>
      <c r="FI33" s="239">
        <v>0</v>
      </c>
      <c r="FJ33" s="239">
        <v>0</v>
      </c>
      <c r="FK33" s="239">
        <v>0</v>
      </c>
      <c r="FL33" s="239">
        <v>51015817</v>
      </c>
      <c r="FM33" s="239">
        <v>0</v>
      </c>
      <c r="FN33" s="239">
        <v>51015817</v>
      </c>
      <c r="FO33" s="239">
        <v>101794</v>
      </c>
      <c r="FP33" s="239">
        <v>0</v>
      </c>
      <c r="FQ33" s="239">
        <v>101794</v>
      </c>
      <c r="FR33" s="239">
        <v>-7094205</v>
      </c>
      <c r="FS33" s="239">
        <v>0</v>
      </c>
      <c r="FT33" s="239">
        <v>-7094205</v>
      </c>
      <c r="FU33" s="239">
        <v>-1310933</v>
      </c>
      <c r="FV33" s="239">
        <v>0</v>
      </c>
      <c r="FW33" s="239">
        <v>-1310933</v>
      </c>
      <c r="FX33" s="239">
        <v>-285040</v>
      </c>
      <c r="FY33" s="239">
        <v>0</v>
      </c>
      <c r="FZ33" s="239">
        <v>-285040</v>
      </c>
      <c r="GA33" s="239">
        <v>-368378</v>
      </c>
      <c r="GB33" s="239">
        <v>0</v>
      </c>
      <c r="GC33" s="239">
        <v>-368378</v>
      </c>
      <c r="GD33" s="239">
        <v>0</v>
      </c>
      <c r="GE33" s="239">
        <v>0</v>
      </c>
      <c r="GF33" s="239">
        <v>0</v>
      </c>
      <c r="GG33" s="239">
        <v>-8956762</v>
      </c>
      <c r="GH33" s="239">
        <v>0</v>
      </c>
      <c r="GI33" s="239">
        <v>-8956762</v>
      </c>
      <c r="GJ33" s="239">
        <v>42059055</v>
      </c>
      <c r="GK33" s="239">
        <v>0</v>
      </c>
      <c r="GL33" s="239">
        <v>42059055</v>
      </c>
      <c r="GM33" s="214" t="s">
        <v>1158</v>
      </c>
    </row>
    <row r="34" spans="1:195" s="214" customFormat="1" x14ac:dyDescent="0.2">
      <c r="B34" s="602" t="s">
        <v>151</v>
      </c>
      <c r="C34" s="602" t="s">
        <v>150</v>
      </c>
      <c r="D34" s="239">
        <v>-1879366</v>
      </c>
      <c r="E34" s="239">
        <v>0</v>
      </c>
      <c r="F34" s="239">
        <v>-1879366</v>
      </c>
      <c r="G34" s="239">
        <v>53591</v>
      </c>
      <c r="H34" s="239">
        <v>0</v>
      </c>
      <c r="I34" s="239">
        <v>53591</v>
      </c>
      <c r="J34" s="239">
        <v>1055127</v>
      </c>
      <c r="K34" s="239">
        <v>0</v>
      </c>
      <c r="L34" s="239">
        <v>1055127</v>
      </c>
      <c r="M34" s="239">
        <v>-85855</v>
      </c>
      <c r="N34" s="239">
        <v>0</v>
      </c>
      <c r="O34" s="239">
        <v>-85855</v>
      </c>
      <c r="P34" s="239">
        <v>-856503</v>
      </c>
      <c r="Q34" s="239">
        <v>0</v>
      </c>
      <c r="R34" s="239">
        <v>-856503</v>
      </c>
      <c r="S34" s="239">
        <v>-4359572</v>
      </c>
      <c r="T34" s="239">
        <v>0</v>
      </c>
      <c r="U34" s="239">
        <v>-4359572</v>
      </c>
      <c r="V34" s="239">
        <v>0</v>
      </c>
      <c r="W34" s="239">
        <v>0</v>
      </c>
      <c r="X34" s="239">
        <v>0</v>
      </c>
      <c r="Y34" s="239">
        <v>-100280</v>
      </c>
      <c r="Z34" s="239">
        <v>0</v>
      </c>
      <c r="AA34" s="239">
        <v>-100280</v>
      </c>
      <c r="AB34" s="239">
        <v>-100280</v>
      </c>
      <c r="AC34" s="239">
        <v>0</v>
      </c>
      <c r="AD34" s="239">
        <v>-100280</v>
      </c>
      <c r="AE34" s="239">
        <v>0</v>
      </c>
      <c r="AF34" s="239">
        <v>0</v>
      </c>
      <c r="AG34" s="239">
        <v>0</v>
      </c>
      <c r="AH34" s="239">
        <v>684910</v>
      </c>
      <c r="AI34" s="239">
        <v>0</v>
      </c>
      <c r="AJ34" s="239">
        <v>684910</v>
      </c>
      <c r="AK34" s="239">
        <v>-20287</v>
      </c>
      <c r="AL34" s="239">
        <v>0</v>
      </c>
      <c r="AM34" s="239">
        <v>-20287</v>
      </c>
      <c r="AN34" s="239">
        <v>-2401176</v>
      </c>
      <c r="AO34" s="239">
        <v>0</v>
      </c>
      <c r="AP34" s="239">
        <v>-2401176</v>
      </c>
      <c r="AQ34" s="239">
        <v>-66629</v>
      </c>
      <c r="AR34" s="239">
        <v>0</v>
      </c>
      <c r="AS34" s="239">
        <v>-66629</v>
      </c>
      <c r="AT34" s="239">
        <v>-36799</v>
      </c>
      <c r="AU34" s="239">
        <v>0</v>
      </c>
      <c r="AV34" s="239">
        <v>-36799</v>
      </c>
      <c r="AW34" s="239">
        <v>-9133</v>
      </c>
      <c r="AX34" s="239">
        <v>0</v>
      </c>
      <c r="AY34" s="239">
        <v>-9133</v>
      </c>
      <c r="AZ34" s="239">
        <v>-60159</v>
      </c>
      <c r="BA34" s="239">
        <v>0</v>
      </c>
      <c r="BB34" s="239">
        <v>-60159</v>
      </c>
      <c r="BC34" s="239">
        <v>-998</v>
      </c>
      <c r="BD34" s="239">
        <v>0</v>
      </c>
      <c r="BE34" s="239">
        <v>-998</v>
      </c>
      <c r="BF34" s="239">
        <v>-6370123</v>
      </c>
      <c r="BG34" s="239">
        <v>0</v>
      </c>
      <c r="BH34" s="239">
        <v>-6370123</v>
      </c>
      <c r="BI34" s="239">
        <v>0</v>
      </c>
      <c r="BJ34" s="239">
        <v>0</v>
      </c>
      <c r="BK34" s="239">
        <v>0</v>
      </c>
      <c r="BL34" s="239">
        <v>0</v>
      </c>
      <c r="BM34" s="239">
        <v>0</v>
      </c>
      <c r="BN34" s="239">
        <v>0</v>
      </c>
      <c r="BO34" s="239">
        <v>-637390</v>
      </c>
      <c r="BP34" s="239">
        <v>0</v>
      </c>
      <c r="BQ34" s="239">
        <v>-637390</v>
      </c>
      <c r="BR34" s="239">
        <v>-14122</v>
      </c>
      <c r="BS34" s="239">
        <v>0</v>
      </c>
      <c r="BT34" s="239">
        <v>-14122</v>
      </c>
      <c r="BU34" s="239">
        <v>-651512</v>
      </c>
      <c r="BV34" s="239">
        <v>0</v>
      </c>
      <c r="BW34" s="239">
        <v>-651512</v>
      </c>
      <c r="BX34" s="239">
        <v>-38447</v>
      </c>
      <c r="BY34" s="239">
        <v>0</v>
      </c>
      <c r="BZ34" s="239">
        <v>-38447</v>
      </c>
      <c r="CA34" s="239">
        <v>995</v>
      </c>
      <c r="CB34" s="239">
        <v>0</v>
      </c>
      <c r="CC34" s="239">
        <v>995</v>
      </c>
      <c r="CD34" s="239">
        <v>-222360</v>
      </c>
      <c r="CE34" s="239">
        <v>0</v>
      </c>
      <c r="CF34" s="239">
        <v>-222360</v>
      </c>
      <c r="CG34" s="239">
        <v>0</v>
      </c>
      <c r="CH34" s="239">
        <v>0</v>
      </c>
      <c r="CI34" s="239">
        <v>0</v>
      </c>
      <c r="CJ34" s="239">
        <v>-2296</v>
      </c>
      <c r="CK34" s="239">
        <v>0</v>
      </c>
      <c r="CL34" s="239">
        <v>-2296</v>
      </c>
      <c r="CM34" s="239">
        <v>-1852</v>
      </c>
      <c r="CN34" s="239">
        <v>0</v>
      </c>
      <c r="CO34" s="239">
        <v>-1852</v>
      </c>
      <c r="CP34" s="239">
        <v>0</v>
      </c>
      <c r="CQ34" s="239">
        <v>0</v>
      </c>
      <c r="CR34" s="239">
        <v>0</v>
      </c>
      <c r="CS34" s="239">
        <v>-1170</v>
      </c>
      <c r="CT34" s="239">
        <v>0</v>
      </c>
      <c r="CU34" s="239">
        <v>-1170</v>
      </c>
      <c r="CV34" s="239">
        <v>0</v>
      </c>
      <c r="CW34" s="239">
        <v>0</v>
      </c>
      <c r="CX34" s="239">
        <v>0</v>
      </c>
      <c r="CY34" s="239">
        <v>0</v>
      </c>
      <c r="CZ34" s="239">
        <v>0</v>
      </c>
      <c r="DA34" s="239">
        <v>0</v>
      </c>
      <c r="DB34" s="239">
        <v>-3633</v>
      </c>
      <c r="DC34" s="239">
        <v>0</v>
      </c>
      <c r="DD34" s="239">
        <v>-3633</v>
      </c>
      <c r="DE34" s="239">
        <v>0</v>
      </c>
      <c r="DF34" s="239">
        <v>0</v>
      </c>
      <c r="DG34" s="239">
        <v>0</v>
      </c>
      <c r="DH34" s="239">
        <v>0</v>
      </c>
      <c r="DI34" s="239">
        <v>0</v>
      </c>
      <c r="DJ34" s="239">
        <v>-268763</v>
      </c>
      <c r="DK34" s="239">
        <v>0</v>
      </c>
      <c r="DL34" s="239">
        <v>-268763</v>
      </c>
      <c r="DM34" s="239">
        <v>-35559</v>
      </c>
      <c r="DN34" s="239">
        <v>0</v>
      </c>
      <c r="DO34" s="239">
        <v>-35559</v>
      </c>
      <c r="DP34" s="239">
        <v>-13373</v>
      </c>
      <c r="DQ34" s="239">
        <v>0</v>
      </c>
      <c r="DR34" s="239">
        <v>-13373</v>
      </c>
      <c r="DS34" s="239">
        <v>-623</v>
      </c>
      <c r="DT34" s="239">
        <v>0</v>
      </c>
      <c r="DU34" s="239">
        <v>-623</v>
      </c>
      <c r="DV34" s="239">
        <v>0</v>
      </c>
      <c r="DW34" s="239">
        <v>0</v>
      </c>
      <c r="DX34" s="239">
        <v>0</v>
      </c>
      <c r="DY34" s="239">
        <v>2963</v>
      </c>
      <c r="DZ34" s="239">
        <v>0</v>
      </c>
      <c r="EA34" s="239">
        <v>2963</v>
      </c>
      <c r="EB34" s="239">
        <v>0</v>
      </c>
      <c r="EC34" s="239">
        <v>0</v>
      </c>
      <c r="ED34" s="239">
        <v>0</v>
      </c>
      <c r="EE34" s="239">
        <v>0</v>
      </c>
      <c r="EF34" s="239">
        <v>0</v>
      </c>
      <c r="EG34" s="239">
        <v>0</v>
      </c>
      <c r="EH34" s="239">
        <v>-409</v>
      </c>
      <c r="EI34" s="239">
        <v>0</v>
      </c>
      <c r="EJ34" s="239">
        <v>-409</v>
      </c>
      <c r="EK34" s="239">
        <v>-62219</v>
      </c>
      <c r="EL34" s="239">
        <v>0</v>
      </c>
      <c r="EM34" s="239">
        <v>-62219</v>
      </c>
      <c r="EN34" s="239">
        <v>-2688</v>
      </c>
      <c r="EO34" s="239">
        <v>0</v>
      </c>
      <c r="EP34" s="239">
        <v>-2688</v>
      </c>
      <c r="EQ34" s="239">
        <v>-38784</v>
      </c>
      <c r="ER34" s="239">
        <v>0</v>
      </c>
      <c r="ES34" s="239">
        <v>-38784</v>
      </c>
      <c r="ET34" s="239">
        <v>-197640</v>
      </c>
      <c r="EU34" s="239">
        <v>0</v>
      </c>
      <c r="EV34" s="239">
        <v>-197640</v>
      </c>
      <c r="EW34" s="239">
        <v>-28068</v>
      </c>
      <c r="EX34" s="239">
        <v>0</v>
      </c>
      <c r="EY34" s="239">
        <v>-28068</v>
      </c>
      <c r="EZ34" s="239">
        <v>-376400</v>
      </c>
      <c r="FA34" s="239">
        <v>0</v>
      </c>
      <c r="FB34" s="239">
        <v>-376400</v>
      </c>
      <c r="FC34" s="239">
        <v>-11864</v>
      </c>
      <c r="FD34" s="239">
        <v>0</v>
      </c>
      <c r="FE34" s="239">
        <v>-11864</v>
      </c>
      <c r="FF34" s="239">
        <v>0</v>
      </c>
      <c r="FG34" s="239">
        <v>0</v>
      </c>
      <c r="FH34" s="239">
        <v>0</v>
      </c>
      <c r="FI34" s="239">
        <v>-11864</v>
      </c>
      <c r="FJ34" s="239">
        <v>0</v>
      </c>
      <c r="FK34" s="239">
        <v>-11864</v>
      </c>
      <c r="FL34" s="239">
        <v>39806154</v>
      </c>
      <c r="FM34" s="239">
        <v>0</v>
      </c>
      <c r="FN34" s="239">
        <v>39806154</v>
      </c>
      <c r="FO34" s="239">
        <v>-856503</v>
      </c>
      <c r="FP34" s="239">
        <v>0</v>
      </c>
      <c r="FQ34" s="239">
        <v>-856503</v>
      </c>
      <c r="FR34" s="239">
        <v>-6370123</v>
      </c>
      <c r="FS34" s="239">
        <v>0</v>
      </c>
      <c r="FT34" s="239">
        <v>-6370123</v>
      </c>
      <c r="FU34" s="239">
        <v>-651512</v>
      </c>
      <c r="FV34" s="239">
        <v>0</v>
      </c>
      <c r="FW34" s="239">
        <v>-651512</v>
      </c>
      <c r="FX34" s="239">
        <v>-268763</v>
      </c>
      <c r="FY34" s="239">
        <v>0</v>
      </c>
      <c r="FZ34" s="239">
        <v>-268763</v>
      </c>
      <c r="GA34" s="239">
        <v>-376400</v>
      </c>
      <c r="GB34" s="239">
        <v>0</v>
      </c>
      <c r="GC34" s="239">
        <v>-376400</v>
      </c>
      <c r="GD34" s="239">
        <v>-11864</v>
      </c>
      <c r="GE34" s="239">
        <v>0</v>
      </c>
      <c r="GF34" s="239">
        <v>-11864</v>
      </c>
      <c r="GG34" s="239">
        <v>-8535165</v>
      </c>
      <c r="GH34" s="239">
        <v>0</v>
      </c>
      <c r="GI34" s="239">
        <v>-8535165</v>
      </c>
      <c r="GJ34" s="239">
        <v>31270989</v>
      </c>
      <c r="GK34" s="239">
        <v>0</v>
      </c>
      <c r="GL34" s="239">
        <v>31270989</v>
      </c>
      <c r="GM34" s="214" t="s">
        <v>1158</v>
      </c>
    </row>
    <row r="35" spans="1:195" s="214" customFormat="1" x14ac:dyDescent="0.2">
      <c r="B35" s="602" t="s">
        <v>153</v>
      </c>
      <c r="C35" s="602" t="s">
        <v>152</v>
      </c>
      <c r="D35" s="239">
        <v>-6706464</v>
      </c>
      <c r="E35" s="239">
        <v>0</v>
      </c>
      <c r="F35" s="239">
        <v>-6706464</v>
      </c>
      <c r="G35" s="239">
        <v>22735</v>
      </c>
      <c r="H35" s="239">
        <v>0</v>
      </c>
      <c r="I35" s="239">
        <v>22735</v>
      </c>
      <c r="J35" s="239">
        <v>3126983</v>
      </c>
      <c r="K35" s="239">
        <v>0</v>
      </c>
      <c r="L35" s="239">
        <v>3126983</v>
      </c>
      <c r="M35" s="239">
        <v>13416</v>
      </c>
      <c r="N35" s="239">
        <v>0</v>
      </c>
      <c r="O35" s="239">
        <v>13416</v>
      </c>
      <c r="P35" s="239">
        <v>-3543330</v>
      </c>
      <c r="Q35" s="239">
        <v>0</v>
      </c>
      <c r="R35" s="239">
        <v>-3543330</v>
      </c>
      <c r="S35" s="239">
        <v>-7791590</v>
      </c>
      <c r="T35" s="239">
        <v>0</v>
      </c>
      <c r="U35" s="239">
        <v>-7791590</v>
      </c>
      <c r="V35" s="239">
        <v>-3914</v>
      </c>
      <c r="W35" s="239">
        <v>0</v>
      </c>
      <c r="X35" s="239">
        <v>-3914</v>
      </c>
      <c r="Y35" s="239">
        <v>-242291</v>
      </c>
      <c r="Z35" s="239">
        <v>0</v>
      </c>
      <c r="AA35" s="239">
        <v>-242291</v>
      </c>
      <c r="AB35" s="239">
        <v>-208700</v>
      </c>
      <c r="AC35" s="239">
        <v>0</v>
      </c>
      <c r="AD35" s="239">
        <v>-208700</v>
      </c>
      <c r="AE35" s="239">
        <v>0</v>
      </c>
      <c r="AF35" s="239">
        <v>0</v>
      </c>
      <c r="AG35" s="239">
        <v>0</v>
      </c>
      <c r="AH35" s="239">
        <v>2916851</v>
      </c>
      <c r="AI35" s="239">
        <v>0</v>
      </c>
      <c r="AJ35" s="239">
        <v>2916851</v>
      </c>
      <c r="AK35" s="239">
        <v>-9422</v>
      </c>
      <c r="AL35" s="239">
        <v>0</v>
      </c>
      <c r="AM35" s="239">
        <v>-9422</v>
      </c>
      <c r="AN35" s="239">
        <v>-8580021</v>
      </c>
      <c r="AO35" s="239">
        <v>0</v>
      </c>
      <c r="AP35" s="239">
        <v>-8580021</v>
      </c>
      <c r="AQ35" s="239">
        <v>-52993</v>
      </c>
      <c r="AR35" s="239">
        <v>0</v>
      </c>
      <c r="AS35" s="239">
        <v>-52993</v>
      </c>
      <c r="AT35" s="239">
        <v>-33690</v>
      </c>
      <c r="AU35" s="239">
        <v>0</v>
      </c>
      <c r="AV35" s="239">
        <v>-33690</v>
      </c>
      <c r="AW35" s="239">
        <v>0</v>
      </c>
      <c r="AX35" s="239">
        <v>0</v>
      </c>
      <c r="AY35" s="239">
        <v>0</v>
      </c>
      <c r="AZ35" s="239">
        <v>0</v>
      </c>
      <c r="BA35" s="239">
        <v>0</v>
      </c>
      <c r="BB35" s="239">
        <v>0</v>
      </c>
      <c r="BC35" s="239">
        <v>0</v>
      </c>
      <c r="BD35" s="239">
        <v>0</v>
      </c>
      <c r="BE35" s="239">
        <v>0</v>
      </c>
      <c r="BF35" s="239">
        <v>-13793156</v>
      </c>
      <c r="BG35" s="239">
        <v>0</v>
      </c>
      <c r="BH35" s="239">
        <v>-13793156</v>
      </c>
      <c r="BI35" s="239">
        <v>-6179</v>
      </c>
      <c r="BJ35" s="239">
        <v>0</v>
      </c>
      <c r="BK35" s="239">
        <v>-6179</v>
      </c>
      <c r="BL35" s="239">
        <v>-419</v>
      </c>
      <c r="BM35" s="239">
        <v>0</v>
      </c>
      <c r="BN35" s="239">
        <v>-419</v>
      </c>
      <c r="BO35" s="239">
        <v>-3650786</v>
      </c>
      <c r="BP35" s="239">
        <v>0</v>
      </c>
      <c r="BQ35" s="239">
        <v>-3650786</v>
      </c>
      <c r="BR35" s="239">
        <v>109390</v>
      </c>
      <c r="BS35" s="239">
        <v>0</v>
      </c>
      <c r="BT35" s="239">
        <v>109390</v>
      </c>
      <c r="BU35" s="239">
        <v>-3547994</v>
      </c>
      <c r="BV35" s="239">
        <v>0</v>
      </c>
      <c r="BW35" s="239">
        <v>-3547994</v>
      </c>
      <c r="BX35" s="239">
        <v>-399560</v>
      </c>
      <c r="BY35" s="239">
        <v>0</v>
      </c>
      <c r="BZ35" s="239">
        <v>-399560</v>
      </c>
      <c r="CA35" s="239">
        <v>-2039</v>
      </c>
      <c r="CB35" s="239">
        <v>0</v>
      </c>
      <c r="CC35" s="239">
        <v>-2039</v>
      </c>
      <c r="CD35" s="239">
        <v>-10933</v>
      </c>
      <c r="CE35" s="239">
        <v>0</v>
      </c>
      <c r="CF35" s="239">
        <v>-10933</v>
      </c>
      <c r="CG35" s="239">
        <v>400</v>
      </c>
      <c r="CH35" s="239">
        <v>0</v>
      </c>
      <c r="CI35" s="239">
        <v>400</v>
      </c>
      <c r="CJ35" s="239">
        <v>0</v>
      </c>
      <c r="CK35" s="239">
        <v>0</v>
      </c>
      <c r="CL35" s="239">
        <v>0</v>
      </c>
      <c r="CM35" s="239">
        <v>0</v>
      </c>
      <c r="CN35" s="239">
        <v>0</v>
      </c>
      <c r="CO35" s="239">
        <v>0</v>
      </c>
      <c r="CP35" s="239">
        <v>0</v>
      </c>
      <c r="CQ35" s="239">
        <v>0</v>
      </c>
      <c r="CR35" s="239">
        <v>0</v>
      </c>
      <c r="CS35" s="239">
        <v>0</v>
      </c>
      <c r="CT35" s="239">
        <v>0</v>
      </c>
      <c r="CU35" s="239">
        <v>0</v>
      </c>
      <c r="CV35" s="239">
        <v>0</v>
      </c>
      <c r="CW35" s="239">
        <v>0</v>
      </c>
      <c r="CX35" s="239">
        <v>0</v>
      </c>
      <c r="CY35" s="239">
        <v>0</v>
      </c>
      <c r="CZ35" s="239">
        <v>0</v>
      </c>
      <c r="DA35" s="239">
        <v>0</v>
      </c>
      <c r="DB35" s="239">
        <v>-3140</v>
      </c>
      <c r="DC35" s="239">
        <v>0</v>
      </c>
      <c r="DD35" s="239">
        <v>-3140</v>
      </c>
      <c r="DE35" s="239">
        <v>0</v>
      </c>
      <c r="DF35" s="239">
        <v>0</v>
      </c>
      <c r="DG35" s="239">
        <v>0</v>
      </c>
      <c r="DH35" s="239">
        <v>0</v>
      </c>
      <c r="DI35" s="239">
        <v>0</v>
      </c>
      <c r="DJ35" s="239">
        <v>-415272</v>
      </c>
      <c r="DK35" s="239">
        <v>0</v>
      </c>
      <c r="DL35" s="239">
        <v>-415272</v>
      </c>
      <c r="DM35" s="239">
        <v>0</v>
      </c>
      <c r="DN35" s="239">
        <v>0</v>
      </c>
      <c r="DO35" s="239">
        <v>0</v>
      </c>
      <c r="DP35" s="239">
        <v>27618</v>
      </c>
      <c r="DQ35" s="239">
        <v>0</v>
      </c>
      <c r="DR35" s="239">
        <v>27618</v>
      </c>
      <c r="DS35" s="239">
        <v>-228</v>
      </c>
      <c r="DT35" s="239">
        <v>0</v>
      </c>
      <c r="DU35" s="239">
        <v>-228</v>
      </c>
      <c r="DV35" s="239">
        <v>0</v>
      </c>
      <c r="DW35" s="239">
        <v>0</v>
      </c>
      <c r="DX35" s="239">
        <v>0</v>
      </c>
      <c r="DY35" s="239">
        <v>8217</v>
      </c>
      <c r="DZ35" s="239">
        <v>0</v>
      </c>
      <c r="EA35" s="239">
        <v>8217</v>
      </c>
      <c r="EB35" s="239">
        <v>0</v>
      </c>
      <c r="EC35" s="239">
        <v>0</v>
      </c>
      <c r="ED35" s="239">
        <v>0</v>
      </c>
      <c r="EE35" s="239">
        <v>0</v>
      </c>
      <c r="EF35" s="239">
        <v>0</v>
      </c>
      <c r="EG35" s="239">
        <v>0</v>
      </c>
      <c r="EH35" s="239">
        <v>480</v>
      </c>
      <c r="EI35" s="239">
        <v>0</v>
      </c>
      <c r="EJ35" s="239">
        <v>480</v>
      </c>
      <c r="EK35" s="239">
        <v>0</v>
      </c>
      <c r="EL35" s="239">
        <v>0</v>
      </c>
      <c r="EM35" s="239">
        <v>0</v>
      </c>
      <c r="EN35" s="239">
        <v>0</v>
      </c>
      <c r="EO35" s="239">
        <v>0</v>
      </c>
      <c r="EP35" s="239">
        <v>0</v>
      </c>
      <c r="EQ35" s="239">
        <v>-139312</v>
      </c>
      <c r="ER35" s="239">
        <v>0</v>
      </c>
      <c r="ES35" s="239">
        <v>-139312</v>
      </c>
      <c r="ET35" s="239">
        <v>-974179</v>
      </c>
      <c r="EU35" s="239">
        <v>0</v>
      </c>
      <c r="EV35" s="239">
        <v>-974179</v>
      </c>
      <c r="EW35" s="239">
        <v>-40400</v>
      </c>
      <c r="EX35" s="239">
        <v>0</v>
      </c>
      <c r="EY35" s="239">
        <v>-40400</v>
      </c>
      <c r="EZ35" s="239">
        <v>-1117804</v>
      </c>
      <c r="FA35" s="239">
        <v>0</v>
      </c>
      <c r="FB35" s="239">
        <v>-1117804</v>
      </c>
      <c r="FC35" s="239">
        <v>0</v>
      </c>
      <c r="FD35" s="239">
        <v>0</v>
      </c>
      <c r="FE35" s="239">
        <v>0</v>
      </c>
      <c r="FF35" s="239">
        <v>0</v>
      </c>
      <c r="FG35" s="239">
        <v>0</v>
      </c>
      <c r="FH35" s="239">
        <v>0</v>
      </c>
      <c r="FI35" s="239">
        <v>0</v>
      </c>
      <c r="FJ35" s="239">
        <v>0</v>
      </c>
      <c r="FK35" s="239">
        <v>0</v>
      </c>
      <c r="FL35" s="239">
        <v>148719460</v>
      </c>
      <c r="FM35" s="239">
        <v>0</v>
      </c>
      <c r="FN35" s="239">
        <v>148719460</v>
      </c>
      <c r="FO35" s="239">
        <v>-3543330</v>
      </c>
      <c r="FP35" s="239">
        <v>0</v>
      </c>
      <c r="FQ35" s="239">
        <v>-3543330</v>
      </c>
      <c r="FR35" s="239">
        <v>-13793156</v>
      </c>
      <c r="FS35" s="239">
        <v>0</v>
      </c>
      <c r="FT35" s="239">
        <v>-13793156</v>
      </c>
      <c r="FU35" s="239">
        <v>-3547994</v>
      </c>
      <c r="FV35" s="239">
        <v>0</v>
      </c>
      <c r="FW35" s="239">
        <v>-3547994</v>
      </c>
      <c r="FX35" s="239">
        <v>-415272</v>
      </c>
      <c r="FY35" s="239">
        <v>0</v>
      </c>
      <c r="FZ35" s="239">
        <v>-415272</v>
      </c>
      <c r="GA35" s="239">
        <v>-1117804</v>
      </c>
      <c r="GB35" s="239">
        <v>0</v>
      </c>
      <c r="GC35" s="239">
        <v>-1117804</v>
      </c>
      <c r="GD35" s="239">
        <v>0</v>
      </c>
      <c r="GE35" s="239">
        <v>0</v>
      </c>
      <c r="GF35" s="239">
        <v>0</v>
      </c>
      <c r="GG35" s="239">
        <v>-22417556</v>
      </c>
      <c r="GH35" s="239">
        <v>0</v>
      </c>
      <c r="GI35" s="239">
        <v>-22417556</v>
      </c>
      <c r="GJ35" s="239">
        <v>126301904</v>
      </c>
      <c r="GK35" s="239">
        <v>0</v>
      </c>
      <c r="GL35" s="239">
        <v>126301904</v>
      </c>
      <c r="GM35" s="214" t="s">
        <v>1159</v>
      </c>
    </row>
    <row r="36" spans="1:195" s="214" customFormat="1" x14ac:dyDescent="0.2">
      <c r="B36" s="602" t="s">
        <v>155</v>
      </c>
      <c r="C36" s="602" t="s">
        <v>154</v>
      </c>
      <c r="D36" s="239">
        <v>-639487</v>
      </c>
      <c r="E36" s="239">
        <v>0</v>
      </c>
      <c r="F36" s="239">
        <v>-639487</v>
      </c>
      <c r="G36" s="239">
        <v>948</v>
      </c>
      <c r="H36" s="239">
        <v>0</v>
      </c>
      <c r="I36" s="239">
        <v>948</v>
      </c>
      <c r="J36" s="239">
        <v>1858673</v>
      </c>
      <c r="K36" s="239">
        <v>0</v>
      </c>
      <c r="L36" s="239">
        <v>1858673</v>
      </c>
      <c r="M36" s="239">
        <v>45694</v>
      </c>
      <c r="N36" s="239">
        <v>0</v>
      </c>
      <c r="O36" s="239">
        <v>45694</v>
      </c>
      <c r="P36" s="239">
        <v>1265828</v>
      </c>
      <c r="Q36" s="239">
        <v>0</v>
      </c>
      <c r="R36" s="239">
        <v>1265828</v>
      </c>
      <c r="S36" s="239">
        <v>-2229554</v>
      </c>
      <c r="T36" s="239">
        <v>0</v>
      </c>
      <c r="U36" s="239">
        <v>-2229554</v>
      </c>
      <c r="V36" s="239">
        <v>0</v>
      </c>
      <c r="W36" s="239">
        <v>0</v>
      </c>
      <c r="X36" s="239">
        <v>0</v>
      </c>
      <c r="Y36" s="239">
        <v>-86382</v>
      </c>
      <c r="Z36" s="239">
        <v>0</v>
      </c>
      <c r="AA36" s="239">
        <v>-86382</v>
      </c>
      <c r="AB36" s="239">
        <v>0</v>
      </c>
      <c r="AC36" s="239">
        <v>0</v>
      </c>
      <c r="AD36" s="239">
        <v>0</v>
      </c>
      <c r="AE36" s="239">
        <v>0</v>
      </c>
      <c r="AF36" s="239">
        <v>0</v>
      </c>
      <c r="AG36" s="239">
        <v>0</v>
      </c>
      <c r="AH36" s="239">
        <v>637098</v>
      </c>
      <c r="AI36" s="239">
        <v>0</v>
      </c>
      <c r="AJ36" s="239">
        <v>637098</v>
      </c>
      <c r="AK36" s="239">
        <v>-42093</v>
      </c>
      <c r="AL36" s="239">
        <v>0</v>
      </c>
      <c r="AM36" s="239">
        <v>-42093</v>
      </c>
      <c r="AN36" s="239">
        <v>-2326130</v>
      </c>
      <c r="AO36" s="239">
        <v>0</v>
      </c>
      <c r="AP36" s="239">
        <v>-2326130</v>
      </c>
      <c r="AQ36" s="239">
        <v>-23637</v>
      </c>
      <c r="AR36" s="239">
        <v>0</v>
      </c>
      <c r="AS36" s="239">
        <v>-23637</v>
      </c>
      <c r="AT36" s="239">
        <v>-40792</v>
      </c>
      <c r="AU36" s="239">
        <v>0</v>
      </c>
      <c r="AV36" s="239">
        <v>-40792</v>
      </c>
      <c r="AW36" s="239">
        <v>-1386</v>
      </c>
      <c r="AX36" s="239">
        <v>0</v>
      </c>
      <c r="AY36" s="239">
        <v>-1386</v>
      </c>
      <c r="AZ36" s="239">
        <v>0</v>
      </c>
      <c r="BA36" s="239">
        <v>0</v>
      </c>
      <c r="BB36" s="239">
        <v>0</v>
      </c>
      <c r="BC36" s="239">
        <v>0</v>
      </c>
      <c r="BD36" s="239">
        <v>0</v>
      </c>
      <c r="BE36" s="239">
        <v>0</v>
      </c>
      <c r="BF36" s="239">
        <v>-4112876</v>
      </c>
      <c r="BG36" s="239">
        <v>0</v>
      </c>
      <c r="BH36" s="239">
        <v>-4112876</v>
      </c>
      <c r="BI36" s="239">
        <v>-18446</v>
      </c>
      <c r="BJ36" s="239">
        <v>0</v>
      </c>
      <c r="BK36" s="239">
        <v>-18446</v>
      </c>
      <c r="BL36" s="239">
        <v>-233</v>
      </c>
      <c r="BM36" s="239">
        <v>0</v>
      </c>
      <c r="BN36" s="239">
        <v>-233</v>
      </c>
      <c r="BO36" s="239">
        <v>-898750</v>
      </c>
      <c r="BP36" s="239">
        <v>0</v>
      </c>
      <c r="BQ36" s="239">
        <v>-898750</v>
      </c>
      <c r="BR36" s="239">
        <v>-99198</v>
      </c>
      <c r="BS36" s="239">
        <v>0</v>
      </c>
      <c r="BT36" s="239">
        <v>-99198</v>
      </c>
      <c r="BU36" s="239">
        <v>-1016627</v>
      </c>
      <c r="BV36" s="239">
        <v>0</v>
      </c>
      <c r="BW36" s="239">
        <v>-1016627</v>
      </c>
      <c r="BX36" s="239">
        <v>-55469</v>
      </c>
      <c r="BY36" s="239">
        <v>0</v>
      </c>
      <c r="BZ36" s="239">
        <v>-55469</v>
      </c>
      <c r="CA36" s="239">
        <v>-173</v>
      </c>
      <c r="CB36" s="239">
        <v>0</v>
      </c>
      <c r="CC36" s="239">
        <v>-173</v>
      </c>
      <c r="CD36" s="239">
        <v>-38965</v>
      </c>
      <c r="CE36" s="239">
        <v>0</v>
      </c>
      <c r="CF36" s="239">
        <v>-38965</v>
      </c>
      <c r="CG36" s="239">
        <v>-5423</v>
      </c>
      <c r="CH36" s="239">
        <v>0</v>
      </c>
      <c r="CI36" s="239">
        <v>-5423</v>
      </c>
      <c r="CJ36" s="239">
        <v>-4122</v>
      </c>
      <c r="CK36" s="239">
        <v>0</v>
      </c>
      <c r="CL36" s="239">
        <v>-4122</v>
      </c>
      <c r="CM36" s="239">
        <v>-86</v>
      </c>
      <c r="CN36" s="239">
        <v>0</v>
      </c>
      <c r="CO36" s="239">
        <v>-86</v>
      </c>
      <c r="CP36" s="239">
        <v>0</v>
      </c>
      <c r="CQ36" s="239">
        <v>0</v>
      </c>
      <c r="CR36" s="239">
        <v>0</v>
      </c>
      <c r="CS36" s="239">
        <v>0</v>
      </c>
      <c r="CT36" s="239">
        <v>0</v>
      </c>
      <c r="CU36" s="239">
        <v>0</v>
      </c>
      <c r="CV36" s="239">
        <v>0</v>
      </c>
      <c r="CW36" s="239">
        <v>0</v>
      </c>
      <c r="CX36" s="239">
        <v>0</v>
      </c>
      <c r="CY36" s="239">
        <v>0</v>
      </c>
      <c r="CZ36" s="239">
        <v>0</v>
      </c>
      <c r="DA36" s="239">
        <v>0</v>
      </c>
      <c r="DB36" s="239">
        <v>0</v>
      </c>
      <c r="DC36" s="239">
        <v>0</v>
      </c>
      <c r="DD36" s="239">
        <v>0</v>
      </c>
      <c r="DE36" s="239">
        <v>0</v>
      </c>
      <c r="DF36" s="239">
        <v>0</v>
      </c>
      <c r="DG36" s="239">
        <v>0</v>
      </c>
      <c r="DH36" s="239">
        <v>0</v>
      </c>
      <c r="DI36" s="239">
        <v>0</v>
      </c>
      <c r="DJ36" s="239">
        <v>-104238</v>
      </c>
      <c r="DK36" s="239">
        <v>0</v>
      </c>
      <c r="DL36" s="239">
        <v>-104238</v>
      </c>
      <c r="DM36" s="239">
        <v>0</v>
      </c>
      <c r="DN36" s="239">
        <v>0</v>
      </c>
      <c r="DO36" s="239">
        <v>0</v>
      </c>
      <c r="DP36" s="239">
        <v>-7665</v>
      </c>
      <c r="DQ36" s="239">
        <v>0</v>
      </c>
      <c r="DR36" s="239">
        <v>-7665</v>
      </c>
      <c r="DS36" s="239">
        <v>-1830</v>
      </c>
      <c r="DT36" s="239">
        <v>0</v>
      </c>
      <c r="DU36" s="239">
        <v>-1830</v>
      </c>
      <c r="DV36" s="239">
        <v>-20936</v>
      </c>
      <c r="DW36" s="239">
        <v>0</v>
      </c>
      <c r="DX36" s="239">
        <v>-20936</v>
      </c>
      <c r="DY36" s="239">
        <v>1081</v>
      </c>
      <c r="DZ36" s="239">
        <v>0</v>
      </c>
      <c r="EA36" s="239">
        <v>1081</v>
      </c>
      <c r="EB36" s="239">
        <v>0</v>
      </c>
      <c r="EC36" s="239">
        <v>0</v>
      </c>
      <c r="ED36" s="239">
        <v>0</v>
      </c>
      <c r="EE36" s="239">
        <v>0</v>
      </c>
      <c r="EF36" s="239">
        <v>0</v>
      </c>
      <c r="EG36" s="239">
        <v>0</v>
      </c>
      <c r="EH36" s="239">
        <v>0</v>
      </c>
      <c r="EI36" s="239">
        <v>0</v>
      </c>
      <c r="EJ36" s="239">
        <v>0</v>
      </c>
      <c r="EK36" s="239">
        <v>0</v>
      </c>
      <c r="EL36" s="239">
        <v>0</v>
      </c>
      <c r="EM36" s="239">
        <v>0</v>
      </c>
      <c r="EN36" s="239">
        <v>0</v>
      </c>
      <c r="EO36" s="239">
        <v>0</v>
      </c>
      <c r="EP36" s="239">
        <v>0</v>
      </c>
      <c r="EQ36" s="239">
        <v>-5281.93</v>
      </c>
      <c r="ER36" s="239">
        <v>0</v>
      </c>
      <c r="ES36" s="239">
        <v>-5281.93</v>
      </c>
      <c r="ET36" s="239">
        <v>-122565.16</v>
      </c>
      <c r="EU36" s="239">
        <v>0</v>
      </c>
      <c r="EV36" s="239">
        <v>-122565.16</v>
      </c>
      <c r="EW36" s="239">
        <v>-19723.28</v>
      </c>
      <c r="EX36" s="239">
        <v>0</v>
      </c>
      <c r="EY36" s="239">
        <v>-19723.28</v>
      </c>
      <c r="EZ36" s="239">
        <v>-176920</v>
      </c>
      <c r="FA36" s="239">
        <v>0</v>
      </c>
      <c r="FB36" s="239">
        <v>-176920</v>
      </c>
      <c r="FC36" s="239">
        <v>0</v>
      </c>
      <c r="FD36" s="239">
        <v>0</v>
      </c>
      <c r="FE36" s="239">
        <v>0</v>
      </c>
      <c r="FF36" s="239">
        <v>0</v>
      </c>
      <c r="FG36" s="239">
        <v>0</v>
      </c>
      <c r="FH36" s="239">
        <v>0</v>
      </c>
      <c r="FI36" s="239">
        <v>0</v>
      </c>
      <c r="FJ36" s="239">
        <v>0</v>
      </c>
      <c r="FK36" s="239">
        <v>0</v>
      </c>
      <c r="FL36" s="239">
        <v>32241032</v>
      </c>
      <c r="FM36" s="239">
        <v>0</v>
      </c>
      <c r="FN36" s="239">
        <v>32241032</v>
      </c>
      <c r="FO36" s="239">
        <v>1265828</v>
      </c>
      <c r="FP36" s="239">
        <v>0</v>
      </c>
      <c r="FQ36" s="239">
        <v>1265828</v>
      </c>
      <c r="FR36" s="239">
        <v>-4112876</v>
      </c>
      <c r="FS36" s="239">
        <v>0</v>
      </c>
      <c r="FT36" s="239">
        <v>-4112876</v>
      </c>
      <c r="FU36" s="239">
        <v>-1016627</v>
      </c>
      <c r="FV36" s="239">
        <v>0</v>
      </c>
      <c r="FW36" s="239">
        <v>-1016627</v>
      </c>
      <c r="FX36" s="239">
        <v>-104238</v>
      </c>
      <c r="FY36" s="239">
        <v>0</v>
      </c>
      <c r="FZ36" s="239">
        <v>-104238</v>
      </c>
      <c r="GA36" s="239">
        <v>-176920</v>
      </c>
      <c r="GB36" s="239">
        <v>0</v>
      </c>
      <c r="GC36" s="239">
        <v>-176920</v>
      </c>
      <c r="GD36" s="239">
        <v>0</v>
      </c>
      <c r="GE36" s="239">
        <v>0</v>
      </c>
      <c r="GF36" s="239">
        <v>0</v>
      </c>
      <c r="GG36" s="239">
        <v>-4144833</v>
      </c>
      <c r="GH36" s="239">
        <v>0</v>
      </c>
      <c r="GI36" s="239">
        <v>-4144833</v>
      </c>
      <c r="GJ36" s="239">
        <v>28096199</v>
      </c>
      <c r="GK36" s="239">
        <v>0</v>
      </c>
      <c r="GL36" s="239">
        <v>28096199</v>
      </c>
      <c r="GM36" s="214" t="s">
        <v>1158</v>
      </c>
    </row>
    <row r="37" spans="1:195" s="214" customFormat="1" x14ac:dyDescent="0.2">
      <c r="B37" s="602" t="s">
        <v>157</v>
      </c>
      <c r="C37" s="602" t="s">
        <v>156</v>
      </c>
      <c r="D37" s="239">
        <v>-7563699</v>
      </c>
      <c r="E37" s="239">
        <v>0</v>
      </c>
      <c r="F37" s="239">
        <v>-7563699</v>
      </c>
      <c r="G37" s="239">
        <v>168426</v>
      </c>
      <c r="H37" s="239">
        <v>0</v>
      </c>
      <c r="I37" s="239">
        <v>168426</v>
      </c>
      <c r="J37" s="239">
        <v>1417071</v>
      </c>
      <c r="K37" s="239">
        <v>0</v>
      </c>
      <c r="L37" s="239">
        <v>1417071</v>
      </c>
      <c r="M37" s="239">
        <v>16631</v>
      </c>
      <c r="N37" s="239">
        <v>0</v>
      </c>
      <c r="O37" s="239">
        <v>16631</v>
      </c>
      <c r="P37" s="239">
        <v>-5961571</v>
      </c>
      <c r="Q37" s="239">
        <v>0</v>
      </c>
      <c r="R37" s="239">
        <v>-5961571</v>
      </c>
      <c r="S37" s="239">
        <v>-9964921</v>
      </c>
      <c r="T37" s="239">
        <v>0</v>
      </c>
      <c r="U37" s="239">
        <v>-9964921</v>
      </c>
      <c r="V37" s="239">
        <v>-34688</v>
      </c>
      <c r="W37" s="239">
        <v>0</v>
      </c>
      <c r="X37" s="239">
        <v>-34688</v>
      </c>
      <c r="Y37" s="239">
        <v>-373535</v>
      </c>
      <c r="Z37" s="239">
        <v>0</v>
      </c>
      <c r="AA37" s="239">
        <v>-373535</v>
      </c>
      <c r="AB37" s="239">
        <v>-353306</v>
      </c>
      <c r="AC37" s="239">
        <v>0</v>
      </c>
      <c r="AD37" s="239">
        <v>-353306</v>
      </c>
      <c r="AE37" s="239">
        <v>-11094</v>
      </c>
      <c r="AF37" s="239">
        <v>0</v>
      </c>
      <c r="AG37" s="239">
        <v>-11094</v>
      </c>
      <c r="AH37" s="239">
        <v>2791207</v>
      </c>
      <c r="AI37" s="239">
        <v>0</v>
      </c>
      <c r="AJ37" s="239">
        <v>2791207</v>
      </c>
      <c r="AK37" s="239">
        <v>114927</v>
      </c>
      <c r="AL37" s="239">
        <v>0</v>
      </c>
      <c r="AM37" s="239">
        <v>114927</v>
      </c>
      <c r="AN37" s="239">
        <v>-10874251</v>
      </c>
      <c r="AO37" s="239">
        <v>0</v>
      </c>
      <c r="AP37" s="239">
        <v>-10874251</v>
      </c>
      <c r="AQ37" s="239">
        <v>-516763</v>
      </c>
      <c r="AR37" s="239">
        <v>0</v>
      </c>
      <c r="AS37" s="239">
        <v>-516763</v>
      </c>
      <c r="AT37" s="239">
        <v>-51466</v>
      </c>
      <c r="AU37" s="239">
        <v>0</v>
      </c>
      <c r="AV37" s="239">
        <v>-51466</v>
      </c>
      <c r="AW37" s="239">
        <v>1859</v>
      </c>
      <c r="AX37" s="239">
        <v>0</v>
      </c>
      <c r="AY37" s="239">
        <v>1859</v>
      </c>
      <c r="AZ37" s="239">
        <v>0</v>
      </c>
      <c r="BA37" s="239">
        <v>0</v>
      </c>
      <c r="BB37" s="239">
        <v>0</v>
      </c>
      <c r="BC37" s="239">
        <v>0</v>
      </c>
      <c r="BD37" s="239">
        <v>0</v>
      </c>
      <c r="BE37" s="239">
        <v>0</v>
      </c>
      <c r="BF37" s="239">
        <v>-18872943</v>
      </c>
      <c r="BG37" s="239">
        <v>0</v>
      </c>
      <c r="BH37" s="239">
        <v>-18872943</v>
      </c>
      <c r="BI37" s="239">
        <v>-94976</v>
      </c>
      <c r="BJ37" s="239">
        <v>0</v>
      </c>
      <c r="BK37" s="239">
        <v>-94976</v>
      </c>
      <c r="BL37" s="239">
        <v>0</v>
      </c>
      <c r="BM37" s="239">
        <v>0</v>
      </c>
      <c r="BN37" s="239">
        <v>0</v>
      </c>
      <c r="BO37" s="239">
        <v>-2917873</v>
      </c>
      <c r="BP37" s="239">
        <v>0</v>
      </c>
      <c r="BQ37" s="239">
        <v>-2917873</v>
      </c>
      <c r="BR37" s="239">
        <v>-538237</v>
      </c>
      <c r="BS37" s="239">
        <v>0</v>
      </c>
      <c r="BT37" s="239">
        <v>-538237</v>
      </c>
      <c r="BU37" s="239">
        <v>-3551086</v>
      </c>
      <c r="BV37" s="239">
        <v>0</v>
      </c>
      <c r="BW37" s="239">
        <v>-3551086</v>
      </c>
      <c r="BX37" s="239">
        <v>-29509</v>
      </c>
      <c r="BY37" s="239">
        <v>0</v>
      </c>
      <c r="BZ37" s="239">
        <v>-29509</v>
      </c>
      <c r="CA37" s="239">
        <v>1096</v>
      </c>
      <c r="CB37" s="239">
        <v>0</v>
      </c>
      <c r="CC37" s="239">
        <v>1096</v>
      </c>
      <c r="CD37" s="239">
        <v>-22834</v>
      </c>
      <c r="CE37" s="239">
        <v>0</v>
      </c>
      <c r="CF37" s="239">
        <v>-22834</v>
      </c>
      <c r="CG37" s="239">
        <v>-5508</v>
      </c>
      <c r="CH37" s="239">
        <v>0</v>
      </c>
      <c r="CI37" s="239">
        <v>-5508</v>
      </c>
      <c r="CJ37" s="239">
        <v>-1142</v>
      </c>
      <c r="CK37" s="239">
        <v>0</v>
      </c>
      <c r="CL37" s="239">
        <v>-1142</v>
      </c>
      <c r="CM37" s="239">
        <v>-1420</v>
      </c>
      <c r="CN37" s="239">
        <v>0</v>
      </c>
      <c r="CO37" s="239">
        <v>-1420</v>
      </c>
      <c r="CP37" s="239">
        <v>0</v>
      </c>
      <c r="CQ37" s="239">
        <v>0</v>
      </c>
      <c r="CR37" s="239">
        <v>0</v>
      </c>
      <c r="CS37" s="239">
        <v>0</v>
      </c>
      <c r="CT37" s="239">
        <v>0</v>
      </c>
      <c r="CU37" s="239">
        <v>0</v>
      </c>
      <c r="CV37" s="239">
        <v>0</v>
      </c>
      <c r="CW37" s="239">
        <v>0</v>
      </c>
      <c r="CX37" s="239">
        <v>0</v>
      </c>
      <c r="CY37" s="239">
        <v>0</v>
      </c>
      <c r="CZ37" s="239">
        <v>0</v>
      </c>
      <c r="DA37" s="239">
        <v>0</v>
      </c>
      <c r="DB37" s="239">
        <v>0</v>
      </c>
      <c r="DC37" s="239">
        <v>0</v>
      </c>
      <c r="DD37" s="239">
        <v>0</v>
      </c>
      <c r="DE37" s="239">
        <v>1105</v>
      </c>
      <c r="DF37" s="239">
        <v>0</v>
      </c>
      <c r="DG37" s="239">
        <v>1105</v>
      </c>
      <c r="DH37" s="239">
        <v>0</v>
      </c>
      <c r="DI37" s="239">
        <v>0</v>
      </c>
      <c r="DJ37" s="239">
        <v>-58212</v>
      </c>
      <c r="DK37" s="239">
        <v>0</v>
      </c>
      <c r="DL37" s="239">
        <v>-58212</v>
      </c>
      <c r="DM37" s="239">
        <v>-4773</v>
      </c>
      <c r="DN37" s="239">
        <v>0</v>
      </c>
      <c r="DO37" s="239">
        <v>-4773</v>
      </c>
      <c r="DP37" s="239">
        <v>-20617</v>
      </c>
      <c r="DQ37" s="239">
        <v>0</v>
      </c>
      <c r="DR37" s="239">
        <v>-20617</v>
      </c>
      <c r="DS37" s="239">
        <v>-14901</v>
      </c>
      <c r="DT37" s="239">
        <v>0</v>
      </c>
      <c r="DU37" s="239">
        <v>-14901</v>
      </c>
      <c r="DV37" s="239">
        <v>-10322</v>
      </c>
      <c r="DW37" s="239">
        <v>0</v>
      </c>
      <c r="DX37" s="239">
        <v>-10322</v>
      </c>
      <c r="DY37" s="239">
        <v>17234</v>
      </c>
      <c r="DZ37" s="239">
        <v>0</v>
      </c>
      <c r="EA37" s="239">
        <v>17234</v>
      </c>
      <c r="EB37" s="239">
        <v>0</v>
      </c>
      <c r="EC37" s="239">
        <v>0</v>
      </c>
      <c r="ED37" s="239">
        <v>0</v>
      </c>
      <c r="EE37" s="239">
        <v>-7</v>
      </c>
      <c r="EF37" s="239">
        <v>0</v>
      </c>
      <c r="EG37" s="239">
        <v>-7</v>
      </c>
      <c r="EH37" s="239">
        <v>0</v>
      </c>
      <c r="EI37" s="239">
        <v>0</v>
      </c>
      <c r="EJ37" s="239">
        <v>0</v>
      </c>
      <c r="EK37" s="239">
        <v>0</v>
      </c>
      <c r="EL37" s="239">
        <v>0</v>
      </c>
      <c r="EM37" s="239">
        <v>0</v>
      </c>
      <c r="EN37" s="239">
        <v>0</v>
      </c>
      <c r="EO37" s="239">
        <v>0</v>
      </c>
      <c r="EP37" s="239">
        <v>0</v>
      </c>
      <c r="EQ37" s="239">
        <v>-138937</v>
      </c>
      <c r="ER37" s="239">
        <v>0</v>
      </c>
      <c r="ES37" s="239">
        <v>-138937</v>
      </c>
      <c r="ET37" s="239">
        <v>-930968</v>
      </c>
      <c r="EU37" s="239">
        <v>0</v>
      </c>
      <c r="EV37" s="239">
        <v>-930968</v>
      </c>
      <c r="EW37" s="239">
        <v>-201751</v>
      </c>
      <c r="EX37" s="239">
        <v>0</v>
      </c>
      <c r="EY37" s="239">
        <v>-201751</v>
      </c>
      <c r="EZ37" s="239">
        <v>-1305042</v>
      </c>
      <c r="FA37" s="239">
        <v>0</v>
      </c>
      <c r="FB37" s="239">
        <v>-1305042</v>
      </c>
      <c r="FC37" s="239">
        <v>0</v>
      </c>
      <c r="FD37" s="239">
        <v>0</v>
      </c>
      <c r="FE37" s="239">
        <v>0</v>
      </c>
      <c r="FF37" s="239">
        <v>0</v>
      </c>
      <c r="FG37" s="239">
        <v>0</v>
      </c>
      <c r="FH37" s="239">
        <v>0</v>
      </c>
      <c r="FI37" s="239">
        <v>0</v>
      </c>
      <c r="FJ37" s="239">
        <v>0</v>
      </c>
      <c r="FK37" s="239">
        <v>0</v>
      </c>
      <c r="FL37" s="239">
        <v>141580575</v>
      </c>
      <c r="FM37" s="239">
        <v>0</v>
      </c>
      <c r="FN37" s="239">
        <v>141580575</v>
      </c>
      <c r="FO37" s="239">
        <v>-5961571</v>
      </c>
      <c r="FP37" s="239">
        <v>0</v>
      </c>
      <c r="FQ37" s="239">
        <v>-5961571</v>
      </c>
      <c r="FR37" s="239">
        <v>-18872943</v>
      </c>
      <c r="FS37" s="239">
        <v>0</v>
      </c>
      <c r="FT37" s="239">
        <v>-18872943</v>
      </c>
      <c r="FU37" s="239">
        <v>-3551086</v>
      </c>
      <c r="FV37" s="239">
        <v>0</v>
      </c>
      <c r="FW37" s="239">
        <v>-3551086</v>
      </c>
      <c r="FX37" s="239">
        <v>-58212</v>
      </c>
      <c r="FY37" s="239">
        <v>0</v>
      </c>
      <c r="FZ37" s="239">
        <v>-58212</v>
      </c>
      <c r="GA37" s="239">
        <v>-1305042</v>
      </c>
      <c r="GB37" s="239">
        <v>0</v>
      </c>
      <c r="GC37" s="239">
        <v>-1305042</v>
      </c>
      <c r="GD37" s="239">
        <v>0</v>
      </c>
      <c r="GE37" s="239">
        <v>0</v>
      </c>
      <c r="GF37" s="239">
        <v>0</v>
      </c>
      <c r="GG37" s="239">
        <v>-29748854</v>
      </c>
      <c r="GH37" s="239">
        <v>0</v>
      </c>
      <c r="GI37" s="239">
        <v>-29748854</v>
      </c>
      <c r="GJ37" s="239">
        <v>111831721</v>
      </c>
      <c r="GK37" s="239">
        <v>0</v>
      </c>
      <c r="GL37" s="239">
        <v>111831721</v>
      </c>
      <c r="GM37" s="214" t="s">
        <v>746</v>
      </c>
    </row>
    <row r="38" spans="1:195" s="214" customFormat="1" x14ac:dyDescent="0.2">
      <c r="B38" s="602" t="s">
        <v>159</v>
      </c>
      <c r="C38" s="602" t="s">
        <v>158</v>
      </c>
      <c r="D38" s="239">
        <v>-6393997</v>
      </c>
      <c r="E38" s="239">
        <v>-348387</v>
      </c>
      <c r="F38" s="239">
        <v>-6742384</v>
      </c>
      <c r="G38" s="239">
        <v>19677</v>
      </c>
      <c r="H38" s="239">
        <v>77270</v>
      </c>
      <c r="I38" s="239">
        <v>96947</v>
      </c>
      <c r="J38" s="239">
        <v>11863830</v>
      </c>
      <c r="K38" s="239">
        <v>629925</v>
      </c>
      <c r="L38" s="239">
        <v>12493755</v>
      </c>
      <c r="M38" s="239">
        <v>201478</v>
      </c>
      <c r="N38" s="239">
        <v>0</v>
      </c>
      <c r="O38" s="239">
        <v>201478</v>
      </c>
      <c r="P38" s="239">
        <v>5690988</v>
      </c>
      <c r="Q38" s="239">
        <v>358808</v>
      </c>
      <c r="R38" s="239">
        <v>6049796</v>
      </c>
      <c r="S38" s="239">
        <v>-12986953</v>
      </c>
      <c r="T38" s="239">
        <v>-260430</v>
      </c>
      <c r="U38" s="239">
        <v>-13247383</v>
      </c>
      <c r="V38" s="239">
        <v>-44649</v>
      </c>
      <c r="W38" s="239">
        <v>-656</v>
      </c>
      <c r="X38" s="239">
        <v>-45305</v>
      </c>
      <c r="Y38" s="239">
        <v>-417083</v>
      </c>
      <c r="Z38" s="239">
        <v>-3003</v>
      </c>
      <c r="AA38" s="239">
        <v>-420086</v>
      </c>
      <c r="AB38" s="239">
        <v>-395386</v>
      </c>
      <c r="AC38" s="239">
        <v>-3003</v>
      </c>
      <c r="AD38" s="239">
        <v>-398389</v>
      </c>
      <c r="AE38" s="239">
        <v>-13589</v>
      </c>
      <c r="AF38" s="239">
        <v>-511</v>
      </c>
      <c r="AG38" s="239">
        <v>-14100</v>
      </c>
      <c r="AH38" s="239">
        <v>4690114</v>
      </c>
      <c r="AI38" s="239">
        <v>792028</v>
      </c>
      <c r="AJ38" s="239">
        <v>5482142</v>
      </c>
      <c r="AK38" s="239">
        <v>283704</v>
      </c>
      <c r="AL38" s="239">
        <v>-10659</v>
      </c>
      <c r="AM38" s="239">
        <v>273045</v>
      </c>
      <c r="AN38" s="239">
        <v>-18651419</v>
      </c>
      <c r="AO38" s="239">
        <v>-397337</v>
      </c>
      <c r="AP38" s="239">
        <v>-19048756</v>
      </c>
      <c r="AQ38" s="239">
        <v>209984</v>
      </c>
      <c r="AR38" s="239">
        <v>0</v>
      </c>
      <c r="AS38" s="239">
        <v>209984</v>
      </c>
      <c r="AT38" s="239">
        <v>-104721</v>
      </c>
      <c r="AU38" s="239">
        <v>0</v>
      </c>
      <c r="AV38" s="239">
        <v>-104721</v>
      </c>
      <c r="AW38" s="239">
        <v>0</v>
      </c>
      <c r="AX38" s="239">
        <v>0</v>
      </c>
      <c r="AY38" s="239">
        <v>0</v>
      </c>
      <c r="AZ38" s="239">
        <v>0</v>
      </c>
      <c r="BA38" s="239">
        <v>0</v>
      </c>
      <c r="BB38" s="239">
        <v>0</v>
      </c>
      <c r="BC38" s="239">
        <v>0</v>
      </c>
      <c r="BD38" s="239">
        <v>0</v>
      </c>
      <c r="BE38" s="239">
        <v>0</v>
      </c>
      <c r="BF38" s="239">
        <v>-26976374</v>
      </c>
      <c r="BG38" s="239">
        <v>120599</v>
      </c>
      <c r="BH38" s="239">
        <v>-26855775</v>
      </c>
      <c r="BI38" s="239">
        <v>-3105</v>
      </c>
      <c r="BJ38" s="239">
        <v>0</v>
      </c>
      <c r="BK38" s="239">
        <v>-3105</v>
      </c>
      <c r="BL38" s="239">
        <v>-444551</v>
      </c>
      <c r="BM38" s="239">
        <v>23137</v>
      </c>
      <c r="BN38" s="239">
        <v>-421414</v>
      </c>
      <c r="BO38" s="239">
        <v>-8814469</v>
      </c>
      <c r="BP38" s="239">
        <v>-734129</v>
      </c>
      <c r="BQ38" s="239">
        <v>-9548598</v>
      </c>
      <c r="BR38" s="239">
        <v>312037</v>
      </c>
      <c r="BS38" s="239">
        <v>-145611</v>
      </c>
      <c r="BT38" s="239">
        <v>166426</v>
      </c>
      <c r="BU38" s="239">
        <v>-8950088</v>
      </c>
      <c r="BV38" s="239">
        <v>-856603</v>
      </c>
      <c r="BW38" s="239">
        <v>-9806691</v>
      </c>
      <c r="BX38" s="239">
        <v>-276313</v>
      </c>
      <c r="BY38" s="239">
        <v>0</v>
      </c>
      <c r="BZ38" s="239">
        <v>-276313</v>
      </c>
      <c r="CA38" s="239">
        <v>-1572</v>
      </c>
      <c r="CB38" s="239">
        <v>0</v>
      </c>
      <c r="CC38" s="239">
        <v>-1572</v>
      </c>
      <c r="CD38" s="239">
        <v>-193803</v>
      </c>
      <c r="CE38" s="239">
        <v>-3375</v>
      </c>
      <c r="CF38" s="239">
        <v>-197178</v>
      </c>
      <c r="CG38" s="239">
        <v>12776</v>
      </c>
      <c r="CH38" s="239">
        <v>0</v>
      </c>
      <c r="CI38" s="239">
        <v>12776</v>
      </c>
      <c r="CJ38" s="239">
        <v>-2028</v>
      </c>
      <c r="CK38" s="239">
        <v>0</v>
      </c>
      <c r="CL38" s="239">
        <v>-2028</v>
      </c>
      <c r="CM38" s="239">
        <v>0</v>
      </c>
      <c r="CN38" s="239">
        <v>0</v>
      </c>
      <c r="CO38" s="239">
        <v>0</v>
      </c>
      <c r="CP38" s="239">
        <v>0</v>
      </c>
      <c r="CQ38" s="239">
        <v>0</v>
      </c>
      <c r="CR38" s="239">
        <v>0</v>
      </c>
      <c r="CS38" s="239">
        <v>0</v>
      </c>
      <c r="CT38" s="239">
        <v>0</v>
      </c>
      <c r="CU38" s="239">
        <v>0</v>
      </c>
      <c r="CV38" s="239">
        <v>0</v>
      </c>
      <c r="CW38" s="239">
        <v>0</v>
      </c>
      <c r="CX38" s="239">
        <v>0</v>
      </c>
      <c r="CY38" s="239">
        <v>0</v>
      </c>
      <c r="CZ38" s="239">
        <v>0</v>
      </c>
      <c r="DA38" s="239">
        <v>0</v>
      </c>
      <c r="DB38" s="239">
        <v>0</v>
      </c>
      <c r="DC38" s="239">
        <v>-1016095</v>
      </c>
      <c r="DD38" s="239">
        <v>-1016095</v>
      </c>
      <c r="DE38" s="239">
        <v>0</v>
      </c>
      <c r="DF38" s="239">
        <v>-136292</v>
      </c>
      <c r="DG38" s="239">
        <v>-136292</v>
      </c>
      <c r="DH38" s="239">
        <v>-1152387</v>
      </c>
      <c r="DI38" s="239">
        <v>0</v>
      </c>
      <c r="DJ38" s="239">
        <v>-460940</v>
      </c>
      <c r="DK38" s="239">
        <v>-1155762</v>
      </c>
      <c r="DL38" s="239">
        <v>-1616702</v>
      </c>
      <c r="DM38" s="239">
        <v>0</v>
      </c>
      <c r="DN38" s="239">
        <v>0</v>
      </c>
      <c r="DO38" s="239">
        <v>0</v>
      </c>
      <c r="DP38" s="239">
        <v>0</v>
      </c>
      <c r="DQ38" s="239">
        <v>0</v>
      </c>
      <c r="DR38" s="239">
        <v>0</v>
      </c>
      <c r="DS38" s="239">
        <v>-10943</v>
      </c>
      <c r="DT38" s="239">
        <v>0</v>
      </c>
      <c r="DU38" s="239">
        <v>-10943</v>
      </c>
      <c r="DV38" s="239">
        <v>-14351</v>
      </c>
      <c r="DW38" s="239">
        <v>0</v>
      </c>
      <c r="DX38" s="239">
        <v>-14351</v>
      </c>
      <c r="DY38" s="239">
        <v>1232</v>
      </c>
      <c r="DZ38" s="239">
        <v>0</v>
      </c>
      <c r="EA38" s="239">
        <v>1232</v>
      </c>
      <c r="EB38" s="239">
        <v>0</v>
      </c>
      <c r="EC38" s="239">
        <v>0</v>
      </c>
      <c r="ED38" s="239">
        <v>0</v>
      </c>
      <c r="EE38" s="239">
        <v>0</v>
      </c>
      <c r="EF38" s="239">
        <v>0</v>
      </c>
      <c r="EG38" s="239">
        <v>0</v>
      </c>
      <c r="EH38" s="239">
        <v>0</v>
      </c>
      <c r="EI38" s="239">
        <v>381</v>
      </c>
      <c r="EJ38" s="239">
        <v>381</v>
      </c>
      <c r="EK38" s="239">
        <v>0</v>
      </c>
      <c r="EL38" s="239">
        <v>0</v>
      </c>
      <c r="EM38" s="239">
        <v>0</v>
      </c>
      <c r="EN38" s="239">
        <v>0</v>
      </c>
      <c r="EO38" s="239">
        <v>0</v>
      </c>
      <c r="EP38" s="239">
        <v>0</v>
      </c>
      <c r="EQ38" s="239">
        <v>-112841</v>
      </c>
      <c r="ER38" s="239">
        <v>-914</v>
      </c>
      <c r="ES38" s="239">
        <v>-113755</v>
      </c>
      <c r="ET38" s="239">
        <v>-861078</v>
      </c>
      <c r="EU38" s="239">
        <v>-74442</v>
      </c>
      <c r="EV38" s="239">
        <v>-935520</v>
      </c>
      <c r="EW38" s="239">
        <v>-198928</v>
      </c>
      <c r="EX38" s="239">
        <v>-137</v>
      </c>
      <c r="EY38" s="239">
        <v>-199065</v>
      </c>
      <c r="EZ38" s="239">
        <v>-1196909</v>
      </c>
      <c r="FA38" s="239">
        <v>-75112</v>
      </c>
      <c r="FB38" s="239">
        <v>-1272021</v>
      </c>
      <c r="FC38" s="239">
        <v>-274</v>
      </c>
      <c r="FD38" s="239">
        <v>0</v>
      </c>
      <c r="FE38" s="239">
        <v>-274</v>
      </c>
      <c r="FF38" s="239">
        <v>0</v>
      </c>
      <c r="FG38" s="239">
        <v>0</v>
      </c>
      <c r="FH38" s="239">
        <v>0</v>
      </c>
      <c r="FI38" s="239">
        <v>-274</v>
      </c>
      <c r="FJ38" s="239">
        <v>0</v>
      </c>
      <c r="FK38" s="239">
        <v>-274</v>
      </c>
      <c r="FL38" s="239">
        <v>222554992</v>
      </c>
      <c r="FM38" s="239">
        <v>30065188</v>
      </c>
      <c r="FN38" s="239">
        <v>252620180</v>
      </c>
      <c r="FO38" s="239">
        <v>5690988</v>
      </c>
      <c r="FP38" s="239">
        <v>358808</v>
      </c>
      <c r="FQ38" s="239">
        <v>6049796</v>
      </c>
      <c r="FR38" s="239">
        <v>-26976374</v>
      </c>
      <c r="FS38" s="239">
        <v>120599</v>
      </c>
      <c r="FT38" s="239">
        <v>-26855775</v>
      </c>
      <c r="FU38" s="239">
        <v>-8950088</v>
      </c>
      <c r="FV38" s="239">
        <v>-856603</v>
      </c>
      <c r="FW38" s="239">
        <v>-9806691</v>
      </c>
      <c r="FX38" s="239">
        <v>-460940</v>
      </c>
      <c r="FY38" s="239">
        <v>-1155762</v>
      </c>
      <c r="FZ38" s="239">
        <v>-1616702</v>
      </c>
      <c r="GA38" s="239">
        <v>-1196909</v>
      </c>
      <c r="GB38" s="239">
        <v>-75112</v>
      </c>
      <c r="GC38" s="239">
        <v>-1272021</v>
      </c>
      <c r="GD38" s="239">
        <v>-274</v>
      </c>
      <c r="GE38" s="239">
        <v>0</v>
      </c>
      <c r="GF38" s="239">
        <v>-274</v>
      </c>
      <c r="GG38" s="239">
        <v>-31893597</v>
      </c>
      <c r="GH38" s="239">
        <v>-1608070</v>
      </c>
      <c r="GI38" s="239">
        <v>-33501667</v>
      </c>
      <c r="GJ38" s="239">
        <v>190661395</v>
      </c>
      <c r="GK38" s="239">
        <v>28457118</v>
      </c>
      <c r="GL38" s="239">
        <v>219118513</v>
      </c>
      <c r="GM38" s="214" t="s">
        <v>746</v>
      </c>
    </row>
    <row r="39" spans="1:195" s="214" customFormat="1" x14ac:dyDescent="0.2">
      <c r="B39" s="602" t="s">
        <v>161</v>
      </c>
      <c r="C39" s="602" t="s">
        <v>160</v>
      </c>
      <c r="D39" s="239">
        <v>-1602730</v>
      </c>
      <c r="E39" s="239">
        <v>0</v>
      </c>
      <c r="F39" s="239">
        <v>-1602730</v>
      </c>
      <c r="G39" s="239">
        <v>76457</v>
      </c>
      <c r="H39" s="239">
        <v>0</v>
      </c>
      <c r="I39" s="239">
        <v>76457</v>
      </c>
      <c r="J39" s="239">
        <v>2197285</v>
      </c>
      <c r="K39" s="239">
        <v>0</v>
      </c>
      <c r="L39" s="239">
        <v>2197285</v>
      </c>
      <c r="M39" s="239">
        <v>33627</v>
      </c>
      <c r="N39" s="239">
        <v>0</v>
      </c>
      <c r="O39" s="239">
        <v>33627</v>
      </c>
      <c r="P39" s="239">
        <v>704639</v>
      </c>
      <c r="Q39" s="239">
        <v>0</v>
      </c>
      <c r="R39" s="239">
        <v>704639</v>
      </c>
      <c r="S39" s="239">
        <v>-3692971</v>
      </c>
      <c r="T39" s="239">
        <v>0</v>
      </c>
      <c r="U39" s="239">
        <v>-3692971</v>
      </c>
      <c r="V39" s="239">
        <v>-12410</v>
      </c>
      <c r="W39" s="239">
        <v>0</v>
      </c>
      <c r="X39" s="239">
        <v>-12410</v>
      </c>
      <c r="Y39" s="239">
        <v>-161972</v>
      </c>
      <c r="Z39" s="239">
        <v>0</v>
      </c>
      <c r="AA39" s="239">
        <v>-161972</v>
      </c>
      <c r="AB39" s="239">
        <v>-161784</v>
      </c>
      <c r="AC39" s="239">
        <v>0</v>
      </c>
      <c r="AD39" s="239">
        <v>-161784</v>
      </c>
      <c r="AE39" s="239">
        <v>-188</v>
      </c>
      <c r="AF39" s="239">
        <v>0</v>
      </c>
      <c r="AG39" s="239">
        <v>-188</v>
      </c>
      <c r="AH39" s="239">
        <v>653542</v>
      </c>
      <c r="AI39" s="239">
        <v>0</v>
      </c>
      <c r="AJ39" s="239">
        <v>653542</v>
      </c>
      <c r="AK39" s="239">
        <v>-29282</v>
      </c>
      <c r="AL39" s="239">
        <v>0</v>
      </c>
      <c r="AM39" s="239">
        <v>-29282</v>
      </c>
      <c r="AN39" s="239">
        <v>-1781065</v>
      </c>
      <c r="AO39" s="239">
        <v>0</v>
      </c>
      <c r="AP39" s="239">
        <v>-1781065</v>
      </c>
      <c r="AQ39" s="239">
        <v>-754</v>
      </c>
      <c r="AR39" s="239">
        <v>0</v>
      </c>
      <c r="AS39" s="239">
        <v>-754</v>
      </c>
      <c r="AT39" s="239">
        <v>-31394</v>
      </c>
      <c r="AU39" s="239">
        <v>0</v>
      </c>
      <c r="AV39" s="239">
        <v>-31394</v>
      </c>
      <c r="AW39" s="239">
        <v>0</v>
      </c>
      <c r="AX39" s="239">
        <v>0</v>
      </c>
      <c r="AY39" s="239">
        <v>0</v>
      </c>
      <c r="AZ39" s="239">
        <v>-43845</v>
      </c>
      <c r="BA39" s="239">
        <v>0</v>
      </c>
      <c r="BB39" s="239">
        <v>-43845</v>
      </c>
      <c r="BC39" s="239">
        <v>63</v>
      </c>
      <c r="BD39" s="239">
        <v>0</v>
      </c>
      <c r="BE39" s="239">
        <v>63</v>
      </c>
      <c r="BF39" s="239">
        <v>-5087678</v>
      </c>
      <c r="BG39" s="239">
        <v>0</v>
      </c>
      <c r="BH39" s="239">
        <v>-5087678</v>
      </c>
      <c r="BI39" s="239">
        <v>0</v>
      </c>
      <c r="BJ39" s="239">
        <v>0</v>
      </c>
      <c r="BK39" s="239">
        <v>0</v>
      </c>
      <c r="BL39" s="239">
        <v>0</v>
      </c>
      <c r="BM39" s="239">
        <v>0</v>
      </c>
      <c r="BN39" s="239">
        <v>0</v>
      </c>
      <c r="BO39" s="239">
        <v>-740776</v>
      </c>
      <c r="BP39" s="239">
        <v>0</v>
      </c>
      <c r="BQ39" s="239">
        <v>-740776</v>
      </c>
      <c r="BR39" s="239">
        <v>-43741</v>
      </c>
      <c r="BS39" s="239">
        <v>0</v>
      </c>
      <c r="BT39" s="239">
        <v>-43741</v>
      </c>
      <c r="BU39" s="239">
        <v>-784517</v>
      </c>
      <c r="BV39" s="239">
        <v>0</v>
      </c>
      <c r="BW39" s="239">
        <v>-784517</v>
      </c>
      <c r="BX39" s="239">
        <v>-21765</v>
      </c>
      <c r="BY39" s="239">
        <v>0</v>
      </c>
      <c r="BZ39" s="239">
        <v>-21765</v>
      </c>
      <c r="CA39" s="239">
        <v>-578</v>
      </c>
      <c r="CB39" s="239">
        <v>0</v>
      </c>
      <c r="CC39" s="239">
        <v>-578</v>
      </c>
      <c r="CD39" s="239">
        <v>-53534</v>
      </c>
      <c r="CE39" s="239">
        <v>0</v>
      </c>
      <c r="CF39" s="239">
        <v>-53534</v>
      </c>
      <c r="CG39" s="239">
        <v>0</v>
      </c>
      <c r="CH39" s="239">
        <v>0</v>
      </c>
      <c r="CI39" s="239">
        <v>0</v>
      </c>
      <c r="CJ39" s="239">
        <v>0</v>
      </c>
      <c r="CK39" s="239">
        <v>0</v>
      </c>
      <c r="CL39" s="239">
        <v>0</v>
      </c>
      <c r="CM39" s="239">
        <v>0</v>
      </c>
      <c r="CN39" s="239">
        <v>0</v>
      </c>
      <c r="CO39" s="239">
        <v>0</v>
      </c>
      <c r="CP39" s="239">
        <v>0</v>
      </c>
      <c r="CQ39" s="239">
        <v>0</v>
      </c>
      <c r="CR39" s="239">
        <v>0</v>
      </c>
      <c r="CS39" s="239">
        <v>63</v>
      </c>
      <c r="CT39" s="239">
        <v>0</v>
      </c>
      <c r="CU39" s="239">
        <v>63</v>
      </c>
      <c r="CV39" s="239">
        <v>-1010</v>
      </c>
      <c r="CW39" s="239">
        <v>0</v>
      </c>
      <c r="CX39" s="239">
        <v>-1010</v>
      </c>
      <c r="CY39" s="239">
        <v>18</v>
      </c>
      <c r="CZ39" s="239">
        <v>0</v>
      </c>
      <c r="DA39" s="239">
        <v>18</v>
      </c>
      <c r="DB39" s="239">
        <v>-24556</v>
      </c>
      <c r="DC39" s="239">
        <v>0</v>
      </c>
      <c r="DD39" s="239">
        <v>-24556</v>
      </c>
      <c r="DE39" s="239">
        <v>0</v>
      </c>
      <c r="DF39" s="239">
        <v>0</v>
      </c>
      <c r="DG39" s="239">
        <v>0</v>
      </c>
      <c r="DH39" s="239">
        <v>0</v>
      </c>
      <c r="DI39" s="239">
        <v>0</v>
      </c>
      <c r="DJ39" s="239">
        <v>-101362</v>
      </c>
      <c r="DK39" s="239">
        <v>0</v>
      </c>
      <c r="DL39" s="239">
        <v>-101362</v>
      </c>
      <c r="DM39" s="239">
        <v>-247</v>
      </c>
      <c r="DN39" s="239">
        <v>0</v>
      </c>
      <c r="DO39" s="239">
        <v>-247</v>
      </c>
      <c r="DP39" s="239">
        <v>0</v>
      </c>
      <c r="DQ39" s="239">
        <v>0</v>
      </c>
      <c r="DR39" s="239">
        <v>0</v>
      </c>
      <c r="DS39" s="239">
        <v>0</v>
      </c>
      <c r="DT39" s="239">
        <v>0</v>
      </c>
      <c r="DU39" s="239">
        <v>0</v>
      </c>
      <c r="DV39" s="239">
        <v>0</v>
      </c>
      <c r="DW39" s="239">
        <v>0</v>
      </c>
      <c r="DX39" s="239">
        <v>0</v>
      </c>
      <c r="DY39" s="239">
        <v>0</v>
      </c>
      <c r="DZ39" s="239">
        <v>0</v>
      </c>
      <c r="EA39" s="239">
        <v>0</v>
      </c>
      <c r="EB39" s="239">
        <v>0</v>
      </c>
      <c r="EC39" s="239">
        <v>0</v>
      </c>
      <c r="ED39" s="239">
        <v>0</v>
      </c>
      <c r="EE39" s="239">
        <v>0</v>
      </c>
      <c r="EF39" s="239">
        <v>0</v>
      </c>
      <c r="EG39" s="239">
        <v>0</v>
      </c>
      <c r="EH39" s="239">
        <v>0</v>
      </c>
      <c r="EI39" s="239">
        <v>0</v>
      </c>
      <c r="EJ39" s="239">
        <v>0</v>
      </c>
      <c r="EK39" s="239">
        <v>-43845</v>
      </c>
      <c r="EL39" s="239">
        <v>0</v>
      </c>
      <c r="EM39" s="239">
        <v>-43845</v>
      </c>
      <c r="EN39" s="239">
        <v>0</v>
      </c>
      <c r="EO39" s="239">
        <v>0</v>
      </c>
      <c r="EP39" s="239">
        <v>0</v>
      </c>
      <c r="EQ39" s="239">
        <v>-31914</v>
      </c>
      <c r="ER39" s="239">
        <v>0</v>
      </c>
      <c r="ES39" s="239">
        <v>-31914</v>
      </c>
      <c r="ET39" s="239">
        <v>-263825</v>
      </c>
      <c r="EU39" s="239">
        <v>0</v>
      </c>
      <c r="EV39" s="239">
        <v>-263825</v>
      </c>
      <c r="EW39" s="239">
        <v>-41356</v>
      </c>
      <c r="EX39" s="239">
        <v>0</v>
      </c>
      <c r="EY39" s="239">
        <v>-41356</v>
      </c>
      <c r="EZ39" s="239">
        <v>-381187</v>
      </c>
      <c r="FA39" s="239">
        <v>0</v>
      </c>
      <c r="FB39" s="239">
        <v>-381187</v>
      </c>
      <c r="FC39" s="239">
        <v>-1285</v>
      </c>
      <c r="FD39" s="239">
        <v>0</v>
      </c>
      <c r="FE39" s="239">
        <v>-1285</v>
      </c>
      <c r="FF39" s="239">
        <v>0</v>
      </c>
      <c r="FG39" s="239">
        <v>0</v>
      </c>
      <c r="FH39" s="239">
        <v>0</v>
      </c>
      <c r="FI39" s="239">
        <v>-1285</v>
      </c>
      <c r="FJ39" s="239">
        <v>0</v>
      </c>
      <c r="FK39" s="239">
        <v>-1285</v>
      </c>
      <c r="FL39" s="239">
        <v>34808165</v>
      </c>
      <c r="FM39" s="239">
        <v>0</v>
      </c>
      <c r="FN39" s="239">
        <v>34808165</v>
      </c>
      <c r="FO39" s="239">
        <v>704639</v>
      </c>
      <c r="FP39" s="239">
        <v>0</v>
      </c>
      <c r="FQ39" s="239">
        <v>704639</v>
      </c>
      <c r="FR39" s="239">
        <v>-5087678</v>
      </c>
      <c r="FS39" s="239">
        <v>0</v>
      </c>
      <c r="FT39" s="239">
        <v>-5087678</v>
      </c>
      <c r="FU39" s="239">
        <v>-784517</v>
      </c>
      <c r="FV39" s="239">
        <v>0</v>
      </c>
      <c r="FW39" s="239">
        <v>-784517</v>
      </c>
      <c r="FX39" s="239">
        <v>-101362</v>
      </c>
      <c r="FY39" s="239">
        <v>0</v>
      </c>
      <c r="FZ39" s="239">
        <v>-101362</v>
      </c>
      <c r="GA39" s="239">
        <v>-381187</v>
      </c>
      <c r="GB39" s="239">
        <v>0</v>
      </c>
      <c r="GC39" s="239">
        <v>-381187</v>
      </c>
      <c r="GD39" s="239">
        <v>-1285</v>
      </c>
      <c r="GE39" s="239">
        <v>0</v>
      </c>
      <c r="GF39" s="239">
        <v>-1285</v>
      </c>
      <c r="GG39" s="239">
        <v>-5651390</v>
      </c>
      <c r="GH39" s="239">
        <v>0</v>
      </c>
      <c r="GI39" s="239">
        <v>-5651390</v>
      </c>
      <c r="GJ39" s="239">
        <v>29156775</v>
      </c>
      <c r="GK39" s="239">
        <v>0</v>
      </c>
      <c r="GL39" s="239">
        <v>29156775</v>
      </c>
      <c r="GM39" s="214" t="s">
        <v>1158</v>
      </c>
    </row>
    <row r="40" spans="1:195" s="214" customFormat="1" x14ac:dyDescent="0.2">
      <c r="B40" s="602" t="s">
        <v>163</v>
      </c>
      <c r="C40" s="602" t="s">
        <v>162</v>
      </c>
      <c r="D40" s="239">
        <v>-8176356</v>
      </c>
      <c r="E40" s="239">
        <v>0</v>
      </c>
      <c r="F40" s="239">
        <v>-8176356</v>
      </c>
      <c r="G40" s="239">
        <v>-80501</v>
      </c>
      <c r="H40" s="239">
        <v>0</v>
      </c>
      <c r="I40" s="239">
        <v>-80501</v>
      </c>
      <c r="J40" s="239">
        <v>2871994</v>
      </c>
      <c r="K40" s="239">
        <v>0</v>
      </c>
      <c r="L40" s="239">
        <v>2871994</v>
      </c>
      <c r="M40" s="239">
        <v>172507</v>
      </c>
      <c r="N40" s="239">
        <v>0</v>
      </c>
      <c r="O40" s="239">
        <v>172507</v>
      </c>
      <c r="P40" s="239">
        <v>-5212356</v>
      </c>
      <c r="Q40" s="239">
        <v>0</v>
      </c>
      <c r="R40" s="239">
        <v>-5212356</v>
      </c>
      <c r="S40" s="239">
        <v>-6039018</v>
      </c>
      <c r="T40" s="239">
        <v>0</v>
      </c>
      <c r="U40" s="239">
        <v>-6039018</v>
      </c>
      <c r="V40" s="239">
        <v>0</v>
      </c>
      <c r="W40" s="239">
        <v>0</v>
      </c>
      <c r="X40" s="239">
        <v>0</v>
      </c>
      <c r="Y40" s="239">
        <v>-205483</v>
      </c>
      <c r="Z40" s="239">
        <v>0</v>
      </c>
      <c r="AA40" s="239">
        <v>-205483</v>
      </c>
      <c r="AB40" s="239">
        <v>-151661</v>
      </c>
      <c r="AC40" s="239">
        <v>0</v>
      </c>
      <c r="AD40" s="239">
        <v>-151661</v>
      </c>
      <c r="AE40" s="239">
        <v>0</v>
      </c>
      <c r="AF40" s="239">
        <v>0</v>
      </c>
      <c r="AG40" s="239">
        <v>0</v>
      </c>
      <c r="AH40" s="239">
        <v>2264684</v>
      </c>
      <c r="AI40" s="239">
        <v>0</v>
      </c>
      <c r="AJ40" s="239">
        <v>2264684</v>
      </c>
      <c r="AK40" s="239">
        <v>-93172</v>
      </c>
      <c r="AL40" s="239">
        <v>0</v>
      </c>
      <c r="AM40" s="239">
        <v>-93172</v>
      </c>
      <c r="AN40" s="239">
        <v>-10051198</v>
      </c>
      <c r="AO40" s="239">
        <v>0</v>
      </c>
      <c r="AP40" s="239">
        <v>-10051198</v>
      </c>
      <c r="AQ40" s="239">
        <v>27329</v>
      </c>
      <c r="AR40" s="239">
        <v>0</v>
      </c>
      <c r="AS40" s="239">
        <v>27329</v>
      </c>
      <c r="AT40" s="239">
        <v>-181521</v>
      </c>
      <c r="AU40" s="239">
        <v>0</v>
      </c>
      <c r="AV40" s="239">
        <v>-181521</v>
      </c>
      <c r="AW40" s="239">
        <v>0</v>
      </c>
      <c r="AX40" s="239">
        <v>0</v>
      </c>
      <c r="AY40" s="239">
        <v>0</v>
      </c>
      <c r="AZ40" s="239">
        <v>0</v>
      </c>
      <c r="BA40" s="239">
        <v>0</v>
      </c>
      <c r="BB40" s="239">
        <v>0</v>
      </c>
      <c r="BC40" s="239">
        <v>0</v>
      </c>
      <c r="BD40" s="239">
        <v>0</v>
      </c>
      <c r="BE40" s="239">
        <v>0</v>
      </c>
      <c r="BF40" s="239">
        <v>-14278379</v>
      </c>
      <c r="BG40" s="239">
        <v>0</v>
      </c>
      <c r="BH40" s="239">
        <v>-14278379</v>
      </c>
      <c r="BI40" s="239">
        <v>0</v>
      </c>
      <c r="BJ40" s="239">
        <v>0</v>
      </c>
      <c r="BK40" s="239">
        <v>0</v>
      </c>
      <c r="BL40" s="239">
        <v>-2434</v>
      </c>
      <c r="BM40" s="239">
        <v>0</v>
      </c>
      <c r="BN40" s="239">
        <v>-2434</v>
      </c>
      <c r="BO40" s="239">
        <v>-2890894</v>
      </c>
      <c r="BP40" s="239">
        <v>0</v>
      </c>
      <c r="BQ40" s="239">
        <v>-2890894</v>
      </c>
      <c r="BR40" s="239">
        <v>290729</v>
      </c>
      <c r="BS40" s="239">
        <v>0</v>
      </c>
      <c r="BT40" s="239">
        <v>290729</v>
      </c>
      <c r="BU40" s="239">
        <v>-2602599</v>
      </c>
      <c r="BV40" s="239">
        <v>0</v>
      </c>
      <c r="BW40" s="239">
        <v>-2602599</v>
      </c>
      <c r="BX40" s="239">
        <v>-221151</v>
      </c>
      <c r="BY40" s="239">
        <v>0</v>
      </c>
      <c r="BZ40" s="239">
        <v>-221151</v>
      </c>
      <c r="CA40" s="239">
        <v>327</v>
      </c>
      <c r="CB40" s="239">
        <v>0</v>
      </c>
      <c r="CC40" s="239">
        <v>327</v>
      </c>
      <c r="CD40" s="239">
        <v>-296440</v>
      </c>
      <c r="CE40" s="239">
        <v>0</v>
      </c>
      <c r="CF40" s="239">
        <v>-296440</v>
      </c>
      <c r="CG40" s="239">
        <v>3130</v>
      </c>
      <c r="CH40" s="239">
        <v>0</v>
      </c>
      <c r="CI40" s="239">
        <v>3130</v>
      </c>
      <c r="CJ40" s="239">
        <v>-45380</v>
      </c>
      <c r="CK40" s="239">
        <v>0</v>
      </c>
      <c r="CL40" s="239">
        <v>-45380</v>
      </c>
      <c r="CM40" s="239">
        <v>0</v>
      </c>
      <c r="CN40" s="239">
        <v>0</v>
      </c>
      <c r="CO40" s="239">
        <v>0</v>
      </c>
      <c r="CP40" s="239">
        <v>0</v>
      </c>
      <c r="CQ40" s="239">
        <v>0</v>
      </c>
      <c r="CR40" s="239">
        <v>0</v>
      </c>
      <c r="CS40" s="239">
        <v>0</v>
      </c>
      <c r="CT40" s="239">
        <v>0</v>
      </c>
      <c r="CU40" s="239">
        <v>0</v>
      </c>
      <c r="CV40" s="239">
        <v>0</v>
      </c>
      <c r="CW40" s="239">
        <v>0</v>
      </c>
      <c r="CX40" s="239">
        <v>0</v>
      </c>
      <c r="CY40" s="239">
        <v>0</v>
      </c>
      <c r="CZ40" s="239">
        <v>0</v>
      </c>
      <c r="DA40" s="239">
        <v>0</v>
      </c>
      <c r="DB40" s="239">
        <v>0</v>
      </c>
      <c r="DC40" s="239">
        <v>0</v>
      </c>
      <c r="DD40" s="239">
        <v>0</v>
      </c>
      <c r="DE40" s="239">
        <v>0</v>
      </c>
      <c r="DF40" s="239">
        <v>0</v>
      </c>
      <c r="DG40" s="239">
        <v>0</v>
      </c>
      <c r="DH40" s="239">
        <v>0</v>
      </c>
      <c r="DI40" s="239">
        <v>0</v>
      </c>
      <c r="DJ40" s="239">
        <v>-559514</v>
      </c>
      <c r="DK40" s="239">
        <v>0</v>
      </c>
      <c r="DL40" s="239">
        <v>-559514</v>
      </c>
      <c r="DM40" s="239">
        <v>0</v>
      </c>
      <c r="DN40" s="239">
        <v>0</v>
      </c>
      <c r="DO40" s="239">
        <v>0</v>
      </c>
      <c r="DP40" s="239">
        <v>0</v>
      </c>
      <c r="DQ40" s="239">
        <v>0</v>
      </c>
      <c r="DR40" s="239">
        <v>0</v>
      </c>
      <c r="DS40" s="239">
        <v>-19829</v>
      </c>
      <c r="DT40" s="239">
        <v>0</v>
      </c>
      <c r="DU40" s="239">
        <v>-19829</v>
      </c>
      <c r="DV40" s="239">
        <v>-3640</v>
      </c>
      <c r="DW40" s="239">
        <v>0</v>
      </c>
      <c r="DX40" s="239">
        <v>-3640</v>
      </c>
      <c r="DY40" s="239">
        <v>4927</v>
      </c>
      <c r="DZ40" s="239">
        <v>0</v>
      </c>
      <c r="EA40" s="239">
        <v>4927</v>
      </c>
      <c r="EB40" s="239">
        <v>0</v>
      </c>
      <c r="EC40" s="239">
        <v>0</v>
      </c>
      <c r="ED40" s="239">
        <v>0</v>
      </c>
      <c r="EE40" s="239">
        <v>0</v>
      </c>
      <c r="EF40" s="239">
        <v>0</v>
      </c>
      <c r="EG40" s="239">
        <v>0</v>
      </c>
      <c r="EH40" s="239">
        <v>0</v>
      </c>
      <c r="EI40" s="239">
        <v>0</v>
      </c>
      <c r="EJ40" s="239">
        <v>0</v>
      </c>
      <c r="EK40" s="239">
        <v>0</v>
      </c>
      <c r="EL40" s="239">
        <v>0</v>
      </c>
      <c r="EM40" s="239">
        <v>0</v>
      </c>
      <c r="EN40" s="239">
        <v>0</v>
      </c>
      <c r="EO40" s="239">
        <v>0</v>
      </c>
      <c r="EP40" s="239">
        <v>0</v>
      </c>
      <c r="EQ40" s="239">
        <v>-171215</v>
      </c>
      <c r="ER40" s="239">
        <v>0</v>
      </c>
      <c r="ES40" s="239">
        <v>-171215</v>
      </c>
      <c r="ET40" s="239">
        <v>-1080268</v>
      </c>
      <c r="EU40" s="239">
        <v>0</v>
      </c>
      <c r="EV40" s="239">
        <v>-1080268</v>
      </c>
      <c r="EW40" s="239">
        <v>-39929</v>
      </c>
      <c r="EX40" s="239">
        <v>0</v>
      </c>
      <c r="EY40" s="239">
        <v>-39929</v>
      </c>
      <c r="EZ40" s="239">
        <v>-1309954</v>
      </c>
      <c r="FA40" s="239">
        <v>0</v>
      </c>
      <c r="FB40" s="239">
        <v>-1309954</v>
      </c>
      <c r="FC40" s="239">
        <v>0</v>
      </c>
      <c r="FD40" s="239">
        <v>0</v>
      </c>
      <c r="FE40" s="239">
        <v>0</v>
      </c>
      <c r="FF40" s="239">
        <v>0</v>
      </c>
      <c r="FG40" s="239">
        <v>0</v>
      </c>
      <c r="FH40" s="239">
        <v>0</v>
      </c>
      <c r="FI40" s="239">
        <v>0</v>
      </c>
      <c r="FJ40" s="239">
        <v>0</v>
      </c>
      <c r="FK40" s="239">
        <v>0</v>
      </c>
      <c r="FL40" s="239">
        <v>110969838</v>
      </c>
      <c r="FM40" s="239">
        <v>0</v>
      </c>
      <c r="FN40" s="239">
        <v>110969838</v>
      </c>
      <c r="FO40" s="239">
        <v>-5212356</v>
      </c>
      <c r="FP40" s="239">
        <v>0</v>
      </c>
      <c r="FQ40" s="239">
        <v>-5212356</v>
      </c>
      <c r="FR40" s="239">
        <v>-14278379</v>
      </c>
      <c r="FS40" s="239">
        <v>0</v>
      </c>
      <c r="FT40" s="239">
        <v>-14278379</v>
      </c>
      <c r="FU40" s="239">
        <v>-2602599</v>
      </c>
      <c r="FV40" s="239">
        <v>0</v>
      </c>
      <c r="FW40" s="239">
        <v>-2602599</v>
      </c>
      <c r="FX40" s="239">
        <v>-559514</v>
      </c>
      <c r="FY40" s="239">
        <v>0</v>
      </c>
      <c r="FZ40" s="239">
        <v>-559514</v>
      </c>
      <c r="GA40" s="239">
        <v>-1309954</v>
      </c>
      <c r="GB40" s="239">
        <v>0</v>
      </c>
      <c r="GC40" s="239">
        <v>-1309954</v>
      </c>
      <c r="GD40" s="239">
        <v>0</v>
      </c>
      <c r="GE40" s="239">
        <v>0</v>
      </c>
      <c r="GF40" s="239">
        <v>0</v>
      </c>
      <c r="GG40" s="239">
        <v>-23962802</v>
      </c>
      <c r="GH40" s="239">
        <v>0</v>
      </c>
      <c r="GI40" s="239">
        <v>-23962802</v>
      </c>
      <c r="GJ40" s="239">
        <v>87007036</v>
      </c>
      <c r="GK40" s="239">
        <v>0</v>
      </c>
      <c r="GL40" s="239">
        <v>87007036</v>
      </c>
      <c r="GM40" s="214" t="s">
        <v>1159</v>
      </c>
    </row>
    <row r="41" spans="1:195" s="214" customFormat="1" x14ac:dyDescent="0.2">
      <c r="B41" s="602" t="s">
        <v>165</v>
      </c>
      <c r="C41" s="602" t="s">
        <v>164</v>
      </c>
      <c r="D41" s="239">
        <v>-716357</v>
      </c>
      <c r="E41" s="239">
        <v>0</v>
      </c>
      <c r="F41" s="239">
        <v>-716357</v>
      </c>
      <c r="G41" s="239">
        <v>-837</v>
      </c>
      <c r="H41" s="239">
        <v>0</v>
      </c>
      <c r="I41" s="239">
        <v>-837</v>
      </c>
      <c r="J41" s="239">
        <v>2739831</v>
      </c>
      <c r="K41" s="239">
        <v>0</v>
      </c>
      <c r="L41" s="239">
        <v>2739831</v>
      </c>
      <c r="M41" s="239">
        <v>70629</v>
      </c>
      <c r="N41" s="239">
        <v>0</v>
      </c>
      <c r="O41" s="239">
        <v>70629</v>
      </c>
      <c r="P41" s="239">
        <v>2093266</v>
      </c>
      <c r="Q41" s="239">
        <v>0</v>
      </c>
      <c r="R41" s="239">
        <v>2093266</v>
      </c>
      <c r="S41" s="239">
        <v>-3717124</v>
      </c>
      <c r="T41" s="239">
        <v>0</v>
      </c>
      <c r="U41" s="239">
        <v>-3717124</v>
      </c>
      <c r="V41" s="239">
        <v>0</v>
      </c>
      <c r="W41" s="239">
        <v>0</v>
      </c>
      <c r="X41" s="239">
        <v>0</v>
      </c>
      <c r="Y41" s="239">
        <v>-74828</v>
      </c>
      <c r="Z41" s="239">
        <v>0</v>
      </c>
      <c r="AA41" s="239">
        <v>-74828</v>
      </c>
      <c r="AB41" s="239">
        <v>0</v>
      </c>
      <c r="AC41" s="239">
        <v>0</v>
      </c>
      <c r="AD41" s="239">
        <v>0</v>
      </c>
      <c r="AE41" s="239">
        <v>0</v>
      </c>
      <c r="AF41" s="239">
        <v>0</v>
      </c>
      <c r="AG41" s="239">
        <v>0</v>
      </c>
      <c r="AH41" s="239">
        <v>531853</v>
      </c>
      <c r="AI41" s="239">
        <v>0</v>
      </c>
      <c r="AJ41" s="239">
        <v>531853</v>
      </c>
      <c r="AK41" s="239">
        <v>6751</v>
      </c>
      <c r="AL41" s="239">
        <v>0</v>
      </c>
      <c r="AM41" s="239">
        <v>6751</v>
      </c>
      <c r="AN41" s="239">
        <v>-2205776</v>
      </c>
      <c r="AO41" s="239">
        <v>0</v>
      </c>
      <c r="AP41" s="239">
        <v>-2205776</v>
      </c>
      <c r="AQ41" s="239">
        <v>-62290</v>
      </c>
      <c r="AR41" s="239">
        <v>0</v>
      </c>
      <c r="AS41" s="239">
        <v>-62290</v>
      </c>
      <c r="AT41" s="239">
        <v>0</v>
      </c>
      <c r="AU41" s="239">
        <v>0</v>
      </c>
      <c r="AV41" s="239">
        <v>0</v>
      </c>
      <c r="AW41" s="239">
        <v>0</v>
      </c>
      <c r="AX41" s="239">
        <v>0</v>
      </c>
      <c r="AY41" s="239">
        <v>0</v>
      </c>
      <c r="AZ41" s="239">
        <v>-1076</v>
      </c>
      <c r="BA41" s="239">
        <v>0</v>
      </c>
      <c r="BB41" s="239">
        <v>-1076</v>
      </c>
      <c r="BC41" s="239">
        <v>2143</v>
      </c>
      <c r="BD41" s="239">
        <v>0</v>
      </c>
      <c r="BE41" s="239">
        <v>2143</v>
      </c>
      <c r="BF41" s="239">
        <v>-5520347</v>
      </c>
      <c r="BG41" s="239">
        <v>0</v>
      </c>
      <c r="BH41" s="239">
        <v>-5520347</v>
      </c>
      <c r="BI41" s="239">
        <v>0</v>
      </c>
      <c r="BJ41" s="239">
        <v>0</v>
      </c>
      <c r="BK41" s="239">
        <v>0</v>
      </c>
      <c r="BL41" s="239">
        <v>-998</v>
      </c>
      <c r="BM41" s="239">
        <v>0</v>
      </c>
      <c r="BN41" s="239">
        <v>-998</v>
      </c>
      <c r="BO41" s="239">
        <v>-784732</v>
      </c>
      <c r="BP41" s="239">
        <v>0</v>
      </c>
      <c r="BQ41" s="239">
        <v>-784732</v>
      </c>
      <c r="BR41" s="239">
        <v>-102434</v>
      </c>
      <c r="BS41" s="239">
        <v>0</v>
      </c>
      <c r="BT41" s="239">
        <v>-102434</v>
      </c>
      <c r="BU41" s="239">
        <v>-888164</v>
      </c>
      <c r="BV41" s="239">
        <v>0</v>
      </c>
      <c r="BW41" s="239">
        <v>-888164</v>
      </c>
      <c r="BX41" s="239">
        <v>-35195</v>
      </c>
      <c r="BY41" s="239">
        <v>0</v>
      </c>
      <c r="BZ41" s="239">
        <v>-35195</v>
      </c>
      <c r="CA41" s="239">
        <v>3815</v>
      </c>
      <c r="CB41" s="239">
        <v>0</v>
      </c>
      <c r="CC41" s="239">
        <v>3815</v>
      </c>
      <c r="CD41" s="239">
        <v>-49060</v>
      </c>
      <c r="CE41" s="239">
        <v>0</v>
      </c>
      <c r="CF41" s="239">
        <v>-49060</v>
      </c>
      <c r="CG41" s="239">
        <v>0</v>
      </c>
      <c r="CH41" s="239">
        <v>0</v>
      </c>
      <c r="CI41" s="239">
        <v>0</v>
      </c>
      <c r="CJ41" s="239">
        <v>0</v>
      </c>
      <c r="CK41" s="239">
        <v>0</v>
      </c>
      <c r="CL41" s="239">
        <v>0</v>
      </c>
      <c r="CM41" s="239">
        <v>0</v>
      </c>
      <c r="CN41" s="239">
        <v>0</v>
      </c>
      <c r="CO41" s="239">
        <v>0</v>
      </c>
      <c r="CP41" s="239">
        <v>0</v>
      </c>
      <c r="CQ41" s="239">
        <v>0</v>
      </c>
      <c r="CR41" s="239">
        <v>0</v>
      </c>
      <c r="CS41" s="239">
        <v>0</v>
      </c>
      <c r="CT41" s="239">
        <v>0</v>
      </c>
      <c r="CU41" s="239">
        <v>0</v>
      </c>
      <c r="CV41" s="239">
        <v>0</v>
      </c>
      <c r="CW41" s="239">
        <v>0</v>
      </c>
      <c r="CX41" s="239">
        <v>0</v>
      </c>
      <c r="CY41" s="239">
        <v>0</v>
      </c>
      <c r="CZ41" s="239">
        <v>0</v>
      </c>
      <c r="DA41" s="239">
        <v>0</v>
      </c>
      <c r="DB41" s="239">
        <v>0</v>
      </c>
      <c r="DC41" s="239">
        <v>0</v>
      </c>
      <c r="DD41" s="239">
        <v>0</v>
      </c>
      <c r="DE41" s="239">
        <v>0</v>
      </c>
      <c r="DF41" s="239">
        <v>0</v>
      </c>
      <c r="DG41" s="239">
        <v>0</v>
      </c>
      <c r="DH41" s="239">
        <v>0</v>
      </c>
      <c r="DI41" s="239">
        <v>0</v>
      </c>
      <c r="DJ41" s="239">
        <v>-80440</v>
      </c>
      <c r="DK41" s="239">
        <v>0</v>
      </c>
      <c r="DL41" s="239">
        <v>-80440</v>
      </c>
      <c r="DM41" s="239">
        <v>0</v>
      </c>
      <c r="DN41" s="239">
        <v>0</v>
      </c>
      <c r="DO41" s="239">
        <v>0</v>
      </c>
      <c r="DP41" s="239">
        <v>0</v>
      </c>
      <c r="DQ41" s="239">
        <v>0</v>
      </c>
      <c r="DR41" s="239">
        <v>0</v>
      </c>
      <c r="DS41" s="239">
        <v>0</v>
      </c>
      <c r="DT41" s="239">
        <v>0</v>
      </c>
      <c r="DU41" s="239">
        <v>0</v>
      </c>
      <c r="DV41" s="239">
        <v>0</v>
      </c>
      <c r="DW41" s="239">
        <v>0</v>
      </c>
      <c r="DX41" s="239">
        <v>0</v>
      </c>
      <c r="DY41" s="239">
        <v>3913</v>
      </c>
      <c r="DZ41" s="239">
        <v>0</v>
      </c>
      <c r="EA41" s="239">
        <v>3913</v>
      </c>
      <c r="EB41" s="239">
        <v>0</v>
      </c>
      <c r="EC41" s="239">
        <v>0</v>
      </c>
      <c r="ED41" s="239">
        <v>0</v>
      </c>
      <c r="EE41" s="239">
        <v>0</v>
      </c>
      <c r="EF41" s="239">
        <v>0</v>
      </c>
      <c r="EG41" s="239">
        <v>0</v>
      </c>
      <c r="EH41" s="239">
        <v>654</v>
      </c>
      <c r="EI41" s="239">
        <v>0</v>
      </c>
      <c r="EJ41" s="239">
        <v>654</v>
      </c>
      <c r="EK41" s="239">
        <v>-1076</v>
      </c>
      <c r="EL41" s="239">
        <v>0</v>
      </c>
      <c r="EM41" s="239">
        <v>-1076</v>
      </c>
      <c r="EN41" s="239">
        <v>0</v>
      </c>
      <c r="EO41" s="239">
        <v>0</v>
      </c>
      <c r="EP41" s="239">
        <v>0</v>
      </c>
      <c r="EQ41" s="239">
        <v>-17953</v>
      </c>
      <c r="ER41" s="239">
        <v>0</v>
      </c>
      <c r="ES41" s="239">
        <v>-17953</v>
      </c>
      <c r="ET41" s="239">
        <v>-46313</v>
      </c>
      <c r="EU41" s="239">
        <v>0</v>
      </c>
      <c r="EV41" s="239">
        <v>-46313</v>
      </c>
      <c r="EW41" s="239">
        <v>-41489</v>
      </c>
      <c r="EX41" s="239">
        <v>0</v>
      </c>
      <c r="EY41" s="239">
        <v>-41489</v>
      </c>
      <c r="EZ41" s="239">
        <v>-102264</v>
      </c>
      <c r="FA41" s="239">
        <v>0</v>
      </c>
      <c r="FB41" s="239">
        <v>-102264</v>
      </c>
      <c r="FC41" s="239">
        <v>0</v>
      </c>
      <c r="FD41" s="239">
        <v>0</v>
      </c>
      <c r="FE41" s="239">
        <v>0</v>
      </c>
      <c r="FF41" s="239">
        <v>0</v>
      </c>
      <c r="FG41" s="239">
        <v>0</v>
      </c>
      <c r="FH41" s="239">
        <v>0</v>
      </c>
      <c r="FI41" s="239">
        <v>0</v>
      </c>
      <c r="FJ41" s="239">
        <v>0</v>
      </c>
      <c r="FK41" s="239">
        <v>0</v>
      </c>
      <c r="FL41" s="239">
        <v>31345148</v>
      </c>
      <c r="FM41" s="239">
        <v>0</v>
      </c>
      <c r="FN41" s="239">
        <v>31345148</v>
      </c>
      <c r="FO41" s="239">
        <v>2093266</v>
      </c>
      <c r="FP41" s="239">
        <v>0</v>
      </c>
      <c r="FQ41" s="239">
        <v>2093266</v>
      </c>
      <c r="FR41" s="239">
        <v>-5520347</v>
      </c>
      <c r="FS41" s="239">
        <v>0</v>
      </c>
      <c r="FT41" s="239">
        <v>-5520347</v>
      </c>
      <c r="FU41" s="239">
        <v>-888164</v>
      </c>
      <c r="FV41" s="239">
        <v>0</v>
      </c>
      <c r="FW41" s="239">
        <v>-888164</v>
      </c>
      <c r="FX41" s="239">
        <v>-80440</v>
      </c>
      <c r="FY41" s="239">
        <v>0</v>
      </c>
      <c r="FZ41" s="239">
        <v>-80440</v>
      </c>
      <c r="GA41" s="239">
        <v>-102264</v>
      </c>
      <c r="GB41" s="239">
        <v>0</v>
      </c>
      <c r="GC41" s="239">
        <v>-102264</v>
      </c>
      <c r="GD41" s="239">
        <v>0</v>
      </c>
      <c r="GE41" s="239">
        <v>0</v>
      </c>
      <c r="GF41" s="239">
        <v>0</v>
      </c>
      <c r="GG41" s="239">
        <v>-4497949</v>
      </c>
      <c r="GH41" s="239">
        <v>0</v>
      </c>
      <c r="GI41" s="239">
        <v>-4497949</v>
      </c>
      <c r="GJ41" s="239">
        <v>26847199</v>
      </c>
      <c r="GK41" s="239">
        <v>0</v>
      </c>
      <c r="GL41" s="239">
        <v>26847199</v>
      </c>
      <c r="GM41" s="214" t="s">
        <v>1158</v>
      </c>
    </row>
    <row r="42" spans="1:195" s="214" customFormat="1" x14ac:dyDescent="0.2">
      <c r="B42" s="602" t="s">
        <v>167</v>
      </c>
      <c r="C42" s="602" t="s">
        <v>166</v>
      </c>
      <c r="D42" s="239">
        <v>-1139225</v>
      </c>
      <c r="E42" s="239">
        <v>0</v>
      </c>
      <c r="F42" s="239">
        <v>-1139225</v>
      </c>
      <c r="G42" s="239">
        <v>4262</v>
      </c>
      <c r="H42" s="239">
        <v>0</v>
      </c>
      <c r="I42" s="239">
        <v>4262</v>
      </c>
      <c r="J42" s="239">
        <v>2610275</v>
      </c>
      <c r="K42" s="239">
        <v>0</v>
      </c>
      <c r="L42" s="239">
        <v>2610275</v>
      </c>
      <c r="M42" s="239">
        <v>-12674</v>
      </c>
      <c r="N42" s="239">
        <v>0</v>
      </c>
      <c r="O42" s="239">
        <v>-12674</v>
      </c>
      <c r="P42" s="239">
        <v>1462638</v>
      </c>
      <c r="Q42" s="239">
        <v>0</v>
      </c>
      <c r="R42" s="239">
        <v>1462638</v>
      </c>
      <c r="S42" s="239">
        <v>-2497140</v>
      </c>
      <c r="T42" s="239">
        <v>0</v>
      </c>
      <c r="U42" s="239">
        <v>-2497140</v>
      </c>
      <c r="V42" s="239">
        <v>0</v>
      </c>
      <c r="W42" s="239">
        <v>0</v>
      </c>
      <c r="X42" s="239">
        <v>0</v>
      </c>
      <c r="Y42" s="239">
        <v>-41137</v>
      </c>
      <c r="Z42" s="239">
        <v>0</v>
      </c>
      <c r="AA42" s="239">
        <v>-41137</v>
      </c>
      <c r="AB42" s="239">
        <v>0</v>
      </c>
      <c r="AC42" s="239">
        <v>0</v>
      </c>
      <c r="AD42" s="239">
        <v>0</v>
      </c>
      <c r="AE42" s="239">
        <v>0</v>
      </c>
      <c r="AF42" s="239">
        <v>0</v>
      </c>
      <c r="AG42" s="239">
        <v>0</v>
      </c>
      <c r="AH42" s="239">
        <v>936757</v>
      </c>
      <c r="AI42" s="239">
        <v>0</v>
      </c>
      <c r="AJ42" s="239">
        <v>936757</v>
      </c>
      <c r="AK42" s="239">
        <v>10320</v>
      </c>
      <c r="AL42" s="239">
        <v>0</v>
      </c>
      <c r="AM42" s="239">
        <v>10320</v>
      </c>
      <c r="AN42" s="239">
        <v>-2285172</v>
      </c>
      <c r="AO42" s="239">
        <v>0</v>
      </c>
      <c r="AP42" s="239">
        <v>-2285172</v>
      </c>
      <c r="AQ42" s="239">
        <v>-33482</v>
      </c>
      <c r="AR42" s="239">
        <v>0</v>
      </c>
      <c r="AS42" s="239">
        <v>-33482</v>
      </c>
      <c r="AT42" s="239">
        <v>-63267</v>
      </c>
      <c r="AU42" s="239">
        <v>0</v>
      </c>
      <c r="AV42" s="239">
        <v>-63267</v>
      </c>
      <c r="AW42" s="239">
        <v>0</v>
      </c>
      <c r="AX42" s="239">
        <v>0</v>
      </c>
      <c r="AY42" s="239">
        <v>0</v>
      </c>
      <c r="AZ42" s="239">
        <v>0</v>
      </c>
      <c r="BA42" s="239">
        <v>0</v>
      </c>
      <c r="BB42" s="239">
        <v>0</v>
      </c>
      <c r="BC42" s="239">
        <v>0</v>
      </c>
      <c r="BD42" s="239">
        <v>0</v>
      </c>
      <c r="BE42" s="239">
        <v>0</v>
      </c>
      <c r="BF42" s="239">
        <v>-3973121</v>
      </c>
      <c r="BG42" s="239">
        <v>0</v>
      </c>
      <c r="BH42" s="239">
        <v>-3973121</v>
      </c>
      <c r="BI42" s="239">
        <v>0</v>
      </c>
      <c r="BJ42" s="239">
        <v>0</v>
      </c>
      <c r="BK42" s="239">
        <v>0</v>
      </c>
      <c r="BL42" s="239">
        <v>-19173</v>
      </c>
      <c r="BM42" s="239">
        <v>0</v>
      </c>
      <c r="BN42" s="239">
        <v>-19173</v>
      </c>
      <c r="BO42" s="239">
        <v>-919789</v>
      </c>
      <c r="BP42" s="239">
        <v>0</v>
      </c>
      <c r="BQ42" s="239">
        <v>-919789</v>
      </c>
      <c r="BR42" s="239">
        <v>-333397</v>
      </c>
      <c r="BS42" s="239">
        <v>0</v>
      </c>
      <c r="BT42" s="239">
        <v>-333397</v>
      </c>
      <c r="BU42" s="239">
        <v>-1272359</v>
      </c>
      <c r="BV42" s="239">
        <v>0</v>
      </c>
      <c r="BW42" s="239">
        <v>-1272359</v>
      </c>
      <c r="BX42" s="239">
        <v>-52990</v>
      </c>
      <c r="BY42" s="239">
        <v>0</v>
      </c>
      <c r="BZ42" s="239">
        <v>-52990</v>
      </c>
      <c r="CA42" s="239">
        <v>1524</v>
      </c>
      <c r="CB42" s="239">
        <v>0</v>
      </c>
      <c r="CC42" s="239">
        <v>1524</v>
      </c>
      <c r="CD42" s="239">
        <v>-10775</v>
      </c>
      <c r="CE42" s="239">
        <v>0</v>
      </c>
      <c r="CF42" s="239">
        <v>-10775</v>
      </c>
      <c r="CG42" s="239">
        <v>-762</v>
      </c>
      <c r="CH42" s="239">
        <v>0</v>
      </c>
      <c r="CI42" s="239">
        <v>-762</v>
      </c>
      <c r="CJ42" s="239">
        <v>-15025</v>
      </c>
      <c r="CK42" s="239">
        <v>0</v>
      </c>
      <c r="CL42" s="239">
        <v>-15025</v>
      </c>
      <c r="CM42" s="239">
        <v>0</v>
      </c>
      <c r="CN42" s="239">
        <v>0</v>
      </c>
      <c r="CO42" s="239">
        <v>0</v>
      </c>
      <c r="CP42" s="239">
        <v>0</v>
      </c>
      <c r="CQ42" s="239">
        <v>0</v>
      </c>
      <c r="CR42" s="239">
        <v>0</v>
      </c>
      <c r="CS42" s="239">
        <v>0</v>
      </c>
      <c r="CT42" s="239">
        <v>0</v>
      </c>
      <c r="CU42" s="239">
        <v>0</v>
      </c>
      <c r="CV42" s="239">
        <v>0</v>
      </c>
      <c r="CW42" s="239">
        <v>0</v>
      </c>
      <c r="CX42" s="239">
        <v>0</v>
      </c>
      <c r="CY42" s="239">
        <v>0</v>
      </c>
      <c r="CZ42" s="239">
        <v>0</v>
      </c>
      <c r="DA42" s="239">
        <v>0</v>
      </c>
      <c r="DB42" s="239">
        <v>0</v>
      </c>
      <c r="DC42" s="239">
        <v>0</v>
      </c>
      <c r="DD42" s="239">
        <v>0</v>
      </c>
      <c r="DE42" s="239">
        <v>0</v>
      </c>
      <c r="DF42" s="239">
        <v>0</v>
      </c>
      <c r="DG42" s="239">
        <v>0</v>
      </c>
      <c r="DH42" s="239">
        <v>0</v>
      </c>
      <c r="DI42" s="239">
        <v>0</v>
      </c>
      <c r="DJ42" s="239">
        <v>-78028</v>
      </c>
      <c r="DK42" s="239">
        <v>0</v>
      </c>
      <c r="DL42" s="239">
        <v>-78028</v>
      </c>
      <c r="DM42" s="239">
        <v>0</v>
      </c>
      <c r="DN42" s="239">
        <v>0</v>
      </c>
      <c r="DO42" s="239">
        <v>0</v>
      </c>
      <c r="DP42" s="239">
        <v>0</v>
      </c>
      <c r="DQ42" s="239">
        <v>0</v>
      </c>
      <c r="DR42" s="239">
        <v>0</v>
      </c>
      <c r="DS42" s="239">
        <v>0</v>
      </c>
      <c r="DT42" s="239">
        <v>0</v>
      </c>
      <c r="DU42" s="239">
        <v>0</v>
      </c>
      <c r="DV42" s="239">
        <v>-1140</v>
      </c>
      <c r="DW42" s="239">
        <v>0</v>
      </c>
      <c r="DX42" s="239">
        <v>-1140</v>
      </c>
      <c r="DY42" s="239">
        <v>0</v>
      </c>
      <c r="DZ42" s="239">
        <v>0</v>
      </c>
      <c r="EA42" s="239">
        <v>0</v>
      </c>
      <c r="EB42" s="239">
        <v>0</v>
      </c>
      <c r="EC42" s="239">
        <v>0</v>
      </c>
      <c r="ED42" s="239">
        <v>0</v>
      </c>
      <c r="EE42" s="239">
        <v>0</v>
      </c>
      <c r="EF42" s="239">
        <v>0</v>
      </c>
      <c r="EG42" s="239">
        <v>0</v>
      </c>
      <c r="EH42" s="239">
        <v>0</v>
      </c>
      <c r="EI42" s="239">
        <v>0</v>
      </c>
      <c r="EJ42" s="239">
        <v>0</v>
      </c>
      <c r="EK42" s="239">
        <v>0</v>
      </c>
      <c r="EL42" s="239">
        <v>0</v>
      </c>
      <c r="EM42" s="239">
        <v>0</v>
      </c>
      <c r="EN42" s="239">
        <v>0</v>
      </c>
      <c r="EO42" s="239">
        <v>0</v>
      </c>
      <c r="EP42" s="239">
        <v>0</v>
      </c>
      <c r="EQ42" s="239">
        <v>-21858</v>
      </c>
      <c r="ER42" s="239">
        <v>0</v>
      </c>
      <c r="ES42" s="239">
        <v>-21858</v>
      </c>
      <c r="ET42" s="239">
        <v>-37659</v>
      </c>
      <c r="EU42" s="239">
        <v>0</v>
      </c>
      <c r="EV42" s="239">
        <v>-37659</v>
      </c>
      <c r="EW42" s="239">
        <v>-24000</v>
      </c>
      <c r="EX42" s="239">
        <v>0</v>
      </c>
      <c r="EY42" s="239">
        <v>-24000</v>
      </c>
      <c r="EZ42" s="239">
        <v>-84657</v>
      </c>
      <c r="FA42" s="239">
        <v>0</v>
      </c>
      <c r="FB42" s="239">
        <v>-84657</v>
      </c>
      <c r="FC42" s="239">
        <v>0</v>
      </c>
      <c r="FD42" s="239">
        <v>0</v>
      </c>
      <c r="FE42" s="239">
        <v>0</v>
      </c>
      <c r="FF42" s="239">
        <v>0</v>
      </c>
      <c r="FG42" s="239">
        <v>0</v>
      </c>
      <c r="FH42" s="239">
        <v>0</v>
      </c>
      <c r="FI42" s="239">
        <v>0</v>
      </c>
      <c r="FJ42" s="239">
        <v>0</v>
      </c>
      <c r="FK42" s="239">
        <v>0</v>
      </c>
      <c r="FL42" s="239">
        <v>44658599</v>
      </c>
      <c r="FM42" s="239">
        <v>0</v>
      </c>
      <c r="FN42" s="239">
        <v>44658599</v>
      </c>
      <c r="FO42" s="239">
        <v>1462638</v>
      </c>
      <c r="FP42" s="239">
        <v>0</v>
      </c>
      <c r="FQ42" s="239">
        <v>1462638</v>
      </c>
      <c r="FR42" s="239">
        <v>-3973121</v>
      </c>
      <c r="FS42" s="239">
        <v>0</v>
      </c>
      <c r="FT42" s="239">
        <v>-3973121</v>
      </c>
      <c r="FU42" s="239">
        <v>-1272359</v>
      </c>
      <c r="FV42" s="239">
        <v>0</v>
      </c>
      <c r="FW42" s="239">
        <v>-1272359</v>
      </c>
      <c r="FX42" s="239">
        <v>-78028</v>
      </c>
      <c r="FY42" s="239">
        <v>0</v>
      </c>
      <c r="FZ42" s="239">
        <v>-78028</v>
      </c>
      <c r="GA42" s="239">
        <v>-84657</v>
      </c>
      <c r="GB42" s="239">
        <v>0</v>
      </c>
      <c r="GC42" s="239">
        <v>-84657</v>
      </c>
      <c r="GD42" s="239">
        <v>0</v>
      </c>
      <c r="GE42" s="239">
        <v>0</v>
      </c>
      <c r="GF42" s="239">
        <v>0</v>
      </c>
      <c r="GG42" s="239">
        <v>-3945527</v>
      </c>
      <c r="GH42" s="239">
        <v>0</v>
      </c>
      <c r="GI42" s="239">
        <v>-3945527</v>
      </c>
      <c r="GJ42" s="239">
        <v>40713072</v>
      </c>
      <c r="GK42" s="239">
        <v>0</v>
      </c>
      <c r="GL42" s="239">
        <v>40713072</v>
      </c>
      <c r="GM42" s="214" t="s">
        <v>1158</v>
      </c>
    </row>
    <row r="43" spans="1:195" s="214" customFormat="1" x14ac:dyDescent="0.2">
      <c r="A43" s="215"/>
      <c r="B43" s="602" t="s">
        <v>169</v>
      </c>
      <c r="C43" s="602" t="s">
        <v>168</v>
      </c>
      <c r="D43" s="239">
        <v>-1359316</v>
      </c>
      <c r="E43" s="239">
        <v>-2910</v>
      </c>
      <c r="F43" s="239">
        <v>-1362226</v>
      </c>
      <c r="G43" s="239">
        <v>6945</v>
      </c>
      <c r="H43" s="239">
        <v>0</v>
      </c>
      <c r="I43" s="239">
        <v>6945</v>
      </c>
      <c r="J43" s="239">
        <v>612355</v>
      </c>
      <c r="K43" s="239">
        <v>24168</v>
      </c>
      <c r="L43" s="239">
        <v>636523</v>
      </c>
      <c r="M43" s="239">
        <v>-4375</v>
      </c>
      <c r="N43" s="239">
        <v>0</v>
      </c>
      <c r="O43" s="239">
        <v>-4375</v>
      </c>
      <c r="P43" s="239">
        <v>-744391</v>
      </c>
      <c r="Q43" s="239">
        <v>21258</v>
      </c>
      <c r="R43" s="239">
        <v>-723133</v>
      </c>
      <c r="S43" s="239">
        <v>-2346527</v>
      </c>
      <c r="T43" s="239">
        <v>0</v>
      </c>
      <c r="U43" s="239">
        <v>-2346527</v>
      </c>
      <c r="V43" s="239">
        <v>0</v>
      </c>
      <c r="W43" s="239">
        <v>0</v>
      </c>
      <c r="X43" s="239">
        <v>0</v>
      </c>
      <c r="Y43" s="239">
        <v>-105697</v>
      </c>
      <c r="Z43" s="239">
        <v>27</v>
      </c>
      <c r="AA43" s="239">
        <v>-105670</v>
      </c>
      <c r="AB43" s="239">
        <v>0</v>
      </c>
      <c r="AC43" s="239">
        <v>0</v>
      </c>
      <c r="AD43" s="239">
        <v>0</v>
      </c>
      <c r="AE43" s="239">
        <v>0</v>
      </c>
      <c r="AF43" s="239">
        <v>0</v>
      </c>
      <c r="AG43" s="239">
        <v>0</v>
      </c>
      <c r="AH43" s="239">
        <v>587892</v>
      </c>
      <c r="AI43" s="239">
        <v>15592</v>
      </c>
      <c r="AJ43" s="239">
        <v>603484</v>
      </c>
      <c r="AK43" s="239">
        <v>-40375</v>
      </c>
      <c r="AL43" s="239">
        <v>-1728</v>
      </c>
      <c r="AM43" s="239">
        <v>-42103</v>
      </c>
      <c r="AN43" s="239">
        <v>-1350487</v>
      </c>
      <c r="AO43" s="239">
        <v>0</v>
      </c>
      <c r="AP43" s="239">
        <v>-1350487</v>
      </c>
      <c r="AQ43" s="239">
        <v>-33967</v>
      </c>
      <c r="AR43" s="239">
        <v>0</v>
      </c>
      <c r="AS43" s="239">
        <v>-33967</v>
      </c>
      <c r="AT43" s="239">
        <v>0</v>
      </c>
      <c r="AU43" s="239">
        <v>0</v>
      </c>
      <c r="AV43" s="239">
        <v>0</v>
      </c>
      <c r="AW43" s="239">
        <v>0</v>
      </c>
      <c r="AX43" s="239">
        <v>0</v>
      </c>
      <c r="AY43" s="239">
        <v>0</v>
      </c>
      <c r="AZ43" s="239">
        <v>-2139</v>
      </c>
      <c r="BA43" s="239">
        <v>0</v>
      </c>
      <c r="BB43" s="239">
        <v>-2139</v>
      </c>
      <c r="BC43" s="239">
        <v>0</v>
      </c>
      <c r="BD43" s="239">
        <v>0</v>
      </c>
      <c r="BE43" s="239">
        <v>0</v>
      </c>
      <c r="BF43" s="239">
        <v>-3291300</v>
      </c>
      <c r="BG43" s="239">
        <v>13891</v>
      </c>
      <c r="BH43" s="239">
        <v>-3277409</v>
      </c>
      <c r="BI43" s="239">
        <v>0</v>
      </c>
      <c r="BJ43" s="239">
        <v>0</v>
      </c>
      <c r="BK43" s="239">
        <v>0</v>
      </c>
      <c r="BL43" s="239">
        <v>0</v>
      </c>
      <c r="BM43" s="239">
        <v>0</v>
      </c>
      <c r="BN43" s="239">
        <v>0</v>
      </c>
      <c r="BO43" s="239">
        <v>-470769</v>
      </c>
      <c r="BP43" s="239">
        <v>-16672</v>
      </c>
      <c r="BQ43" s="239">
        <v>-487441</v>
      </c>
      <c r="BR43" s="239">
        <v>32100</v>
      </c>
      <c r="BS43" s="239">
        <v>17346</v>
      </c>
      <c r="BT43" s="239">
        <v>49446</v>
      </c>
      <c r="BU43" s="239">
        <v>-438669</v>
      </c>
      <c r="BV43" s="239">
        <v>674</v>
      </c>
      <c r="BW43" s="239">
        <v>-437995</v>
      </c>
      <c r="BX43" s="239">
        <v>-69388</v>
      </c>
      <c r="BY43" s="239">
        <v>0</v>
      </c>
      <c r="BZ43" s="239">
        <v>-69388</v>
      </c>
      <c r="CA43" s="239">
        <v>-10593</v>
      </c>
      <c r="CB43" s="239">
        <v>0</v>
      </c>
      <c r="CC43" s="239">
        <v>-10593</v>
      </c>
      <c r="CD43" s="239">
        <v>-12983</v>
      </c>
      <c r="CE43" s="239">
        <v>0</v>
      </c>
      <c r="CF43" s="239">
        <v>-12983</v>
      </c>
      <c r="CG43" s="239">
        <v>0</v>
      </c>
      <c r="CH43" s="239">
        <v>0</v>
      </c>
      <c r="CI43" s="239">
        <v>0</v>
      </c>
      <c r="CJ43" s="239">
        <v>0</v>
      </c>
      <c r="CK43" s="239">
        <v>0</v>
      </c>
      <c r="CL43" s="239">
        <v>0</v>
      </c>
      <c r="CM43" s="239">
        <v>0</v>
      </c>
      <c r="CN43" s="239">
        <v>0</v>
      </c>
      <c r="CO43" s="239">
        <v>0</v>
      </c>
      <c r="CP43" s="239">
        <v>-2139</v>
      </c>
      <c r="CQ43" s="239">
        <v>0</v>
      </c>
      <c r="CR43" s="239">
        <v>-2139</v>
      </c>
      <c r="CS43" s="239">
        <v>0</v>
      </c>
      <c r="CT43" s="239">
        <v>0</v>
      </c>
      <c r="CU43" s="239">
        <v>0</v>
      </c>
      <c r="CV43" s="239">
        <v>0</v>
      </c>
      <c r="CW43" s="239">
        <v>0</v>
      </c>
      <c r="CX43" s="239">
        <v>0</v>
      </c>
      <c r="CY43" s="239">
        <v>0</v>
      </c>
      <c r="CZ43" s="239">
        <v>0</v>
      </c>
      <c r="DA43" s="239">
        <v>0</v>
      </c>
      <c r="DB43" s="239">
        <v>0</v>
      </c>
      <c r="DC43" s="239">
        <v>-110000</v>
      </c>
      <c r="DD43" s="239">
        <v>-110000</v>
      </c>
      <c r="DE43" s="239">
        <v>0</v>
      </c>
      <c r="DF43" s="239">
        <v>0</v>
      </c>
      <c r="DG43" s="239">
        <v>0</v>
      </c>
      <c r="DH43" s="239">
        <v>-110000</v>
      </c>
      <c r="DI43" s="239">
        <v>0</v>
      </c>
      <c r="DJ43" s="239">
        <v>-95103</v>
      </c>
      <c r="DK43" s="239">
        <v>-110000</v>
      </c>
      <c r="DL43" s="239">
        <v>-205103</v>
      </c>
      <c r="DM43" s="239">
        <v>0</v>
      </c>
      <c r="DN43" s="239">
        <v>0</v>
      </c>
      <c r="DO43" s="239">
        <v>0</v>
      </c>
      <c r="DP43" s="239">
        <v>0</v>
      </c>
      <c r="DQ43" s="239">
        <v>0</v>
      </c>
      <c r="DR43" s="239">
        <v>0</v>
      </c>
      <c r="DS43" s="239">
        <v>0</v>
      </c>
      <c r="DT43" s="239">
        <v>0</v>
      </c>
      <c r="DU43" s="239">
        <v>0</v>
      </c>
      <c r="DV43" s="239">
        <v>-1723</v>
      </c>
      <c r="DW43" s="239">
        <v>0</v>
      </c>
      <c r="DX43" s="239">
        <v>-1723</v>
      </c>
      <c r="DY43" s="239">
        <v>1988</v>
      </c>
      <c r="DZ43" s="239">
        <v>0</v>
      </c>
      <c r="EA43" s="239">
        <v>1988</v>
      </c>
      <c r="EB43" s="239">
        <v>0</v>
      </c>
      <c r="EC43" s="239">
        <v>0</v>
      </c>
      <c r="ED43" s="239">
        <v>0</v>
      </c>
      <c r="EE43" s="239">
        <v>0</v>
      </c>
      <c r="EF43" s="239">
        <v>0</v>
      </c>
      <c r="EG43" s="239">
        <v>0</v>
      </c>
      <c r="EH43" s="239">
        <v>0</v>
      </c>
      <c r="EI43" s="239">
        <v>0</v>
      </c>
      <c r="EJ43" s="239">
        <v>0</v>
      </c>
      <c r="EK43" s="239">
        <v>-2139</v>
      </c>
      <c r="EL43" s="239">
        <v>0</v>
      </c>
      <c r="EM43" s="239">
        <v>-2139</v>
      </c>
      <c r="EN43" s="239">
        <v>0</v>
      </c>
      <c r="EO43" s="239">
        <v>0</v>
      </c>
      <c r="EP43" s="239">
        <v>0</v>
      </c>
      <c r="EQ43" s="239">
        <v>-10665</v>
      </c>
      <c r="ER43" s="239">
        <v>0</v>
      </c>
      <c r="ES43" s="239">
        <v>-10665</v>
      </c>
      <c r="ET43" s="239">
        <v>-114273</v>
      </c>
      <c r="EU43" s="239">
        <v>0</v>
      </c>
      <c r="EV43" s="239">
        <v>-114273</v>
      </c>
      <c r="EW43" s="239">
        <v>-33682</v>
      </c>
      <c r="EX43" s="239">
        <v>0</v>
      </c>
      <c r="EY43" s="239">
        <v>-33682</v>
      </c>
      <c r="EZ43" s="239">
        <v>-160494</v>
      </c>
      <c r="FA43" s="239">
        <v>0</v>
      </c>
      <c r="FB43" s="239">
        <v>-160494</v>
      </c>
      <c r="FC43" s="239">
        <v>0</v>
      </c>
      <c r="FD43" s="239">
        <v>0</v>
      </c>
      <c r="FE43" s="239">
        <v>0</v>
      </c>
      <c r="FF43" s="239">
        <v>0</v>
      </c>
      <c r="FG43" s="239">
        <v>0</v>
      </c>
      <c r="FH43" s="239">
        <v>0</v>
      </c>
      <c r="FI43" s="239">
        <v>0</v>
      </c>
      <c r="FJ43" s="239">
        <v>0</v>
      </c>
      <c r="FK43" s="239">
        <v>0</v>
      </c>
      <c r="FL43" s="239">
        <v>28903135</v>
      </c>
      <c r="FM43" s="239">
        <v>492828</v>
      </c>
      <c r="FN43" s="239">
        <v>29395963</v>
      </c>
      <c r="FO43" s="239">
        <v>-744391</v>
      </c>
      <c r="FP43" s="239">
        <v>21258</v>
      </c>
      <c r="FQ43" s="239">
        <v>-723133</v>
      </c>
      <c r="FR43" s="239">
        <v>-3291300</v>
      </c>
      <c r="FS43" s="239">
        <v>13891</v>
      </c>
      <c r="FT43" s="239">
        <v>-3277409</v>
      </c>
      <c r="FU43" s="239">
        <v>-438669</v>
      </c>
      <c r="FV43" s="239">
        <v>674</v>
      </c>
      <c r="FW43" s="239">
        <v>-437995</v>
      </c>
      <c r="FX43" s="239">
        <v>-95103</v>
      </c>
      <c r="FY43" s="239">
        <v>-110000</v>
      </c>
      <c r="FZ43" s="239">
        <v>-205103</v>
      </c>
      <c r="GA43" s="239">
        <v>-160494</v>
      </c>
      <c r="GB43" s="239">
        <v>0</v>
      </c>
      <c r="GC43" s="239">
        <v>-160494</v>
      </c>
      <c r="GD43" s="239">
        <v>0</v>
      </c>
      <c r="GE43" s="239">
        <v>0</v>
      </c>
      <c r="GF43" s="239">
        <v>0</v>
      </c>
      <c r="GG43" s="239">
        <v>-4729957</v>
      </c>
      <c r="GH43" s="239">
        <v>-74177</v>
      </c>
      <c r="GI43" s="239">
        <v>-4804134</v>
      </c>
      <c r="GJ43" s="239">
        <v>24173178</v>
      </c>
      <c r="GK43" s="239">
        <v>418651</v>
      </c>
      <c r="GL43" s="239">
        <v>24591829</v>
      </c>
      <c r="GM43" s="214" t="s">
        <v>1158</v>
      </c>
    </row>
    <row r="44" spans="1:195" s="214" customFormat="1" x14ac:dyDescent="0.2">
      <c r="B44" s="602" t="s">
        <v>171</v>
      </c>
      <c r="C44" s="602" t="s">
        <v>170</v>
      </c>
      <c r="D44" s="239">
        <v>-946376</v>
      </c>
      <c r="E44" s="239">
        <v>0</v>
      </c>
      <c r="F44" s="239">
        <v>-946376</v>
      </c>
      <c r="G44" s="239">
        <v>46436</v>
      </c>
      <c r="H44" s="239">
        <v>0</v>
      </c>
      <c r="I44" s="239">
        <v>46436</v>
      </c>
      <c r="J44" s="239">
        <v>2988878</v>
      </c>
      <c r="K44" s="239">
        <v>0</v>
      </c>
      <c r="L44" s="239">
        <v>2988878</v>
      </c>
      <c r="M44" s="239">
        <v>4196</v>
      </c>
      <c r="N44" s="239">
        <v>0</v>
      </c>
      <c r="O44" s="239">
        <v>4196</v>
      </c>
      <c r="P44" s="239">
        <v>2093134</v>
      </c>
      <c r="Q44" s="239">
        <v>0</v>
      </c>
      <c r="R44" s="239">
        <v>2093134</v>
      </c>
      <c r="S44" s="239">
        <v>-3665609</v>
      </c>
      <c r="T44" s="239">
        <v>0</v>
      </c>
      <c r="U44" s="239">
        <v>-3665609</v>
      </c>
      <c r="V44" s="239">
        <v>-18246</v>
      </c>
      <c r="W44" s="239">
        <v>0</v>
      </c>
      <c r="X44" s="239">
        <v>-18246</v>
      </c>
      <c r="Y44" s="239">
        <v>-105465</v>
      </c>
      <c r="Z44" s="239">
        <v>0</v>
      </c>
      <c r="AA44" s="239">
        <v>-105465</v>
      </c>
      <c r="AB44" s="239">
        <v>-80457</v>
      </c>
      <c r="AC44" s="239">
        <v>0</v>
      </c>
      <c r="AD44" s="239">
        <v>-80457</v>
      </c>
      <c r="AE44" s="239">
        <v>-4055</v>
      </c>
      <c r="AF44" s="239">
        <v>0</v>
      </c>
      <c r="AG44" s="239">
        <v>-4055</v>
      </c>
      <c r="AH44" s="239">
        <v>639342</v>
      </c>
      <c r="AI44" s="239">
        <v>0</v>
      </c>
      <c r="AJ44" s="239">
        <v>639342</v>
      </c>
      <c r="AK44" s="239">
        <v>376874</v>
      </c>
      <c r="AL44" s="239">
        <v>0</v>
      </c>
      <c r="AM44" s="239">
        <v>376874</v>
      </c>
      <c r="AN44" s="239">
        <v>-2201328</v>
      </c>
      <c r="AO44" s="239">
        <v>0</v>
      </c>
      <c r="AP44" s="239">
        <v>-2201328</v>
      </c>
      <c r="AQ44" s="239">
        <v>84744</v>
      </c>
      <c r="AR44" s="239">
        <v>0</v>
      </c>
      <c r="AS44" s="239">
        <v>84744</v>
      </c>
      <c r="AT44" s="239">
        <v>-25904</v>
      </c>
      <c r="AU44" s="239">
        <v>0</v>
      </c>
      <c r="AV44" s="239">
        <v>-25904</v>
      </c>
      <c r="AW44" s="239">
        <v>0</v>
      </c>
      <c r="AX44" s="239">
        <v>0</v>
      </c>
      <c r="AY44" s="239">
        <v>0</v>
      </c>
      <c r="AZ44" s="239">
        <v>-743</v>
      </c>
      <c r="BA44" s="239">
        <v>0</v>
      </c>
      <c r="BB44" s="239">
        <v>-743</v>
      </c>
      <c r="BC44" s="239">
        <v>0</v>
      </c>
      <c r="BD44" s="239">
        <v>0</v>
      </c>
      <c r="BE44" s="239">
        <v>0</v>
      </c>
      <c r="BF44" s="239">
        <v>-4898089</v>
      </c>
      <c r="BG44" s="239">
        <v>0</v>
      </c>
      <c r="BH44" s="239">
        <v>-4898089</v>
      </c>
      <c r="BI44" s="239">
        <v>0</v>
      </c>
      <c r="BJ44" s="239">
        <v>0</v>
      </c>
      <c r="BK44" s="239">
        <v>0</v>
      </c>
      <c r="BL44" s="239">
        <v>0</v>
      </c>
      <c r="BM44" s="239">
        <v>0</v>
      </c>
      <c r="BN44" s="239">
        <v>0</v>
      </c>
      <c r="BO44" s="239">
        <v>-1386289</v>
      </c>
      <c r="BP44" s="239">
        <v>0</v>
      </c>
      <c r="BQ44" s="239">
        <v>-1386289</v>
      </c>
      <c r="BR44" s="239">
        <v>-89641</v>
      </c>
      <c r="BS44" s="239">
        <v>0</v>
      </c>
      <c r="BT44" s="239">
        <v>-89641</v>
      </c>
      <c r="BU44" s="239">
        <v>-1475930</v>
      </c>
      <c r="BV44" s="239">
        <v>0</v>
      </c>
      <c r="BW44" s="239">
        <v>-1475930</v>
      </c>
      <c r="BX44" s="239">
        <v>-91583</v>
      </c>
      <c r="BY44" s="239">
        <v>0</v>
      </c>
      <c r="BZ44" s="239">
        <v>-91583</v>
      </c>
      <c r="CA44" s="239">
        <v>-2101</v>
      </c>
      <c r="CB44" s="239">
        <v>0</v>
      </c>
      <c r="CC44" s="239">
        <v>-2101</v>
      </c>
      <c r="CD44" s="239">
        <v>-105761</v>
      </c>
      <c r="CE44" s="239">
        <v>0</v>
      </c>
      <c r="CF44" s="239">
        <v>-105761</v>
      </c>
      <c r="CG44" s="239">
        <v>610</v>
      </c>
      <c r="CH44" s="239">
        <v>0</v>
      </c>
      <c r="CI44" s="239">
        <v>610</v>
      </c>
      <c r="CJ44" s="239">
        <v>0</v>
      </c>
      <c r="CK44" s="239">
        <v>0</v>
      </c>
      <c r="CL44" s="239">
        <v>0</v>
      </c>
      <c r="CM44" s="239">
        <v>0</v>
      </c>
      <c r="CN44" s="239">
        <v>0</v>
      </c>
      <c r="CO44" s="239">
        <v>0</v>
      </c>
      <c r="CP44" s="239">
        <v>0</v>
      </c>
      <c r="CQ44" s="239">
        <v>0</v>
      </c>
      <c r="CR44" s="239">
        <v>0</v>
      </c>
      <c r="CS44" s="239">
        <v>0</v>
      </c>
      <c r="CT44" s="239">
        <v>0</v>
      </c>
      <c r="CU44" s="239">
        <v>0</v>
      </c>
      <c r="CV44" s="239">
        <v>0</v>
      </c>
      <c r="CW44" s="239">
        <v>0</v>
      </c>
      <c r="CX44" s="239">
        <v>0</v>
      </c>
      <c r="CY44" s="239">
        <v>0</v>
      </c>
      <c r="CZ44" s="239">
        <v>0</v>
      </c>
      <c r="DA44" s="239">
        <v>0</v>
      </c>
      <c r="DB44" s="239">
        <v>-948718</v>
      </c>
      <c r="DC44" s="239">
        <v>0</v>
      </c>
      <c r="DD44" s="239">
        <v>-948718</v>
      </c>
      <c r="DE44" s="239">
        <v>-739544</v>
      </c>
      <c r="DF44" s="239">
        <v>0</v>
      </c>
      <c r="DG44" s="239">
        <v>-739544</v>
      </c>
      <c r="DH44" s="239">
        <v>0</v>
      </c>
      <c r="DI44" s="239">
        <v>0</v>
      </c>
      <c r="DJ44" s="239">
        <v>-1887097</v>
      </c>
      <c r="DK44" s="239">
        <v>0</v>
      </c>
      <c r="DL44" s="239">
        <v>-1887097</v>
      </c>
      <c r="DM44" s="239">
        <v>-20616</v>
      </c>
      <c r="DN44" s="239">
        <v>0</v>
      </c>
      <c r="DO44" s="239">
        <v>-20616</v>
      </c>
      <c r="DP44" s="239">
        <v>0</v>
      </c>
      <c r="DQ44" s="239">
        <v>0</v>
      </c>
      <c r="DR44" s="239">
        <v>0</v>
      </c>
      <c r="DS44" s="239">
        <v>0</v>
      </c>
      <c r="DT44" s="239">
        <v>0</v>
      </c>
      <c r="DU44" s="239">
        <v>0</v>
      </c>
      <c r="DV44" s="239">
        <v>0</v>
      </c>
      <c r="DW44" s="239">
        <v>0</v>
      </c>
      <c r="DX44" s="239">
        <v>0</v>
      </c>
      <c r="DY44" s="239">
        <v>40</v>
      </c>
      <c r="DZ44" s="239">
        <v>0</v>
      </c>
      <c r="EA44" s="239">
        <v>40</v>
      </c>
      <c r="EB44" s="239">
        <v>-7306</v>
      </c>
      <c r="EC44" s="239">
        <v>0</v>
      </c>
      <c r="ED44" s="239">
        <v>-7306</v>
      </c>
      <c r="EE44" s="239">
        <v>0</v>
      </c>
      <c r="EF44" s="239">
        <v>0</v>
      </c>
      <c r="EG44" s="239">
        <v>0</v>
      </c>
      <c r="EH44" s="239">
        <v>0</v>
      </c>
      <c r="EI44" s="239">
        <v>0</v>
      </c>
      <c r="EJ44" s="239">
        <v>0</v>
      </c>
      <c r="EK44" s="239">
        <v>-633</v>
      </c>
      <c r="EL44" s="239">
        <v>0</v>
      </c>
      <c r="EM44" s="239">
        <v>-633</v>
      </c>
      <c r="EN44" s="239">
        <v>0</v>
      </c>
      <c r="EO44" s="239">
        <v>0</v>
      </c>
      <c r="EP44" s="239">
        <v>0</v>
      </c>
      <c r="EQ44" s="239">
        <v>-10565</v>
      </c>
      <c r="ER44" s="239">
        <v>0</v>
      </c>
      <c r="ES44" s="239">
        <v>-10565</v>
      </c>
      <c r="ET44" s="239">
        <v>-99678</v>
      </c>
      <c r="EU44" s="239">
        <v>0</v>
      </c>
      <c r="EV44" s="239">
        <v>-99678</v>
      </c>
      <c r="EW44" s="239">
        <v>-31963</v>
      </c>
      <c r="EX44" s="239">
        <v>0</v>
      </c>
      <c r="EY44" s="239">
        <v>-31963</v>
      </c>
      <c r="EZ44" s="239">
        <v>-170721</v>
      </c>
      <c r="FA44" s="239">
        <v>0</v>
      </c>
      <c r="FB44" s="239">
        <v>-170721</v>
      </c>
      <c r="FC44" s="239">
        <v>0</v>
      </c>
      <c r="FD44" s="239">
        <v>0</v>
      </c>
      <c r="FE44" s="239">
        <v>0</v>
      </c>
      <c r="FF44" s="239">
        <v>0</v>
      </c>
      <c r="FG44" s="239">
        <v>0</v>
      </c>
      <c r="FH44" s="239">
        <v>0</v>
      </c>
      <c r="FI44" s="239">
        <v>0</v>
      </c>
      <c r="FJ44" s="239">
        <v>0</v>
      </c>
      <c r="FK44" s="239">
        <v>0</v>
      </c>
      <c r="FL44" s="239">
        <v>33541628</v>
      </c>
      <c r="FM44" s="239">
        <v>0</v>
      </c>
      <c r="FN44" s="239">
        <v>33541628</v>
      </c>
      <c r="FO44" s="239">
        <v>2093134</v>
      </c>
      <c r="FP44" s="239">
        <v>0</v>
      </c>
      <c r="FQ44" s="239">
        <v>2093134</v>
      </c>
      <c r="FR44" s="239">
        <v>-4898089</v>
      </c>
      <c r="FS44" s="239">
        <v>0</v>
      </c>
      <c r="FT44" s="239">
        <v>-4898089</v>
      </c>
      <c r="FU44" s="239">
        <v>-1475930</v>
      </c>
      <c r="FV44" s="239">
        <v>0</v>
      </c>
      <c r="FW44" s="239">
        <v>-1475930</v>
      </c>
      <c r="FX44" s="239">
        <v>-1887097</v>
      </c>
      <c r="FY44" s="239">
        <v>0</v>
      </c>
      <c r="FZ44" s="239">
        <v>-1887097</v>
      </c>
      <c r="GA44" s="239">
        <v>-170721</v>
      </c>
      <c r="GB44" s="239">
        <v>0</v>
      </c>
      <c r="GC44" s="239">
        <v>-170721</v>
      </c>
      <c r="GD44" s="239">
        <v>0</v>
      </c>
      <c r="GE44" s="239">
        <v>0</v>
      </c>
      <c r="GF44" s="239">
        <v>0</v>
      </c>
      <c r="GG44" s="239">
        <v>-6338703</v>
      </c>
      <c r="GH44" s="239">
        <v>0</v>
      </c>
      <c r="GI44" s="239">
        <v>-6338703</v>
      </c>
      <c r="GJ44" s="239">
        <v>27202925</v>
      </c>
      <c r="GK44" s="239">
        <v>0</v>
      </c>
      <c r="GL44" s="239">
        <v>27202925</v>
      </c>
      <c r="GM44" s="214" t="s">
        <v>1158</v>
      </c>
    </row>
    <row r="45" spans="1:195" s="214" customFormat="1" x14ac:dyDescent="0.2">
      <c r="B45" s="602" t="s">
        <v>173</v>
      </c>
      <c r="C45" s="602" t="s">
        <v>172</v>
      </c>
      <c r="D45" s="239">
        <v>-2162448</v>
      </c>
      <c r="E45" s="239">
        <v>0</v>
      </c>
      <c r="F45" s="239">
        <v>-2162448</v>
      </c>
      <c r="G45" s="239">
        <v>11009</v>
      </c>
      <c r="H45" s="239">
        <v>0</v>
      </c>
      <c r="I45" s="239">
        <v>11009</v>
      </c>
      <c r="J45" s="239">
        <v>4048234</v>
      </c>
      <c r="K45" s="239">
        <v>0</v>
      </c>
      <c r="L45" s="239">
        <v>4048234</v>
      </c>
      <c r="M45" s="239">
        <v>5635</v>
      </c>
      <c r="N45" s="239">
        <v>0</v>
      </c>
      <c r="O45" s="239">
        <v>5635</v>
      </c>
      <c r="P45" s="239">
        <v>1902430</v>
      </c>
      <c r="Q45" s="239">
        <v>0</v>
      </c>
      <c r="R45" s="239">
        <v>1902430</v>
      </c>
      <c r="S45" s="239">
        <v>-7066274</v>
      </c>
      <c r="T45" s="239">
        <v>0</v>
      </c>
      <c r="U45" s="239">
        <v>-7066274</v>
      </c>
      <c r="V45" s="239">
        <v>-9591</v>
      </c>
      <c r="W45" s="239">
        <v>0</v>
      </c>
      <c r="X45" s="239">
        <v>-9591</v>
      </c>
      <c r="Y45" s="239">
        <v>-197316</v>
      </c>
      <c r="Z45" s="239">
        <v>0</v>
      </c>
      <c r="AA45" s="239">
        <v>-197316</v>
      </c>
      <c r="AB45" s="239">
        <v>-188436</v>
      </c>
      <c r="AC45" s="239">
        <v>0</v>
      </c>
      <c r="AD45" s="239">
        <v>-188436</v>
      </c>
      <c r="AE45" s="239">
        <v>0</v>
      </c>
      <c r="AF45" s="239">
        <v>0</v>
      </c>
      <c r="AG45" s="239">
        <v>0</v>
      </c>
      <c r="AH45" s="239">
        <v>1072581</v>
      </c>
      <c r="AI45" s="239">
        <v>0</v>
      </c>
      <c r="AJ45" s="239">
        <v>1072581</v>
      </c>
      <c r="AK45" s="239">
        <v>-31451</v>
      </c>
      <c r="AL45" s="239">
        <v>0</v>
      </c>
      <c r="AM45" s="239">
        <v>-31451</v>
      </c>
      <c r="AN45" s="239">
        <v>-2633154</v>
      </c>
      <c r="AO45" s="239">
        <v>0</v>
      </c>
      <c r="AP45" s="239">
        <v>-2633154</v>
      </c>
      <c r="AQ45" s="239">
        <v>-62732</v>
      </c>
      <c r="AR45" s="239">
        <v>0</v>
      </c>
      <c r="AS45" s="239">
        <v>-62732</v>
      </c>
      <c r="AT45" s="239">
        <v>-116502</v>
      </c>
      <c r="AU45" s="239">
        <v>0</v>
      </c>
      <c r="AV45" s="239">
        <v>-116502</v>
      </c>
      <c r="AW45" s="239">
        <v>0</v>
      </c>
      <c r="AX45" s="239">
        <v>0</v>
      </c>
      <c r="AY45" s="239">
        <v>0</v>
      </c>
      <c r="AZ45" s="239">
        <v>-1509</v>
      </c>
      <c r="BA45" s="239">
        <v>0</v>
      </c>
      <c r="BB45" s="239">
        <v>-1509</v>
      </c>
      <c r="BC45" s="239">
        <v>0</v>
      </c>
      <c r="BD45" s="239">
        <v>0</v>
      </c>
      <c r="BE45" s="239">
        <v>0</v>
      </c>
      <c r="BF45" s="239">
        <v>-9036357</v>
      </c>
      <c r="BG45" s="239">
        <v>0</v>
      </c>
      <c r="BH45" s="239">
        <v>-9036357</v>
      </c>
      <c r="BI45" s="239">
        <v>-834</v>
      </c>
      <c r="BJ45" s="239">
        <v>0</v>
      </c>
      <c r="BK45" s="239">
        <v>-834</v>
      </c>
      <c r="BL45" s="239">
        <v>0</v>
      </c>
      <c r="BM45" s="239">
        <v>0</v>
      </c>
      <c r="BN45" s="239">
        <v>0</v>
      </c>
      <c r="BO45" s="239">
        <v>-1638910</v>
      </c>
      <c r="BP45" s="239">
        <v>0</v>
      </c>
      <c r="BQ45" s="239">
        <v>-1638910</v>
      </c>
      <c r="BR45" s="239">
        <v>-55065</v>
      </c>
      <c r="BS45" s="239">
        <v>0</v>
      </c>
      <c r="BT45" s="239">
        <v>-55065</v>
      </c>
      <c r="BU45" s="239">
        <v>-1694809</v>
      </c>
      <c r="BV45" s="239">
        <v>0</v>
      </c>
      <c r="BW45" s="239">
        <v>-1694809</v>
      </c>
      <c r="BX45" s="239">
        <v>-372339</v>
      </c>
      <c r="BY45" s="239">
        <v>0</v>
      </c>
      <c r="BZ45" s="239">
        <v>-372339</v>
      </c>
      <c r="CA45" s="239">
        <v>-8650</v>
      </c>
      <c r="CB45" s="239">
        <v>0</v>
      </c>
      <c r="CC45" s="239">
        <v>-8650</v>
      </c>
      <c r="CD45" s="239">
        <v>-50734</v>
      </c>
      <c r="CE45" s="239">
        <v>0</v>
      </c>
      <c r="CF45" s="239">
        <v>-50734</v>
      </c>
      <c r="CG45" s="239">
        <v>-12488</v>
      </c>
      <c r="CH45" s="239">
        <v>0</v>
      </c>
      <c r="CI45" s="239">
        <v>-12488</v>
      </c>
      <c r="CJ45" s="239">
        <v>-29126</v>
      </c>
      <c r="CK45" s="239">
        <v>0</v>
      </c>
      <c r="CL45" s="239">
        <v>-29126</v>
      </c>
      <c r="CM45" s="239">
        <v>0</v>
      </c>
      <c r="CN45" s="239">
        <v>0</v>
      </c>
      <c r="CO45" s="239">
        <v>0</v>
      </c>
      <c r="CP45" s="239">
        <v>0</v>
      </c>
      <c r="CQ45" s="239">
        <v>0</v>
      </c>
      <c r="CR45" s="239">
        <v>0</v>
      </c>
      <c r="CS45" s="239">
        <v>0</v>
      </c>
      <c r="CT45" s="239">
        <v>0</v>
      </c>
      <c r="CU45" s="239">
        <v>0</v>
      </c>
      <c r="CV45" s="239">
        <v>0</v>
      </c>
      <c r="CW45" s="239">
        <v>0</v>
      </c>
      <c r="CX45" s="239">
        <v>0</v>
      </c>
      <c r="CY45" s="239">
        <v>0</v>
      </c>
      <c r="CZ45" s="239">
        <v>0</v>
      </c>
      <c r="DA45" s="239">
        <v>0</v>
      </c>
      <c r="DB45" s="239">
        <v>0</v>
      </c>
      <c r="DC45" s="239">
        <v>0</v>
      </c>
      <c r="DD45" s="239">
        <v>0</v>
      </c>
      <c r="DE45" s="239">
        <v>0</v>
      </c>
      <c r="DF45" s="239">
        <v>0</v>
      </c>
      <c r="DG45" s="239">
        <v>0</v>
      </c>
      <c r="DH45" s="239">
        <v>0</v>
      </c>
      <c r="DI45" s="239">
        <v>0</v>
      </c>
      <c r="DJ45" s="239">
        <v>-473337</v>
      </c>
      <c r="DK45" s="239">
        <v>0</v>
      </c>
      <c r="DL45" s="239">
        <v>-473337</v>
      </c>
      <c r="DM45" s="239">
        <v>-80552</v>
      </c>
      <c r="DN45" s="239">
        <v>0</v>
      </c>
      <c r="DO45" s="239">
        <v>-80552</v>
      </c>
      <c r="DP45" s="239">
        <v>-7019</v>
      </c>
      <c r="DQ45" s="239">
        <v>0</v>
      </c>
      <c r="DR45" s="239">
        <v>-7019</v>
      </c>
      <c r="DS45" s="239">
        <v>0</v>
      </c>
      <c r="DT45" s="239">
        <v>0</v>
      </c>
      <c r="DU45" s="239">
        <v>0</v>
      </c>
      <c r="DV45" s="239">
        <v>0</v>
      </c>
      <c r="DW45" s="239">
        <v>0</v>
      </c>
      <c r="DX45" s="239">
        <v>0</v>
      </c>
      <c r="DY45" s="239">
        <v>11356</v>
      </c>
      <c r="DZ45" s="239">
        <v>0</v>
      </c>
      <c r="EA45" s="239">
        <v>11356</v>
      </c>
      <c r="EB45" s="239">
        <v>0</v>
      </c>
      <c r="EC45" s="239">
        <v>0</v>
      </c>
      <c r="ED45" s="239">
        <v>0</v>
      </c>
      <c r="EE45" s="239">
        <v>-11394</v>
      </c>
      <c r="EF45" s="239">
        <v>0</v>
      </c>
      <c r="EG45" s="239">
        <v>-11394</v>
      </c>
      <c r="EH45" s="239">
        <v>415</v>
      </c>
      <c r="EI45" s="239">
        <v>0</v>
      </c>
      <c r="EJ45" s="239">
        <v>415</v>
      </c>
      <c r="EK45" s="239">
        <v>-1509</v>
      </c>
      <c r="EL45" s="239">
        <v>0</v>
      </c>
      <c r="EM45" s="239">
        <v>-1509</v>
      </c>
      <c r="EN45" s="239">
        <v>0</v>
      </c>
      <c r="EO45" s="239">
        <v>0</v>
      </c>
      <c r="EP45" s="239">
        <v>0</v>
      </c>
      <c r="EQ45" s="239">
        <v>-41326</v>
      </c>
      <c r="ER45" s="239">
        <v>0</v>
      </c>
      <c r="ES45" s="239">
        <v>-41326</v>
      </c>
      <c r="ET45" s="239">
        <v>-379693</v>
      </c>
      <c r="EU45" s="239">
        <v>0</v>
      </c>
      <c r="EV45" s="239">
        <v>-379693</v>
      </c>
      <c r="EW45" s="239">
        <v>-81553</v>
      </c>
      <c r="EX45" s="239">
        <v>0</v>
      </c>
      <c r="EY45" s="239">
        <v>-81553</v>
      </c>
      <c r="EZ45" s="239">
        <v>-591275</v>
      </c>
      <c r="FA45" s="239">
        <v>0</v>
      </c>
      <c r="FB45" s="239">
        <v>-591275</v>
      </c>
      <c r="FC45" s="239">
        <v>0</v>
      </c>
      <c r="FD45" s="239">
        <v>0</v>
      </c>
      <c r="FE45" s="239">
        <v>0</v>
      </c>
      <c r="FF45" s="239">
        <v>-10307</v>
      </c>
      <c r="FG45" s="239">
        <v>0</v>
      </c>
      <c r="FH45" s="239">
        <v>-10307</v>
      </c>
      <c r="FI45" s="239">
        <v>-10307</v>
      </c>
      <c r="FJ45" s="239">
        <v>0</v>
      </c>
      <c r="FK45" s="239">
        <v>-10307</v>
      </c>
      <c r="FL45" s="239">
        <v>59468707</v>
      </c>
      <c r="FM45" s="239">
        <v>0</v>
      </c>
      <c r="FN45" s="239">
        <v>59468707</v>
      </c>
      <c r="FO45" s="239">
        <v>1902430</v>
      </c>
      <c r="FP45" s="239">
        <v>0</v>
      </c>
      <c r="FQ45" s="239">
        <v>1902430</v>
      </c>
      <c r="FR45" s="239">
        <v>-9036357</v>
      </c>
      <c r="FS45" s="239">
        <v>0</v>
      </c>
      <c r="FT45" s="239">
        <v>-9036357</v>
      </c>
      <c r="FU45" s="239">
        <v>-1694809</v>
      </c>
      <c r="FV45" s="239">
        <v>0</v>
      </c>
      <c r="FW45" s="239">
        <v>-1694809</v>
      </c>
      <c r="FX45" s="239">
        <v>-473337</v>
      </c>
      <c r="FY45" s="239">
        <v>0</v>
      </c>
      <c r="FZ45" s="239">
        <v>-473337</v>
      </c>
      <c r="GA45" s="239">
        <v>-591275</v>
      </c>
      <c r="GB45" s="239">
        <v>0</v>
      </c>
      <c r="GC45" s="239">
        <v>-591275</v>
      </c>
      <c r="GD45" s="239">
        <v>-10307</v>
      </c>
      <c r="GE45" s="239">
        <v>0</v>
      </c>
      <c r="GF45" s="239">
        <v>-10307</v>
      </c>
      <c r="GG45" s="239">
        <v>-9903655</v>
      </c>
      <c r="GH45" s="239">
        <v>0</v>
      </c>
      <c r="GI45" s="239">
        <v>-9903655</v>
      </c>
      <c r="GJ45" s="239">
        <v>49565052</v>
      </c>
      <c r="GK45" s="239">
        <v>0</v>
      </c>
      <c r="GL45" s="239">
        <v>49565052</v>
      </c>
      <c r="GM45" s="214" t="s">
        <v>1160</v>
      </c>
    </row>
    <row r="46" spans="1:195" s="214" customFormat="1" x14ac:dyDescent="0.2">
      <c r="B46" s="602" t="s">
        <v>175</v>
      </c>
      <c r="C46" s="602" t="s">
        <v>174</v>
      </c>
      <c r="D46" s="239">
        <v>-2109080</v>
      </c>
      <c r="E46" s="239">
        <v>0</v>
      </c>
      <c r="F46" s="239">
        <v>-2109080</v>
      </c>
      <c r="G46" s="239">
        <v>169102</v>
      </c>
      <c r="H46" s="239">
        <v>0</v>
      </c>
      <c r="I46" s="239">
        <v>169102</v>
      </c>
      <c r="J46" s="239">
        <v>3582412</v>
      </c>
      <c r="K46" s="239">
        <v>0</v>
      </c>
      <c r="L46" s="239">
        <v>3582412</v>
      </c>
      <c r="M46" s="239">
        <v>110694</v>
      </c>
      <c r="N46" s="239">
        <v>0</v>
      </c>
      <c r="O46" s="239">
        <v>110694</v>
      </c>
      <c r="P46" s="239">
        <v>1753128</v>
      </c>
      <c r="Q46" s="239">
        <v>0</v>
      </c>
      <c r="R46" s="239">
        <v>1753128</v>
      </c>
      <c r="S46" s="239">
        <v>-9821420</v>
      </c>
      <c r="T46" s="239">
        <v>0</v>
      </c>
      <c r="U46" s="239">
        <v>-9821420</v>
      </c>
      <c r="V46" s="239">
        <v>0</v>
      </c>
      <c r="W46" s="239">
        <v>0</v>
      </c>
      <c r="X46" s="239">
        <v>0</v>
      </c>
      <c r="Y46" s="239">
        <v>-313331</v>
      </c>
      <c r="Z46" s="239">
        <v>0</v>
      </c>
      <c r="AA46" s="239">
        <v>-313331</v>
      </c>
      <c r="AB46" s="239">
        <v>-263301</v>
      </c>
      <c r="AC46" s="239">
        <v>0</v>
      </c>
      <c r="AD46" s="239">
        <v>-263301</v>
      </c>
      <c r="AE46" s="239">
        <v>0</v>
      </c>
      <c r="AF46" s="239">
        <v>0</v>
      </c>
      <c r="AG46" s="239">
        <v>0</v>
      </c>
      <c r="AH46" s="239">
        <v>1231527</v>
      </c>
      <c r="AI46" s="239">
        <v>0</v>
      </c>
      <c r="AJ46" s="239">
        <v>1231527</v>
      </c>
      <c r="AK46" s="239">
        <v>-52396</v>
      </c>
      <c r="AL46" s="239">
        <v>0</v>
      </c>
      <c r="AM46" s="239">
        <v>-52396</v>
      </c>
      <c r="AN46" s="239">
        <v>-4241818</v>
      </c>
      <c r="AO46" s="239">
        <v>0</v>
      </c>
      <c r="AP46" s="239">
        <v>-4241818</v>
      </c>
      <c r="AQ46" s="239">
        <v>-91434</v>
      </c>
      <c r="AR46" s="239">
        <v>0</v>
      </c>
      <c r="AS46" s="239">
        <v>-91434</v>
      </c>
      <c r="AT46" s="239">
        <v>-181288</v>
      </c>
      <c r="AU46" s="239">
        <v>0</v>
      </c>
      <c r="AV46" s="239">
        <v>-181288</v>
      </c>
      <c r="AW46" s="239">
        <v>-990</v>
      </c>
      <c r="AX46" s="239">
        <v>0</v>
      </c>
      <c r="AY46" s="239">
        <v>-990</v>
      </c>
      <c r="AZ46" s="239">
        <v>-6772</v>
      </c>
      <c r="BA46" s="239">
        <v>0</v>
      </c>
      <c r="BB46" s="239">
        <v>-6772</v>
      </c>
      <c r="BC46" s="239">
        <v>-27</v>
      </c>
      <c r="BD46" s="239">
        <v>0</v>
      </c>
      <c r="BE46" s="239">
        <v>-27</v>
      </c>
      <c r="BF46" s="239">
        <v>-13477949</v>
      </c>
      <c r="BG46" s="239">
        <v>0</v>
      </c>
      <c r="BH46" s="239">
        <v>-13477949</v>
      </c>
      <c r="BI46" s="239">
        <v>0</v>
      </c>
      <c r="BJ46" s="239">
        <v>0</v>
      </c>
      <c r="BK46" s="239">
        <v>0</v>
      </c>
      <c r="BL46" s="239">
        <v>396</v>
      </c>
      <c r="BM46" s="239">
        <v>0</v>
      </c>
      <c r="BN46" s="239">
        <v>396</v>
      </c>
      <c r="BO46" s="239">
        <v>-2794568</v>
      </c>
      <c r="BP46" s="239">
        <v>0</v>
      </c>
      <c r="BQ46" s="239">
        <v>-2794568</v>
      </c>
      <c r="BR46" s="239">
        <v>39498</v>
      </c>
      <c r="BS46" s="239">
        <v>0</v>
      </c>
      <c r="BT46" s="239">
        <v>39498</v>
      </c>
      <c r="BU46" s="239">
        <v>-2754674</v>
      </c>
      <c r="BV46" s="239">
        <v>0</v>
      </c>
      <c r="BW46" s="239">
        <v>-2754674</v>
      </c>
      <c r="BX46" s="239">
        <v>-247642</v>
      </c>
      <c r="BY46" s="239">
        <v>0</v>
      </c>
      <c r="BZ46" s="239">
        <v>-247642</v>
      </c>
      <c r="CA46" s="239">
        <v>-6724</v>
      </c>
      <c r="CB46" s="239">
        <v>0</v>
      </c>
      <c r="CC46" s="239">
        <v>-6724</v>
      </c>
      <c r="CD46" s="239">
        <v>-132943</v>
      </c>
      <c r="CE46" s="239">
        <v>0</v>
      </c>
      <c r="CF46" s="239">
        <v>-132943</v>
      </c>
      <c r="CG46" s="239">
        <v>8105</v>
      </c>
      <c r="CH46" s="239">
        <v>0</v>
      </c>
      <c r="CI46" s="239">
        <v>8105</v>
      </c>
      <c r="CJ46" s="239">
        <v>0</v>
      </c>
      <c r="CK46" s="239">
        <v>0</v>
      </c>
      <c r="CL46" s="239">
        <v>0</v>
      </c>
      <c r="CM46" s="239">
        <v>0</v>
      </c>
      <c r="CN46" s="239">
        <v>0</v>
      </c>
      <c r="CO46" s="239">
        <v>0</v>
      </c>
      <c r="CP46" s="239">
        <v>-925</v>
      </c>
      <c r="CQ46" s="239">
        <v>0</v>
      </c>
      <c r="CR46" s="239">
        <v>-925</v>
      </c>
      <c r="CS46" s="239">
        <v>0</v>
      </c>
      <c r="CT46" s="239">
        <v>0</v>
      </c>
      <c r="CU46" s="239">
        <v>0</v>
      </c>
      <c r="CV46" s="239">
        <v>0</v>
      </c>
      <c r="CW46" s="239">
        <v>0</v>
      </c>
      <c r="CX46" s="239">
        <v>0</v>
      </c>
      <c r="CY46" s="239">
        <v>0</v>
      </c>
      <c r="CZ46" s="239">
        <v>0</v>
      </c>
      <c r="DA46" s="239">
        <v>0</v>
      </c>
      <c r="DB46" s="239">
        <v>-68805</v>
      </c>
      <c r="DC46" s="239">
        <v>0</v>
      </c>
      <c r="DD46" s="239">
        <v>-68805</v>
      </c>
      <c r="DE46" s="239">
        <v>-14129</v>
      </c>
      <c r="DF46" s="239">
        <v>0</v>
      </c>
      <c r="DG46" s="239">
        <v>-14129</v>
      </c>
      <c r="DH46" s="239">
        <v>0</v>
      </c>
      <c r="DI46" s="239">
        <v>0</v>
      </c>
      <c r="DJ46" s="239">
        <v>-463063</v>
      </c>
      <c r="DK46" s="239">
        <v>0</v>
      </c>
      <c r="DL46" s="239">
        <v>-463063</v>
      </c>
      <c r="DM46" s="239">
        <v>0</v>
      </c>
      <c r="DN46" s="239">
        <v>0</v>
      </c>
      <c r="DO46" s="239">
        <v>0</v>
      </c>
      <c r="DP46" s="239">
        <v>0</v>
      </c>
      <c r="DQ46" s="239">
        <v>0</v>
      </c>
      <c r="DR46" s="239">
        <v>0</v>
      </c>
      <c r="DS46" s="239">
        <v>-1607</v>
      </c>
      <c r="DT46" s="239">
        <v>0</v>
      </c>
      <c r="DU46" s="239">
        <v>-1607</v>
      </c>
      <c r="DV46" s="239">
        <v>372</v>
      </c>
      <c r="DW46" s="239">
        <v>0</v>
      </c>
      <c r="DX46" s="239">
        <v>372</v>
      </c>
      <c r="DY46" s="239">
        <v>7158</v>
      </c>
      <c r="DZ46" s="239">
        <v>0</v>
      </c>
      <c r="EA46" s="239">
        <v>7158</v>
      </c>
      <c r="EB46" s="239">
        <v>0</v>
      </c>
      <c r="EC46" s="239">
        <v>0</v>
      </c>
      <c r="ED46" s="239">
        <v>0</v>
      </c>
      <c r="EE46" s="239">
        <v>-1174</v>
      </c>
      <c r="EF46" s="239">
        <v>0</v>
      </c>
      <c r="EG46" s="239">
        <v>-1174</v>
      </c>
      <c r="EH46" s="239">
        <v>2904</v>
      </c>
      <c r="EI46" s="239">
        <v>0</v>
      </c>
      <c r="EJ46" s="239">
        <v>2904</v>
      </c>
      <c r="EK46" s="239">
        <v>-6772</v>
      </c>
      <c r="EL46" s="239">
        <v>0</v>
      </c>
      <c r="EM46" s="239">
        <v>-6772</v>
      </c>
      <c r="EN46" s="239">
        <v>0</v>
      </c>
      <c r="EO46" s="239">
        <v>0</v>
      </c>
      <c r="EP46" s="239">
        <v>0</v>
      </c>
      <c r="EQ46" s="239">
        <v>-49027</v>
      </c>
      <c r="ER46" s="239">
        <v>0</v>
      </c>
      <c r="ES46" s="239">
        <v>-49027</v>
      </c>
      <c r="ET46" s="239">
        <v>-297276</v>
      </c>
      <c r="EU46" s="239">
        <v>0</v>
      </c>
      <c r="EV46" s="239">
        <v>-297276</v>
      </c>
      <c r="EW46" s="239">
        <v>-99973</v>
      </c>
      <c r="EX46" s="239">
        <v>0</v>
      </c>
      <c r="EY46" s="239">
        <v>-99973</v>
      </c>
      <c r="EZ46" s="239">
        <v>-445395</v>
      </c>
      <c r="FA46" s="239">
        <v>0</v>
      </c>
      <c r="FB46" s="239">
        <v>-445395</v>
      </c>
      <c r="FC46" s="239">
        <v>0</v>
      </c>
      <c r="FD46" s="239">
        <v>0</v>
      </c>
      <c r="FE46" s="239">
        <v>0</v>
      </c>
      <c r="FF46" s="239">
        <v>0</v>
      </c>
      <c r="FG46" s="239">
        <v>0</v>
      </c>
      <c r="FH46" s="239">
        <v>0</v>
      </c>
      <c r="FI46" s="239">
        <v>0</v>
      </c>
      <c r="FJ46" s="239">
        <v>0</v>
      </c>
      <c r="FK46" s="239">
        <v>0</v>
      </c>
      <c r="FL46" s="239">
        <v>71579616</v>
      </c>
      <c r="FM46" s="239">
        <v>0</v>
      </c>
      <c r="FN46" s="239">
        <v>71579616</v>
      </c>
      <c r="FO46" s="239">
        <v>1753128</v>
      </c>
      <c r="FP46" s="239">
        <v>0</v>
      </c>
      <c r="FQ46" s="239">
        <v>1753128</v>
      </c>
      <c r="FR46" s="239">
        <v>-13477949</v>
      </c>
      <c r="FS46" s="239">
        <v>0</v>
      </c>
      <c r="FT46" s="239">
        <v>-13477949</v>
      </c>
      <c r="FU46" s="239">
        <v>-2754674</v>
      </c>
      <c r="FV46" s="239">
        <v>0</v>
      </c>
      <c r="FW46" s="239">
        <v>-2754674</v>
      </c>
      <c r="FX46" s="239">
        <v>-463063</v>
      </c>
      <c r="FY46" s="239">
        <v>0</v>
      </c>
      <c r="FZ46" s="239">
        <v>-463063</v>
      </c>
      <c r="GA46" s="239">
        <v>-445395</v>
      </c>
      <c r="GB46" s="239">
        <v>0</v>
      </c>
      <c r="GC46" s="239">
        <v>-445395</v>
      </c>
      <c r="GD46" s="239">
        <v>0</v>
      </c>
      <c r="GE46" s="239">
        <v>0</v>
      </c>
      <c r="GF46" s="239">
        <v>0</v>
      </c>
      <c r="GG46" s="239">
        <v>-15387953</v>
      </c>
      <c r="GH46" s="239">
        <v>0</v>
      </c>
      <c r="GI46" s="239">
        <v>-15387953</v>
      </c>
      <c r="GJ46" s="239">
        <v>56191663</v>
      </c>
      <c r="GK46" s="239">
        <v>0</v>
      </c>
      <c r="GL46" s="239">
        <v>56191663</v>
      </c>
      <c r="GM46" s="214" t="s">
        <v>1160</v>
      </c>
    </row>
    <row r="47" spans="1:195" s="214" customFormat="1" x14ac:dyDescent="0.2">
      <c r="B47" s="602" t="s">
        <v>177</v>
      </c>
      <c r="C47" s="602" t="s">
        <v>176</v>
      </c>
      <c r="D47" s="239">
        <v>-2656734</v>
      </c>
      <c r="E47" s="239">
        <v>0</v>
      </c>
      <c r="F47" s="239">
        <v>-2656734</v>
      </c>
      <c r="G47" s="239">
        <v>59302</v>
      </c>
      <c r="H47" s="239">
        <v>0</v>
      </c>
      <c r="I47" s="239">
        <v>59302</v>
      </c>
      <c r="J47" s="239">
        <v>2615614</v>
      </c>
      <c r="K47" s="239">
        <v>0</v>
      </c>
      <c r="L47" s="239">
        <v>2615614</v>
      </c>
      <c r="M47" s="239">
        <v>-38638</v>
      </c>
      <c r="N47" s="239">
        <v>0</v>
      </c>
      <c r="O47" s="239">
        <v>-38638</v>
      </c>
      <c r="P47" s="239">
        <v>-20456</v>
      </c>
      <c r="Q47" s="239">
        <v>0</v>
      </c>
      <c r="R47" s="239">
        <v>-20456</v>
      </c>
      <c r="S47" s="239">
        <v>-2744936</v>
      </c>
      <c r="T47" s="239">
        <v>0</v>
      </c>
      <c r="U47" s="239">
        <v>-2744936</v>
      </c>
      <c r="V47" s="239">
        <v>-35874</v>
      </c>
      <c r="W47" s="239">
        <v>0</v>
      </c>
      <c r="X47" s="239">
        <v>-35874</v>
      </c>
      <c r="Y47" s="239">
        <v>-7897</v>
      </c>
      <c r="Z47" s="239">
        <v>0</v>
      </c>
      <c r="AA47" s="239">
        <v>-7897</v>
      </c>
      <c r="AB47" s="239">
        <v>-7897</v>
      </c>
      <c r="AC47" s="239">
        <v>0</v>
      </c>
      <c r="AD47" s="239">
        <v>-7897</v>
      </c>
      <c r="AE47" s="239">
        <v>-3175</v>
      </c>
      <c r="AF47" s="239">
        <v>0</v>
      </c>
      <c r="AG47" s="239">
        <v>-3175</v>
      </c>
      <c r="AH47" s="239">
        <v>3294964</v>
      </c>
      <c r="AI47" s="239">
        <v>0</v>
      </c>
      <c r="AJ47" s="239">
        <v>3294964</v>
      </c>
      <c r="AK47" s="239">
        <v>0</v>
      </c>
      <c r="AL47" s="239">
        <v>0</v>
      </c>
      <c r="AM47" s="239">
        <v>0</v>
      </c>
      <c r="AN47" s="239">
        <v>-26787497</v>
      </c>
      <c r="AO47" s="239">
        <v>0</v>
      </c>
      <c r="AP47" s="239">
        <v>-26787497</v>
      </c>
      <c r="AQ47" s="239">
        <v>-551907</v>
      </c>
      <c r="AR47" s="239">
        <v>0</v>
      </c>
      <c r="AS47" s="239">
        <v>-551907</v>
      </c>
      <c r="AT47" s="239">
        <v>-15395</v>
      </c>
      <c r="AU47" s="239">
        <v>0</v>
      </c>
      <c r="AV47" s="239">
        <v>-15395</v>
      </c>
      <c r="AW47" s="239">
        <v>0</v>
      </c>
      <c r="AX47" s="239">
        <v>0</v>
      </c>
      <c r="AY47" s="239">
        <v>0</v>
      </c>
      <c r="AZ47" s="239">
        <v>0</v>
      </c>
      <c r="BA47" s="239">
        <v>0</v>
      </c>
      <c r="BB47" s="239">
        <v>0</v>
      </c>
      <c r="BC47" s="239">
        <v>0</v>
      </c>
      <c r="BD47" s="239">
        <v>0</v>
      </c>
      <c r="BE47" s="239">
        <v>0</v>
      </c>
      <c r="BF47" s="239">
        <v>-26812668</v>
      </c>
      <c r="BG47" s="239">
        <v>0</v>
      </c>
      <c r="BH47" s="239">
        <v>-26812668</v>
      </c>
      <c r="BI47" s="239">
        <v>-59289</v>
      </c>
      <c r="BJ47" s="239">
        <v>0</v>
      </c>
      <c r="BK47" s="239">
        <v>-59289</v>
      </c>
      <c r="BL47" s="239">
        <v>46</v>
      </c>
      <c r="BM47" s="239">
        <v>0</v>
      </c>
      <c r="BN47" s="239">
        <v>46</v>
      </c>
      <c r="BO47" s="239">
        <v>-2653685</v>
      </c>
      <c r="BP47" s="239">
        <v>0</v>
      </c>
      <c r="BQ47" s="239">
        <v>-2653685</v>
      </c>
      <c r="BR47" s="239">
        <v>58914</v>
      </c>
      <c r="BS47" s="239">
        <v>0</v>
      </c>
      <c r="BT47" s="239">
        <v>58914</v>
      </c>
      <c r="BU47" s="239">
        <v>-2654014</v>
      </c>
      <c r="BV47" s="239">
        <v>0</v>
      </c>
      <c r="BW47" s="239">
        <v>-2654014</v>
      </c>
      <c r="BX47" s="239">
        <v>-147621</v>
      </c>
      <c r="BY47" s="239">
        <v>0</v>
      </c>
      <c r="BZ47" s="239">
        <v>-147621</v>
      </c>
      <c r="CA47" s="239">
        <v>3008</v>
      </c>
      <c r="CB47" s="239">
        <v>0</v>
      </c>
      <c r="CC47" s="239">
        <v>3008</v>
      </c>
      <c r="CD47" s="239">
        <v>0</v>
      </c>
      <c r="CE47" s="239">
        <v>0</v>
      </c>
      <c r="CF47" s="239">
        <v>0</v>
      </c>
      <c r="CG47" s="239">
        <v>0</v>
      </c>
      <c r="CH47" s="239">
        <v>0</v>
      </c>
      <c r="CI47" s="239">
        <v>0</v>
      </c>
      <c r="CJ47" s="239">
        <v>0</v>
      </c>
      <c r="CK47" s="239">
        <v>0</v>
      </c>
      <c r="CL47" s="239">
        <v>0</v>
      </c>
      <c r="CM47" s="239">
        <v>0</v>
      </c>
      <c r="CN47" s="239">
        <v>0</v>
      </c>
      <c r="CO47" s="239">
        <v>0</v>
      </c>
      <c r="CP47" s="239">
        <v>0</v>
      </c>
      <c r="CQ47" s="239">
        <v>0</v>
      </c>
      <c r="CR47" s="239">
        <v>0</v>
      </c>
      <c r="CS47" s="239">
        <v>0</v>
      </c>
      <c r="CT47" s="239">
        <v>0</v>
      </c>
      <c r="CU47" s="239">
        <v>0</v>
      </c>
      <c r="CV47" s="239">
        <v>0</v>
      </c>
      <c r="CW47" s="239">
        <v>0</v>
      </c>
      <c r="CX47" s="239">
        <v>0</v>
      </c>
      <c r="CY47" s="239">
        <v>0</v>
      </c>
      <c r="CZ47" s="239">
        <v>0</v>
      </c>
      <c r="DA47" s="239">
        <v>0</v>
      </c>
      <c r="DB47" s="239">
        <v>0</v>
      </c>
      <c r="DC47" s="239">
        <v>0</v>
      </c>
      <c r="DD47" s="239">
        <v>0</v>
      </c>
      <c r="DE47" s="239">
        <v>0</v>
      </c>
      <c r="DF47" s="239">
        <v>0</v>
      </c>
      <c r="DG47" s="239">
        <v>0</v>
      </c>
      <c r="DH47" s="239">
        <v>0</v>
      </c>
      <c r="DI47" s="239">
        <v>0</v>
      </c>
      <c r="DJ47" s="239">
        <v>-144613</v>
      </c>
      <c r="DK47" s="239">
        <v>0</v>
      </c>
      <c r="DL47" s="239">
        <v>-144613</v>
      </c>
      <c r="DM47" s="239">
        <v>-2844</v>
      </c>
      <c r="DN47" s="239">
        <v>0</v>
      </c>
      <c r="DO47" s="239">
        <v>-2844</v>
      </c>
      <c r="DP47" s="239">
        <v>1813</v>
      </c>
      <c r="DQ47" s="239">
        <v>0</v>
      </c>
      <c r="DR47" s="239">
        <v>1813</v>
      </c>
      <c r="DS47" s="239">
        <v>0</v>
      </c>
      <c r="DT47" s="239">
        <v>0</v>
      </c>
      <c r="DU47" s="239">
        <v>0</v>
      </c>
      <c r="DV47" s="239">
        <v>0</v>
      </c>
      <c r="DW47" s="239">
        <v>0</v>
      </c>
      <c r="DX47" s="239">
        <v>0</v>
      </c>
      <c r="DY47" s="239">
        <v>62</v>
      </c>
      <c r="DZ47" s="239">
        <v>0</v>
      </c>
      <c r="EA47" s="239">
        <v>62</v>
      </c>
      <c r="EB47" s="239">
        <v>0</v>
      </c>
      <c r="EC47" s="239">
        <v>0</v>
      </c>
      <c r="ED47" s="239">
        <v>0</v>
      </c>
      <c r="EE47" s="239">
        <v>0</v>
      </c>
      <c r="EF47" s="239">
        <v>0</v>
      </c>
      <c r="EG47" s="239">
        <v>0</v>
      </c>
      <c r="EH47" s="239">
        <v>0</v>
      </c>
      <c r="EI47" s="239">
        <v>0</v>
      </c>
      <c r="EJ47" s="239">
        <v>0</v>
      </c>
      <c r="EK47" s="239">
        <v>0</v>
      </c>
      <c r="EL47" s="239">
        <v>0</v>
      </c>
      <c r="EM47" s="239">
        <v>0</v>
      </c>
      <c r="EN47" s="239">
        <v>0</v>
      </c>
      <c r="EO47" s="239">
        <v>0</v>
      </c>
      <c r="EP47" s="239">
        <v>0</v>
      </c>
      <c r="EQ47" s="239">
        <v>-10110</v>
      </c>
      <c r="ER47" s="239">
        <v>0</v>
      </c>
      <c r="ES47" s="239">
        <v>-10110</v>
      </c>
      <c r="ET47" s="239">
        <v>-440298</v>
      </c>
      <c r="EU47" s="239">
        <v>0</v>
      </c>
      <c r="EV47" s="239">
        <v>-440298</v>
      </c>
      <c r="EW47" s="239">
        <v>-57378</v>
      </c>
      <c r="EX47" s="239">
        <v>0</v>
      </c>
      <c r="EY47" s="239">
        <v>-57378</v>
      </c>
      <c r="EZ47" s="239">
        <v>-508755</v>
      </c>
      <c r="FA47" s="239">
        <v>0</v>
      </c>
      <c r="FB47" s="239">
        <v>-508755</v>
      </c>
      <c r="FC47" s="239">
        <v>0</v>
      </c>
      <c r="FD47" s="239">
        <v>0</v>
      </c>
      <c r="FE47" s="239">
        <v>0</v>
      </c>
      <c r="FF47" s="239">
        <v>0</v>
      </c>
      <c r="FG47" s="239">
        <v>0</v>
      </c>
      <c r="FH47" s="239">
        <v>0</v>
      </c>
      <c r="FI47" s="239">
        <v>0</v>
      </c>
      <c r="FJ47" s="239">
        <v>0</v>
      </c>
      <c r="FK47" s="239">
        <v>0</v>
      </c>
      <c r="FL47" s="239">
        <v>134481603</v>
      </c>
      <c r="FM47" s="239">
        <v>0</v>
      </c>
      <c r="FN47" s="239">
        <v>134481603</v>
      </c>
      <c r="FO47" s="239">
        <v>-20456</v>
      </c>
      <c r="FP47" s="239">
        <v>0</v>
      </c>
      <c r="FQ47" s="239">
        <v>-20456</v>
      </c>
      <c r="FR47" s="239">
        <v>-26812668</v>
      </c>
      <c r="FS47" s="239">
        <v>0</v>
      </c>
      <c r="FT47" s="239">
        <v>-26812668</v>
      </c>
      <c r="FU47" s="239">
        <v>-2654014</v>
      </c>
      <c r="FV47" s="239">
        <v>0</v>
      </c>
      <c r="FW47" s="239">
        <v>-2654014</v>
      </c>
      <c r="FX47" s="239">
        <v>-144613</v>
      </c>
      <c r="FY47" s="239">
        <v>0</v>
      </c>
      <c r="FZ47" s="239">
        <v>-144613</v>
      </c>
      <c r="GA47" s="239">
        <v>-508755</v>
      </c>
      <c r="GB47" s="239">
        <v>0</v>
      </c>
      <c r="GC47" s="239">
        <v>-508755</v>
      </c>
      <c r="GD47" s="239">
        <v>0</v>
      </c>
      <c r="GE47" s="239">
        <v>0</v>
      </c>
      <c r="GF47" s="239">
        <v>0</v>
      </c>
      <c r="GG47" s="239">
        <v>-30140506</v>
      </c>
      <c r="GH47" s="239">
        <v>0</v>
      </c>
      <c r="GI47" s="239">
        <v>-30140506</v>
      </c>
      <c r="GJ47" s="239">
        <v>104341097</v>
      </c>
      <c r="GK47" s="239">
        <v>0</v>
      </c>
      <c r="GL47" s="239">
        <v>104341097</v>
      </c>
      <c r="GM47" s="214" t="s">
        <v>1158</v>
      </c>
    </row>
    <row r="48" spans="1:195" s="214" customFormat="1" x14ac:dyDescent="0.2">
      <c r="B48" s="602" t="s">
        <v>179</v>
      </c>
      <c r="C48" s="602" t="s">
        <v>178</v>
      </c>
      <c r="D48" s="239">
        <v>-44445657</v>
      </c>
      <c r="E48" s="239">
        <v>0</v>
      </c>
      <c r="F48" s="239">
        <v>-44445657</v>
      </c>
      <c r="G48" s="239">
        <v>1634647</v>
      </c>
      <c r="H48" s="239">
        <v>0</v>
      </c>
      <c r="I48" s="239">
        <v>1634647</v>
      </c>
      <c r="J48" s="239">
        <v>2423017</v>
      </c>
      <c r="K48" s="239">
        <v>0</v>
      </c>
      <c r="L48" s="239">
        <v>2423017</v>
      </c>
      <c r="M48" s="239">
        <v>162598</v>
      </c>
      <c r="N48" s="239">
        <v>0</v>
      </c>
      <c r="O48" s="239">
        <v>162598</v>
      </c>
      <c r="P48" s="239">
        <v>-40225395</v>
      </c>
      <c r="Q48" s="239">
        <v>0</v>
      </c>
      <c r="R48" s="239">
        <v>-40225395</v>
      </c>
      <c r="S48" s="239">
        <v>-4798950</v>
      </c>
      <c r="T48" s="239">
        <v>0</v>
      </c>
      <c r="U48" s="239">
        <v>-4798950</v>
      </c>
      <c r="V48" s="239">
        <v>0</v>
      </c>
      <c r="W48" s="239">
        <v>0</v>
      </c>
      <c r="X48" s="239">
        <v>0</v>
      </c>
      <c r="Y48" s="239">
        <v>-505302</v>
      </c>
      <c r="Z48" s="239">
        <v>0</v>
      </c>
      <c r="AA48" s="239">
        <v>-505302</v>
      </c>
      <c r="AB48" s="239">
        <v>-267617</v>
      </c>
      <c r="AC48" s="239">
        <v>0</v>
      </c>
      <c r="AD48" s="239">
        <v>-267617</v>
      </c>
      <c r="AE48" s="239">
        <v>0</v>
      </c>
      <c r="AF48" s="239">
        <v>0</v>
      </c>
      <c r="AG48" s="239">
        <v>0</v>
      </c>
      <c r="AH48" s="239">
        <v>18966424</v>
      </c>
      <c r="AI48" s="239">
        <v>0</v>
      </c>
      <c r="AJ48" s="239">
        <v>18966424</v>
      </c>
      <c r="AK48" s="239">
        <v>-692851</v>
      </c>
      <c r="AL48" s="239">
        <v>0</v>
      </c>
      <c r="AM48" s="239">
        <v>-692851</v>
      </c>
      <c r="AN48" s="239">
        <v>-82308073</v>
      </c>
      <c r="AO48" s="239">
        <v>0</v>
      </c>
      <c r="AP48" s="239">
        <v>-82308073</v>
      </c>
      <c r="AQ48" s="239">
        <v>-3502258</v>
      </c>
      <c r="AR48" s="239">
        <v>0</v>
      </c>
      <c r="AS48" s="239">
        <v>-3502258</v>
      </c>
      <c r="AT48" s="239">
        <v>0</v>
      </c>
      <c r="AU48" s="239">
        <v>0</v>
      </c>
      <c r="AV48" s="239">
        <v>0</v>
      </c>
      <c r="AW48" s="239">
        <v>14214</v>
      </c>
      <c r="AX48" s="239">
        <v>0</v>
      </c>
      <c r="AY48" s="239">
        <v>14214</v>
      </c>
      <c r="AZ48" s="239">
        <v>0</v>
      </c>
      <c r="BA48" s="239">
        <v>0</v>
      </c>
      <c r="BB48" s="239">
        <v>0</v>
      </c>
      <c r="BC48" s="239">
        <v>0</v>
      </c>
      <c r="BD48" s="239">
        <v>0</v>
      </c>
      <c r="BE48" s="239">
        <v>0</v>
      </c>
      <c r="BF48" s="239">
        <v>-72826796</v>
      </c>
      <c r="BG48" s="239">
        <v>0</v>
      </c>
      <c r="BH48" s="239">
        <v>-72826796</v>
      </c>
      <c r="BI48" s="239">
        <v>-1451751</v>
      </c>
      <c r="BJ48" s="239">
        <v>0</v>
      </c>
      <c r="BK48" s="239">
        <v>-1451751</v>
      </c>
      <c r="BL48" s="239">
        <v>31899</v>
      </c>
      <c r="BM48" s="239">
        <v>0</v>
      </c>
      <c r="BN48" s="239">
        <v>31899</v>
      </c>
      <c r="BO48" s="239">
        <v>-32540580</v>
      </c>
      <c r="BP48" s="239">
        <v>0</v>
      </c>
      <c r="BQ48" s="239">
        <v>-32540580</v>
      </c>
      <c r="BR48" s="239">
        <v>1246962</v>
      </c>
      <c r="BS48" s="239">
        <v>0</v>
      </c>
      <c r="BT48" s="239">
        <v>1246962</v>
      </c>
      <c r="BU48" s="239">
        <v>-32713470</v>
      </c>
      <c r="BV48" s="239">
        <v>0</v>
      </c>
      <c r="BW48" s="239">
        <v>-32713470</v>
      </c>
      <c r="BX48" s="239">
        <v>-253537</v>
      </c>
      <c r="BY48" s="239">
        <v>0</v>
      </c>
      <c r="BZ48" s="239">
        <v>-253537</v>
      </c>
      <c r="CA48" s="239">
        <v>-1604</v>
      </c>
      <c r="CB48" s="239">
        <v>0</v>
      </c>
      <c r="CC48" s="239">
        <v>-1604</v>
      </c>
      <c r="CD48" s="239">
        <v>-4000</v>
      </c>
      <c r="CE48" s="239">
        <v>0</v>
      </c>
      <c r="CF48" s="239">
        <v>-4000</v>
      </c>
      <c r="CG48" s="239">
        <v>0</v>
      </c>
      <c r="CH48" s="239">
        <v>0</v>
      </c>
      <c r="CI48" s="239">
        <v>0</v>
      </c>
      <c r="CJ48" s="239">
        <v>0</v>
      </c>
      <c r="CK48" s="239">
        <v>0</v>
      </c>
      <c r="CL48" s="239">
        <v>0</v>
      </c>
      <c r="CM48" s="239">
        <v>0</v>
      </c>
      <c r="CN48" s="239">
        <v>0</v>
      </c>
      <c r="CO48" s="239">
        <v>0</v>
      </c>
      <c r="CP48" s="239">
        <v>0</v>
      </c>
      <c r="CQ48" s="239">
        <v>0</v>
      </c>
      <c r="CR48" s="239">
        <v>0</v>
      </c>
      <c r="CS48" s="239">
        <v>0</v>
      </c>
      <c r="CT48" s="239">
        <v>0</v>
      </c>
      <c r="CU48" s="239">
        <v>0</v>
      </c>
      <c r="CV48" s="239">
        <v>0</v>
      </c>
      <c r="CW48" s="239">
        <v>0</v>
      </c>
      <c r="CX48" s="239">
        <v>0</v>
      </c>
      <c r="CY48" s="239">
        <v>0</v>
      </c>
      <c r="CZ48" s="239">
        <v>0</v>
      </c>
      <c r="DA48" s="239">
        <v>0</v>
      </c>
      <c r="DB48" s="239">
        <v>0</v>
      </c>
      <c r="DC48" s="239">
        <v>0</v>
      </c>
      <c r="DD48" s="239">
        <v>0</v>
      </c>
      <c r="DE48" s="239">
        <v>0</v>
      </c>
      <c r="DF48" s="239">
        <v>0</v>
      </c>
      <c r="DG48" s="239">
        <v>0</v>
      </c>
      <c r="DH48" s="239">
        <v>0</v>
      </c>
      <c r="DI48" s="239">
        <v>0</v>
      </c>
      <c r="DJ48" s="239">
        <v>-259141</v>
      </c>
      <c r="DK48" s="239">
        <v>0</v>
      </c>
      <c r="DL48" s="239">
        <v>-259141</v>
      </c>
      <c r="DM48" s="239">
        <v>0</v>
      </c>
      <c r="DN48" s="239">
        <v>0</v>
      </c>
      <c r="DO48" s="239">
        <v>0</v>
      </c>
      <c r="DP48" s="239">
        <v>0</v>
      </c>
      <c r="DQ48" s="239">
        <v>0</v>
      </c>
      <c r="DR48" s="239">
        <v>0</v>
      </c>
      <c r="DS48" s="239">
        <v>-1828</v>
      </c>
      <c r="DT48" s="239">
        <v>0</v>
      </c>
      <c r="DU48" s="239">
        <v>-1828</v>
      </c>
      <c r="DV48" s="239">
        <v>378</v>
      </c>
      <c r="DW48" s="239">
        <v>0</v>
      </c>
      <c r="DX48" s="239">
        <v>378</v>
      </c>
      <c r="DY48" s="239">
        <v>1544</v>
      </c>
      <c r="DZ48" s="239">
        <v>0</v>
      </c>
      <c r="EA48" s="239">
        <v>1544</v>
      </c>
      <c r="EB48" s="239">
        <v>0</v>
      </c>
      <c r="EC48" s="239">
        <v>0</v>
      </c>
      <c r="ED48" s="239">
        <v>0</v>
      </c>
      <c r="EE48" s="239">
        <v>0</v>
      </c>
      <c r="EF48" s="239">
        <v>0</v>
      </c>
      <c r="EG48" s="239">
        <v>0</v>
      </c>
      <c r="EH48" s="239">
        <v>575</v>
      </c>
      <c r="EI48" s="239">
        <v>0</v>
      </c>
      <c r="EJ48" s="239">
        <v>575</v>
      </c>
      <c r="EK48" s="239">
        <v>0</v>
      </c>
      <c r="EL48" s="239">
        <v>0</v>
      </c>
      <c r="EM48" s="239">
        <v>0</v>
      </c>
      <c r="EN48" s="239">
        <v>-3000</v>
      </c>
      <c r="EO48" s="239">
        <v>0</v>
      </c>
      <c r="EP48" s="239">
        <v>-3000</v>
      </c>
      <c r="EQ48" s="239">
        <v>-202401</v>
      </c>
      <c r="ER48" s="239">
        <v>0</v>
      </c>
      <c r="ES48" s="239">
        <v>-202401</v>
      </c>
      <c r="ET48" s="239">
        <v>-4933861</v>
      </c>
      <c r="EU48" s="239">
        <v>0</v>
      </c>
      <c r="EV48" s="239">
        <v>-4933861</v>
      </c>
      <c r="EW48" s="239">
        <v>-115359</v>
      </c>
      <c r="EX48" s="239">
        <v>0</v>
      </c>
      <c r="EY48" s="239">
        <v>-115359</v>
      </c>
      <c r="EZ48" s="239">
        <v>-5253952</v>
      </c>
      <c r="FA48" s="239">
        <v>0</v>
      </c>
      <c r="FB48" s="239">
        <v>-5253952</v>
      </c>
      <c r="FC48" s="239">
        <v>0</v>
      </c>
      <c r="FD48" s="239">
        <v>0</v>
      </c>
      <c r="FE48" s="239">
        <v>0</v>
      </c>
      <c r="FF48" s="239">
        <v>0</v>
      </c>
      <c r="FG48" s="239">
        <v>0</v>
      </c>
      <c r="FH48" s="239">
        <v>0</v>
      </c>
      <c r="FI48" s="239">
        <v>0</v>
      </c>
      <c r="FJ48" s="239">
        <v>0</v>
      </c>
      <c r="FK48" s="239">
        <v>0</v>
      </c>
      <c r="FL48" s="239">
        <v>737384378</v>
      </c>
      <c r="FM48" s="239">
        <v>0</v>
      </c>
      <c r="FN48" s="239">
        <v>737384378</v>
      </c>
      <c r="FO48" s="239">
        <v>-40225395</v>
      </c>
      <c r="FP48" s="239">
        <v>0</v>
      </c>
      <c r="FQ48" s="239">
        <v>-40225395</v>
      </c>
      <c r="FR48" s="239">
        <v>-72826796</v>
      </c>
      <c r="FS48" s="239">
        <v>0</v>
      </c>
      <c r="FT48" s="239">
        <v>-72826796</v>
      </c>
      <c r="FU48" s="239">
        <v>-32713470</v>
      </c>
      <c r="FV48" s="239">
        <v>0</v>
      </c>
      <c r="FW48" s="239">
        <v>-32713470</v>
      </c>
      <c r="FX48" s="239">
        <v>-259141</v>
      </c>
      <c r="FY48" s="239">
        <v>0</v>
      </c>
      <c r="FZ48" s="239">
        <v>-259141</v>
      </c>
      <c r="GA48" s="239">
        <v>-5253952</v>
      </c>
      <c r="GB48" s="239">
        <v>0</v>
      </c>
      <c r="GC48" s="239">
        <v>-5253952</v>
      </c>
      <c r="GD48" s="239">
        <v>0</v>
      </c>
      <c r="GE48" s="239">
        <v>0</v>
      </c>
      <c r="GF48" s="239">
        <v>0</v>
      </c>
      <c r="GG48" s="239">
        <v>-151278754</v>
      </c>
      <c r="GH48" s="239">
        <v>0</v>
      </c>
      <c r="GI48" s="239">
        <v>-151278754</v>
      </c>
      <c r="GJ48" s="239">
        <v>586105624</v>
      </c>
      <c r="GK48" s="239">
        <v>0</v>
      </c>
      <c r="GL48" s="239">
        <v>586105624</v>
      </c>
      <c r="GM48" s="214" t="s">
        <v>1161</v>
      </c>
    </row>
    <row r="49" spans="2:195" s="214" customFormat="1" x14ac:dyDescent="0.2">
      <c r="B49" s="602" t="s">
        <v>181</v>
      </c>
      <c r="C49" s="602" t="s">
        <v>180</v>
      </c>
      <c r="D49" s="239">
        <v>-764662</v>
      </c>
      <c r="E49" s="239">
        <v>0</v>
      </c>
      <c r="F49" s="239">
        <v>-764662</v>
      </c>
      <c r="G49" s="239">
        <v>-2795</v>
      </c>
      <c r="H49" s="239">
        <v>0</v>
      </c>
      <c r="I49" s="239">
        <v>-2795</v>
      </c>
      <c r="J49" s="239">
        <v>1675731</v>
      </c>
      <c r="K49" s="239">
        <v>0</v>
      </c>
      <c r="L49" s="239">
        <v>1675731</v>
      </c>
      <c r="M49" s="239">
        <v>-3493</v>
      </c>
      <c r="N49" s="239">
        <v>0</v>
      </c>
      <c r="O49" s="239">
        <v>-3493</v>
      </c>
      <c r="P49" s="239">
        <v>904781</v>
      </c>
      <c r="Q49" s="239">
        <v>0</v>
      </c>
      <c r="R49" s="239">
        <v>904781</v>
      </c>
      <c r="S49" s="239">
        <v>-4001814</v>
      </c>
      <c r="T49" s="239">
        <v>0</v>
      </c>
      <c r="U49" s="239">
        <v>-4001814</v>
      </c>
      <c r="V49" s="239">
        <v>-28777</v>
      </c>
      <c r="W49" s="239">
        <v>0</v>
      </c>
      <c r="X49" s="239">
        <v>-28777</v>
      </c>
      <c r="Y49" s="239">
        <v>-124839</v>
      </c>
      <c r="Z49" s="239">
        <v>0</v>
      </c>
      <c r="AA49" s="239">
        <v>-124839</v>
      </c>
      <c r="AB49" s="239">
        <v>-127811</v>
      </c>
      <c r="AC49" s="239">
        <v>0</v>
      </c>
      <c r="AD49" s="239">
        <v>-127811</v>
      </c>
      <c r="AE49" s="239">
        <v>-347</v>
      </c>
      <c r="AF49" s="239">
        <v>0</v>
      </c>
      <c r="AG49" s="239">
        <v>-347</v>
      </c>
      <c r="AH49" s="239">
        <v>692776</v>
      </c>
      <c r="AI49" s="239">
        <v>0</v>
      </c>
      <c r="AJ49" s="239">
        <v>692776</v>
      </c>
      <c r="AK49" s="239">
        <v>-64514</v>
      </c>
      <c r="AL49" s="239">
        <v>0</v>
      </c>
      <c r="AM49" s="239">
        <v>-64514</v>
      </c>
      <c r="AN49" s="239">
        <v>-1791239</v>
      </c>
      <c r="AO49" s="239">
        <v>0</v>
      </c>
      <c r="AP49" s="239">
        <v>-1791239</v>
      </c>
      <c r="AQ49" s="239">
        <v>-85700</v>
      </c>
      <c r="AR49" s="239">
        <v>0</v>
      </c>
      <c r="AS49" s="239">
        <v>-85700</v>
      </c>
      <c r="AT49" s="239">
        <v>-556</v>
      </c>
      <c r="AU49" s="239">
        <v>0</v>
      </c>
      <c r="AV49" s="239">
        <v>-556</v>
      </c>
      <c r="AW49" s="239">
        <v>0</v>
      </c>
      <c r="AX49" s="239">
        <v>0</v>
      </c>
      <c r="AY49" s="239">
        <v>0</v>
      </c>
      <c r="AZ49" s="239">
        <v>0</v>
      </c>
      <c r="BA49" s="239">
        <v>0</v>
      </c>
      <c r="BB49" s="239">
        <v>0</v>
      </c>
      <c r="BC49" s="239">
        <v>0</v>
      </c>
      <c r="BD49" s="239">
        <v>0</v>
      </c>
      <c r="BE49" s="239">
        <v>0</v>
      </c>
      <c r="BF49" s="239">
        <v>-5375886</v>
      </c>
      <c r="BG49" s="239">
        <v>0</v>
      </c>
      <c r="BH49" s="239">
        <v>-5375886</v>
      </c>
      <c r="BI49" s="239">
        <v>0</v>
      </c>
      <c r="BJ49" s="239">
        <v>0</v>
      </c>
      <c r="BK49" s="239">
        <v>0</v>
      </c>
      <c r="BL49" s="239">
        <v>0</v>
      </c>
      <c r="BM49" s="239">
        <v>0</v>
      </c>
      <c r="BN49" s="239">
        <v>0</v>
      </c>
      <c r="BO49" s="239">
        <v>-687814</v>
      </c>
      <c r="BP49" s="239">
        <v>0</v>
      </c>
      <c r="BQ49" s="239">
        <v>-687814</v>
      </c>
      <c r="BR49" s="239">
        <v>-57040</v>
      </c>
      <c r="BS49" s="239">
        <v>0</v>
      </c>
      <c r="BT49" s="239">
        <v>-57040</v>
      </c>
      <c r="BU49" s="239">
        <v>-744854</v>
      </c>
      <c r="BV49" s="239">
        <v>0</v>
      </c>
      <c r="BW49" s="239">
        <v>-744854</v>
      </c>
      <c r="BX49" s="239">
        <v>-98648</v>
      </c>
      <c r="BY49" s="239">
        <v>0</v>
      </c>
      <c r="BZ49" s="239">
        <v>-98648</v>
      </c>
      <c r="CA49" s="239">
        <v>-528</v>
      </c>
      <c r="CB49" s="239">
        <v>0</v>
      </c>
      <c r="CC49" s="239">
        <v>-528</v>
      </c>
      <c r="CD49" s="239">
        <v>-10759</v>
      </c>
      <c r="CE49" s="239">
        <v>0</v>
      </c>
      <c r="CF49" s="239">
        <v>-10759</v>
      </c>
      <c r="CG49" s="239">
        <v>-2076</v>
      </c>
      <c r="CH49" s="239">
        <v>0</v>
      </c>
      <c r="CI49" s="239">
        <v>-2076</v>
      </c>
      <c r="CJ49" s="239">
        <v>-35</v>
      </c>
      <c r="CK49" s="239">
        <v>0</v>
      </c>
      <c r="CL49" s="239">
        <v>-35</v>
      </c>
      <c r="CM49" s="239">
        <v>0</v>
      </c>
      <c r="CN49" s="239">
        <v>0</v>
      </c>
      <c r="CO49" s="239">
        <v>0</v>
      </c>
      <c r="CP49" s="239">
        <v>0</v>
      </c>
      <c r="CQ49" s="239">
        <v>0</v>
      </c>
      <c r="CR49" s="239">
        <v>0</v>
      </c>
      <c r="CS49" s="239">
        <v>0</v>
      </c>
      <c r="CT49" s="239">
        <v>0</v>
      </c>
      <c r="CU49" s="239">
        <v>0</v>
      </c>
      <c r="CV49" s="239">
        <v>0</v>
      </c>
      <c r="CW49" s="239">
        <v>0</v>
      </c>
      <c r="CX49" s="239">
        <v>0</v>
      </c>
      <c r="CY49" s="239">
        <v>0</v>
      </c>
      <c r="CZ49" s="239">
        <v>0</v>
      </c>
      <c r="DA49" s="239">
        <v>0</v>
      </c>
      <c r="DB49" s="239">
        <v>-42230</v>
      </c>
      <c r="DC49" s="239">
        <v>0</v>
      </c>
      <c r="DD49" s="239">
        <v>-42230</v>
      </c>
      <c r="DE49" s="239">
        <v>6334</v>
      </c>
      <c r="DF49" s="239">
        <v>0</v>
      </c>
      <c r="DG49" s="239">
        <v>6334</v>
      </c>
      <c r="DH49" s="239">
        <v>0</v>
      </c>
      <c r="DI49" s="239">
        <v>0</v>
      </c>
      <c r="DJ49" s="239">
        <v>-147942</v>
      </c>
      <c r="DK49" s="239">
        <v>0</v>
      </c>
      <c r="DL49" s="239">
        <v>-147942</v>
      </c>
      <c r="DM49" s="239">
        <v>0</v>
      </c>
      <c r="DN49" s="239">
        <v>0</v>
      </c>
      <c r="DO49" s="239">
        <v>0</v>
      </c>
      <c r="DP49" s="239">
        <v>0</v>
      </c>
      <c r="DQ49" s="239">
        <v>0</v>
      </c>
      <c r="DR49" s="239">
        <v>0</v>
      </c>
      <c r="DS49" s="239">
        <v>0</v>
      </c>
      <c r="DT49" s="239">
        <v>0</v>
      </c>
      <c r="DU49" s="239">
        <v>0</v>
      </c>
      <c r="DV49" s="239">
        <v>0</v>
      </c>
      <c r="DW49" s="239">
        <v>0</v>
      </c>
      <c r="DX49" s="239">
        <v>0</v>
      </c>
      <c r="DY49" s="239">
        <v>4678</v>
      </c>
      <c r="DZ49" s="239">
        <v>0</v>
      </c>
      <c r="EA49" s="239">
        <v>4678</v>
      </c>
      <c r="EB49" s="239">
        <v>0</v>
      </c>
      <c r="EC49" s="239">
        <v>0</v>
      </c>
      <c r="ED49" s="239">
        <v>0</v>
      </c>
      <c r="EE49" s="239">
        <v>0</v>
      </c>
      <c r="EF49" s="239">
        <v>0</v>
      </c>
      <c r="EG49" s="239">
        <v>0</v>
      </c>
      <c r="EH49" s="239">
        <v>288</v>
      </c>
      <c r="EI49" s="239">
        <v>0</v>
      </c>
      <c r="EJ49" s="239">
        <v>288</v>
      </c>
      <c r="EK49" s="239">
        <v>0</v>
      </c>
      <c r="EL49" s="239">
        <v>0</v>
      </c>
      <c r="EM49" s="239">
        <v>0</v>
      </c>
      <c r="EN49" s="239">
        <v>-1500</v>
      </c>
      <c r="EO49" s="239">
        <v>0</v>
      </c>
      <c r="EP49" s="239">
        <v>-1500</v>
      </c>
      <c r="EQ49" s="239">
        <v>-6575</v>
      </c>
      <c r="ER49" s="239">
        <v>0</v>
      </c>
      <c r="ES49" s="239">
        <v>-6575</v>
      </c>
      <c r="ET49" s="239">
        <v>-90454</v>
      </c>
      <c r="EU49" s="239">
        <v>0</v>
      </c>
      <c r="EV49" s="239">
        <v>-90454</v>
      </c>
      <c r="EW49" s="239">
        <v>-19690</v>
      </c>
      <c r="EX49" s="239">
        <v>0</v>
      </c>
      <c r="EY49" s="239">
        <v>-19690</v>
      </c>
      <c r="EZ49" s="239">
        <v>-113253</v>
      </c>
      <c r="FA49" s="239">
        <v>0</v>
      </c>
      <c r="FB49" s="239">
        <v>-113253</v>
      </c>
      <c r="FC49" s="239">
        <v>0</v>
      </c>
      <c r="FD49" s="239">
        <v>0</v>
      </c>
      <c r="FE49" s="239">
        <v>0</v>
      </c>
      <c r="FF49" s="239">
        <v>0</v>
      </c>
      <c r="FG49" s="239">
        <v>0</v>
      </c>
      <c r="FH49" s="239">
        <v>0</v>
      </c>
      <c r="FI49" s="239">
        <v>0</v>
      </c>
      <c r="FJ49" s="239">
        <v>0</v>
      </c>
      <c r="FK49" s="239">
        <v>0</v>
      </c>
      <c r="FL49" s="239">
        <v>35945943</v>
      </c>
      <c r="FM49" s="239">
        <v>0</v>
      </c>
      <c r="FN49" s="239">
        <v>35945943</v>
      </c>
      <c r="FO49" s="239">
        <v>904781</v>
      </c>
      <c r="FP49" s="239">
        <v>0</v>
      </c>
      <c r="FQ49" s="239">
        <v>904781</v>
      </c>
      <c r="FR49" s="239">
        <v>-5375886</v>
      </c>
      <c r="FS49" s="239">
        <v>0</v>
      </c>
      <c r="FT49" s="239">
        <v>-5375886</v>
      </c>
      <c r="FU49" s="239">
        <v>-744854</v>
      </c>
      <c r="FV49" s="239">
        <v>0</v>
      </c>
      <c r="FW49" s="239">
        <v>-744854</v>
      </c>
      <c r="FX49" s="239">
        <v>-147942</v>
      </c>
      <c r="FY49" s="239">
        <v>0</v>
      </c>
      <c r="FZ49" s="239">
        <v>-147942</v>
      </c>
      <c r="GA49" s="239">
        <v>-113253</v>
      </c>
      <c r="GB49" s="239">
        <v>0</v>
      </c>
      <c r="GC49" s="239">
        <v>-113253</v>
      </c>
      <c r="GD49" s="239">
        <v>0</v>
      </c>
      <c r="GE49" s="239">
        <v>0</v>
      </c>
      <c r="GF49" s="239">
        <v>0</v>
      </c>
      <c r="GG49" s="239">
        <v>-5477154</v>
      </c>
      <c r="GH49" s="239">
        <v>0</v>
      </c>
      <c r="GI49" s="239">
        <v>-5477154</v>
      </c>
      <c r="GJ49" s="239">
        <v>30468789</v>
      </c>
      <c r="GK49" s="239">
        <v>0</v>
      </c>
      <c r="GL49" s="239">
        <v>30468789</v>
      </c>
      <c r="GM49" s="214" t="s">
        <v>1158</v>
      </c>
    </row>
    <row r="50" spans="2:195" s="214" customFormat="1" x14ac:dyDescent="0.2">
      <c r="B50" s="602" t="s">
        <v>183</v>
      </c>
      <c r="C50" s="602" t="s">
        <v>182</v>
      </c>
      <c r="D50" s="239">
        <v>-2424070</v>
      </c>
      <c r="E50" s="239">
        <v>0</v>
      </c>
      <c r="F50" s="239">
        <v>-2424070</v>
      </c>
      <c r="G50" s="239">
        <v>53282</v>
      </c>
      <c r="H50" s="239">
        <v>0</v>
      </c>
      <c r="I50" s="239">
        <v>53282</v>
      </c>
      <c r="J50" s="239">
        <v>4538417</v>
      </c>
      <c r="K50" s="239">
        <v>0</v>
      </c>
      <c r="L50" s="239">
        <v>4538417</v>
      </c>
      <c r="M50" s="239">
        <v>19669</v>
      </c>
      <c r="N50" s="239">
        <v>0</v>
      </c>
      <c r="O50" s="239">
        <v>19669</v>
      </c>
      <c r="P50" s="239">
        <v>2187298</v>
      </c>
      <c r="Q50" s="239">
        <v>0</v>
      </c>
      <c r="R50" s="239">
        <v>2187298</v>
      </c>
      <c r="S50" s="239">
        <v>-4966032</v>
      </c>
      <c r="T50" s="239">
        <v>0</v>
      </c>
      <c r="U50" s="239">
        <v>-4966032</v>
      </c>
      <c r="V50" s="239">
        <v>-10063</v>
      </c>
      <c r="W50" s="239">
        <v>0</v>
      </c>
      <c r="X50" s="239">
        <v>-10063</v>
      </c>
      <c r="Y50" s="239">
        <v>-151678</v>
      </c>
      <c r="Z50" s="239">
        <v>0</v>
      </c>
      <c r="AA50" s="239">
        <v>-151678</v>
      </c>
      <c r="AB50" s="239">
        <v>-136919</v>
      </c>
      <c r="AC50" s="239">
        <v>0</v>
      </c>
      <c r="AD50" s="239">
        <v>-136919</v>
      </c>
      <c r="AE50" s="239">
        <v>0</v>
      </c>
      <c r="AF50" s="239">
        <v>0</v>
      </c>
      <c r="AG50" s="239">
        <v>0</v>
      </c>
      <c r="AH50" s="239">
        <v>1323650</v>
      </c>
      <c r="AI50" s="239">
        <v>0</v>
      </c>
      <c r="AJ50" s="239">
        <v>1323650</v>
      </c>
      <c r="AK50" s="239">
        <v>-65683</v>
      </c>
      <c r="AL50" s="239">
        <v>0</v>
      </c>
      <c r="AM50" s="239">
        <v>-65683</v>
      </c>
      <c r="AN50" s="239">
        <v>-8326262</v>
      </c>
      <c r="AO50" s="239">
        <v>0</v>
      </c>
      <c r="AP50" s="239">
        <v>-8326262</v>
      </c>
      <c r="AQ50" s="239">
        <v>358736</v>
      </c>
      <c r="AR50" s="239">
        <v>0</v>
      </c>
      <c r="AS50" s="239">
        <v>358736</v>
      </c>
      <c r="AT50" s="239">
        <v>-62998</v>
      </c>
      <c r="AU50" s="239">
        <v>0</v>
      </c>
      <c r="AV50" s="239">
        <v>-62998</v>
      </c>
      <c r="AW50" s="239">
        <v>36171</v>
      </c>
      <c r="AX50" s="239">
        <v>0</v>
      </c>
      <c r="AY50" s="239">
        <v>36171</v>
      </c>
      <c r="AZ50" s="239">
        <v>-13220</v>
      </c>
      <c r="BA50" s="239">
        <v>0</v>
      </c>
      <c r="BB50" s="239">
        <v>-13220</v>
      </c>
      <c r="BC50" s="239">
        <v>141</v>
      </c>
      <c r="BD50" s="239">
        <v>0</v>
      </c>
      <c r="BE50" s="239">
        <v>141</v>
      </c>
      <c r="BF50" s="239">
        <v>-11867175</v>
      </c>
      <c r="BG50" s="239">
        <v>0</v>
      </c>
      <c r="BH50" s="239">
        <v>-11867175</v>
      </c>
      <c r="BI50" s="239">
        <v>0</v>
      </c>
      <c r="BJ50" s="239">
        <v>0</v>
      </c>
      <c r="BK50" s="239">
        <v>0</v>
      </c>
      <c r="BL50" s="239">
        <v>5886</v>
      </c>
      <c r="BM50" s="239">
        <v>0</v>
      </c>
      <c r="BN50" s="239">
        <v>5886</v>
      </c>
      <c r="BO50" s="239">
        <v>-1242162</v>
      </c>
      <c r="BP50" s="239">
        <v>0</v>
      </c>
      <c r="BQ50" s="239">
        <v>-1242162</v>
      </c>
      <c r="BR50" s="239">
        <v>40296</v>
      </c>
      <c r="BS50" s="239">
        <v>0</v>
      </c>
      <c r="BT50" s="239">
        <v>40296</v>
      </c>
      <c r="BU50" s="239">
        <v>-1195980</v>
      </c>
      <c r="BV50" s="239">
        <v>0</v>
      </c>
      <c r="BW50" s="239">
        <v>-1195980</v>
      </c>
      <c r="BX50" s="239">
        <v>-243262</v>
      </c>
      <c r="BY50" s="239">
        <v>0</v>
      </c>
      <c r="BZ50" s="239">
        <v>-243262</v>
      </c>
      <c r="CA50" s="239">
        <v>6368</v>
      </c>
      <c r="CB50" s="239">
        <v>0</v>
      </c>
      <c r="CC50" s="239">
        <v>6368</v>
      </c>
      <c r="CD50" s="239">
        <v>-44335</v>
      </c>
      <c r="CE50" s="239">
        <v>0</v>
      </c>
      <c r="CF50" s="239">
        <v>-44335</v>
      </c>
      <c r="CG50" s="239">
        <v>0</v>
      </c>
      <c r="CH50" s="239">
        <v>0</v>
      </c>
      <c r="CI50" s="239">
        <v>0</v>
      </c>
      <c r="CJ50" s="239">
        <v>-4948</v>
      </c>
      <c r="CK50" s="239">
        <v>0</v>
      </c>
      <c r="CL50" s="239">
        <v>-4948</v>
      </c>
      <c r="CM50" s="239">
        <v>0</v>
      </c>
      <c r="CN50" s="239">
        <v>0</v>
      </c>
      <c r="CO50" s="239">
        <v>0</v>
      </c>
      <c r="CP50" s="239">
        <v>-3725</v>
      </c>
      <c r="CQ50" s="239">
        <v>0</v>
      </c>
      <c r="CR50" s="239">
        <v>-3725</v>
      </c>
      <c r="CS50" s="239">
        <v>0</v>
      </c>
      <c r="CT50" s="239">
        <v>0</v>
      </c>
      <c r="CU50" s="239">
        <v>0</v>
      </c>
      <c r="CV50" s="239">
        <v>0</v>
      </c>
      <c r="CW50" s="239">
        <v>0</v>
      </c>
      <c r="CX50" s="239">
        <v>0</v>
      </c>
      <c r="CY50" s="239">
        <v>0</v>
      </c>
      <c r="CZ50" s="239">
        <v>0</v>
      </c>
      <c r="DA50" s="239">
        <v>0</v>
      </c>
      <c r="DB50" s="239">
        <v>0</v>
      </c>
      <c r="DC50" s="239">
        <v>0</v>
      </c>
      <c r="DD50" s="239">
        <v>0</v>
      </c>
      <c r="DE50" s="239">
        <v>0</v>
      </c>
      <c r="DF50" s="239">
        <v>0</v>
      </c>
      <c r="DG50" s="239">
        <v>0</v>
      </c>
      <c r="DH50" s="239">
        <v>0</v>
      </c>
      <c r="DI50" s="239">
        <v>0</v>
      </c>
      <c r="DJ50" s="239">
        <v>-289902</v>
      </c>
      <c r="DK50" s="239">
        <v>0</v>
      </c>
      <c r="DL50" s="239">
        <v>-289902</v>
      </c>
      <c r="DM50" s="239">
        <v>-7709</v>
      </c>
      <c r="DN50" s="239">
        <v>0</v>
      </c>
      <c r="DO50" s="239">
        <v>-7709</v>
      </c>
      <c r="DP50" s="239">
        <v>-8253</v>
      </c>
      <c r="DQ50" s="239">
        <v>0</v>
      </c>
      <c r="DR50" s="239">
        <v>-8253</v>
      </c>
      <c r="DS50" s="239">
        <v>0</v>
      </c>
      <c r="DT50" s="239">
        <v>0</v>
      </c>
      <c r="DU50" s="239">
        <v>0</v>
      </c>
      <c r="DV50" s="239">
        <v>2930</v>
      </c>
      <c r="DW50" s="239">
        <v>0</v>
      </c>
      <c r="DX50" s="239">
        <v>2930</v>
      </c>
      <c r="DY50" s="239">
        <v>3666</v>
      </c>
      <c r="DZ50" s="239">
        <v>0</v>
      </c>
      <c r="EA50" s="239">
        <v>3666</v>
      </c>
      <c r="EB50" s="239">
        <v>0</v>
      </c>
      <c r="EC50" s="239">
        <v>0</v>
      </c>
      <c r="ED50" s="239">
        <v>0</v>
      </c>
      <c r="EE50" s="239">
        <v>0</v>
      </c>
      <c r="EF50" s="239">
        <v>0</v>
      </c>
      <c r="EG50" s="239">
        <v>0</v>
      </c>
      <c r="EH50" s="239">
        <v>-33</v>
      </c>
      <c r="EI50" s="239">
        <v>0</v>
      </c>
      <c r="EJ50" s="239">
        <v>-33</v>
      </c>
      <c r="EK50" s="239">
        <v>-13221</v>
      </c>
      <c r="EL50" s="239">
        <v>0</v>
      </c>
      <c r="EM50" s="239">
        <v>-13221</v>
      </c>
      <c r="EN50" s="239">
        <v>-743.84</v>
      </c>
      <c r="EO50" s="239">
        <v>0</v>
      </c>
      <c r="EP50" s="239">
        <v>-743.84</v>
      </c>
      <c r="EQ50" s="239">
        <v>-88455.25</v>
      </c>
      <c r="ER50" s="239">
        <v>0</v>
      </c>
      <c r="ES50" s="239">
        <v>-88455.25</v>
      </c>
      <c r="ET50" s="239">
        <v>-303595.05</v>
      </c>
      <c r="EU50" s="239">
        <v>0</v>
      </c>
      <c r="EV50" s="239">
        <v>-303595.05</v>
      </c>
      <c r="EW50" s="239">
        <v>-81603.7</v>
      </c>
      <c r="EX50" s="239">
        <v>0</v>
      </c>
      <c r="EY50" s="239">
        <v>-81603.7</v>
      </c>
      <c r="EZ50" s="239">
        <v>-497018</v>
      </c>
      <c r="FA50" s="239">
        <v>0</v>
      </c>
      <c r="FB50" s="239">
        <v>-497018</v>
      </c>
      <c r="FC50" s="239">
        <v>0</v>
      </c>
      <c r="FD50" s="239">
        <v>0</v>
      </c>
      <c r="FE50" s="239">
        <v>0</v>
      </c>
      <c r="FF50" s="239">
        <v>0</v>
      </c>
      <c r="FG50" s="239">
        <v>0</v>
      </c>
      <c r="FH50" s="239">
        <v>0</v>
      </c>
      <c r="FI50" s="239">
        <v>0</v>
      </c>
      <c r="FJ50" s="239">
        <v>0</v>
      </c>
      <c r="FK50" s="239">
        <v>0</v>
      </c>
      <c r="FL50" s="239">
        <v>63702560</v>
      </c>
      <c r="FM50" s="239">
        <v>0</v>
      </c>
      <c r="FN50" s="239">
        <v>63702560</v>
      </c>
      <c r="FO50" s="239">
        <v>2187298</v>
      </c>
      <c r="FP50" s="239">
        <v>0</v>
      </c>
      <c r="FQ50" s="239">
        <v>2187298</v>
      </c>
      <c r="FR50" s="239">
        <v>-11867175</v>
      </c>
      <c r="FS50" s="239">
        <v>0</v>
      </c>
      <c r="FT50" s="239">
        <v>-11867175</v>
      </c>
      <c r="FU50" s="239">
        <v>-1195980</v>
      </c>
      <c r="FV50" s="239">
        <v>0</v>
      </c>
      <c r="FW50" s="239">
        <v>-1195980</v>
      </c>
      <c r="FX50" s="239">
        <v>-289902</v>
      </c>
      <c r="FY50" s="239">
        <v>0</v>
      </c>
      <c r="FZ50" s="239">
        <v>-289902</v>
      </c>
      <c r="GA50" s="239">
        <v>-497018</v>
      </c>
      <c r="GB50" s="239">
        <v>0</v>
      </c>
      <c r="GC50" s="239">
        <v>-497018</v>
      </c>
      <c r="GD50" s="239">
        <v>0</v>
      </c>
      <c r="GE50" s="239">
        <v>0</v>
      </c>
      <c r="GF50" s="239">
        <v>0</v>
      </c>
      <c r="GG50" s="239">
        <v>-11662777</v>
      </c>
      <c r="GH50" s="239">
        <v>0</v>
      </c>
      <c r="GI50" s="239">
        <v>-11662777</v>
      </c>
      <c r="GJ50" s="239">
        <v>52039783</v>
      </c>
      <c r="GK50" s="239">
        <v>0</v>
      </c>
      <c r="GL50" s="239">
        <v>52039783</v>
      </c>
      <c r="GM50" s="214" t="s">
        <v>1158</v>
      </c>
    </row>
    <row r="51" spans="2:195" s="214" customFormat="1" x14ac:dyDescent="0.2">
      <c r="B51" s="602" t="s">
        <v>185</v>
      </c>
      <c r="C51" s="602" t="s">
        <v>184</v>
      </c>
      <c r="D51" s="239">
        <v>-1017772</v>
      </c>
      <c r="E51" s="239">
        <v>-4600</v>
      </c>
      <c r="F51" s="239">
        <v>-1022372</v>
      </c>
      <c r="G51" s="239">
        <v>11275</v>
      </c>
      <c r="H51" s="239">
        <v>0</v>
      </c>
      <c r="I51" s="239">
        <v>11275</v>
      </c>
      <c r="J51" s="239">
        <v>4025274</v>
      </c>
      <c r="K51" s="239">
        <v>22224</v>
      </c>
      <c r="L51" s="239">
        <v>4047498</v>
      </c>
      <c r="M51" s="239">
        <v>-11507</v>
      </c>
      <c r="N51" s="239">
        <v>0</v>
      </c>
      <c r="O51" s="239">
        <v>-11507</v>
      </c>
      <c r="P51" s="239">
        <v>3007270</v>
      </c>
      <c r="Q51" s="239">
        <v>17624</v>
      </c>
      <c r="R51" s="239">
        <v>3024894</v>
      </c>
      <c r="S51" s="239">
        <v>-3832822</v>
      </c>
      <c r="T51" s="239">
        <v>-63286</v>
      </c>
      <c r="U51" s="239">
        <v>-3896108</v>
      </c>
      <c r="V51" s="239">
        <v>-24792</v>
      </c>
      <c r="W51" s="239">
        <v>-1591</v>
      </c>
      <c r="X51" s="239">
        <v>-26383</v>
      </c>
      <c r="Y51" s="239">
        <v>-100629</v>
      </c>
      <c r="Z51" s="239">
        <v>-1965</v>
      </c>
      <c r="AA51" s="239">
        <v>-102594</v>
      </c>
      <c r="AB51" s="239">
        <v>-88589</v>
      </c>
      <c r="AC51" s="239">
        <v>-1965</v>
      </c>
      <c r="AD51" s="239">
        <v>-90554</v>
      </c>
      <c r="AE51" s="239">
        <v>2601</v>
      </c>
      <c r="AF51" s="239">
        <v>400</v>
      </c>
      <c r="AG51" s="239">
        <v>3001</v>
      </c>
      <c r="AH51" s="239">
        <v>914268</v>
      </c>
      <c r="AI51" s="239">
        <v>38812</v>
      </c>
      <c r="AJ51" s="239">
        <v>953080</v>
      </c>
      <c r="AK51" s="239">
        <v>-11185</v>
      </c>
      <c r="AL51" s="239">
        <v>-327</v>
      </c>
      <c r="AM51" s="239">
        <v>-11512</v>
      </c>
      <c r="AN51" s="239">
        <v>-3319988</v>
      </c>
      <c r="AO51" s="239">
        <v>-2903</v>
      </c>
      <c r="AP51" s="239">
        <v>-3322891</v>
      </c>
      <c r="AQ51" s="239">
        <v>-25484</v>
      </c>
      <c r="AR51" s="239">
        <v>0</v>
      </c>
      <c r="AS51" s="239">
        <v>-25484</v>
      </c>
      <c r="AT51" s="239">
        <v>-77109</v>
      </c>
      <c r="AU51" s="239">
        <v>0</v>
      </c>
      <c r="AV51" s="239">
        <v>-77109</v>
      </c>
      <c r="AW51" s="239">
        <v>0</v>
      </c>
      <c r="AX51" s="239">
        <v>0</v>
      </c>
      <c r="AY51" s="239">
        <v>0</v>
      </c>
      <c r="AZ51" s="239">
        <v>-21992</v>
      </c>
      <c r="BA51" s="239">
        <v>0</v>
      </c>
      <c r="BB51" s="239">
        <v>-21992</v>
      </c>
      <c r="BC51" s="239">
        <v>0</v>
      </c>
      <c r="BD51" s="239">
        <v>0</v>
      </c>
      <c r="BE51" s="239">
        <v>0</v>
      </c>
      <c r="BF51" s="239">
        <v>-6474941</v>
      </c>
      <c r="BG51" s="239">
        <v>-29669</v>
      </c>
      <c r="BH51" s="239">
        <v>-6504610</v>
      </c>
      <c r="BI51" s="239">
        <v>0</v>
      </c>
      <c r="BJ51" s="239">
        <v>0</v>
      </c>
      <c r="BK51" s="239">
        <v>0</v>
      </c>
      <c r="BL51" s="239">
        <v>152</v>
      </c>
      <c r="BM51" s="239">
        <v>0</v>
      </c>
      <c r="BN51" s="239">
        <v>152</v>
      </c>
      <c r="BO51" s="239">
        <v>-1427028</v>
      </c>
      <c r="BP51" s="239">
        <v>-194552</v>
      </c>
      <c r="BQ51" s="239">
        <v>-1621580</v>
      </c>
      <c r="BR51" s="239">
        <v>-21066</v>
      </c>
      <c r="BS51" s="239">
        <v>-338</v>
      </c>
      <c r="BT51" s="239">
        <v>-21404</v>
      </c>
      <c r="BU51" s="239">
        <v>-1447942</v>
      </c>
      <c r="BV51" s="239">
        <v>-194890</v>
      </c>
      <c r="BW51" s="239">
        <v>-1642832</v>
      </c>
      <c r="BX51" s="239">
        <v>-54034</v>
      </c>
      <c r="BY51" s="239">
        <v>-726</v>
      </c>
      <c r="BZ51" s="239">
        <v>-54760</v>
      </c>
      <c r="CA51" s="239">
        <v>-153</v>
      </c>
      <c r="CB51" s="239">
        <v>0</v>
      </c>
      <c r="CC51" s="239">
        <v>-153</v>
      </c>
      <c r="CD51" s="239">
        <v>-31911</v>
      </c>
      <c r="CE51" s="239">
        <v>0</v>
      </c>
      <c r="CF51" s="239">
        <v>-31911</v>
      </c>
      <c r="CG51" s="239">
        <v>-642</v>
      </c>
      <c r="CH51" s="239">
        <v>0</v>
      </c>
      <c r="CI51" s="239">
        <v>-642</v>
      </c>
      <c r="CJ51" s="239">
        <v>-2776</v>
      </c>
      <c r="CK51" s="239">
        <v>0</v>
      </c>
      <c r="CL51" s="239">
        <v>-2776</v>
      </c>
      <c r="CM51" s="239">
        <v>0</v>
      </c>
      <c r="CN51" s="239">
        <v>0</v>
      </c>
      <c r="CO51" s="239">
        <v>0</v>
      </c>
      <c r="CP51" s="239">
        <v>0</v>
      </c>
      <c r="CQ51" s="239">
        <v>0</v>
      </c>
      <c r="CR51" s="239">
        <v>0</v>
      </c>
      <c r="CS51" s="239">
        <v>0</v>
      </c>
      <c r="CT51" s="239">
        <v>0</v>
      </c>
      <c r="CU51" s="239">
        <v>0</v>
      </c>
      <c r="CV51" s="239">
        <v>-792</v>
      </c>
      <c r="CW51" s="239">
        <v>0</v>
      </c>
      <c r="CX51" s="239">
        <v>-792</v>
      </c>
      <c r="CY51" s="239">
        <v>0</v>
      </c>
      <c r="CZ51" s="239">
        <v>0</v>
      </c>
      <c r="DA51" s="239">
        <v>0</v>
      </c>
      <c r="DB51" s="239">
        <v>0</v>
      </c>
      <c r="DC51" s="239">
        <v>-36879</v>
      </c>
      <c r="DD51" s="239">
        <v>-36879</v>
      </c>
      <c r="DE51" s="239">
        <v>56944</v>
      </c>
      <c r="DF51" s="239">
        <v>-3342</v>
      </c>
      <c r="DG51" s="239">
        <v>53602</v>
      </c>
      <c r="DH51" s="239">
        <v>-40221</v>
      </c>
      <c r="DI51" s="239">
        <v>0</v>
      </c>
      <c r="DJ51" s="239">
        <v>-33364</v>
      </c>
      <c r="DK51" s="239">
        <v>-40947</v>
      </c>
      <c r="DL51" s="239">
        <v>-74311</v>
      </c>
      <c r="DM51" s="239">
        <v>0</v>
      </c>
      <c r="DN51" s="239">
        <v>0</v>
      </c>
      <c r="DO51" s="239">
        <v>0</v>
      </c>
      <c r="DP51" s="239">
        <v>0</v>
      </c>
      <c r="DQ51" s="239">
        <v>0</v>
      </c>
      <c r="DR51" s="239">
        <v>0</v>
      </c>
      <c r="DS51" s="239">
        <v>-1757</v>
      </c>
      <c r="DT51" s="239">
        <v>0</v>
      </c>
      <c r="DU51" s="239">
        <v>-1757</v>
      </c>
      <c r="DV51" s="239">
        <v>0</v>
      </c>
      <c r="DW51" s="239">
        <v>0</v>
      </c>
      <c r="DX51" s="239">
        <v>0</v>
      </c>
      <c r="DY51" s="239">
        <v>-5016</v>
      </c>
      <c r="DZ51" s="239">
        <v>0</v>
      </c>
      <c r="EA51" s="239">
        <v>-5016</v>
      </c>
      <c r="EB51" s="239">
        <v>-85367</v>
      </c>
      <c r="EC51" s="239">
        <v>0</v>
      </c>
      <c r="ED51" s="239">
        <v>-85367</v>
      </c>
      <c r="EE51" s="239">
        <v>-61025</v>
      </c>
      <c r="EF51" s="239">
        <v>0</v>
      </c>
      <c r="EG51" s="239">
        <v>-61025</v>
      </c>
      <c r="EH51" s="239">
        <v>648</v>
      </c>
      <c r="EI51" s="239">
        <v>0</v>
      </c>
      <c r="EJ51" s="239">
        <v>648</v>
      </c>
      <c r="EK51" s="239">
        <v>-24089</v>
      </c>
      <c r="EL51" s="239">
        <v>0</v>
      </c>
      <c r="EM51" s="239">
        <v>-24089</v>
      </c>
      <c r="EN51" s="239">
        <v>-1500</v>
      </c>
      <c r="EO51" s="239">
        <v>0</v>
      </c>
      <c r="EP51" s="239">
        <v>-1500</v>
      </c>
      <c r="EQ51" s="239">
        <v>-16142</v>
      </c>
      <c r="ER51" s="239">
        <v>0</v>
      </c>
      <c r="ES51" s="239">
        <v>-16142</v>
      </c>
      <c r="ET51" s="239">
        <v>-156980</v>
      </c>
      <c r="EU51" s="239">
        <v>-9255</v>
      </c>
      <c r="EV51" s="239">
        <v>-166235</v>
      </c>
      <c r="EW51" s="239">
        <v>-42225</v>
      </c>
      <c r="EX51" s="239">
        <v>0</v>
      </c>
      <c r="EY51" s="239">
        <v>-42225</v>
      </c>
      <c r="EZ51" s="239">
        <v>-393453</v>
      </c>
      <c r="FA51" s="239">
        <v>-9255</v>
      </c>
      <c r="FB51" s="239">
        <v>-402708</v>
      </c>
      <c r="FC51" s="239">
        <v>0</v>
      </c>
      <c r="FD51" s="239">
        <v>0</v>
      </c>
      <c r="FE51" s="239">
        <v>0</v>
      </c>
      <c r="FF51" s="239">
        <v>0</v>
      </c>
      <c r="FG51" s="239">
        <v>0</v>
      </c>
      <c r="FH51" s="239">
        <v>0</v>
      </c>
      <c r="FI51" s="239">
        <v>0</v>
      </c>
      <c r="FJ51" s="239">
        <v>0</v>
      </c>
      <c r="FK51" s="239">
        <v>0</v>
      </c>
      <c r="FL51" s="239">
        <v>47686858</v>
      </c>
      <c r="FM51" s="239">
        <v>1732201</v>
      </c>
      <c r="FN51" s="239">
        <v>49419059</v>
      </c>
      <c r="FO51" s="239">
        <v>3007270</v>
      </c>
      <c r="FP51" s="239">
        <v>17624</v>
      </c>
      <c r="FQ51" s="239">
        <v>3024894</v>
      </c>
      <c r="FR51" s="239">
        <v>-6474941</v>
      </c>
      <c r="FS51" s="239">
        <v>-29669</v>
      </c>
      <c r="FT51" s="239">
        <v>-6504610</v>
      </c>
      <c r="FU51" s="239">
        <v>-1447942</v>
      </c>
      <c r="FV51" s="239">
        <v>-194890</v>
      </c>
      <c r="FW51" s="239">
        <v>-1642832</v>
      </c>
      <c r="FX51" s="239">
        <v>-33364</v>
      </c>
      <c r="FY51" s="239">
        <v>-40947</v>
      </c>
      <c r="FZ51" s="239">
        <v>-74311</v>
      </c>
      <c r="GA51" s="239">
        <v>-393453</v>
      </c>
      <c r="GB51" s="239">
        <v>-9255</v>
      </c>
      <c r="GC51" s="239">
        <v>-402708</v>
      </c>
      <c r="GD51" s="239">
        <v>0</v>
      </c>
      <c r="GE51" s="239">
        <v>0</v>
      </c>
      <c r="GF51" s="239">
        <v>0</v>
      </c>
      <c r="GG51" s="239">
        <v>-5342430</v>
      </c>
      <c r="GH51" s="239">
        <v>-257137</v>
      </c>
      <c r="GI51" s="239">
        <v>-5599567</v>
      </c>
      <c r="GJ51" s="239">
        <v>42344428</v>
      </c>
      <c r="GK51" s="239">
        <v>1475064</v>
      </c>
      <c r="GL51" s="239">
        <v>43819492</v>
      </c>
      <c r="GM51" s="214" t="s">
        <v>1158</v>
      </c>
    </row>
    <row r="52" spans="2:195" s="214" customFormat="1" x14ac:dyDescent="0.2">
      <c r="B52" s="602" t="s">
        <v>187</v>
      </c>
      <c r="C52" s="602" t="s">
        <v>186</v>
      </c>
      <c r="D52" s="239">
        <v>-617261</v>
      </c>
      <c r="E52" s="239">
        <v>0</v>
      </c>
      <c r="F52" s="239">
        <v>-617261</v>
      </c>
      <c r="G52" s="239">
        <v>600986</v>
      </c>
      <c r="H52" s="239">
        <v>0</v>
      </c>
      <c r="I52" s="239">
        <v>600986</v>
      </c>
      <c r="J52" s="239">
        <v>884572</v>
      </c>
      <c r="K52" s="239">
        <v>0</v>
      </c>
      <c r="L52" s="239">
        <v>884572</v>
      </c>
      <c r="M52" s="239">
        <v>13662</v>
      </c>
      <c r="N52" s="239">
        <v>0</v>
      </c>
      <c r="O52" s="239">
        <v>13662</v>
      </c>
      <c r="P52" s="239">
        <v>881959</v>
      </c>
      <c r="Q52" s="239">
        <v>0</v>
      </c>
      <c r="R52" s="239">
        <v>881959</v>
      </c>
      <c r="S52" s="239">
        <v>-2957132</v>
      </c>
      <c r="T52" s="239">
        <v>0</v>
      </c>
      <c r="U52" s="239">
        <v>-2957132</v>
      </c>
      <c r="V52" s="239">
        <v>-3160</v>
      </c>
      <c r="W52" s="239">
        <v>0</v>
      </c>
      <c r="X52" s="239">
        <v>-3160</v>
      </c>
      <c r="Y52" s="239">
        <v>-72426</v>
      </c>
      <c r="Z52" s="239">
        <v>0</v>
      </c>
      <c r="AA52" s="239">
        <v>-72426</v>
      </c>
      <c r="AB52" s="239">
        <v>-61221</v>
      </c>
      <c r="AC52" s="239">
        <v>0</v>
      </c>
      <c r="AD52" s="239">
        <v>-61221</v>
      </c>
      <c r="AE52" s="239">
        <v>0</v>
      </c>
      <c r="AF52" s="239">
        <v>0</v>
      </c>
      <c r="AG52" s="239">
        <v>0</v>
      </c>
      <c r="AH52" s="239">
        <v>308122</v>
      </c>
      <c r="AI52" s="239">
        <v>0</v>
      </c>
      <c r="AJ52" s="239">
        <v>308122</v>
      </c>
      <c r="AK52" s="239">
        <v>-20060</v>
      </c>
      <c r="AL52" s="239">
        <v>0</v>
      </c>
      <c r="AM52" s="239">
        <v>-20060</v>
      </c>
      <c r="AN52" s="239">
        <v>-1688540</v>
      </c>
      <c r="AO52" s="239">
        <v>0</v>
      </c>
      <c r="AP52" s="239">
        <v>-1688540</v>
      </c>
      <c r="AQ52" s="239">
        <v>12492</v>
      </c>
      <c r="AR52" s="239">
        <v>0</v>
      </c>
      <c r="AS52" s="239">
        <v>12492</v>
      </c>
      <c r="AT52" s="239">
        <v>-9711</v>
      </c>
      <c r="AU52" s="239">
        <v>0</v>
      </c>
      <c r="AV52" s="239">
        <v>-9711</v>
      </c>
      <c r="AW52" s="239">
        <v>0</v>
      </c>
      <c r="AX52" s="239">
        <v>0</v>
      </c>
      <c r="AY52" s="239">
        <v>0</v>
      </c>
      <c r="AZ52" s="239">
        <v>0</v>
      </c>
      <c r="BA52" s="239">
        <v>0</v>
      </c>
      <c r="BB52" s="239">
        <v>0</v>
      </c>
      <c r="BC52" s="239">
        <v>0</v>
      </c>
      <c r="BD52" s="239">
        <v>0</v>
      </c>
      <c r="BE52" s="239">
        <v>0</v>
      </c>
      <c r="BF52" s="239">
        <v>-4427255</v>
      </c>
      <c r="BG52" s="239">
        <v>0</v>
      </c>
      <c r="BH52" s="239">
        <v>-4427255</v>
      </c>
      <c r="BI52" s="239">
        <v>-5362</v>
      </c>
      <c r="BJ52" s="239">
        <v>0</v>
      </c>
      <c r="BK52" s="239">
        <v>-5362</v>
      </c>
      <c r="BL52" s="239">
        <v>0</v>
      </c>
      <c r="BM52" s="239">
        <v>0</v>
      </c>
      <c r="BN52" s="239">
        <v>0</v>
      </c>
      <c r="BO52" s="239">
        <v>-240320</v>
      </c>
      <c r="BP52" s="239">
        <v>0</v>
      </c>
      <c r="BQ52" s="239">
        <v>-240320</v>
      </c>
      <c r="BR52" s="239">
        <v>4636</v>
      </c>
      <c r="BS52" s="239">
        <v>0</v>
      </c>
      <c r="BT52" s="239">
        <v>4636</v>
      </c>
      <c r="BU52" s="239">
        <v>-241046</v>
      </c>
      <c r="BV52" s="239">
        <v>0</v>
      </c>
      <c r="BW52" s="239">
        <v>-241046</v>
      </c>
      <c r="BX52" s="239">
        <v>-62671</v>
      </c>
      <c r="BY52" s="239">
        <v>0</v>
      </c>
      <c r="BZ52" s="239">
        <v>-62671</v>
      </c>
      <c r="CA52" s="239">
        <v>113</v>
      </c>
      <c r="CB52" s="239">
        <v>0</v>
      </c>
      <c r="CC52" s="239">
        <v>113</v>
      </c>
      <c r="CD52" s="239">
        <v>-27935</v>
      </c>
      <c r="CE52" s="239">
        <v>0</v>
      </c>
      <c r="CF52" s="239">
        <v>-27935</v>
      </c>
      <c r="CG52" s="239">
        <v>0</v>
      </c>
      <c r="CH52" s="239">
        <v>0</v>
      </c>
      <c r="CI52" s="239">
        <v>0</v>
      </c>
      <c r="CJ52" s="239">
        <v>-2428</v>
      </c>
      <c r="CK52" s="239">
        <v>0</v>
      </c>
      <c r="CL52" s="239">
        <v>-2428</v>
      </c>
      <c r="CM52" s="239">
        <v>0</v>
      </c>
      <c r="CN52" s="239">
        <v>0</v>
      </c>
      <c r="CO52" s="239">
        <v>0</v>
      </c>
      <c r="CP52" s="239">
        <v>0</v>
      </c>
      <c r="CQ52" s="239">
        <v>0</v>
      </c>
      <c r="CR52" s="239">
        <v>0</v>
      </c>
      <c r="CS52" s="239">
        <v>0</v>
      </c>
      <c r="CT52" s="239">
        <v>0</v>
      </c>
      <c r="CU52" s="239">
        <v>0</v>
      </c>
      <c r="CV52" s="239">
        <v>0</v>
      </c>
      <c r="CW52" s="239">
        <v>0</v>
      </c>
      <c r="CX52" s="239">
        <v>0</v>
      </c>
      <c r="CY52" s="239">
        <v>0</v>
      </c>
      <c r="CZ52" s="239">
        <v>0</v>
      </c>
      <c r="DA52" s="239">
        <v>0</v>
      </c>
      <c r="DB52" s="239">
        <v>0</v>
      </c>
      <c r="DC52" s="239">
        <v>0</v>
      </c>
      <c r="DD52" s="239">
        <v>0</v>
      </c>
      <c r="DE52" s="239">
        <v>0</v>
      </c>
      <c r="DF52" s="239">
        <v>0</v>
      </c>
      <c r="DG52" s="239">
        <v>0</v>
      </c>
      <c r="DH52" s="239">
        <v>0</v>
      </c>
      <c r="DI52" s="239">
        <v>0</v>
      </c>
      <c r="DJ52" s="239">
        <v>-92921</v>
      </c>
      <c r="DK52" s="239">
        <v>0</v>
      </c>
      <c r="DL52" s="239">
        <v>-92921</v>
      </c>
      <c r="DM52" s="239">
        <v>0</v>
      </c>
      <c r="DN52" s="239">
        <v>0</v>
      </c>
      <c r="DO52" s="239">
        <v>0</v>
      </c>
      <c r="DP52" s="239">
        <v>0</v>
      </c>
      <c r="DQ52" s="239">
        <v>0</v>
      </c>
      <c r="DR52" s="239">
        <v>0</v>
      </c>
      <c r="DS52" s="239">
        <v>-57</v>
      </c>
      <c r="DT52" s="239">
        <v>0</v>
      </c>
      <c r="DU52" s="239">
        <v>-57</v>
      </c>
      <c r="DV52" s="239">
        <v>0</v>
      </c>
      <c r="DW52" s="239">
        <v>0</v>
      </c>
      <c r="DX52" s="239">
        <v>0</v>
      </c>
      <c r="DY52" s="239">
        <v>606</v>
      </c>
      <c r="DZ52" s="239">
        <v>0</v>
      </c>
      <c r="EA52" s="239">
        <v>606</v>
      </c>
      <c r="EB52" s="239">
        <v>0</v>
      </c>
      <c r="EC52" s="239">
        <v>0</v>
      </c>
      <c r="ED52" s="239">
        <v>0</v>
      </c>
      <c r="EE52" s="239">
        <v>0</v>
      </c>
      <c r="EF52" s="239">
        <v>0</v>
      </c>
      <c r="EG52" s="239">
        <v>0</v>
      </c>
      <c r="EH52" s="239">
        <v>2120</v>
      </c>
      <c r="EI52" s="239">
        <v>0</v>
      </c>
      <c r="EJ52" s="239">
        <v>2120</v>
      </c>
      <c r="EK52" s="239">
        <v>0</v>
      </c>
      <c r="EL52" s="239">
        <v>0</v>
      </c>
      <c r="EM52" s="239">
        <v>0</v>
      </c>
      <c r="EN52" s="239">
        <v>0</v>
      </c>
      <c r="EO52" s="239">
        <v>0</v>
      </c>
      <c r="EP52" s="239">
        <v>0</v>
      </c>
      <c r="EQ52" s="239">
        <v>-8049</v>
      </c>
      <c r="ER52" s="239">
        <v>0</v>
      </c>
      <c r="ES52" s="239">
        <v>-8049</v>
      </c>
      <c r="ET52" s="239">
        <v>-39314</v>
      </c>
      <c r="EU52" s="239">
        <v>0</v>
      </c>
      <c r="EV52" s="239">
        <v>-39314</v>
      </c>
      <c r="EW52" s="239">
        <v>-7956</v>
      </c>
      <c r="EX52" s="239">
        <v>0</v>
      </c>
      <c r="EY52" s="239">
        <v>-7956</v>
      </c>
      <c r="EZ52" s="239">
        <v>-52650</v>
      </c>
      <c r="FA52" s="239">
        <v>0</v>
      </c>
      <c r="FB52" s="239">
        <v>-52650</v>
      </c>
      <c r="FC52" s="239">
        <v>0</v>
      </c>
      <c r="FD52" s="239">
        <v>0</v>
      </c>
      <c r="FE52" s="239">
        <v>0</v>
      </c>
      <c r="FF52" s="239">
        <v>0</v>
      </c>
      <c r="FG52" s="239">
        <v>0</v>
      </c>
      <c r="FH52" s="239">
        <v>0</v>
      </c>
      <c r="FI52" s="239">
        <v>0</v>
      </c>
      <c r="FJ52" s="239">
        <v>0</v>
      </c>
      <c r="FK52" s="239">
        <v>0</v>
      </c>
      <c r="FL52" s="239">
        <v>18118809</v>
      </c>
      <c r="FM52" s="239">
        <v>0</v>
      </c>
      <c r="FN52" s="239">
        <v>18118809</v>
      </c>
      <c r="FO52" s="239">
        <v>881959</v>
      </c>
      <c r="FP52" s="239">
        <v>0</v>
      </c>
      <c r="FQ52" s="239">
        <v>881959</v>
      </c>
      <c r="FR52" s="239">
        <v>-4427255</v>
      </c>
      <c r="FS52" s="239">
        <v>0</v>
      </c>
      <c r="FT52" s="239">
        <v>-4427255</v>
      </c>
      <c r="FU52" s="239">
        <v>-241046</v>
      </c>
      <c r="FV52" s="239">
        <v>0</v>
      </c>
      <c r="FW52" s="239">
        <v>-241046</v>
      </c>
      <c r="FX52" s="239">
        <v>-92921</v>
      </c>
      <c r="FY52" s="239">
        <v>0</v>
      </c>
      <c r="FZ52" s="239">
        <v>-92921</v>
      </c>
      <c r="GA52" s="239">
        <v>-52650</v>
      </c>
      <c r="GB52" s="239">
        <v>0</v>
      </c>
      <c r="GC52" s="239">
        <v>-52650</v>
      </c>
      <c r="GD52" s="239">
        <v>0</v>
      </c>
      <c r="GE52" s="239">
        <v>0</v>
      </c>
      <c r="GF52" s="239">
        <v>0</v>
      </c>
      <c r="GG52" s="239">
        <v>-3931913</v>
      </c>
      <c r="GH52" s="239">
        <v>0</v>
      </c>
      <c r="GI52" s="239">
        <v>-3931913</v>
      </c>
      <c r="GJ52" s="239">
        <v>14186896</v>
      </c>
      <c r="GK52" s="239">
        <v>0</v>
      </c>
      <c r="GL52" s="239">
        <v>14186896</v>
      </c>
      <c r="GM52" s="214" t="s">
        <v>1158</v>
      </c>
    </row>
    <row r="53" spans="2:195" s="214" customFormat="1" x14ac:dyDescent="0.2">
      <c r="B53" s="602" t="s">
        <v>189</v>
      </c>
      <c r="C53" s="602" t="s">
        <v>188</v>
      </c>
      <c r="D53" s="239">
        <v>-2150429</v>
      </c>
      <c r="E53" s="239">
        <v>0</v>
      </c>
      <c r="F53" s="239">
        <v>-2150429</v>
      </c>
      <c r="G53" s="239">
        <v>25956</v>
      </c>
      <c r="H53" s="239">
        <v>0</v>
      </c>
      <c r="I53" s="239">
        <v>25956</v>
      </c>
      <c r="J53" s="239">
        <v>4151437</v>
      </c>
      <c r="K53" s="239">
        <v>0</v>
      </c>
      <c r="L53" s="239">
        <v>4151437</v>
      </c>
      <c r="M53" s="239">
        <v>114246</v>
      </c>
      <c r="N53" s="239">
        <v>0</v>
      </c>
      <c r="O53" s="239">
        <v>114246</v>
      </c>
      <c r="P53" s="239">
        <v>2141210</v>
      </c>
      <c r="Q53" s="239">
        <v>0</v>
      </c>
      <c r="R53" s="239">
        <v>2141210</v>
      </c>
      <c r="S53" s="239">
        <v>-7943754</v>
      </c>
      <c r="T53" s="239">
        <v>0</v>
      </c>
      <c r="U53" s="239">
        <v>-7943754</v>
      </c>
      <c r="V53" s="239">
        <v>0</v>
      </c>
      <c r="W53" s="239">
        <v>0</v>
      </c>
      <c r="X53" s="239">
        <v>0</v>
      </c>
      <c r="Y53" s="239">
        <v>-212470</v>
      </c>
      <c r="Z53" s="239">
        <v>0</v>
      </c>
      <c r="AA53" s="239">
        <v>-212470</v>
      </c>
      <c r="AB53" s="239">
        <v>-191203</v>
      </c>
      <c r="AC53" s="239">
        <v>0</v>
      </c>
      <c r="AD53" s="239">
        <v>-191203</v>
      </c>
      <c r="AE53" s="239">
        <v>0</v>
      </c>
      <c r="AF53" s="239">
        <v>0</v>
      </c>
      <c r="AG53" s="239">
        <v>0</v>
      </c>
      <c r="AH53" s="239">
        <v>2003131</v>
      </c>
      <c r="AI53" s="239">
        <v>0</v>
      </c>
      <c r="AJ53" s="239">
        <v>2003131</v>
      </c>
      <c r="AK53" s="239">
        <v>87</v>
      </c>
      <c r="AL53" s="239">
        <v>0</v>
      </c>
      <c r="AM53" s="239">
        <v>87</v>
      </c>
      <c r="AN53" s="239">
        <v>-7403739</v>
      </c>
      <c r="AO53" s="239">
        <v>0</v>
      </c>
      <c r="AP53" s="239">
        <v>-7403739</v>
      </c>
      <c r="AQ53" s="239">
        <v>-143359</v>
      </c>
      <c r="AR53" s="239">
        <v>0</v>
      </c>
      <c r="AS53" s="239">
        <v>-143359</v>
      </c>
      <c r="AT53" s="239">
        <v>-61471</v>
      </c>
      <c r="AU53" s="239">
        <v>0</v>
      </c>
      <c r="AV53" s="239">
        <v>-61471</v>
      </c>
      <c r="AW53" s="239">
        <v>0</v>
      </c>
      <c r="AX53" s="239">
        <v>0</v>
      </c>
      <c r="AY53" s="239">
        <v>0</v>
      </c>
      <c r="AZ53" s="239">
        <v>-27628</v>
      </c>
      <c r="BA53" s="239">
        <v>0</v>
      </c>
      <c r="BB53" s="239">
        <v>-27628</v>
      </c>
      <c r="BC53" s="239">
        <v>-3167</v>
      </c>
      <c r="BD53" s="239">
        <v>0</v>
      </c>
      <c r="BE53" s="239">
        <v>-3167</v>
      </c>
      <c r="BF53" s="239">
        <v>-13792370</v>
      </c>
      <c r="BG53" s="239">
        <v>0</v>
      </c>
      <c r="BH53" s="239">
        <v>-13792370</v>
      </c>
      <c r="BI53" s="239">
        <v>-59</v>
      </c>
      <c r="BJ53" s="239">
        <v>0</v>
      </c>
      <c r="BK53" s="239">
        <v>-59</v>
      </c>
      <c r="BL53" s="239">
        <v>7993</v>
      </c>
      <c r="BM53" s="239">
        <v>0</v>
      </c>
      <c r="BN53" s="239">
        <v>7993</v>
      </c>
      <c r="BO53" s="239">
        <v>-1904085</v>
      </c>
      <c r="BP53" s="239">
        <v>0</v>
      </c>
      <c r="BQ53" s="239">
        <v>-1904085</v>
      </c>
      <c r="BR53" s="239">
        <v>-308491</v>
      </c>
      <c r="BS53" s="239">
        <v>0</v>
      </c>
      <c r="BT53" s="239">
        <v>-308491</v>
      </c>
      <c r="BU53" s="239">
        <v>-2204642</v>
      </c>
      <c r="BV53" s="239">
        <v>0</v>
      </c>
      <c r="BW53" s="239">
        <v>-2204642</v>
      </c>
      <c r="BX53" s="239">
        <v>-271138</v>
      </c>
      <c r="BY53" s="239">
        <v>0</v>
      </c>
      <c r="BZ53" s="239">
        <v>-271138</v>
      </c>
      <c r="CA53" s="239">
        <v>-3786</v>
      </c>
      <c r="CB53" s="239">
        <v>0</v>
      </c>
      <c r="CC53" s="239">
        <v>-3786</v>
      </c>
      <c r="CD53" s="239">
        <v>-254128</v>
      </c>
      <c r="CE53" s="239">
        <v>0</v>
      </c>
      <c r="CF53" s="239">
        <v>-254128</v>
      </c>
      <c r="CG53" s="239">
        <v>-213</v>
      </c>
      <c r="CH53" s="239">
        <v>0</v>
      </c>
      <c r="CI53" s="239">
        <v>-213</v>
      </c>
      <c r="CJ53" s="239">
        <v>-3152</v>
      </c>
      <c r="CK53" s="239">
        <v>0</v>
      </c>
      <c r="CL53" s="239">
        <v>-3152</v>
      </c>
      <c r="CM53" s="239">
        <v>0</v>
      </c>
      <c r="CN53" s="239">
        <v>0</v>
      </c>
      <c r="CO53" s="239">
        <v>0</v>
      </c>
      <c r="CP53" s="239">
        <v>-25112</v>
      </c>
      <c r="CQ53" s="239">
        <v>0</v>
      </c>
      <c r="CR53" s="239">
        <v>-25112</v>
      </c>
      <c r="CS53" s="239">
        <v>-1426</v>
      </c>
      <c r="CT53" s="239">
        <v>0</v>
      </c>
      <c r="CU53" s="239">
        <v>-1426</v>
      </c>
      <c r="CV53" s="239">
        <v>-2439</v>
      </c>
      <c r="CW53" s="239">
        <v>0</v>
      </c>
      <c r="CX53" s="239">
        <v>-2439</v>
      </c>
      <c r="CY53" s="239">
        <v>0</v>
      </c>
      <c r="CZ53" s="239">
        <v>0</v>
      </c>
      <c r="DA53" s="239">
        <v>0</v>
      </c>
      <c r="DB53" s="239">
        <v>0</v>
      </c>
      <c r="DC53" s="239">
        <v>0</v>
      </c>
      <c r="DD53" s="239">
        <v>0</v>
      </c>
      <c r="DE53" s="239">
        <v>0</v>
      </c>
      <c r="DF53" s="239">
        <v>0</v>
      </c>
      <c r="DG53" s="239">
        <v>0</v>
      </c>
      <c r="DH53" s="239">
        <v>0</v>
      </c>
      <c r="DI53" s="239">
        <v>0</v>
      </c>
      <c r="DJ53" s="239">
        <v>-561394</v>
      </c>
      <c r="DK53" s="239">
        <v>0</v>
      </c>
      <c r="DL53" s="239">
        <v>-561394</v>
      </c>
      <c r="DM53" s="239">
        <v>-87657</v>
      </c>
      <c r="DN53" s="239">
        <v>0</v>
      </c>
      <c r="DO53" s="239">
        <v>-87657</v>
      </c>
      <c r="DP53" s="239">
        <v>-119246</v>
      </c>
      <c r="DQ53" s="239">
        <v>0</v>
      </c>
      <c r="DR53" s="239">
        <v>-119246</v>
      </c>
      <c r="DS53" s="239">
        <v>-2900</v>
      </c>
      <c r="DT53" s="239">
        <v>0</v>
      </c>
      <c r="DU53" s="239">
        <v>-2900</v>
      </c>
      <c r="DV53" s="239">
        <v>-2808</v>
      </c>
      <c r="DW53" s="239">
        <v>0</v>
      </c>
      <c r="DX53" s="239">
        <v>-2808</v>
      </c>
      <c r="DY53" s="239">
        <v>368</v>
      </c>
      <c r="DZ53" s="239">
        <v>0</v>
      </c>
      <c r="EA53" s="239">
        <v>368</v>
      </c>
      <c r="EB53" s="239">
        <v>0</v>
      </c>
      <c r="EC53" s="239">
        <v>0</v>
      </c>
      <c r="ED53" s="239">
        <v>0</v>
      </c>
      <c r="EE53" s="239">
        <v>0</v>
      </c>
      <c r="EF53" s="239">
        <v>0</v>
      </c>
      <c r="EG53" s="239">
        <v>0</v>
      </c>
      <c r="EH53" s="239">
        <v>178</v>
      </c>
      <c r="EI53" s="239">
        <v>0</v>
      </c>
      <c r="EJ53" s="239">
        <v>178</v>
      </c>
      <c r="EK53" s="239">
        <v>-2515</v>
      </c>
      <c r="EL53" s="239">
        <v>0</v>
      </c>
      <c r="EM53" s="239">
        <v>-2515</v>
      </c>
      <c r="EN53" s="239">
        <v>0</v>
      </c>
      <c r="EO53" s="239">
        <v>0</v>
      </c>
      <c r="EP53" s="239">
        <v>0</v>
      </c>
      <c r="EQ53" s="239">
        <v>-20800</v>
      </c>
      <c r="ER53" s="239">
        <v>0</v>
      </c>
      <c r="ES53" s="239">
        <v>-20800</v>
      </c>
      <c r="ET53" s="239">
        <v>-322161</v>
      </c>
      <c r="EU53" s="239">
        <v>0</v>
      </c>
      <c r="EV53" s="239">
        <v>-322161</v>
      </c>
      <c r="EW53" s="239">
        <v>-132193</v>
      </c>
      <c r="EX53" s="239">
        <v>0</v>
      </c>
      <c r="EY53" s="239">
        <v>-132193</v>
      </c>
      <c r="EZ53" s="239">
        <v>-689734</v>
      </c>
      <c r="FA53" s="239">
        <v>0</v>
      </c>
      <c r="FB53" s="239">
        <v>-689734</v>
      </c>
      <c r="FC53" s="239">
        <v>-26883</v>
      </c>
      <c r="FD53" s="239">
        <v>0</v>
      </c>
      <c r="FE53" s="239">
        <v>-26883</v>
      </c>
      <c r="FF53" s="239">
        <v>0</v>
      </c>
      <c r="FG53" s="239">
        <v>0</v>
      </c>
      <c r="FH53" s="239">
        <v>0</v>
      </c>
      <c r="FI53" s="239">
        <v>-26883</v>
      </c>
      <c r="FJ53" s="239">
        <v>0</v>
      </c>
      <c r="FK53" s="239">
        <v>-26883</v>
      </c>
      <c r="FL53" s="239">
        <v>101070171</v>
      </c>
      <c r="FM53" s="239">
        <v>0</v>
      </c>
      <c r="FN53" s="239">
        <v>101070171</v>
      </c>
      <c r="FO53" s="239">
        <v>2141210</v>
      </c>
      <c r="FP53" s="239">
        <v>0</v>
      </c>
      <c r="FQ53" s="239">
        <v>2141210</v>
      </c>
      <c r="FR53" s="239">
        <v>-13792370</v>
      </c>
      <c r="FS53" s="239">
        <v>0</v>
      </c>
      <c r="FT53" s="239">
        <v>-13792370</v>
      </c>
      <c r="FU53" s="239">
        <v>-2204642</v>
      </c>
      <c r="FV53" s="239">
        <v>0</v>
      </c>
      <c r="FW53" s="239">
        <v>-2204642</v>
      </c>
      <c r="FX53" s="239">
        <v>-561394</v>
      </c>
      <c r="FY53" s="239">
        <v>0</v>
      </c>
      <c r="FZ53" s="239">
        <v>-561394</v>
      </c>
      <c r="GA53" s="239">
        <v>-689734</v>
      </c>
      <c r="GB53" s="239">
        <v>0</v>
      </c>
      <c r="GC53" s="239">
        <v>-689734</v>
      </c>
      <c r="GD53" s="239">
        <v>-26883</v>
      </c>
      <c r="GE53" s="239">
        <v>0</v>
      </c>
      <c r="GF53" s="239">
        <v>-26883</v>
      </c>
      <c r="GG53" s="239">
        <v>-15133813</v>
      </c>
      <c r="GH53" s="239">
        <v>0</v>
      </c>
      <c r="GI53" s="239">
        <v>-15133813</v>
      </c>
      <c r="GJ53" s="239">
        <v>85936358</v>
      </c>
      <c r="GK53" s="239">
        <v>0</v>
      </c>
      <c r="GL53" s="239">
        <v>85936358</v>
      </c>
      <c r="GM53" s="214" t="s">
        <v>746</v>
      </c>
    </row>
    <row r="54" spans="2:195" s="214" customFormat="1" x14ac:dyDescent="0.2">
      <c r="B54" s="602" t="s">
        <v>191</v>
      </c>
      <c r="C54" s="602" t="s">
        <v>190</v>
      </c>
      <c r="D54" s="239">
        <v>-2571461</v>
      </c>
      <c r="E54" s="239">
        <v>-8996</v>
      </c>
      <c r="F54" s="239">
        <v>-2580457</v>
      </c>
      <c r="G54" s="239">
        <v>73709</v>
      </c>
      <c r="H54" s="239">
        <v>0</v>
      </c>
      <c r="I54" s="239">
        <v>73709</v>
      </c>
      <c r="J54" s="239">
        <v>1562368</v>
      </c>
      <c r="K54" s="239">
        <v>0</v>
      </c>
      <c r="L54" s="239">
        <v>1562368</v>
      </c>
      <c r="M54" s="239">
        <v>6863</v>
      </c>
      <c r="N54" s="239">
        <v>0</v>
      </c>
      <c r="O54" s="239">
        <v>6863</v>
      </c>
      <c r="P54" s="239">
        <v>-928521</v>
      </c>
      <c r="Q54" s="239">
        <v>-8996</v>
      </c>
      <c r="R54" s="239">
        <v>-937517</v>
      </c>
      <c r="S54" s="239">
        <v>-4958757</v>
      </c>
      <c r="T54" s="239">
        <v>0</v>
      </c>
      <c r="U54" s="239">
        <v>-4958757</v>
      </c>
      <c r="V54" s="239">
        <v>-9311</v>
      </c>
      <c r="W54" s="239">
        <v>0</v>
      </c>
      <c r="X54" s="239">
        <v>-9311</v>
      </c>
      <c r="Y54" s="239">
        <v>-165131</v>
      </c>
      <c r="Z54" s="239">
        <v>0</v>
      </c>
      <c r="AA54" s="239">
        <v>-165131</v>
      </c>
      <c r="AB54" s="239">
        <v>-116722</v>
      </c>
      <c r="AC54" s="239">
        <v>0</v>
      </c>
      <c r="AD54" s="239">
        <v>-116722</v>
      </c>
      <c r="AE54" s="239">
        <v>0</v>
      </c>
      <c r="AF54" s="239">
        <v>0</v>
      </c>
      <c r="AG54" s="239">
        <v>0</v>
      </c>
      <c r="AH54" s="239">
        <v>1133437</v>
      </c>
      <c r="AI54" s="239">
        <v>3380</v>
      </c>
      <c r="AJ54" s="239">
        <v>1136817</v>
      </c>
      <c r="AK54" s="239">
        <v>-64021</v>
      </c>
      <c r="AL54" s="239">
        <v>0</v>
      </c>
      <c r="AM54" s="239">
        <v>-64021</v>
      </c>
      <c r="AN54" s="239">
        <v>-7226390</v>
      </c>
      <c r="AO54" s="239">
        <v>0</v>
      </c>
      <c r="AP54" s="239">
        <v>-7226390</v>
      </c>
      <c r="AQ54" s="239">
        <v>-56504</v>
      </c>
      <c r="AR54" s="239">
        <v>0</v>
      </c>
      <c r="AS54" s="239">
        <v>-56504</v>
      </c>
      <c r="AT54" s="239">
        <v>-18097</v>
      </c>
      <c r="AU54" s="239">
        <v>0</v>
      </c>
      <c r="AV54" s="239">
        <v>-18097</v>
      </c>
      <c r="AW54" s="239">
        <v>-554</v>
      </c>
      <c r="AX54" s="239">
        <v>0</v>
      </c>
      <c r="AY54" s="239">
        <v>-554</v>
      </c>
      <c r="AZ54" s="239">
        <v>-1788</v>
      </c>
      <c r="BA54" s="239">
        <v>0</v>
      </c>
      <c r="BB54" s="239">
        <v>-1788</v>
      </c>
      <c r="BC54" s="239">
        <v>0</v>
      </c>
      <c r="BD54" s="239">
        <v>0</v>
      </c>
      <c r="BE54" s="239">
        <v>0</v>
      </c>
      <c r="BF54" s="239">
        <v>-11357805</v>
      </c>
      <c r="BG54" s="239">
        <v>3380</v>
      </c>
      <c r="BH54" s="239">
        <v>-11354425</v>
      </c>
      <c r="BI54" s="239">
        <v>-19292</v>
      </c>
      <c r="BJ54" s="239">
        <v>0</v>
      </c>
      <c r="BK54" s="239">
        <v>-19292</v>
      </c>
      <c r="BL54" s="239">
        <v>-568</v>
      </c>
      <c r="BM54" s="239">
        <v>0</v>
      </c>
      <c r="BN54" s="239">
        <v>-568</v>
      </c>
      <c r="BO54" s="239">
        <v>-896412</v>
      </c>
      <c r="BP54" s="239">
        <v>0</v>
      </c>
      <c r="BQ54" s="239">
        <v>-896412</v>
      </c>
      <c r="BR54" s="239">
        <v>-50839</v>
      </c>
      <c r="BS54" s="239">
        <v>0</v>
      </c>
      <c r="BT54" s="239">
        <v>-50839</v>
      </c>
      <c r="BU54" s="239">
        <v>-967111</v>
      </c>
      <c r="BV54" s="239">
        <v>0</v>
      </c>
      <c r="BW54" s="239">
        <v>-967111</v>
      </c>
      <c r="BX54" s="239">
        <v>-73031</v>
      </c>
      <c r="BY54" s="239">
        <v>0</v>
      </c>
      <c r="BZ54" s="239">
        <v>-73031</v>
      </c>
      <c r="CA54" s="239">
        <v>-543</v>
      </c>
      <c r="CB54" s="239">
        <v>0</v>
      </c>
      <c r="CC54" s="239">
        <v>-543</v>
      </c>
      <c r="CD54" s="239">
        <v>-167838</v>
      </c>
      <c r="CE54" s="239">
        <v>0</v>
      </c>
      <c r="CF54" s="239">
        <v>-167838</v>
      </c>
      <c r="CG54" s="239">
        <v>1481</v>
      </c>
      <c r="CH54" s="239">
        <v>0</v>
      </c>
      <c r="CI54" s="239">
        <v>1481</v>
      </c>
      <c r="CJ54" s="239">
        <v>-409</v>
      </c>
      <c r="CK54" s="239">
        <v>0</v>
      </c>
      <c r="CL54" s="239">
        <v>-409</v>
      </c>
      <c r="CM54" s="239">
        <v>0</v>
      </c>
      <c r="CN54" s="239">
        <v>0</v>
      </c>
      <c r="CO54" s="239">
        <v>0</v>
      </c>
      <c r="CP54" s="239">
        <v>0</v>
      </c>
      <c r="CQ54" s="239">
        <v>0</v>
      </c>
      <c r="CR54" s="239">
        <v>0</v>
      </c>
      <c r="CS54" s="239">
        <v>0</v>
      </c>
      <c r="CT54" s="239">
        <v>0</v>
      </c>
      <c r="CU54" s="239">
        <v>0</v>
      </c>
      <c r="CV54" s="239">
        <v>0</v>
      </c>
      <c r="CW54" s="239">
        <v>0</v>
      </c>
      <c r="CX54" s="239">
        <v>0</v>
      </c>
      <c r="CY54" s="239">
        <v>0</v>
      </c>
      <c r="CZ54" s="239">
        <v>0</v>
      </c>
      <c r="DA54" s="239">
        <v>0</v>
      </c>
      <c r="DB54" s="239">
        <v>-46239</v>
      </c>
      <c r="DC54" s="239">
        <v>0</v>
      </c>
      <c r="DD54" s="239">
        <v>-46239</v>
      </c>
      <c r="DE54" s="239">
        <v>0</v>
      </c>
      <c r="DF54" s="239">
        <v>0</v>
      </c>
      <c r="DG54" s="239">
        <v>0</v>
      </c>
      <c r="DH54" s="239">
        <v>0</v>
      </c>
      <c r="DI54" s="239">
        <v>0</v>
      </c>
      <c r="DJ54" s="239">
        <v>-286579</v>
      </c>
      <c r="DK54" s="239">
        <v>0</v>
      </c>
      <c r="DL54" s="239">
        <v>-286579</v>
      </c>
      <c r="DM54" s="239">
        <v>-549</v>
      </c>
      <c r="DN54" s="239">
        <v>0</v>
      </c>
      <c r="DO54" s="239">
        <v>-549</v>
      </c>
      <c r="DP54" s="239">
        <v>41187</v>
      </c>
      <c r="DQ54" s="239">
        <v>0</v>
      </c>
      <c r="DR54" s="239">
        <v>41187</v>
      </c>
      <c r="DS54" s="239">
        <v>-347</v>
      </c>
      <c r="DT54" s="239">
        <v>0</v>
      </c>
      <c r="DU54" s="239">
        <v>-347</v>
      </c>
      <c r="DV54" s="239">
        <v>463</v>
      </c>
      <c r="DW54" s="239">
        <v>0</v>
      </c>
      <c r="DX54" s="239">
        <v>463</v>
      </c>
      <c r="DY54" s="239">
        <v>-9</v>
      </c>
      <c r="DZ54" s="239">
        <v>0</v>
      </c>
      <c r="EA54" s="239">
        <v>-9</v>
      </c>
      <c r="EB54" s="239">
        <v>0</v>
      </c>
      <c r="EC54" s="239">
        <v>0</v>
      </c>
      <c r="ED54" s="239">
        <v>0</v>
      </c>
      <c r="EE54" s="239">
        <v>0</v>
      </c>
      <c r="EF54" s="239">
        <v>0</v>
      </c>
      <c r="EG54" s="239">
        <v>0</v>
      </c>
      <c r="EH54" s="239">
        <v>0</v>
      </c>
      <c r="EI54" s="239">
        <v>0</v>
      </c>
      <c r="EJ54" s="239">
        <v>0</v>
      </c>
      <c r="EK54" s="239">
        <v>-1788</v>
      </c>
      <c r="EL54" s="239">
        <v>0</v>
      </c>
      <c r="EM54" s="239">
        <v>-1788</v>
      </c>
      <c r="EN54" s="239">
        <v>-1500</v>
      </c>
      <c r="EO54" s="239">
        <v>0</v>
      </c>
      <c r="EP54" s="239">
        <v>-1500</v>
      </c>
      <c r="EQ54" s="239">
        <v>-53365</v>
      </c>
      <c r="ER54" s="239">
        <v>0</v>
      </c>
      <c r="ES54" s="239">
        <v>-53365</v>
      </c>
      <c r="ET54" s="239">
        <v>-392091</v>
      </c>
      <c r="EU54" s="239">
        <v>0</v>
      </c>
      <c r="EV54" s="239">
        <v>-392091</v>
      </c>
      <c r="EW54" s="239">
        <v>-57482</v>
      </c>
      <c r="EX54" s="239">
        <v>0</v>
      </c>
      <c r="EY54" s="239">
        <v>-57482</v>
      </c>
      <c r="EZ54" s="239">
        <v>-465481</v>
      </c>
      <c r="FA54" s="239">
        <v>0</v>
      </c>
      <c r="FB54" s="239">
        <v>-465481</v>
      </c>
      <c r="FC54" s="239">
        <v>0</v>
      </c>
      <c r="FD54" s="239">
        <v>0</v>
      </c>
      <c r="FE54" s="239">
        <v>0</v>
      </c>
      <c r="FF54" s="239">
        <v>-8799</v>
      </c>
      <c r="FG54" s="239">
        <v>0</v>
      </c>
      <c r="FH54" s="239">
        <v>-8799</v>
      </c>
      <c r="FI54" s="239">
        <v>-8799</v>
      </c>
      <c r="FJ54" s="239">
        <v>0</v>
      </c>
      <c r="FK54" s="239">
        <v>-8799</v>
      </c>
      <c r="FL54" s="239">
        <v>57690811</v>
      </c>
      <c r="FM54" s="239">
        <v>121160</v>
      </c>
      <c r="FN54" s="239">
        <v>57811971</v>
      </c>
      <c r="FO54" s="239">
        <v>-928521</v>
      </c>
      <c r="FP54" s="239">
        <v>-8996</v>
      </c>
      <c r="FQ54" s="239">
        <v>-937517</v>
      </c>
      <c r="FR54" s="239">
        <v>-11357805</v>
      </c>
      <c r="FS54" s="239">
        <v>3380</v>
      </c>
      <c r="FT54" s="239">
        <v>-11354425</v>
      </c>
      <c r="FU54" s="239">
        <v>-967111</v>
      </c>
      <c r="FV54" s="239">
        <v>0</v>
      </c>
      <c r="FW54" s="239">
        <v>-967111</v>
      </c>
      <c r="FX54" s="239">
        <v>-286579</v>
      </c>
      <c r="FY54" s="239">
        <v>0</v>
      </c>
      <c r="FZ54" s="239">
        <v>-286579</v>
      </c>
      <c r="GA54" s="239">
        <v>-465481</v>
      </c>
      <c r="GB54" s="239">
        <v>0</v>
      </c>
      <c r="GC54" s="239">
        <v>-465481</v>
      </c>
      <c r="GD54" s="239">
        <v>-8799</v>
      </c>
      <c r="GE54" s="239">
        <v>0</v>
      </c>
      <c r="GF54" s="239">
        <v>-8799</v>
      </c>
      <c r="GG54" s="239">
        <v>-14014296</v>
      </c>
      <c r="GH54" s="239">
        <v>-5616</v>
      </c>
      <c r="GI54" s="239">
        <v>-14019912</v>
      </c>
      <c r="GJ54" s="239">
        <v>43676515</v>
      </c>
      <c r="GK54" s="239">
        <v>115544</v>
      </c>
      <c r="GL54" s="239">
        <v>43792059</v>
      </c>
      <c r="GM54" s="214" t="s">
        <v>1158</v>
      </c>
    </row>
    <row r="55" spans="2:195" s="214" customFormat="1" x14ac:dyDescent="0.2">
      <c r="B55" s="602" t="s">
        <v>193</v>
      </c>
      <c r="C55" s="602" t="s">
        <v>192</v>
      </c>
      <c r="D55" s="239">
        <v>-1541504</v>
      </c>
      <c r="E55" s="239">
        <v>0</v>
      </c>
      <c r="F55" s="239">
        <v>-1541504</v>
      </c>
      <c r="G55" s="239">
        <v>395274</v>
      </c>
      <c r="H55" s="239">
        <v>0</v>
      </c>
      <c r="I55" s="239">
        <v>395274</v>
      </c>
      <c r="J55" s="239">
        <v>5419466</v>
      </c>
      <c r="K55" s="239">
        <v>0</v>
      </c>
      <c r="L55" s="239">
        <v>5419466</v>
      </c>
      <c r="M55" s="239">
        <v>147307</v>
      </c>
      <c r="N55" s="239">
        <v>0</v>
      </c>
      <c r="O55" s="239">
        <v>147307</v>
      </c>
      <c r="P55" s="239">
        <v>4420543</v>
      </c>
      <c r="Q55" s="239">
        <v>0</v>
      </c>
      <c r="R55" s="239">
        <v>4420543</v>
      </c>
      <c r="S55" s="239">
        <v>-4813257</v>
      </c>
      <c r="T55" s="239">
        <v>0</v>
      </c>
      <c r="U55" s="239">
        <v>-4813257</v>
      </c>
      <c r="V55" s="239">
        <v>0</v>
      </c>
      <c r="W55" s="239">
        <v>0</v>
      </c>
      <c r="X55" s="239">
        <v>0</v>
      </c>
      <c r="Y55" s="239">
        <v>-146713</v>
      </c>
      <c r="Z55" s="239">
        <v>0</v>
      </c>
      <c r="AA55" s="239">
        <v>-146713</v>
      </c>
      <c r="AB55" s="239">
        <v>-146713</v>
      </c>
      <c r="AC55" s="239">
        <v>0</v>
      </c>
      <c r="AD55" s="239">
        <v>-146713</v>
      </c>
      <c r="AE55" s="239">
        <v>0</v>
      </c>
      <c r="AF55" s="239">
        <v>0</v>
      </c>
      <c r="AG55" s="239">
        <v>0</v>
      </c>
      <c r="AH55" s="239">
        <v>1879697</v>
      </c>
      <c r="AI55" s="239">
        <v>0</v>
      </c>
      <c r="AJ55" s="239">
        <v>1879697</v>
      </c>
      <c r="AK55" s="239">
        <v>-32597</v>
      </c>
      <c r="AL55" s="239">
        <v>0</v>
      </c>
      <c r="AM55" s="239">
        <v>-32597</v>
      </c>
      <c r="AN55" s="239">
        <v>-5004533</v>
      </c>
      <c r="AO55" s="239">
        <v>0</v>
      </c>
      <c r="AP55" s="239">
        <v>-5004533</v>
      </c>
      <c r="AQ55" s="239">
        <v>-8796</v>
      </c>
      <c r="AR55" s="239">
        <v>0</v>
      </c>
      <c r="AS55" s="239">
        <v>-8796</v>
      </c>
      <c r="AT55" s="239">
        <v>-34411</v>
      </c>
      <c r="AU55" s="239">
        <v>0</v>
      </c>
      <c r="AV55" s="239">
        <v>-34411</v>
      </c>
      <c r="AW55" s="239">
        <v>0</v>
      </c>
      <c r="AX55" s="239">
        <v>0</v>
      </c>
      <c r="AY55" s="239">
        <v>0</v>
      </c>
      <c r="AZ55" s="239">
        <v>-4802</v>
      </c>
      <c r="BA55" s="239">
        <v>0</v>
      </c>
      <c r="BB55" s="239">
        <v>-4802</v>
      </c>
      <c r="BC55" s="239">
        <v>0</v>
      </c>
      <c r="BD55" s="239">
        <v>0</v>
      </c>
      <c r="BE55" s="239">
        <v>0</v>
      </c>
      <c r="BF55" s="239">
        <v>-8165412</v>
      </c>
      <c r="BG55" s="239">
        <v>0</v>
      </c>
      <c r="BH55" s="239">
        <v>-8165412</v>
      </c>
      <c r="BI55" s="239">
        <v>-32566</v>
      </c>
      <c r="BJ55" s="239">
        <v>0</v>
      </c>
      <c r="BK55" s="239">
        <v>-32566</v>
      </c>
      <c r="BL55" s="239">
        <v>-1635</v>
      </c>
      <c r="BM55" s="239">
        <v>0</v>
      </c>
      <c r="BN55" s="239">
        <v>-1635</v>
      </c>
      <c r="BO55" s="239">
        <v>-2385937</v>
      </c>
      <c r="BP55" s="239">
        <v>0</v>
      </c>
      <c r="BQ55" s="239">
        <v>-2385937</v>
      </c>
      <c r="BR55" s="239">
        <v>-128077</v>
      </c>
      <c r="BS55" s="239">
        <v>0</v>
      </c>
      <c r="BT55" s="239">
        <v>-128077</v>
      </c>
      <c r="BU55" s="239">
        <v>-2548215</v>
      </c>
      <c r="BV55" s="239">
        <v>0</v>
      </c>
      <c r="BW55" s="239">
        <v>-2548215</v>
      </c>
      <c r="BX55" s="239">
        <v>-8510</v>
      </c>
      <c r="BY55" s="239">
        <v>0</v>
      </c>
      <c r="BZ55" s="239">
        <v>-8510</v>
      </c>
      <c r="CA55" s="239">
        <v>-249</v>
      </c>
      <c r="CB55" s="239">
        <v>0</v>
      </c>
      <c r="CC55" s="239">
        <v>-249</v>
      </c>
      <c r="CD55" s="239">
        <v>-97846</v>
      </c>
      <c r="CE55" s="239">
        <v>0</v>
      </c>
      <c r="CF55" s="239">
        <v>-97846</v>
      </c>
      <c r="CG55" s="239">
        <v>-858</v>
      </c>
      <c r="CH55" s="239">
        <v>0</v>
      </c>
      <c r="CI55" s="239">
        <v>-858</v>
      </c>
      <c r="CJ55" s="239">
        <v>0</v>
      </c>
      <c r="CK55" s="239">
        <v>0</v>
      </c>
      <c r="CL55" s="239">
        <v>0</v>
      </c>
      <c r="CM55" s="239">
        <v>0</v>
      </c>
      <c r="CN55" s="239">
        <v>0</v>
      </c>
      <c r="CO55" s="239">
        <v>0</v>
      </c>
      <c r="CP55" s="239">
        <v>0</v>
      </c>
      <c r="CQ55" s="239">
        <v>0</v>
      </c>
      <c r="CR55" s="239">
        <v>0</v>
      </c>
      <c r="CS55" s="239">
        <v>0</v>
      </c>
      <c r="CT55" s="239">
        <v>0</v>
      </c>
      <c r="CU55" s="239">
        <v>0</v>
      </c>
      <c r="CV55" s="239">
        <v>-3479</v>
      </c>
      <c r="CW55" s="239">
        <v>0</v>
      </c>
      <c r="CX55" s="239">
        <v>-3479</v>
      </c>
      <c r="CY55" s="239">
        <v>0</v>
      </c>
      <c r="CZ55" s="239">
        <v>0</v>
      </c>
      <c r="DA55" s="239">
        <v>0</v>
      </c>
      <c r="DB55" s="239">
        <v>0</v>
      </c>
      <c r="DC55" s="239">
        <v>0</v>
      </c>
      <c r="DD55" s="239">
        <v>0</v>
      </c>
      <c r="DE55" s="239">
        <v>0</v>
      </c>
      <c r="DF55" s="239">
        <v>0</v>
      </c>
      <c r="DG55" s="239">
        <v>0</v>
      </c>
      <c r="DH55" s="239">
        <v>0</v>
      </c>
      <c r="DI55" s="239">
        <v>0</v>
      </c>
      <c r="DJ55" s="239">
        <v>-110942</v>
      </c>
      <c r="DK55" s="239">
        <v>0</v>
      </c>
      <c r="DL55" s="239">
        <v>-110942</v>
      </c>
      <c r="DM55" s="239">
        <v>-1490</v>
      </c>
      <c r="DN55" s="239">
        <v>0</v>
      </c>
      <c r="DO55" s="239">
        <v>-1490</v>
      </c>
      <c r="DP55" s="239">
        <v>-319</v>
      </c>
      <c r="DQ55" s="239">
        <v>0</v>
      </c>
      <c r="DR55" s="239">
        <v>-319</v>
      </c>
      <c r="DS55" s="239">
        <v>-145</v>
      </c>
      <c r="DT55" s="239">
        <v>0</v>
      </c>
      <c r="DU55" s="239">
        <v>-145</v>
      </c>
      <c r="DV55" s="239">
        <v>0</v>
      </c>
      <c r="DW55" s="239">
        <v>0</v>
      </c>
      <c r="DX55" s="239">
        <v>0</v>
      </c>
      <c r="DY55" s="239">
        <v>5089</v>
      </c>
      <c r="DZ55" s="239">
        <v>0</v>
      </c>
      <c r="EA55" s="239">
        <v>5089</v>
      </c>
      <c r="EB55" s="239">
        <v>0</v>
      </c>
      <c r="EC55" s="239">
        <v>0</v>
      </c>
      <c r="ED55" s="239">
        <v>0</v>
      </c>
      <c r="EE55" s="239">
        <v>0</v>
      </c>
      <c r="EF55" s="239">
        <v>0</v>
      </c>
      <c r="EG55" s="239">
        <v>0</v>
      </c>
      <c r="EH55" s="239">
        <v>0</v>
      </c>
      <c r="EI55" s="239">
        <v>0</v>
      </c>
      <c r="EJ55" s="239">
        <v>0</v>
      </c>
      <c r="EK55" s="239">
        <v>-4802</v>
      </c>
      <c r="EL55" s="239">
        <v>0</v>
      </c>
      <c r="EM55" s="239">
        <v>-4802</v>
      </c>
      <c r="EN55" s="239">
        <v>-1500</v>
      </c>
      <c r="EO55" s="239">
        <v>0</v>
      </c>
      <c r="EP55" s="239">
        <v>-1500</v>
      </c>
      <c r="EQ55" s="239">
        <v>-37197</v>
      </c>
      <c r="ER55" s="239">
        <v>0</v>
      </c>
      <c r="ES55" s="239">
        <v>-37197</v>
      </c>
      <c r="ET55" s="239">
        <v>-271104</v>
      </c>
      <c r="EU55" s="239">
        <v>0</v>
      </c>
      <c r="EV55" s="239">
        <v>-271104</v>
      </c>
      <c r="EW55" s="239">
        <v>-82208</v>
      </c>
      <c r="EX55" s="239">
        <v>0</v>
      </c>
      <c r="EY55" s="239">
        <v>-82208</v>
      </c>
      <c r="EZ55" s="239">
        <v>-393676</v>
      </c>
      <c r="FA55" s="239">
        <v>0</v>
      </c>
      <c r="FB55" s="239">
        <v>-393676</v>
      </c>
      <c r="FC55" s="239">
        <v>-3000</v>
      </c>
      <c r="FD55" s="239">
        <v>0</v>
      </c>
      <c r="FE55" s="239">
        <v>-3000</v>
      </c>
      <c r="FF55" s="239">
        <v>0</v>
      </c>
      <c r="FG55" s="239">
        <v>0</v>
      </c>
      <c r="FH55" s="239">
        <v>0</v>
      </c>
      <c r="FI55" s="239">
        <v>-3000</v>
      </c>
      <c r="FJ55" s="239">
        <v>0</v>
      </c>
      <c r="FK55" s="239">
        <v>-3000</v>
      </c>
      <c r="FL55" s="239">
        <v>87025047</v>
      </c>
      <c r="FM55" s="239">
        <v>0</v>
      </c>
      <c r="FN55" s="239">
        <v>87025047</v>
      </c>
      <c r="FO55" s="239">
        <v>4420543</v>
      </c>
      <c r="FP55" s="239">
        <v>0</v>
      </c>
      <c r="FQ55" s="239">
        <v>4420543</v>
      </c>
      <c r="FR55" s="239">
        <v>-8165412</v>
      </c>
      <c r="FS55" s="239">
        <v>0</v>
      </c>
      <c r="FT55" s="239">
        <v>-8165412</v>
      </c>
      <c r="FU55" s="239">
        <v>-2548215</v>
      </c>
      <c r="FV55" s="239">
        <v>0</v>
      </c>
      <c r="FW55" s="239">
        <v>-2548215</v>
      </c>
      <c r="FX55" s="239">
        <v>-110942</v>
      </c>
      <c r="FY55" s="239">
        <v>0</v>
      </c>
      <c r="FZ55" s="239">
        <v>-110942</v>
      </c>
      <c r="GA55" s="239">
        <v>-393676</v>
      </c>
      <c r="GB55" s="239">
        <v>0</v>
      </c>
      <c r="GC55" s="239">
        <v>-393676</v>
      </c>
      <c r="GD55" s="239">
        <v>-3000</v>
      </c>
      <c r="GE55" s="239">
        <v>0</v>
      </c>
      <c r="GF55" s="239">
        <v>-3000</v>
      </c>
      <c r="GG55" s="239">
        <v>-6800702</v>
      </c>
      <c r="GH55" s="239">
        <v>0</v>
      </c>
      <c r="GI55" s="239">
        <v>-6800702</v>
      </c>
      <c r="GJ55" s="239">
        <v>80224345</v>
      </c>
      <c r="GK55" s="239">
        <v>0</v>
      </c>
      <c r="GL55" s="239">
        <v>80224345</v>
      </c>
      <c r="GM55" s="214" t="s">
        <v>1158</v>
      </c>
    </row>
    <row r="56" spans="2:195" s="214" customFormat="1" x14ac:dyDescent="0.2">
      <c r="B56" s="602" t="s">
        <v>195</v>
      </c>
      <c r="C56" s="602" t="s">
        <v>194</v>
      </c>
      <c r="D56" s="239">
        <v>-1127239</v>
      </c>
      <c r="E56" s="239">
        <v>0</v>
      </c>
      <c r="F56" s="239">
        <v>-1127239</v>
      </c>
      <c r="G56" s="239">
        <v>-11033</v>
      </c>
      <c r="H56" s="239">
        <v>0</v>
      </c>
      <c r="I56" s="239">
        <v>-11033</v>
      </c>
      <c r="J56" s="239">
        <v>3409670</v>
      </c>
      <c r="K56" s="239">
        <v>0</v>
      </c>
      <c r="L56" s="239">
        <v>3409670</v>
      </c>
      <c r="M56" s="239">
        <v>16183</v>
      </c>
      <c r="N56" s="239">
        <v>0</v>
      </c>
      <c r="O56" s="239">
        <v>16183</v>
      </c>
      <c r="P56" s="239">
        <v>2287581</v>
      </c>
      <c r="Q56" s="239">
        <v>0</v>
      </c>
      <c r="R56" s="239">
        <v>2287581</v>
      </c>
      <c r="S56" s="239">
        <v>-3509631</v>
      </c>
      <c r="T56" s="239">
        <v>0</v>
      </c>
      <c r="U56" s="239">
        <v>-3509631</v>
      </c>
      <c r="V56" s="239">
        <v>-1901</v>
      </c>
      <c r="W56" s="239">
        <v>0</v>
      </c>
      <c r="X56" s="239">
        <v>-1901</v>
      </c>
      <c r="Y56" s="239">
        <v>-80923</v>
      </c>
      <c r="Z56" s="239">
        <v>0</v>
      </c>
      <c r="AA56" s="239">
        <v>-80923</v>
      </c>
      <c r="AB56" s="239">
        <v>-64847</v>
      </c>
      <c r="AC56" s="239">
        <v>0</v>
      </c>
      <c r="AD56" s="239">
        <v>-64847</v>
      </c>
      <c r="AE56" s="239">
        <v>0</v>
      </c>
      <c r="AF56" s="239">
        <v>0</v>
      </c>
      <c r="AG56" s="239">
        <v>0</v>
      </c>
      <c r="AH56" s="239">
        <v>1310303</v>
      </c>
      <c r="AI56" s="239">
        <v>0</v>
      </c>
      <c r="AJ56" s="239">
        <v>1310303</v>
      </c>
      <c r="AK56" s="239">
        <v>-18506</v>
      </c>
      <c r="AL56" s="239">
        <v>0</v>
      </c>
      <c r="AM56" s="239">
        <v>-18506</v>
      </c>
      <c r="AN56" s="239">
        <v>-4382771</v>
      </c>
      <c r="AO56" s="239">
        <v>0</v>
      </c>
      <c r="AP56" s="239">
        <v>-4382771</v>
      </c>
      <c r="AQ56" s="239">
        <v>31344</v>
      </c>
      <c r="AR56" s="239">
        <v>0</v>
      </c>
      <c r="AS56" s="239">
        <v>31344</v>
      </c>
      <c r="AT56" s="239">
        <v>-50169</v>
      </c>
      <c r="AU56" s="239">
        <v>0</v>
      </c>
      <c r="AV56" s="239">
        <v>-50169</v>
      </c>
      <c r="AW56" s="239">
        <v>0</v>
      </c>
      <c r="AX56" s="239">
        <v>0</v>
      </c>
      <c r="AY56" s="239">
        <v>0</v>
      </c>
      <c r="AZ56" s="239">
        <v>0</v>
      </c>
      <c r="BA56" s="239">
        <v>0</v>
      </c>
      <c r="BB56" s="239">
        <v>0</v>
      </c>
      <c r="BC56" s="239">
        <v>0</v>
      </c>
      <c r="BD56" s="239">
        <v>0</v>
      </c>
      <c r="BE56" s="239">
        <v>0</v>
      </c>
      <c r="BF56" s="239">
        <v>-6700353</v>
      </c>
      <c r="BG56" s="239">
        <v>0</v>
      </c>
      <c r="BH56" s="239">
        <v>-6700353</v>
      </c>
      <c r="BI56" s="239">
        <v>-1466</v>
      </c>
      <c r="BJ56" s="239">
        <v>0</v>
      </c>
      <c r="BK56" s="239">
        <v>-1466</v>
      </c>
      <c r="BL56" s="239">
        <v>-495</v>
      </c>
      <c r="BM56" s="239">
        <v>0</v>
      </c>
      <c r="BN56" s="239">
        <v>-495</v>
      </c>
      <c r="BO56" s="239">
        <v>-1596369</v>
      </c>
      <c r="BP56" s="239">
        <v>0</v>
      </c>
      <c r="BQ56" s="239">
        <v>-1596369</v>
      </c>
      <c r="BR56" s="239">
        <v>37628</v>
      </c>
      <c r="BS56" s="239">
        <v>0</v>
      </c>
      <c r="BT56" s="239">
        <v>37628</v>
      </c>
      <c r="BU56" s="239">
        <v>-1560702</v>
      </c>
      <c r="BV56" s="239">
        <v>0</v>
      </c>
      <c r="BW56" s="239">
        <v>-1560702</v>
      </c>
      <c r="BX56" s="239">
        <v>-21112</v>
      </c>
      <c r="BY56" s="239">
        <v>0</v>
      </c>
      <c r="BZ56" s="239">
        <v>-21112</v>
      </c>
      <c r="CA56" s="239">
        <v>0</v>
      </c>
      <c r="CB56" s="239">
        <v>0</v>
      </c>
      <c r="CC56" s="239">
        <v>0</v>
      </c>
      <c r="CD56" s="239">
        <v>-18923</v>
      </c>
      <c r="CE56" s="239">
        <v>0</v>
      </c>
      <c r="CF56" s="239">
        <v>-18923</v>
      </c>
      <c r="CG56" s="239">
        <v>-98</v>
      </c>
      <c r="CH56" s="239">
        <v>0</v>
      </c>
      <c r="CI56" s="239">
        <v>-98</v>
      </c>
      <c r="CJ56" s="239">
        <v>0</v>
      </c>
      <c r="CK56" s="239">
        <v>0</v>
      </c>
      <c r="CL56" s="239">
        <v>0</v>
      </c>
      <c r="CM56" s="239">
        <v>0</v>
      </c>
      <c r="CN56" s="239">
        <v>0</v>
      </c>
      <c r="CO56" s="239">
        <v>0</v>
      </c>
      <c r="CP56" s="239">
        <v>0</v>
      </c>
      <c r="CQ56" s="239">
        <v>0</v>
      </c>
      <c r="CR56" s="239">
        <v>0</v>
      </c>
      <c r="CS56" s="239">
        <v>0</v>
      </c>
      <c r="CT56" s="239">
        <v>0</v>
      </c>
      <c r="CU56" s="239">
        <v>0</v>
      </c>
      <c r="CV56" s="239">
        <v>0</v>
      </c>
      <c r="CW56" s="239">
        <v>0</v>
      </c>
      <c r="CX56" s="239">
        <v>0</v>
      </c>
      <c r="CY56" s="239">
        <v>0</v>
      </c>
      <c r="CZ56" s="239">
        <v>0</v>
      </c>
      <c r="DA56" s="239">
        <v>0</v>
      </c>
      <c r="DB56" s="239">
        <v>0</v>
      </c>
      <c r="DC56" s="239">
        <v>0</v>
      </c>
      <c r="DD56" s="239">
        <v>0</v>
      </c>
      <c r="DE56" s="239">
        <v>0</v>
      </c>
      <c r="DF56" s="239">
        <v>0</v>
      </c>
      <c r="DG56" s="239">
        <v>0</v>
      </c>
      <c r="DH56" s="239">
        <v>0</v>
      </c>
      <c r="DI56" s="239">
        <v>0</v>
      </c>
      <c r="DJ56" s="239">
        <v>-40133</v>
      </c>
      <c r="DK56" s="239">
        <v>0</v>
      </c>
      <c r="DL56" s="239">
        <v>-40133</v>
      </c>
      <c r="DM56" s="239">
        <v>0</v>
      </c>
      <c r="DN56" s="239">
        <v>0</v>
      </c>
      <c r="DO56" s="239">
        <v>0</v>
      </c>
      <c r="DP56" s="239">
        <v>0</v>
      </c>
      <c r="DQ56" s="239">
        <v>0</v>
      </c>
      <c r="DR56" s="239">
        <v>0</v>
      </c>
      <c r="DS56" s="239">
        <v>-716</v>
      </c>
      <c r="DT56" s="239">
        <v>0</v>
      </c>
      <c r="DU56" s="239">
        <v>-716</v>
      </c>
      <c r="DV56" s="239">
        <v>0</v>
      </c>
      <c r="DW56" s="239">
        <v>0</v>
      </c>
      <c r="DX56" s="239">
        <v>0</v>
      </c>
      <c r="DY56" s="239">
        <v>1914</v>
      </c>
      <c r="DZ56" s="239">
        <v>0</v>
      </c>
      <c r="EA56" s="239">
        <v>1914</v>
      </c>
      <c r="EB56" s="239">
        <v>0</v>
      </c>
      <c r="EC56" s="239">
        <v>0</v>
      </c>
      <c r="ED56" s="239">
        <v>0</v>
      </c>
      <c r="EE56" s="239">
        <v>0</v>
      </c>
      <c r="EF56" s="239">
        <v>0</v>
      </c>
      <c r="EG56" s="239">
        <v>0</v>
      </c>
      <c r="EH56" s="239">
        <v>0</v>
      </c>
      <c r="EI56" s="239">
        <v>0</v>
      </c>
      <c r="EJ56" s="239">
        <v>0</v>
      </c>
      <c r="EK56" s="239">
        <v>0</v>
      </c>
      <c r="EL56" s="239">
        <v>0</v>
      </c>
      <c r="EM56" s="239">
        <v>0</v>
      </c>
      <c r="EN56" s="239">
        <v>-1200</v>
      </c>
      <c r="EO56" s="239">
        <v>0</v>
      </c>
      <c r="EP56" s="239">
        <v>-1200</v>
      </c>
      <c r="EQ56" s="239">
        <v>-13467</v>
      </c>
      <c r="ER56" s="239">
        <v>0</v>
      </c>
      <c r="ES56" s="239">
        <v>-13467</v>
      </c>
      <c r="ET56" s="239">
        <v>-236217</v>
      </c>
      <c r="EU56" s="239">
        <v>0</v>
      </c>
      <c r="EV56" s="239">
        <v>-236217</v>
      </c>
      <c r="EW56" s="239">
        <v>-33290</v>
      </c>
      <c r="EX56" s="239">
        <v>0</v>
      </c>
      <c r="EY56" s="239">
        <v>-33290</v>
      </c>
      <c r="EZ56" s="239">
        <v>-282976</v>
      </c>
      <c r="FA56" s="239">
        <v>0</v>
      </c>
      <c r="FB56" s="239">
        <v>-282976</v>
      </c>
      <c r="FC56" s="239">
        <v>0</v>
      </c>
      <c r="FD56" s="239">
        <v>0</v>
      </c>
      <c r="FE56" s="239">
        <v>0</v>
      </c>
      <c r="FF56" s="239">
        <v>0</v>
      </c>
      <c r="FG56" s="239">
        <v>0</v>
      </c>
      <c r="FH56" s="239">
        <v>0</v>
      </c>
      <c r="FI56" s="239">
        <v>0</v>
      </c>
      <c r="FJ56" s="239">
        <v>0</v>
      </c>
      <c r="FK56" s="239">
        <v>0</v>
      </c>
      <c r="FL56" s="239">
        <v>61877779</v>
      </c>
      <c r="FM56" s="239">
        <v>0</v>
      </c>
      <c r="FN56" s="239">
        <v>61877779</v>
      </c>
      <c r="FO56" s="239">
        <v>2287581</v>
      </c>
      <c r="FP56" s="239">
        <v>0</v>
      </c>
      <c r="FQ56" s="239">
        <v>2287581</v>
      </c>
      <c r="FR56" s="239">
        <v>-6700353</v>
      </c>
      <c r="FS56" s="239">
        <v>0</v>
      </c>
      <c r="FT56" s="239">
        <v>-6700353</v>
      </c>
      <c r="FU56" s="239">
        <v>-1560702</v>
      </c>
      <c r="FV56" s="239">
        <v>0</v>
      </c>
      <c r="FW56" s="239">
        <v>-1560702</v>
      </c>
      <c r="FX56" s="239">
        <v>-40133</v>
      </c>
      <c r="FY56" s="239">
        <v>0</v>
      </c>
      <c r="FZ56" s="239">
        <v>-40133</v>
      </c>
      <c r="GA56" s="239">
        <v>-282976</v>
      </c>
      <c r="GB56" s="239">
        <v>0</v>
      </c>
      <c r="GC56" s="239">
        <v>-282976</v>
      </c>
      <c r="GD56" s="239">
        <v>0</v>
      </c>
      <c r="GE56" s="239">
        <v>0</v>
      </c>
      <c r="GF56" s="239">
        <v>0</v>
      </c>
      <c r="GG56" s="239">
        <v>-6296583</v>
      </c>
      <c r="GH56" s="239">
        <v>0</v>
      </c>
      <c r="GI56" s="239">
        <v>-6296583</v>
      </c>
      <c r="GJ56" s="239">
        <v>55581196</v>
      </c>
      <c r="GK56" s="239">
        <v>0</v>
      </c>
      <c r="GL56" s="239">
        <v>55581196</v>
      </c>
      <c r="GM56" s="214" t="s">
        <v>1158</v>
      </c>
    </row>
    <row r="57" spans="2:195" s="214" customFormat="1" x14ac:dyDescent="0.2">
      <c r="B57" s="602" t="s">
        <v>197</v>
      </c>
      <c r="C57" s="602" t="s">
        <v>196</v>
      </c>
      <c r="D57" s="239">
        <v>-10325106</v>
      </c>
      <c r="E57" s="239">
        <v>0</v>
      </c>
      <c r="F57" s="239">
        <v>-10325106</v>
      </c>
      <c r="G57" s="239">
        <v>7826</v>
      </c>
      <c r="H57" s="239">
        <v>0</v>
      </c>
      <c r="I57" s="239">
        <v>7826</v>
      </c>
      <c r="J57" s="239">
        <v>3422828</v>
      </c>
      <c r="K57" s="239">
        <v>0</v>
      </c>
      <c r="L57" s="239">
        <v>3422828</v>
      </c>
      <c r="M57" s="239">
        <v>31580</v>
      </c>
      <c r="N57" s="239">
        <v>0</v>
      </c>
      <c r="O57" s="239">
        <v>31580</v>
      </c>
      <c r="P57" s="239">
        <v>-6862872</v>
      </c>
      <c r="Q57" s="239">
        <v>0</v>
      </c>
      <c r="R57" s="239">
        <v>-6862872</v>
      </c>
      <c r="S57" s="239">
        <v>-3525763</v>
      </c>
      <c r="T57" s="239">
        <v>0</v>
      </c>
      <c r="U57" s="239">
        <v>-3525763</v>
      </c>
      <c r="V57" s="239">
        <v>0</v>
      </c>
      <c r="W57" s="239">
        <v>0</v>
      </c>
      <c r="X57" s="239">
        <v>0</v>
      </c>
      <c r="Y57" s="239">
        <v>-73828</v>
      </c>
      <c r="Z57" s="239">
        <v>0</v>
      </c>
      <c r="AA57" s="239">
        <v>-73828</v>
      </c>
      <c r="AB57" s="239">
        <v>-54844</v>
      </c>
      <c r="AC57" s="239">
        <v>0</v>
      </c>
      <c r="AD57" s="239">
        <v>-54844</v>
      </c>
      <c r="AE57" s="239">
        <v>5656</v>
      </c>
      <c r="AF57" s="239">
        <v>0</v>
      </c>
      <c r="AG57" s="239">
        <v>5656</v>
      </c>
      <c r="AH57" s="239">
        <v>2522680</v>
      </c>
      <c r="AI57" s="239">
        <v>0</v>
      </c>
      <c r="AJ57" s="239">
        <v>2522680</v>
      </c>
      <c r="AK57" s="239">
        <v>66861</v>
      </c>
      <c r="AL57" s="239">
        <v>0</v>
      </c>
      <c r="AM57" s="239">
        <v>66861</v>
      </c>
      <c r="AN57" s="239">
        <v>-3753802</v>
      </c>
      <c r="AO57" s="239">
        <v>0</v>
      </c>
      <c r="AP57" s="239">
        <v>-3753802</v>
      </c>
      <c r="AQ57" s="239">
        <v>11139</v>
      </c>
      <c r="AR57" s="239">
        <v>0</v>
      </c>
      <c r="AS57" s="239">
        <v>11139</v>
      </c>
      <c r="AT57" s="239">
        <v>-54020</v>
      </c>
      <c r="AU57" s="239">
        <v>0</v>
      </c>
      <c r="AV57" s="239">
        <v>-54020</v>
      </c>
      <c r="AW57" s="239">
        <v>4103</v>
      </c>
      <c r="AX57" s="239">
        <v>0</v>
      </c>
      <c r="AY57" s="239">
        <v>4103</v>
      </c>
      <c r="AZ57" s="239">
        <v>0</v>
      </c>
      <c r="BA57" s="239">
        <v>0</v>
      </c>
      <c r="BB57" s="239">
        <v>0</v>
      </c>
      <c r="BC57" s="239">
        <v>0</v>
      </c>
      <c r="BD57" s="239">
        <v>0</v>
      </c>
      <c r="BE57" s="239">
        <v>0</v>
      </c>
      <c r="BF57" s="239">
        <v>-4802630</v>
      </c>
      <c r="BG57" s="239">
        <v>0</v>
      </c>
      <c r="BH57" s="239">
        <v>-4802630</v>
      </c>
      <c r="BI57" s="239">
        <v>0</v>
      </c>
      <c r="BJ57" s="239">
        <v>0</v>
      </c>
      <c r="BK57" s="239">
        <v>0</v>
      </c>
      <c r="BL57" s="239">
        <v>502</v>
      </c>
      <c r="BM57" s="239">
        <v>0</v>
      </c>
      <c r="BN57" s="239">
        <v>502</v>
      </c>
      <c r="BO57" s="239">
        <v>-1969459</v>
      </c>
      <c r="BP57" s="239">
        <v>0</v>
      </c>
      <c r="BQ57" s="239">
        <v>-1969459</v>
      </c>
      <c r="BR57" s="239">
        <v>165003</v>
      </c>
      <c r="BS57" s="239">
        <v>0</v>
      </c>
      <c r="BT57" s="239">
        <v>165003</v>
      </c>
      <c r="BU57" s="239">
        <v>-1803954</v>
      </c>
      <c r="BV57" s="239">
        <v>0</v>
      </c>
      <c r="BW57" s="239">
        <v>-1803954</v>
      </c>
      <c r="BX57" s="239">
        <v>-90546</v>
      </c>
      <c r="BY57" s="239">
        <v>0</v>
      </c>
      <c r="BZ57" s="239">
        <v>-90546</v>
      </c>
      <c r="CA57" s="239">
        <v>-9313</v>
      </c>
      <c r="CB57" s="239">
        <v>0</v>
      </c>
      <c r="CC57" s="239">
        <v>-9313</v>
      </c>
      <c r="CD57" s="239">
        <v>-32490</v>
      </c>
      <c r="CE57" s="239">
        <v>0</v>
      </c>
      <c r="CF57" s="239">
        <v>-32490</v>
      </c>
      <c r="CG57" s="239">
        <v>14013</v>
      </c>
      <c r="CH57" s="239">
        <v>0</v>
      </c>
      <c r="CI57" s="239">
        <v>14013</v>
      </c>
      <c r="CJ57" s="239">
        <v>-862</v>
      </c>
      <c r="CK57" s="239">
        <v>0</v>
      </c>
      <c r="CL57" s="239">
        <v>-862</v>
      </c>
      <c r="CM57" s="239">
        <v>0</v>
      </c>
      <c r="CN57" s="239">
        <v>0</v>
      </c>
      <c r="CO57" s="239">
        <v>0</v>
      </c>
      <c r="CP57" s="239">
        <v>-2617</v>
      </c>
      <c r="CQ57" s="239">
        <v>0</v>
      </c>
      <c r="CR57" s="239">
        <v>-2617</v>
      </c>
      <c r="CS57" s="239">
        <v>0</v>
      </c>
      <c r="CT57" s="239">
        <v>0</v>
      </c>
      <c r="CU57" s="239">
        <v>0</v>
      </c>
      <c r="CV57" s="239">
        <v>-9622</v>
      </c>
      <c r="CW57" s="239">
        <v>0</v>
      </c>
      <c r="CX57" s="239">
        <v>-9622</v>
      </c>
      <c r="CY57" s="239">
        <v>0</v>
      </c>
      <c r="CZ57" s="239">
        <v>0</v>
      </c>
      <c r="DA57" s="239">
        <v>0</v>
      </c>
      <c r="DB57" s="239">
        <v>-11917</v>
      </c>
      <c r="DC57" s="239">
        <v>0</v>
      </c>
      <c r="DD57" s="239">
        <v>-11917</v>
      </c>
      <c r="DE57" s="239">
        <v>0</v>
      </c>
      <c r="DF57" s="239">
        <v>0</v>
      </c>
      <c r="DG57" s="239">
        <v>0</v>
      </c>
      <c r="DH57" s="239">
        <v>0</v>
      </c>
      <c r="DI57" s="239">
        <v>0</v>
      </c>
      <c r="DJ57" s="239">
        <v>-143354</v>
      </c>
      <c r="DK57" s="239">
        <v>0</v>
      </c>
      <c r="DL57" s="239">
        <v>-143354</v>
      </c>
      <c r="DM57" s="239">
        <v>0</v>
      </c>
      <c r="DN57" s="239">
        <v>0</v>
      </c>
      <c r="DO57" s="239">
        <v>0</v>
      </c>
      <c r="DP57" s="239">
        <v>16352</v>
      </c>
      <c r="DQ57" s="239">
        <v>0</v>
      </c>
      <c r="DR57" s="239">
        <v>16352</v>
      </c>
      <c r="DS57" s="239">
        <v>0</v>
      </c>
      <c r="DT57" s="239">
        <v>0</v>
      </c>
      <c r="DU57" s="239">
        <v>0</v>
      </c>
      <c r="DV57" s="239">
        <v>-41139</v>
      </c>
      <c r="DW57" s="239">
        <v>0</v>
      </c>
      <c r="DX57" s="239">
        <v>-41139</v>
      </c>
      <c r="DY57" s="239">
        <v>2500</v>
      </c>
      <c r="DZ57" s="239">
        <v>0</v>
      </c>
      <c r="EA57" s="239">
        <v>2500</v>
      </c>
      <c r="EB57" s="239">
        <v>0</v>
      </c>
      <c r="EC57" s="239">
        <v>0</v>
      </c>
      <c r="ED57" s="239">
        <v>0</v>
      </c>
      <c r="EE57" s="239">
        <v>0</v>
      </c>
      <c r="EF57" s="239">
        <v>0</v>
      </c>
      <c r="EG57" s="239">
        <v>0</v>
      </c>
      <c r="EH57" s="239">
        <v>6295</v>
      </c>
      <c r="EI57" s="239">
        <v>0</v>
      </c>
      <c r="EJ57" s="239">
        <v>6295</v>
      </c>
      <c r="EK57" s="239">
        <v>-18120</v>
      </c>
      <c r="EL57" s="239">
        <v>0</v>
      </c>
      <c r="EM57" s="239">
        <v>-18120</v>
      </c>
      <c r="EN57" s="239">
        <v>0</v>
      </c>
      <c r="EO57" s="239">
        <v>0</v>
      </c>
      <c r="EP57" s="239">
        <v>0</v>
      </c>
      <c r="EQ57" s="239">
        <v>-53741</v>
      </c>
      <c r="ER57" s="239">
        <v>0</v>
      </c>
      <c r="ES57" s="239">
        <v>-53741</v>
      </c>
      <c r="ET57" s="239">
        <v>-697593</v>
      </c>
      <c r="EU57" s="239">
        <v>0</v>
      </c>
      <c r="EV57" s="239">
        <v>-697593</v>
      </c>
      <c r="EW57" s="239">
        <v>-69935</v>
      </c>
      <c r="EX57" s="239">
        <v>0</v>
      </c>
      <c r="EY57" s="239">
        <v>-69935</v>
      </c>
      <c r="EZ57" s="239">
        <v>-855381</v>
      </c>
      <c r="FA57" s="239">
        <v>0</v>
      </c>
      <c r="FB57" s="239">
        <v>-855381</v>
      </c>
      <c r="FC57" s="239">
        <v>0</v>
      </c>
      <c r="FD57" s="239">
        <v>0</v>
      </c>
      <c r="FE57" s="239">
        <v>0</v>
      </c>
      <c r="FF57" s="239">
        <v>0</v>
      </c>
      <c r="FG57" s="239">
        <v>0</v>
      </c>
      <c r="FH57" s="239">
        <v>0</v>
      </c>
      <c r="FI57" s="239">
        <v>0</v>
      </c>
      <c r="FJ57" s="239">
        <v>0</v>
      </c>
      <c r="FK57" s="239">
        <v>0</v>
      </c>
      <c r="FL57" s="239">
        <v>103870837</v>
      </c>
      <c r="FM57" s="239">
        <v>0</v>
      </c>
      <c r="FN57" s="239">
        <v>103870837</v>
      </c>
      <c r="FO57" s="239">
        <v>-6862872</v>
      </c>
      <c r="FP57" s="239">
        <v>0</v>
      </c>
      <c r="FQ57" s="239">
        <v>-6862872</v>
      </c>
      <c r="FR57" s="239">
        <v>-4802630</v>
      </c>
      <c r="FS57" s="239">
        <v>0</v>
      </c>
      <c r="FT57" s="239">
        <v>-4802630</v>
      </c>
      <c r="FU57" s="239">
        <v>-1803954</v>
      </c>
      <c r="FV57" s="239">
        <v>0</v>
      </c>
      <c r="FW57" s="239">
        <v>-1803954</v>
      </c>
      <c r="FX57" s="239">
        <v>-143354</v>
      </c>
      <c r="FY57" s="239">
        <v>0</v>
      </c>
      <c r="FZ57" s="239">
        <v>-143354</v>
      </c>
      <c r="GA57" s="239">
        <v>-855381</v>
      </c>
      <c r="GB57" s="239">
        <v>0</v>
      </c>
      <c r="GC57" s="239">
        <v>-855381</v>
      </c>
      <c r="GD57" s="239">
        <v>0</v>
      </c>
      <c r="GE57" s="239">
        <v>0</v>
      </c>
      <c r="GF57" s="239">
        <v>0</v>
      </c>
      <c r="GG57" s="239">
        <v>-14468191</v>
      </c>
      <c r="GH57" s="239">
        <v>0</v>
      </c>
      <c r="GI57" s="239">
        <v>-14468191</v>
      </c>
      <c r="GJ57" s="239">
        <v>89402646</v>
      </c>
      <c r="GK57" s="239">
        <v>0</v>
      </c>
      <c r="GL57" s="239">
        <v>89402646</v>
      </c>
      <c r="GM57" s="214" t="s">
        <v>1158</v>
      </c>
    </row>
    <row r="58" spans="2:195" s="214" customFormat="1" x14ac:dyDescent="0.2">
      <c r="B58" s="602" t="s">
        <v>199</v>
      </c>
      <c r="C58" s="602" t="s">
        <v>198</v>
      </c>
      <c r="D58" s="239">
        <v>-4440000</v>
      </c>
      <c r="E58" s="239">
        <v>0</v>
      </c>
      <c r="F58" s="239">
        <v>-4440000</v>
      </c>
      <c r="G58" s="239">
        <v>-12348</v>
      </c>
      <c r="H58" s="239">
        <v>0</v>
      </c>
      <c r="I58" s="239">
        <v>-12348</v>
      </c>
      <c r="J58" s="239">
        <v>8539522</v>
      </c>
      <c r="K58" s="239">
        <v>220844</v>
      </c>
      <c r="L58" s="239">
        <v>8760366</v>
      </c>
      <c r="M58" s="239">
        <v>-60603</v>
      </c>
      <c r="N58" s="239">
        <v>0</v>
      </c>
      <c r="O58" s="239">
        <v>-60603</v>
      </c>
      <c r="P58" s="239">
        <v>4026571</v>
      </c>
      <c r="Q58" s="239">
        <v>220844</v>
      </c>
      <c r="R58" s="239">
        <v>4247415</v>
      </c>
      <c r="S58" s="239">
        <v>-13535615</v>
      </c>
      <c r="T58" s="239">
        <v>-21448</v>
      </c>
      <c r="U58" s="239">
        <v>-13557063</v>
      </c>
      <c r="V58" s="239">
        <v>-71403</v>
      </c>
      <c r="W58" s="239">
        <v>0</v>
      </c>
      <c r="X58" s="239">
        <v>-71403</v>
      </c>
      <c r="Y58" s="239">
        <v>-404021</v>
      </c>
      <c r="Z58" s="239">
        <v>-5034</v>
      </c>
      <c r="AA58" s="239">
        <v>-409055</v>
      </c>
      <c r="AB58" s="239">
        <v>-341348</v>
      </c>
      <c r="AC58" s="239">
        <v>-5034</v>
      </c>
      <c r="AD58" s="239">
        <v>-346382</v>
      </c>
      <c r="AE58" s="239">
        <v>6161</v>
      </c>
      <c r="AF58" s="239">
        <v>0</v>
      </c>
      <c r="AG58" s="239">
        <v>6161</v>
      </c>
      <c r="AH58" s="239">
        <v>3003308</v>
      </c>
      <c r="AI58" s="239">
        <v>89639</v>
      </c>
      <c r="AJ58" s="239">
        <v>3092947</v>
      </c>
      <c r="AK58" s="239">
        <v>226624</v>
      </c>
      <c r="AL58" s="239">
        <v>2193</v>
      </c>
      <c r="AM58" s="239">
        <v>228817</v>
      </c>
      <c r="AN58" s="239">
        <v>-8385533</v>
      </c>
      <c r="AO58" s="239">
        <v>0</v>
      </c>
      <c r="AP58" s="239">
        <v>-8385533</v>
      </c>
      <c r="AQ58" s="239">
        <v>-599933</v>
      </c>
      <c r="AR58" s="239">
        <v>0</v>
      </c>
      <c r="AS58" s="239">
        <v>-599933</v>
      </c>
      <c r="AT58" s="239">
        <v>-119462</v>
      </c>
      <c r="AU58" s="239">
        <v>0</v>
      </c>
      <c r="AV58" s="239">
        <v>-119462</v>
      </c>
      <c r="AW58" s="239">
        <v>-654</v>
      </c>
      <c r="AX58" s="239">
        <v>0</v>
      </c>
      <c r="AY58" s="239">
        <v>-654</v>
      </c>
      <c r="AZ58" s="239">
        <v>-14150</v>
      </c>
      <c r="BA58" s="239">
        <v>0</v>
      </c>
      <c r="BB58" s="239">
        <v>-14150</v>
      </c>
      <c r="BC58" s="239">
        <v>0</v>
      </c>
      <c r="BD58" s="239">
        <v>0</v>
      </c>
      <c r="BE58" s="239">
        <v>0</v>
      </c>
      <c r="BF58" s="239">
        <v>-19829436</v>
      </c>
      <c r="BG58" s="239">
        <v>65350</v>
      </c>
      <c r="BH58" s="239">
        <v>-19764086</v>
      </c>
      <c r="BI58" s="239">
        <v>-11364</v>
      </c>
      <c r="BJ58" s="239">
        <v>0</v>
      </c>
      <c r="BK58" s="239">
        <v>-11364</v>
      </c>
      <c r="BL58" s="239">
        <v>-8249</v>
      </c>
      <c r="BM58" s="239">
        <v>0</v>
      </c>
      <c r="BN58" s="239">
        <v>-8249</v>
      </c>
      <c r="BO58" s="239">
        <v>-3583233</v>
      </c>
      <c r="BP58" s="239">
        <v>-631890</v>
      </c>
      <c r="BQ58" s="239">
        <v>-4215123</v>
      </c>
      <c r="BR58" s="239">
        <v>44402</v>
      </c>
      <c r="BS58" s="239">
        <v>-197202</v>
      </c>
      <c r="BT58" s="239">
        <v>-152800</v>
      </c>
      <c r="BU58" s="239">
        <v>-3558444</v>
      </c>
      <c r="BV58" s="239">
        <v>-829092</v>
      </c>
      <c r="BW58" s="239">
        <v>-4387536</v>
      </c>
      <c r="BX58" s="239">
        <v>-218198</v>
      </c>
      <c r="BY58" s="239">
        <v>0</v>
      </c>
      <c r="BZ58" s="239">
        <v>-218198</v>
      </c>
      <c r="CA58" s="239">
        <v>-1505</v>
      </c>
      <c r="CB58" s="239">
        <v>0</v>
      </c>
      <c r="CC58" s="239">
        <v>-1505</v>
      </c>
      <c r="CD58" s="239">
        <v>-51868</v>
      </c>
      <c r="CE58" s="239">
        <v>0</v>
      </c>
      <c r="CF58" s="239">
        <v>-51868</v>
      </c>
      <c r="CG58" s="239">
        <v>6152</v>
      </c>
      <c r="CH58" s="239">
        <v>0</v>
      </c>
      <c r="CI58" s="239">
        <v>6152</v>
      </c>
      <c r="CJ58" s="239">
        <v>-5362</v>
      </c>
      <c r="CK58" s="239">
        <v>0</v>
      </c>
      <c r="CL58" s="239">
        <v>-5362</v>
      </c>
      <c r="CM58" s="239">
        <v>-32</v>
      </c>
      <c r="CN58" s="239">
        <v>0</v>
      </c>
      <c r="CO58" s="239">
        <v>-32</v>
      </c>
      <c r="CP58" s="239">
        <v>0</v>
      </c>
      <c r="CQ58" s="239">
        <v>0</v>
      </c>
      <c r="CR58" s="239">
        <v>0</v>
      </c>
      <c r="CS58" s="239">
        <v>0</v>
      </c>
      <c r="CT58" s="239">
        <v>0</v>
      </c>
      <c r="CU58" s="239">
        <v>0</v>
      </c>
      <c r="CV58" s="239">
        <v>-8950</v>
      </c>
      <c r="CW58" s="239">
        <v>0</v>
      </c>
      <c r="CX58" s="239">
        <v>-8950</v>
      </c>
      <c r="CY58" s="239">
        <v>705</v>
      </c>
      <c r="CZ58" s="239">
        <v>0</v>
      </c>
      <c r="DA58" s="239">
        <v>705</v>
      </c>
      <c r="DB58" s="239">
        <v>0</v>
      </c>
      <c r="DC58" s="239">
        <v>-192509</v>
      </c>
      <c r="DD58" s="239">
        <v>-192509</v>
      </c>
      <c r="DE58" s="239">
        <v>0</v>
      </c>
      <c r="DF58" s="239">
        <v>-130763</v>
      </c>
      <c r="DG58" s="239">
        <v>-130763</v>
      </c>
      <c r="DH58" s="239">
        <v>-323272</v>
      </c>
      <c r="DI58" s="239">
        <v>0</v>
      </c>
      <c r="DJ58" s="239">
        <v>-279058</v>
      </c>
      <c r="DK58" s="239">
        <v>-323272</v>
      </c>
      <c r="DL58" s="239">
        <v>-602330</v>
      </c>
      <c r="DM58" s="239">
        <v>-8649</v>
      </c>
      <c r="DN58" s="239">
        <v>0</v>
      </c>
      <c r="DO58" s="239">
        <v>-8649</v>
      </c>
      <c r="DP58" s="239">
        <v>-3156</v>
      </c>
      <c r="DQ58" s="239">
        <v>0</v>
      </c>
      <c r="DR58" s="239">
        <v>-3156</v>
      </c>
      <c r="DS58" s="239">
        <v>-16990</v>
      </c>
      <c r="DT58" s="239">
        <v>0</v>
      </c>
      <c r="DU58" s="239">
        <v>-16990</v>
      </c>
      <c r="DV58" s="239">
        <v>-40522</v>
      </c>
      <c r="DW58" s="239">
        <v>0</v>
      </c>
      <c r="DX58" s="239">
        <v>-40522</v>
      </c>
      <c r="DY58" s="239">
        <v>11374</v>
      </c>
      <c r="DZ58" s="239">
        <v>0</v>
      </c>
      <c r="EA58" s="239">
        <v>11374</v>
      </c>
      <c r="EB58" s="239">
        <v>0</v>
      </c>
      <c r="EC58" s="239">
        <v>0</v>
      </c>
      <c r="ED58" s="239">
        <v>0</v>
      </c>
      <c r="EE58" s="239">
        <v>0</v>
      </c>
      <c r="EF58" s="239">
        <v>0</v>
      </c>
      <c r="EG58" s="239">
        <v>0</v>
      </c>
      <c r="EH58" s="239">
        <v>0</v>
      </c>
      <c r="EI58" s="239">
        <v>0</v>
      </c>
      <c r="EJ58" s="239">
        <v>0</v>
      </c>
      <c r="EK58" s="239">
        <v>-14150</v>
      </c>
      <c r="EL58" s="239">
        <v>0</v>
      </c>
      <c r="EM58" s="239">
        <v>-14150</v>
      </c>
      <c r="EN58" s="239">
        <v>-1500</v>
      </c>
      <c r="EO58" s="239">
        <v>0</v>
      </c>
      <c r="EP58" s="239">
        <v>-1500</v>
      </c>
      <c r="EQ58" s="239">
        <v>-68476</v>
      </c>
      <c r="ER58" s="239">
        <v>0</v>
      </c>
      <c r="ES58" s="239">
        <v>-68476</v>
      </c>
      <c r="ET58" s="239">
        <v>-749390</v>
      </c>
      <c r="EU58" s="239">
        <v>0</v>
      </c>
      <c r="EV58" s="239">
        <v>-749390</v>
      </c>
      <c r="EW58" s="239">
        <v>-183533</v>
      </c>
      <c r="EX58" s="239">
        <v>0</v>
      </c>
      <c r="EY58" s="239">
        <v>-183533</v>
      </c>
      <c r="EZ58" s="239">
        <v>-1074992</v>
      </c>
      <c r="FA58" s="239">
        <v>0</v>
      </c>
      <c r="FB58" s="239">
        <v>-1074992</v>
      </c>
      <c r="FC58" s="239">
        <v>-4132</v>
      </c>
      <c r="FD58" s="239">
        <v>0</v>
      </c>
      <c r="FE58" s="239">
        <v>-4132</v>
      </c>
      <c r="FF58" s="239">
        <v>-9036</v>
      </c>
      <c r="FG58" s="239">
        <v>0</v>
      </c>
      <c r="FH58" s="239">
        <v>-9036</v>
      </c>
      <c r="FI58" s="239">
        <v>-13168</v>
      </c>
      <c r="FJ58" s="239">
        <v>0</v>
      </c>
      <c r="FK58" s="239">
        <v>-13168</v>
      </c>
      <c r="FL58" s="239">
        <v>158334712</v>
      </c>
      <c r="FM58" s="239">
        <v>3653188</v>
      </c>
      <c r="FN58" s="239">
        <v>161987900</v>
      </c>
      <c r="FO58" s="239">
        <v>4026571</v>
      </c>
      <c r="FP58" s="239">
        <v>220844</v>
      </c>
      <c r="FQ58" s="239">
        <v>4247415</v>
      </c>
      <c r="FR58" s="239">
        <v>-19829436</v>
      </c>
      <c r="FS58" s="239">
        <v>65350</v>
      </c>
      <c r="FT58" s="239">
        <v>-19764086</v>
      </c>
      <c r="FU58" s="239">
        <v>-3558444</v>
      </c>
      <c r="FV58" s="239">
        <v>-829092</v>
      </c>
      <c r="FW58" s="239">
        <v>-4387536</v>
      </c>
      <c r="FX58" s="239">
        <v>-279058</v>
      </c>
      <c r="FY58" s="239">
        <v>-323272</v>
      </c>
      <c r="FZ58" s="239">
        <v>-602330</v>
      </c>
      <c r="GA58" s="239">
        <v>-1074992</v>
      </c>
      <c r="GB58" s="239">
        <v>0</v>
      </c>
      <c r="GC58" s="239">
        <v>-1074992</v>
      </c>
      <c r="GD58" s="239">
        <v>-13168</v>
      </c>
      <c r="GE58" s="239">
        <v>0</v>
      </c>
      <c r="GF58" s="239">
        <v>-13168</v>
      </c>
      <c r="GG58" s="239">
        <v>-20728527</v>
      </c>
      <c r="GH58" s="239">
        <v>-866170</v>
      </c>
      <c r="GI58" s="239">
        <v>-21594697</v>
      </c>
      <c r="GJ58" s="239">
        <v>137606185</v>
      </c>
      <c r="GK58" s="239">
        <v>2787018</v>
      </c>
      <c r="GL58" s="239">
        <v>140393203</v>
      </c>
      <c r="GM58" s="214" t="s">
        <v>746</v>
      </c>
    </row>
    <row r="59" spans="2:195" s="214" customFormat="1" x14ac:dyDescent="0.2">
      <c r="B59" s="602" t="s">
        <v>201</v>
      </c>
      <c r="C59" s="602" t="s">
        <v>917</v>
      </c>
      <c r="D59" s="239">
        <v>-4459134</v>
      </c>
      <c r="E59" s="239">
        <v>-419</v>
      </c>
      <c r="F59" s="239">
        <v>-4459553</v>
      </c>
      <c r="G59" s="239">
        <v>201523</v>
      </c>
      <c r="H59" s="239">
        <v>0</v>
      </c>
      <c r="I59" s="239">
        <v>201523</v>
      </c>
      <c r="J59" s="239">
        <v>15180273</v>
      </c>
      <c r="K59" s="239">
        <v>3575</v>
      </c>
      <c r="L59" s="239">
        <v>15183848</v>
      </c>
      <c r="M59" s="239">
        <v>391978</v>
      </c>
      <c r="N59" s="239">
        <v>0</v>
      </c>
      <c r="O59" s="239">
        <v>391978</v>
      </c>
      <c r="P59" s="239">
        <v>11314640</v>
      </c>
      <c r="Q59" s="239">
        <v>3156</v>
      </c>
      <c r="R59" s="239">
        <v>11317796</v>
      </c>
      <c r="S59" s="239">
        <v>-9926619</v>
      </c>
      <c r="T59" s="239">
        <v>0</v>
      </c>
      <c r="U59" s="239">
        <v>-9926619</v>
      </c>
      <c r="V59" s="239">
        <v>-49593</v>
      </c>
      <c r="W59" s="239">
        <v>0</v>
      </c>
      <c r="X59" s="239">
        <v>-49593</v>
      </c>
      <c r="Y59" s="239">
        <v>-374256</v>
      </c>
      <c r="Z59" s="239">
        <v>0</v>
      </c>
      <c r="AA59" s="239">
        <v>-374256</v>
      </c>
      <c r="AB59" s="239">
        <v>-302929</v>
      </c>
      <c r="AC59" s="239">
        <v>0</v>
      </c>
      <c r="AD59" s="239">
        <v>-302929</v>
      </c>
      <c r="AE59" s="239">
        <v>829</v>
      </c>
      <c r="AF59" s="239">
        <v>0</v>
      </c>
      <c r="AG59" s="239">
        <v>829</v>
      </c>
      <c r="AH59" s="239">
        <v>3892623</v>
      </c>
      <c r="AI59" s="239">
        <v>7026</v>
      </c>
      <c r="AJ59" s="239">
        <v>3899649</v>
      </c>
      <c r="AK59" s="239">
        <v>-251145</v>
      </c>
      <c r="AL59" s="239">
        <v>0</v>
      </c>
      <c r="AM59" s="239">
        <v>-251145</v>
      </c>
      <c r="AN59" s="239">
        <v>-9407768</v>
      </c>
      <c r="AO59" s="239">
        <v>0</v>
      </c>
      <c r="AP59" s="239">
        <v>-9407768</v>
      </c>
      <c r="AQ59" s="239">
        <v>174183</v>
      </c>
      <c r="AR59" s="239">
        <v>0</v>
      </c>
      <c r="AS59" s="239">
        <v>174183</v>
      </c>
      <c r="AT59" s="239">
        <v>-61103</v>
      </c>
      <c r="AU59" s="239">
        <v>0</v>
      </c>
      <c r="AV59" s="239">
        <v>-61103</v>
      </c>
      <c r="AW59" s="239">
        <v>0</v>
      </c>
      <c r="AX59" s="239">
        <v>0</v>
      </c>
      <c r="AY59" s="239">
        <v>0</v>
      </c>
      <c r="AZ59" s="239">
        <v>-5150</v>
      </c>
      <c r="BA59" s="239">
        <v>0</v>
      </c>
      <c r="BB59" s="239">
        <v>-5150</v>
      </c>
      <c r="BC59" s="239">
        <v>228</v>
      </c>
      <c r="BD59" s="239">
        <v>0</v>
      </c>
      <c r="BE59" s="239">
        <v>228</v>
      </c>
      <c r="BF59" s="239">
        <v>-15959007</v>
      </c>
      <c r="BG59" s="239">
        <v>7026</v>
      </c>
      <c r="BH59" s="239">
        <v>-15951981</v>
      </c>
      <c r="BI59" s="239">
        <v>-23585</v>
      </c>
      <c r="BJ59" s="239">
        <v>0</v>
      </c>
      <c r="BK59" s="239">
        <v>-23585</v>
      </c>
      <c r="BL59" s="239">
        <v>-5370</v>
      </c>
      <c r="BM59" s="239">
        <v>0</v>
      </c>
      <c r="BN59" s="239">
        <v>-5370</v>
      </c>
      <c r="BO59" s="239">
        <v>-5789874</v>
      </c>
      <c r="BP59" s="239">
        <v>0</v>
      </c>
      <c r="BQ59" s="239">
        <v>-5789874</v>
      </c>
      <c r="BR59" s="239">
        <v>5147</v>
      </c>
      <c r="BS59" s="239">
        <v>0</v>
      </c>
      <c r="BT59" s="239">
        <v>5147</v>
      </c>
      <c r="BU59" s="239">
        <v>-5813682</v>
      </c>
      <c r="BV59" s="239">
        <v>0</v>
      </c>
      <c r="BW59" s="239">
        <v>-5813682</v>
      </c>
      <c r="BX59" s="239">
        <v>-918973</v>
      </c>
      <c r="BY59" s="239">
        <v>0</v>
      </c>
      <c r="BZ59" s="239">
        <v>-918973</v>
      </c>
      <c r="CA59" s="239">
        <v>-53944</v>
      </c>
      <c r="CB59" s="239">
        <v>0</v>
      </c>
      <c r="CC59" s="239">
        <v>-53944</v>
      </c>
      <c r="CD59" s="239">
        <v>-1210614</v>
      </c>
      <c r="CE59" s="239">
        <v>0</v>
      </c>
      <c r="CF59" s="239">
        <v>-1210614</v>
      </c>
      <c r="CG59" s="239">
        <v>14089</v>
      </c>
      <c r="CH59" s="239">
        <v>0</v>
      </c>
      <c r="CI59" s="239">
        <v>14089</v>
      </c>
      <c r="CJ59" s="239">
        <v>-14257</v>
      </c>
      <c r="CK59" s="239">
        <v>0</v>
      </c>
      <c r="CL59" s="239">
        <v>-14257</v>
      </c>
      <c r="CM59" s="239">
        <v>0</v>
      </c>
      <c r="CN59" s="239">
        <v>0</v>
      </c>
      <c r="CO59" s="239">
        <v>0</v>
      </c>
      <c r="CP59" s="239">
        <v>0</v>
      </c>
      <c r="CQ59" s="239">
        <v>0</v>
      </c>
      <c r="CR59" s="239">
        <v>0</v>
      </c>
      <c r="CS59" s="239">
        <v>228</v>
      </c>
      <c r="CT59" s="239">
        <v>0</v>
      </c>
      <c r="CU59" s="239">
        <v>228</v>
      </c>
      <c r="CV59" s="239">
        <v>-11484</v>
      </c>
      <c r="CW59" s="239">
        <v>0</v>
      </c>
      <c r="CX59" s="239">
        <v>-11484</v>
      </c>
      <c r="CY59" s="239">
        <v>-274</v>
      </c>
      <c r="CZ59" s="239">
        <v>0</v>
      </c>
      <c r="DA59" s="239">
        <v>-274</v>
      </c>
      <c r="DB59" s="239">
        <v>-89654</v>
      </c>
      <c r="DC59" s="239">
        <v>-105069</v>
      </c>
      <c r="DD59" s="239">
        <v>-194723</v>
      </c>
      <c r="DE59" s="239">
        <v>0</v>
      </c>
      <c r="DF59" s="239">
        <v>0</v>
      </c>
      <c r="DG59" s="239">
        <v>0</v>
      </c>
      <c r="DH59" s="239">
        <v>-105069</v>
      </c>
      <c r="DI59" s="239">
        <v>0</v>
      </c>
      <c r="DJ59" s="239">
        <v>-2284883</v>
      </c>
      <c r="DK59" s="239">
        <v>-105069</v>
      </c>
      <c r="DL59" s="239">
        <v>-2389952</v>
      </c>
      <c r="DM59" s="239">
        <v>0</v>
      </c>
      <c r="DN59" s="239">
        <v>0</v>
      </c>
      <c r="DO59" s="239">
        <v>0</v>
      </c>
      <c r="DP59" s="239">
        <v>0</v>
      </c>
      <c r="DQ59" s="239">
        <v>0</v>
      </c>
      <c r="DR59" s="239">
        <v>0</v>
      </c>
      <c r="DS59" s="239">
        <v>-3225</v>
      </c>
      <c r="DT59" s="239">
        <v>0</v>
      </c>
      <c r="DU59" s="239">
        <v>-3225</v>
      </c>
      <c r="DV59" s="239">
        <v>1865</v>
      </c>
      <c r="DW59" s="239">
        <v>0</v>
      </c>
      <c r="DX59" s="239">
        <v>1865</v>
      </c>
      <c r="DY59" s="239">
        <v>11746</v>
      </c>
      <c r="DZ59" s="239">
        <v>0</v>
      </c>
      <c r="EA59" s="239">
        <v>11746</v>
      </c>
      <c r="EB59" s="239">
        <v>0</v>
      </c>
      <c r="EC59" s="239">
        <v>0</v>
      </c>
      <c r="ED59" s="239">
        <v>0</v>
      </c>
      <c r="EE59" s="239">
        <v>0</v>
      </c>
      <c r="EF59" s="239">
        <v>0</v>
      </c>
      <c r="EG59" s="239">
        <v>0</v>
      </c>
      <c r="EH59" s="239">
        <v>-1632</v>
      </c>
      <c r="EI59" s="239">
        <v>0</v>
      </c>
      <c r="EJ59" s="239">
        <v>-1632</v>
      </c>
      <c r="EK59" s="239">
        <v>-5150</v>
      </c>
      <c r="EL59" s="239">
        <v>0</v>
      </c>
      <c r="EM59" s="239">
        <v>-5150</v>
      </c>
      <c r="EN59" s="239">
        <v>-1500</v>
      </c>
      <c r="EO59" s="239">
        <v>0</v>
      </c>
      <c r="EP59" s="239">
        <v>-1500</v>
      </c>
      <c r="EQ59" s="239">
        <v>-62240</v>
      </c>
      <c r="ER59" s="239">
        <v>0</v>
      </c>
      <c r="ES59" s="239">
        <v>-62240</v>
      </c>
      <c r="ET59" s="239">
        <v>-893332</v>
      </c>
      <c r="EU59" s="239">
        <v>-2357</v>
      </c>
      <c r="EV59" s="239">
        <v>-895689</v>
      </c>
      <c r="EW59" s="239">
        <v>-152273</v>
      </c>
      <c r="EX59" s="239">
        <v>0</v>
      </c>
      <c r="EY59" s="239">
        <v>-152273</v>
      </c>
      <c r="EZ59" s="239">
        <v>-1105741</v>
      </c>
      <c r="FA59" s="239">
        <v>-2357</v>
      </c>
      <c r="FB59" s="239">
        <v>-1108098</v>
      </c>
      <c r="FC59" s="239">
        <v>0</v>
      </c>
      <c r="FD59" s="239">
        <v>0</v>
      </c>
      <c r="FE59" s="239">
        <v>0</v>
      </c>
      <c r="FF59" s="239">
        <v>156460</v>
      </c>
      <c r="FG59" s="239">
        <v>0</v>
      </c>
      <c r="FH59" s="239">
        <v>156460</v>
      </c>
      <c r="FI59" s="239">
        <v>156460</v>
      </c>
      <c r="FJ59" s="239">
        <v>0</v>
      </c>
      <c r="FK59" s="239">
        <v>156460</v>
      </c>
      <c r="FL59" s="239">
        <v>169770985</v>
      </c>
      <c r="FM59" s="239">
        <v>279336</v>
      </c>
      <c r="FN59" s="239">
        <v>170050321</v>
      </c>
      <c r="FO59" s="239">
        <v>11314640</v>
      </c>
      <c r="FP59" s="239">
        <v>3156</v>
      </c>
      <c r="FQ59" s="239">
        <v>11317796</v>
      </c>
      <c r="FR59" s="239">
        <v>-15959007</v>
      </c>
      <c r="FS59" s="239">
        <v>7026</v>
      </c>
      <c r="FT59" s="239">
        <v>-15951981</v>
      </c>
      <c r="FU59" s="239">
        <v>-5813682</v>
      </c>
      <c r="FV59" s="239">
        <v>0</v>
      </c>
      <c r="FW59" s="239">
        <v>-5813682</v>
      </c>
      <c r="FX59" s="239">
        <v>-2284883</v>
      </c>
      <c r="FY59" s="239">
        <v>-105069</v>
      </c>
      <c r="FZ59" s="239">
        <v>-2389952</v>
      </c>
      <c r="GA59" s="239">
        <v>-1105741</v>
      </c>
      <c r="GB59" s="239">
        <v>-2357</v>
      </c>
      <c r="GC59" s="239">
        <v>-1108098</v>
      </c>
      <c r="GD59" s="239">
        <v>156460</v>
      </c>
      <c r="GE59" s="239">
        <v>0</v>
      </c>
      <c r="GF59" s="239">
        <v>156460</v>
      </c>
      <c r="GG59" s="239">
        <v>-13692213</v>
      </c>
      <c r="GH59" s="239">
        <v>-97244</v>
      </c>
      <c r="GI59" s="239">
        <v>-13789457</v>
      </c>
      <c r="GJ59" s="239">
        <v>156078772</v>
      </c>
      <c r="GK59" s="239">
        <v>182092</v>
      </c>
      <c r="GL59" s="239">
        <v>156260864</v>
      </c>
      <c r="GM59" s="214" t="s">
        <v>746</v>
      </c>
    </row>
    <row r="60" spans="2:195" s="214" customFormat="1" x14ac:dyDescent="0.2">
      <c r="B60" s="602" t="s">
        <v>203</v>
      </c>
      <c r="C60" s="602" t="s">
        <v>202</v>
      </c>
      <c r="D60" s="239">
        <v>-1578477</v>
      </c>
      <c r="E60" s="239">
        <v>0</v>
      </c>
      <c r="F60" s="239">
        <v>-1578477</v>
      </c>
      <c r="G60" s="239">
        <v>7762</v>
      </c>
      <c r="H60" s="239">
        <v>0</v>
      </c>
      <c r="I60" s="239">
        <v>7762</v>
      </c>
      <c r="J60" s="239">
        <v>1810029</v>
      </c>
      <c r="K60" s="239">
        <v>0</v>
      </c>
      <c r="L60" s="239">
        <v>1810029</v>
      </c>
      <c r="M60" s="239">
        <v>418564</v>
      </c>
      <c r="N60" s="239">
        <v>0</v>
      </c>
      <c r="O60" s="239">
        <v>418564</v>
      </c>
      <c r="P60" s="239">
        <v>657878</v>
      </c>
      <c r="Q60" s="239">
        <v>0</v>
      </c>
      <c r="R60" s="239">
        <v>657878</v>
      </c>
      <c r="S60" s="239">
        <v>-4072857</v>
      </c>
      <c r="T60" s="239">
        <v>0</v>
      </c>
      <c r="U60" s="239">
        <v>-4072857</v>
      </c>
      <c r="V60" s="239">
        <v>-8219</v>
      </c>
      <c r="W60" s="239">
        <v>0</v>
      </c>
      <c r="X60" s="239">
        <v>-8219</v>
      </c>
      <c r="Y60" s="239">
        <v>-101502</v>
      </c>
      <c r="Z60" s="239">
        <v>0</v>
      </c>
      <c r="AA60" s="239">
        <v>-101502</v>
      </c>
      <c r="AB60" s="239">
        <v>-82078</v>
      </c>
      <c r="AC60" s="239">
        <v>0</v>
      </c>
      <c r="AD60" s="239">
        <v>-82078</v>
      </c>
      <c r="AE60" s="239">
        <v>13</v>
      </c>
      <c r="AF60" s="239">
        <v>0</v>
      </c>
      <c r="AG60" s="239">
        <v>13</v>
      </c>
      <c r="AH60" s="239">
        <v>824351</v>
      </c>
      <c r="AI60" s="239">
        <v>0</v>
      </c>
      <c r="AJ60" s="239">
        <v>824351</v>
      </c>
      <c r="AK60" s="239">
        <v>-97309</v>
      </c>
      <c r="AL60" s="239">
        <v>0</v>
      </c>
      <c r="AM60" s="239">
        <v>-97309</v>
      </c>
      <c r="AN60" s="239">
        <v>-1994316</v>
      </c>
      <c r="AO60" s="239">
        <v>0</v>
      </c>
      <c r="AP60" s="239">
        <v>-1994316</v>
      </c>
      <c r="AQ60" s="239">
        <v>-32418</v>
      </c>
      <c r="AR60" s="239">
        <v>0</v>
      </c>
      <c r="AS60" s="239">
        <v>-32418</v>
      </c>
      <c r="AT60" s="239">
        <v>-33533</v>
      </c>
      <c r="AU60" s="239">
        <v>0</v>
      </c>
      <c r="AV60" s="239">
        <v>-33533</v>
      </c>
      <c r="AW60" s="239">
        <v>0</v>
      </c>
      <c r="AX60" s="239">
        <v>0</v>
      </c>
      <c r="AY60" s="239">
        <v>0</v>
      </c>
      <c r="AZ60" s="239">
        <v>-3494</v>
      </c>
      <c r="BA60" s="239">
        <v>0</v>
      </c>
      <c r="BB60" s="239">
        <v>-3494</v>
      </c>
      <c r="BC60" s="239">
        <v>0</v>
      </c>
      <c r="BD60" s="239">
        <v>0</v>
      </c>
      <c r="BE60" s="239">
        <v>0</v>
      </c>
      <c r="BF60" s="239">
        <v>-5511078</v>
      </c>
      <c r="BG60" s="239">
        <v>0</v>
      </c>
      <c r="BH60" s="239">
        <v>-5511078</v>
      </c>
      <c r="BI60" s="239">
        <v>-230295</v>
      </c>
      <c r="BJ60" s="239">
        <v>0</v>
      </c>
      <c r="BK60" s="239">
        <v>-230295</v>
      </c>
      <c r="BL60" s="239">
        <v>0</v>
      </c>
      <c r="BM60" s="239">
        <v>0</v>
      </c>
      <c r="BN60" s="239">
        <v>0</v>
      </c>
      <c r="BO60" s="239">
        <v>-1790459</v>
      </c>
      <c r="BP60" s="239">
        <v>0</v>
      </c>
      <c r="BQ60" s="239">
        <v>-1790459</v>
      </c>
      <c r="BR60" s="239">
        <v>-326767</v>
      </c>
      <c r="BS60" s="239">
        <v>0</v>
      </c>
      <c r="BT60" s="239">
        <v>-326767</v>
      </c>
      <c r="BU60" s="239">
        <v>-2347521</v>
      </c>
      <c r="BV60" s="239">
        <v>0</v>
      </c>
      <c r="BW60" s="239">
        <v>-2347521</v>
      </c>
      <c r="BX60" s="239">
        <v>-48804</v>
      </c>
      <c r="BY60" s="239">
        <v>0</v>
      </c>
      <c r="BZ60" s="239">
        <v>-48804</v>
      </c>
      <c r="CA60" s="239">
        <v>1259</v>
      </c>
      <c r="CB60" s="239">
        <v>0</v>
      </c>
      <c r="CC60" s="239">
        <v>1259</v>
      </c>
      <c r="CD60" s="239">
        <v>-84880</v>
      </c>
      <c r="CE60" s="239">
        <v>0</v>
      </c>
      <c r="CF60" s="239">
        <v>-84880</v>
      </c>
      <c r="CG60" s="239">
        <v>-1379</v>
      </c>
      <c r="CH60" s="239">
        <v>0</v>
      </c>
      <c r="CI60" s="239">
        <v>-1379</v>
      </c>
      <c r="CJ60" s="239">
        <v>-89</v>
      </c>
      <c r="CK60" s="239">
        <v>0</v>
      </c>
      <c r="CL60" s="239">
        <v>-89</v>
      </c>
      <c r="CM60" s="239">
        <v>1174</v>
      </c>
      <c r="CN60" s="239">
        <v>0</v>
      </c>
      <c r="CO60" s="239">
        <v>1174</v>
      </c>
      <c r="CP60" s="239">
        <v>0</v>
      </c>
      <c r="CQ60" s="239">
        <v>0</v>
      </c>
      <c r="CR60" s="239">
        <v>0</v>
      </c>
      <c r="CS60" s="239">
        <v>0</v>
      </c>
      <c r="CT60" s="239">
        <v>0</v>
      </c>
      <c r="CU60" s="239">
        <v>0</v>
      </c>
      <c r="CV60" s="239">
        <v>0</v>
      </c>
      <c r="CW60" s="239">
        <v>0</v>
      </c>
      <c r="CX60" s="239">
        <v>0</v>
      </c>
      <c r="CY60" s="239">
        <v>0</v>
      </c>
      <c r="CZ60" s="239">
        <v>0</v>
      </c>
      <c r="DA60" s="239">
        <v>0</v>
      </c>
      <c r="DB60" s="239">
        <v>0</v>
      </c>
      <c r="DC60" s="239">
        <v>0</v>
      </c>
      <c r="DD60" s="239">
        <v>0</v>
      </c>
      <c r="DE60" s="239">
        <v>0</v>
      </c>
      <c r="DF60" s="239">
        <v>0</v>
      </c>
      <c r="DG60" s="239">
        <v>0</v>
      </c>
      <c r="DH60" s="239">
        <v>0</v>
      </c>
      <c r="DI60" s="239">
        <v>0</v>
      </c>
      <c r="DJ60" s="239">
        <v>-132719</v>
      </c>
      <c r="DK60" s="239">
        <v>0</v>
      </c>
      <c r="DL60" s="239">
        <v>-132719</v>
      </c>
      <c r="DM60" s="239">
        <v>-1318</v>
      </c>
      <c r="DN60" s="239">
        <v>0</v>
      </c>
      <c r="DO60" s="239">
        <v>-1318</v>
      </c>
      <c r="DP60" s="239">
        <v>-10189</v>
      </c>
      <c r="DQ60" s="239">
        <v>0</v>
      </c>
      <c r="DR60" s="239">
        <v>-10189</v>
      </c>
      <c r="DS60" s="239">
        <v>-4218</v>
      </c>
      <c r="DT60" s="239">
        <v>0</v>
      </c>
      <c r="DU60" s="239">
        <v>-4218</v>
      </c>
      <c r="DV60" s="239">
        <v>0</v>
      </c>
      <c r="DW60" s="239">
        <v>0</v>
      </c>
      <c r="DX60" s="239">
        <v>0</v>
      </c>
      <c r="DY60" s="239">
        <v>9871</v>
      </c>
      <c r="DZ60" s="239">
        <v>0</v>
      </c>
      <c r="EA60" s="239">
        <v>9871</v>
      </c>
      <c r="EB60" s="239">
        <v>0</v>
      </c>
      <c r="EC60" s="239">
        <v>0</v>
      </c>
      <c r="ED60" s="239">
        <v>0</v>
      </c>
      <c r="EE60" s="239">
        <v>0</v>
      </c>
      <c r="EF60" s="239">
        <v>0</v>
      </c>
      <c r="EG60" s="239">
        <v>0</v>
      </c>
      <c r="EH60" s="239">
        <v>0</v>
      </c>
      <c r="EI60" s="239">
        <v>0</v>
      </c>
      <c r="EJ60" s="239">
        <v>0</v>
      </c>
      <c r="EK60" s="239">
        <v>-3494</v>
      </c>
      <c r="EL60" s="239">
        <v>0</v>
      </c>
      <c r="EM60" s="239">
        <v>-3494</v>
      </c>
      <c r="EN60" s="239">
        <v>-1500</v>
      </c>
      <c r="EO60" s="239">
        <v>0</v>
      </c>
      <c r="EP60" s="239">
        <v>-1500</v>
      </c>
      <c r="EQ60" s="239">
        <v>-19267</v>
      </c>
      <c r="ER60" s="239">
        <v>0</v>
      </c>
      <c r="ES60" s="239">
        <v>-19267</v>
      </c>
      <c r="ET60" s="239">
        <v>-287717</v>
      </c>
      <c r="EU60" s="239">
        <v>0</v>
      </c>
      <c r="EV60" s="239">
        <v>-287717</v>
      </c>
      <c r="EW60" s="239">
        <v>-50353</v>
      </c>
      <c r="EX60" s="239">
        <v>0</v>
      </c>
      <c r="EY60" s="239">
        <v>-50353</v>
      </c>
      <c r="EZ60" s="239">
        <v>-368185</v>
      </c>
      <c r="FA60" s="239">
        <v>0</v>
      </c>
      <c r="FB60" s="239">
        <v>-368185</v>
      </c>
      <c r="FC60" s="239">
        <v>0</v>
      </c>
      <c r="FD60" s="239">
        <v>0</v>
      </c>
      <c r="FE60" s="239">
        <v>0</v>
      </c>
      <c r="FF60" s="239">
        <v>-273</v>
      </c>
      <c r="FG60" s="239">
        <v>0</v>
      </c>
      <c r="FH60" s="239">
        <v>-273</v>
      </c>
      <c r="FI60" s="239">
        <v>-273</v>
      </c>
      <c r="FJ60" s="239">
        <v>0</v>
      </c>
      <c r="FK60" s="239">
        <v>-273</v>
      </c>
      <c r="FL60" s="239">
        <v>41277985</v>
      </c>
      <c r="FM60" s="239">
        <v>886300</v>
      </c>
      <c r="FN60" s="239">
        <v>42164285</v>
      </c>
      <c r="FO60" s="239">
        <v>657878</v>
      </c>
      <c r="FP60" s="239">
        <v>0</v>
      </c>
      <c r="FQ60" s="239">
        <v>657878</v>
      </c>
      <c r="FR60" s="239">
        <v>-5511078</v>
      </c>
      <c r="FS60" s="239">
        <v>0</v>
      </c>
      <c r="FT60" s="239">
        <v>-5511078</v>
      </c>
      <c r="FU60" s="239">
        <v>-2347521</v>
      </c>
      <c r="FV60" s="239">
        <v>0</v>
      </c>
      <c r="FW60" s="239">
        <v>-2347521</v>
      </c>
      <c r="FX60" s="239">
        <v>-132719</v>
      </c>
      <c r="FY60" s="239">
        <v>0</v>
      </c>
      <c r="FZ60" s="239">
        <v>-132719</v>
      </c>
      <c r="GA60" s="239">
        <v>-368185</v>
      </c>
      <c r="GB60" s="239">
        <v>0</v>
      </c>
      <c r="GC60" s="239">
        <v>-368185</v>
      </c>
      <c r="GD60" s="239">
        <v>-273</v>
      </c>
      <c r="GE60" s="239">
        <v>0</v>
      </c>
      <c r="GF60" s="239">
        <v>-273</v>
      </c>
      <c r="GG60" s="239">
        <v>-7701898</v>
      </c>
      <c r="GH60" s="239">
        <v>0</v>
      </c>
      <c r="GI60" s="239">
        <v>-7701898</v>
      </c>
      <c r="GJ60" s="239">
        <v>33576087</v>
      </c>
      <c r="GK60" s="239">
        <v>886300</v>
      </c>
      <c r="GL60" s="239">
        <v>34462387</v>
      </c>
      <c r="GM60" s="214" t="s">
        <v>1158</v>
      </c>
    </row>
    <row r="61" spans="2:195" s="214" customFormat="1" x14ac:dyDescent="0.2">
      <c r="B61" s="602" t="s">
        <v>205</v>
      </c>
      <c r="C61" s="602" t="s">
        <v>204</v>
      </c>
      <c r="D61" s="239">
        <v>-2474358</v>
      </c>
      <c r="E61" s="239">
        <v>0</v>
      </c>
      <c r="F61" s="239">
        <v>-2474358</v>
      </c>
      <c r="G61" s="239">
        <v>19668</v>
      </c>
      <c r="H61" s="239">
        <v>0</v>
      </c>
      <c r="I61" s="239">
        <v>19668</v>
      </c>
      <c r="J61" s="239">
        <v>841937</v>
      </c>
      <c r="K61" s="239">
        <v>0</v>
      </c>
      <c r="L61" s="239">
        <v>841937</v>
      </c>
      <c r="M61" s="239">
        <v>111328</v>
      </c>
      <c r="N61" s="239">
        <v>0</v>
      </c>
      <c r="O61" s="239">
        <v>111328</v>
      </c>
      <c r="P61" s="239">
        <v>-1501425</v>
      </c>
      <c r="Q61" s="239">
        <v>0</v>
      </c>
      <c r="R61" s="239">
        <v>-1501425</v>
      </c>
      <c r="S61" s="239">
        <v>-4821224</v>
      </c>
      <c r="T61" s="239">
        <v>0</v>
      </c>
      <c r="U61" s="239">
        <v>-4821224</v>
      </c>
      <c r="V61" s="239">
        <v>-21663</v>
      </c>
      <c r="W61" s="239">
        <v>0</v>
      </c>
      <c r="X61" s="239">
        <v>-21663</v>
      </c>
      <c r="Y61" s="239">
        <v>-204863</v>
      </c>
      <c r="Z61" s="239">
        <v>0</v>
      </c>
      <c r="AA61" s="239">
        <v>-204863</v>
      </c>
      <c r="AB61" s="239">
        <v>-181598</v>
      </c>
      <c r="AC61" s="239">
        <v>0</v>
      </c>
      <c r="AD61" s="239">
        <v>-181598</v>
      </c>
      <c r="AE61" s="239">
        <v>2377</v>
      </c>
      <c r="AF61" s="239">
        <v>0</v>
      </c>
      <c r="AG61" s="239">
        <v>2377</v>
      </c>
      <c r="AH61" s="239">
        <v>1131813</v>
      </c>
      <c r="AI61" s="239">
        <v>0</v>
      </c>
      <c r="AJ61" s="239">
        <v>1131813</v>
      </c>
      <c r="AK61" s="239">
        <v>486408</v>
      </c>
      <c r="AL61" s="239">
        <v>0</v>
      </c>
      <c r="AM61" s="239">
        <v>486408</v>
      </c>
      <c r="AN61" s="239">
        <v>-4563087</v>
      </c>
      <c r="AO61" s="239">
        <v>0</v>
      </c>
      <c r="AP61" s="239">
        <v>-4563087</v>
      </c>
      <c r="AQ61" s="239">
        <v>20932</v>
      </c>
      <c r="AR61" s="239">
        <v>0</v>
      </c>
      <c r="AS61" s="239">
        <v>20932</v>
      </c>
      <c r="AT61" s="239">
        <v>-39959</v>
      </c>
      <c r="AU61" s="239">
        <v>0</v>
      </c>
      <c r="AV61" s="239">
        <v>-39959</v>
      </c>
      <c r="AW61" s="239">
        <v>0</v>
      </c>
      <c r="AX61" s="239">
        <v>0</v>
      </c>
      <c r="AY61" s="239">
        <v>0</v>
      </c>
      <c r="AZ61" s="239">
        <v>-22896</v>
      </c>
      <c r="BA61" s="239">
        <v>0</v>
      </c>
      <c r="BB61" s="239">
        <v>-22896</v>
      </c>
      <c r="BC61" s="239">
        <v>-843</v>
      </c>
      <c r="BD61" s="239">
        <v>0</v>
      </c>
      <c r="BE61" s="239">
        <v>-843</v>
      </c>
      <c r="BF61" s="239">
        <v>-8013719</v>
      </c>
      <c r="BG61" s="239">
        <v>0</v>
      </c>
      <c r="BH61" s="239">
        <v>-8013719</v>
      </c>
      <c r="BI61" s="239">
        <v>-19813</v>
      </c>
      <c r="BJ61" s="239">
        <v>0</v>
      </c>
      <c r="BK61" s="239">
        <v>-19813</v>
      </c>
      <c r="BL61" s="239">
        <v>-12797</v>
      </c>
      <c r="BM61" s="239">
        <v>0</v>
      </c>
      <c r="BN61" s="239">
        <v>-12797</v>
      </c>
      <c r="BO61" s="239">
        <v>-1432006</v>
      </c>
      <c r="BP61" s="239">
        <v>0</v>
      </c>
      <c r="BQ61" s="239">
        <v>-1432006</v>
      </c>
      <c r="BR61" s="239">
        <v>-57392</v>
      </c>
      <c r="BS61" s="239">
        <v>0</v>
      </c>
      <c r="BT61" s="239">
        <v>-57392</v>
      </c>
      <c r="BU61" s="239">
        <v>-1522008</v>
      </c>
      <c r="BV61" s="239">
        <v>0</v>
      </c>
      <c r="BW61" s="239">
        <v>-1522008</v>
      </c>
      <c r="BX61" s="239">
        <v>0</v>
      </c>
      <c r="BY61" s="239">
        <v>0</v>
      </c>
      <c r="BZ61" s="239">
        <v>0</v>
      </c>
      <c r="CA61" s="239">
        <v>0</v>
      </c>
      <c r="CB61" s="239">
        <v>0</v>
      </c>
      <c r="CC61" s="239">
        <v>0</v>
      </c>
      <c r="CD61" s="239">
        <v>0</v>
      </c>
      <c r="CE61" s="239">
        <v>0</v>
      </c>
      <c r="CF61" s="239">
        <v>0</v>
      </c>
      <c r="CG61" s="239">
        <v>1446</v>
      </c>
      <c r="CH61" s="239">
        <v>0</v>
      </c>
      <c r="CI61" s="239">
        <v>1446</v>
      </c>
      <c r="CJ61" s="239">
        <v>0</v>
      </c>
      <c r="CK61" s="239">
        <v>0</v>
      </c>
      <c r="CL61" s="239">
        <v>0</v>
      </c>
      <c r="CM61" s="239">
        <v>0</v>
      </c>
      <c r="CN61" s="239">
        <v>0</v>
      </c>
      <c r="CO61" s="239">
        <v>0</v>
      </c>
      <c r="CP61" s="239">
        <v>0</v>
      </c>
      <c r="CQ61" s="239">
        <v>0</v>
      </c>
      <c r="CR61" s="239">
        <v>0</v>
      </c>
      <c r="CS61" s="239">
        <v>-843</v>
      </c>
      <c r="CT61" s="239">
        <v>0</v>
      </c>
      <c r="CU61" s="239">
        <v>-843</v>
      </c>
      <c r="CV61" s="239">
        <v>0</v>
      </c>
      <c r="CW61" s="239">
        <v>0</v>
      </c>
      <c r="CX61" s="239">
        <v>0</v>
      </c>
      <c r="CY61" s="239">
        <v>-101</v>
      </c>
      <c r="CZ61" s="239">
        <v>0</v>
      </c>
      <c r="DA61" s="239">
        <v>-101</v>
      </c>
      <c r="DB61" s="239">
        <v>-2147</v>
      </c>
      <c r="DC61" s="239">
        <v>0</v>
      </c>
      <c r="DD61" s="239">
        <v>-2147</v>
      </c>
      <c r="DE61" s="239">
        <v>0</v>
      </c>
      <c r="DF61" s="239">
        <v>0</v>
      </c>
      <c r="DG61" s="239">
        <v>0</v>
      </c>
      <c r="DH61" s="239">
        <v>0</v>
      </c>
      <c r="DI61" s="239">
        <v>0</v>
      </c>
      <c r="DJ61" s="239">
        <v>-1645</v>
      </c>
      <c r="DK61" s="239">
        <v>0</v>
      </c>
      <c r="DL61" s="239">
        <v>-1645</v>
      </c>
      <c r="DM61" s="239">
        <v>0</v>
      </c>
      <c r="DN61" s="239">
        <v>0</v>
      </c>
      <c r="DO61" s="239">
        <v>0</v>
      </c>
      <c r="DP61" s="239">
        <v>0</v>
      </c>
      <c r="DQ61" s="239">
        <v>0</v>
      </c>
      <c r="DR61" s="239">
        <v>0</v>
      </c>
      <c r="DS61" s="239">
        <v>0</v>
      </c>
      <c r="DT61" s="239">
        <v>0</v>
      </c>
      <c r="DU61" s="239">
        <v>0</v>
      </c>
      <c r="DV61" s="239">
        <v>-140</v>
      </c>
      <c r="DW61" s="239">
        <v>0</v>
      </c>
      <c r="DX61" s="239">
        <v>-140</v>
      </c>
      <c r="DY61" s="239">
        <v>7683</v>
      </c>
      <c r="DZ61" s="239">
        <v>0</v>
      </c>
      <c r="EA61" s="239">
        <v>7683</v>
      </c>
      <c r="EB61" s="239">
        <v>0</v>
      </c>
      <c r="EC61" s="239">
        <v>0</v>
      </c>
      <c r="ED61" s="239">
        <v>0</v>
      </c>
      <c r="EE61" s="239">
        <v>0</v>
      </c>
      <c r="EF61" s="239">
        <v>0</v>
      </c>
      <c r="EG61" s="239">
        <v>0</v>
      </c>
      <c r="EH61" s="239">
        <v>0</v>
      </c>
      <c r="EI61" s="239">
        <v>0</v>
      </c>
      <c r="EJ61" s="239">
        <v>0</v>
      </c>
      <c r="EK61" s="239">
        <v>-22896</v>
      </c>
      <c r="EL61" s="239">
        <v>0</v>
      </c>
      <c r="EM61" s="239">
        <v>-22896</v>
      </c>
      <c r="EN61" s="239">
        <v>-2176</v>
      </c>
      <c r="EO61" s="239">
        <v>0</v>
      </c>
      <c r="EP61" s="239">
        <v>-2176</v>
      </c>
      <c r="EQ61" s="239">
        <v>-61147</v>
      </c>
      <c r="ER61" s="239">
        <v>0</v>
      </c>
      <c r="ES61" s="239">
        <v>-61147</v>
      </c>
      <c r="ET61" s="239">
        <v>-272181</v>
      </c>
      <c r="EU61" s="239">
        <v>0</v>
      </c>
      <c r="EV61" s="239">
        <v>-272181</v>
      </c>
      <c r="EW61" s="239">
        <v>-94546</v>
      </c>
      <c r="EX61" s="239">
        <v>0</v>
      </c>
      <c r="EY61" s="239">
        <v>-94546</v>
      </c>
      <c r="EZ61" s="239">
        <v>-445403</v>
      </c>
      <c r="FA61" s="239">
        <v>0</v>
      </c>
      <c r="FB61" s="239">
        <v>-445403</v>
      </c>
      <c r="FC61" s="239">
        <v>0</v>
      </c>
      <c r="FD61" s="239">
        <v>0</v>
      </c>
      <c r="FE61" s="239">
        <v>0</v>
      </c>
      <c r="FF61" s="239">
        <v>0</v>
      </c>
      <c r="FG61" s="239">
        <v>0</v>
      </c>
      <c r="FH61" s="239">
        <v>0</v>
      </c>
      <c r="FI61" s="239">
        <v>0</v>
      </c>
      <c r="FJ61" s="239">
        <v>0</v>
      </c>
      <c r="FK61" s="239">
        <v>0</v>
      </c>
      <c r="FL61" s="239">
        <v>57160948</v>
      </c>
      <c r="FM61" s="239">
        <v>0</v>
      </c>
      <c r="FN61" s="239">
        <v>57160948</v>
      </c>
      <c r="FO61" s="239">
        <v>-1501425</v>
      </c>
      <c r="FP61" s="239">
        <v>0</v>
      </c>
      <c r="FQ61" s="239">
        <v>-1501425</v>
      </c>
      <c r="FR61" s="239">
        <v>-8013719</v>
      </c>
      <c r="FS61" s="239">
        <v>0</v>
      </c>
      <c r="FT61" s="239">
        <v>-8013719</v>
      </c>
      <c r="FU61" s="239">
        <v>-1522008</v>
      </c>
      <c r="FV61" s="239">
        <v>0</v>
      </c>
      <c r="FW61" s="239">
        <v>-1522008</v>
      </c>
      <c r="FX61" s="239">
        <v>-1645</v>
      </c>
      <c r="FY61" s="239">
        <v>0</v>
      </c>
      <c r="FZ61" s="239">
        <v>-1645</v>
      </c>
      <c r="GA61" s="239">
        <v>-445403</v>
      </c>
      <c r="GB61" s="239">
        <v>0</v>
      </c>
      <c r="GC61" s="239">
        <v>-445403</v>
      </c>
      <c r="GD61" s="239">
        <v>0</v>
      </c>
      <c r="GE61" s="239">
        <v>0</v>
      </c>
      <c r="GF61" s="239">
        <v>0</v>
      </c>
      <c r="GG61" s="239">
        <v>-11484200</v>
      </c>
      <c r="GH61" s="239">
        <v>0</v>
      </c>
      <c r="GI61" s="239">
        <v>-11484200</v>
      </c>
      <c r="GJ61" s="239">
        <v>45676748</v>
      </c>
      <c r="GK61" s="239">
        <v>0</v>
      </c>
      <c r="GL61" s="239">
        <v>45676748</v>
      </c>
      <c r="GM61" s="214" t="s">
        <v>1158</v>
      </c>
    </row>
    <row r="62" spans="2:195" s="214" customFormat="1" x14ac:dyDescent="0.2">
      <c r="B62" s="602" t="s">
        <v>207</v>
      </c>
      <c r="C62" s="602" t="s">
        <v>206</v>
      </c>
      <c r="D62" s="239">
        <v>-1325987</v>
      </c>
      <c r="E62" s="239">
        <v>0</v>
      </c>
      <c r="F62" s="239">
        <v>-1325987</v>
      </c>
      <c r="G62" s="239">
        <v>18358</v>
      </c>
      <c r="H62" s="239">
        <v>0</v>
      </c>
      <c r="I62" s="239">
        <v>18358</v>
      </c>
      <c r="J62" s="239">
        <v>468248</v>
      </c>
      <c r="K62" s="239">
        <v>0</v>
      </c>
      <c r="L62" s="239">
        <v>468248</v>
      </c>
      <c r="M62" s="239">
        <v>18808</v>
      </c>
      <c r="N62" s="239">
        <v>0</v>
      </c>
      <c r="O62" s="239">
        <v>18808</v>
      </c>
      <c r="P62" s="239">
        <v>-820573</v>
      </c>
      <c r="Q62" s="239">
        <v>0</v>
      </c>
      <c r="R62" s="239">
        <v>-820573</v>
      </c>
      <c r="S62" s="239">
        <v>-2671632</v>
      </c>
      <c r="T62" s="239">
        <v>0</v>
      </c>
      <c r="U62" s="239">
        <v>-2671632</v>
      </c>
      <c r="V62" s="239">
        <v>0</v>
      </c>
      <c r="W62" s="239">
        <v>0</v>
      </c>
      <c r="X62" s="239">
        <v>0</v>
      </c>
      <c r="Y62" s="239">
        <v>-136893</v>
      </c>
      <c r="Z62" s="239">
        <v>0</v>
      </c>
      <c r="AA62" s="239">
        <v>-136893</v>
      </c>
      <c r="AB62" s="239">
        <v>-103793</v>
      </c>
      <c r="AC62" s="239">
        <v>0</v>
      </c>
      <c r="AD62" s="239">
        <v>-103793</v>
      </c>
      <c r="AE62" s="239">
        <v>0</v>
      </c>
      <c r="AF62" s="239">
        <v>0</v>
      </c>
      <c r="AG62" s="239">
        <v>0</v>
      </c>
      <c r="AH62" s="239">
        <v>433366</v>
      </c>
      <c r="AI62" s="239">
        <v>0</v>
      </c>
      <c r="AJ62" s="239">
        <v>433366</v>
      </c>
      <c r="AK62" s="239">
        <v>-10071</v>
      </c>
      <c r="AL62" s="239">
        <v>0</v>
      </c>
      <c r="AM62" s="239">
        <v>-10071</v>
      </c>
      <c r="AN62" s="239">
        <v>-2575484</v>
      </c>
      <c r="AO62" s="239">
        <v>0</v>
      </c>
      <c r="AP62" s="239">
        <v>-2575484</v>
      </c>
      <c r="AQ62" s="239">
        <v>55440</v>
      </c>
      <c r="AR62" s="239">
        <v>0</v>
      </c>
      <c r="AS62" s="239">
        <v>55440</v>
      </c>
      <c r="AT62" s="239">
        <v>-31398</v>
      </c>
      <c r="AU62" s="239">
        <v>0</v>
      </c>
      <c r="AV62" s="239">
        <v>-31398</v>
      </c>
      <c r="AW62" s="239">
        <v>-14</v>
      </c>
      <c r="AX62" s="239">
        <v>0</v>
      </c>
      <c r="AY62" s="239">
        <v>-14</v>
      </c>
      <c r="AZ62" s="239">
        <v>-11495</v>
      </c>
      <c r="BA62" s="239">
        <v>0</v>
      </c>
      <c r="BB62" s="239">
        <v>-11495</v>
      </c>
      <c r="BC62" s="239">
        <v>2083</v>
      </c>
      <c r="BD62" s="239">
        <v>0</v>
      </c>
      <c r="BE62" s="239">
        <v>2083</v>
      </c>
      <c r="BF62" s="239">
        <v>-4946098</v>
      </c>
      <c r="BG62" s="239">
        <v>0</v>
      </c>
      <c r="BH62" s="239">
        <v>-4946098</v>
      </c>
      <c r="BI62" s="239">
        <v>-16470</v>
      </c>
      <c r="BJ62" s="239">
        <v>0</v>
      </c>
      <c r="BK62" s="239">
        <v>-16470</v>
      </c>
      <c r="BL62" s="239">
        <v>8148</v>
      </c>
      <c r="BM62" s="239">
        <v>0</v>
      </c>
      <c r="BN62" s="239">
        <v>8148</v>
      </c>
      <c r="BO62" s="239">
        <v>-657204</v>
      </c>
      <c r="BP62" s="239">
        <v>0</v>
      </c>
      <c r="BQ62" s="239">
        <v>-657204</v>
      </c>
      <c r="BR62" s="239">
        <v>45231</v>
      </c>
      <c r="BS62" s="239">
        <v>0</v>
      </c>
      <c r="BT62" s="239">
        <v>45231</v>
      </c>
      <c r="BU62" s="239">
        <v>-620295</v>
      </c>
      <c r="BV62" s="239">
        <v>0</v>
      </c>
      <c r="BW62" s="239">
        <v>-620295</v>
      </c>
      <c r="BX62" s="239">
        <v>-134153</v>
      </c>
      <c r="BY62" s="239">
        <v>0</v>
      </c>
      <c r="BZ62" s="239">
        <v>-134153</v>
      </c>
      <c r="CA62" s="239">
        <v>147</v>
      </c>
      <c r="CB62" s="239">
        <v>0</v>
      </c>
      <c r="CC62" s="239">
        <v>147</v>
      </c>
      <c r="CD62" s="239">
        <v>-22955</v>
      </c>
      <c r="CE62" s="239">
        <v>0</v>
      </c>
      <c r="CF62" s="239">
        <v>-22955</v>
      </c>
      <c r="CG62" s="239">
        <v>0</v>
      </c>
      <c r="CH62" s="239">
        <v>0</v>
      </c>
      <c r="CI62" s="239">
        <v>0</v>
      </c>
      <c r="CJ62" s="239">
        <v>-1243</v>
      </c>
      <c r="CK62" s="239">
        <v>0</v>
      </c>
      <c r="CL62" s="239">
        <v>-1243</v>
      </c>
      <c r="CM62" s="239">
        <v>0</v>
      </c>
      <c r="CN62" s="239">
        <v>0</v>
      </c>
      <c r="CO62" s="239">
        <v>0</v>
      </c>
      <c r="CP62" s="239">
        <v>-2461</v>
      </c>
      <c r="CQ62" s="239">
        <v>0</v>
      </c>
      <c r="CR62" s="239">
        <v>-2461</v>
      </c>
      <c r="CS62" s="239">
        <v>0</v>
      </c>
      <c r="CT62" s="239">
        <v>0</v>
      </c>
      <c r="CU62" s="239">
        <v>0</v>
      </c>
      <c r="CV62" s="239">
        <v>0</v>
      </c>
      <c r="CW62" s="239">
        <v>0</v>
      </c>
      <c r="CX62" s="239">
        <v>0</v>
      </c>
      <c r="CY62" s="239">
        <v>0</v>
      </c>
      <c r="CZ62" s="239">
        <v>0</v>
      </c>
      <c r="DA62" s="239">
        <v>0</v>
      </c>
      <c r="DB62" s="239">
        <v>0</v>
      </c>
      <c r="DC62" s="239">
        <v>0</v>
      </c>
      <c r="DD62" s="239">
        <v>0</v>
      </c>
      <c r="DE62" s="239">
        <v>0</v>
      </c>
      <c r="DF62" s="239">
        <v>0</v>
      </c>
      <c r="DG62" s="239">
        <v>0</v>
      </c>
      <c r="DH62" s="239">
        <v>0</v>
      </c>
      <c r="DI62" s="239">
        <v>0</v>
      </c>
      <c r="DJ62" s="239">
        <v>-160665</v>
      </c>
      <c r="DK62" s="239">
        <v>0</v>
      </c>
      <c r="DL62" s="239">
        <v>-160665</v>
      </c>
      <c r="DM62" s="239">
        <v>0</v>
      </c>
      <c r="DN62" s="239">
        <v>0</v>
      </c>
      <c r="DO62" s="239">
        <v>0</v>
      </c>
      <c r="DP62" s="239">
        <v>0</v>
      </c>
      <c r="DQ62" s="239">
        <v>0</v>
      </c>
      <c r="DR62" s="239">
        <v>0</v>
      </c>
      <c r="DS62" s="239">
        <v>0</v>
      </c>
      <c r="DT62" s="239">
        <v>0</v>
      </c>
      <c r="DU62" s="239">
        <v>0</v>
      </c>
      <c r="DV62" s="239">
        <v>0</v>
      </c>
      <c r="DW62" s="239">
        <v>0</v>
      </c>
      <c r="DX62" s="239">
        <v>0</v>
      </c>
      <c r="DY62" s="239">
        <v>3631</v>
      </c>
      <c r="DZ62" s="239">
        <v>0</v>
      </c>
      <c r="EA62" s="239">
        <v>3631</v>
      </c>
      <c r="EB62" s="239">
        <v>0</v>
      </c>
      <c r="EC62" s="239">
        <v>0</v>
      </c>
      <c r="ED62" s="239">
        <v>0</v>
      </c>
      <c r="EE62" s="239">
        <v>0</v>
      </c>
      <c r="EF62" s="239">
        <v>0</v>
      </c>
      <c r="EG62" s="239">
        <v>0</v>
      </c>
      <c r="EH62" s="239">
        <v>144</v>
      </c>
      <c r="EI62" s="239">
        <v>0</v>
      </c>
      <c r="EJ62" s="239">
        <v>144</v>
      </c>
      <c r="EK62" s="239">
        <v>-2461</v>
      </c>
      <c r="EL62" s="239">
        <v>0</v>
      </c>
      <c r="EM62" s="239">
        <v>-2461</v>
      </c>
      <c r="EN62" s="239">
        <v>0</v>
      </c>
      <c r="EO62" s="239">
        <v>0</v>
      </c>
      <c r="EP62" s="239">
        <v>0</v>
      </c>
      <c r="EQ62" s="239">
        <v>-21114</v>
      </c>
      <c r="ER62" s="239">
        <v>0</v>
      </c>
      <c r="ES62" s="239">
        <v>-21114</v>
      </c>
      <c r="ET62" s="239">
        <v>-167909</v>
      </c>
      <c r="EU62" s="239">
        <v>0</v>
      </c>
      <c r="EV62" s="239">
        <v>-167909</v>
      </c>
      <c r="EW62" s="239">
        <v>-43312</v>
      </c>
      <c r="EX62" s="239">
        <v>0</v>
      </c>
      <c r="EY62" s="239">
        <v>-43312</v>
      </c>
      <c r="EZ62" s="239">
        <v>-231021</v>
      </c>
      <c r="FA62" s="239">
        <v>0</v>
      </c>
      <c r="FB62" s="239">
        <v>-231021</v>
      </c>
      <c r="FC62" s="239">
        <v>0</v>
      </c>
      <c r="FD62" s="239">
        <v>0</v>
      </c>
      <c r="FE62" s="239">
        <v>0</v>
      </c>
      <c r="FF62" s="239">
        <v>0</v>
      </c>
      <c r="FG62" s="239">
        <v>0</v>
      </c>
      <c r="FH62" s="239">
        <v>0</v>
      </c>
      <c r="FI62" s="239">
        <v>0</v>
      </c>
      <c r="FJ62" s="239">
        <v>0</v>
      </c>
      <c r="FK62" s="239">
        <v>0</v>
      </c>
      <c r="FL62" s="239">
        <v>27065269</v>
      </c>
      <c r="FM62" s="239">
        <v>0</v>
      </c>
      <c r="FN62" s="239">
        <v>27065269</v>
      </c>
      <c r="FO62" s="239">
        <v>-820573</v>
      </c>
      <c r="FP62" s="239">
        <v>0</v>
      </c>
      <c r="FQ62" s="239">
        <v>-820573</v>
      </c>
      <c r="FR62" s="239">
        <v>-4946098</v>
      </c>
      <c r="FS62" s="239">
        <v>0</v>
      </c>
      <c r="FT62" s="239">
        <v>-4946098</v>
      </c>
      <c r="FU62" s="239">
        <v>-620295</v>
      </c>
      <c r="FV62" s="239">
        <v>0</v>
      </c>
      <c r="FW62" s="239">
        <v>-620295</v>
      </c>
      <c r="FX62" s="239">
        <v>-160665</v>
      </c>
      <c r="FY62" s="239">
        <v>0</v>
      </c>
      <c r="FZ62" s="239">
        <v>-160665</v>
      </c>
      <c r="GA62" s="239">
        <v>-231021</v>
      </c>
      <c r="GB62" s="239">
        <v>0</v>
      </c>
      <c r="GC62" s="239">
        <v>-231021</v>
      </c>
      <c r="GD62" s="239">
        <v>0</v>
      </c>
      <c r="GE62" s="239">
        <v>0</v>
      </c>
      <c r="GF62" s="239">
        <v>0</v>
      </c>
      <c r="GG62" s="239">
        <v>-6778652</v>
      </c>
      <c r="GH62" s="239">
        <v>0</v>
      </c>
      <c r="GI62" s="239">
        <v>-6778652</v>
      </c>
      <c r="GJ62" s="239">
        <v>20286617</v>
      </c>
      <c r="GK62" s="239">
        <v>0</v>
      </c>
      <c r="GL62" s="239">
        <v>20286617</v>
      </c>
      <c r="GM62" s="214" t="s">
        <v>1158</v>
      </c>
    </row>
    <row r="63" spans="2:195" s="214" customFormat="1" x14ac:dyDescent="0.2">
      <c r="B63" s="602" t="s">
        <v>209</v>
      </c>
      <c r="C63" s="602" t="s">
        <v>208</v>
      </c>
      <c r="D63" s="239">
        <v>-642399</v>
      </c>
      <c r="E63" s="239">
        <v>0</v>
      </c>
      <c r="F63" s="239">
        <v>-642399</v>
      </c>
      <c r="G63" s="239">
        <v>16173</v>
      </c>
      <c r="H63" s="239">
        <v>0</v>
      </c>
      <c r="I63" s="239">
        <v>16173</v>
      </c>
      <c r="J63" s="239">
        <v>2994099</v>
      </c>
      <c r="K63" s="239">
        <v>0</v>
      </c>
      <c r="L63" s="239">
        <v>2994099</v>
      </c>
      <c r="M63" s="239">
        <v>-2787</v>
      </c>
      <c r="N63" s="239">
        <v>0</v>
      </c>
      <c r="O63" s="239">
        <v>-2787</v>
      </c>
      <c r="P63" s="239">
        <v>2365086</v>
      </c>
      <c r="Q63" s="239">
        <v>0</v>
      </c>
      <c r="R63" s="239">
        <v>2365086</v>
      </c>
      <c r="S63" s="239">
        <v>-3566130</v>
      </c>
      <c r="T63" s="239">
        <v>0</v>
      </c>
      <c r="U63" s="239">
        <v>-3566130</v>
      </c>
      <c r="V63" s="239">
        <v>0</v>
      </c>
      <c r="W63" s="239">
        <v>0</v>
      </c>
      <c r="X63" s="239">
        <v>0</v>
      </c>
      <c r="Y63" s="239">
        <v>-154371</v>
      </c>
      <c r="Z63" s="239">
        <v>0</v>
      </c>
      <c r="AA63" s="239">
        <v>-154371</v>
      </c>
      <c r="AB63" s="239">
        <v>-154371</v>
      </c>
      <c r="AC63" s="239">
        <v>0</v>
      </c>
      <c r="AD63" s="239">
        <v>-154371</v>
      </c>
      <c r="AE63" s="239">
        <v>0</v>
      </c>
      <c r="AF63" s="239">
        <v>0</v>
      </c>
      <c r="AG63" s="239">
        <v>0</v>
      </c>
      <c r="AH63" s="239">
        <v>555838</v>
      </c>
      <c r="AI63" s="239">
        <v>0</v>
      </c>
      <c r="AJ63" s="239">
        <v>555838</v>
      </c>
      <c r="AK63" s="239">
        <v>-18536</v>
      </c>
      <c r="AL63" s="239">
        <v>0</v>
      </c>
      <c r="AM63" s="239">
        <v>-18536</v>
      </c>
      <c r="AN63" s="239">
        <v>-2109558</v>
      </c>
      <c r="AO63" s="239">
        <v>0</v>
      </c>
      <c r="AP63" s="239">
        <v>-2109558</v>
      </c>
      <c r="AQ63" s="239">
        <v>30938</v>
      </c>
      <c r="AR63" s="239">
        <v>0</v>
      </c>
      <c r="AS63" s="239">
        <v>30938</v>
      </c>
      <c r="AT63" s="239">
        <v>-30383</v>
      </c>
      <c r="AU63" s="239">
        <v>0</v>
      </c>
      <c r="AV63" s="239">
        <v>-30383</v>
      </c>
      <c r="AW63" s="239">
        <v>0</v>
      </c>
      <c r="AX63" s="239">
        <v>0</v>
      </c>
      <c r="AY63" s="239">
        <v>0</v>
      </c>
      <c r="AZ63" s="239">
        <v>-5226</v>
      </c>
      <c r="BA63" s="239">
        <v>0</v>
      </c>
      <c r="BB63" s="239">
        <v>-5226</v>
      </c>
      <c r="BC63" s="239">
        <v>0</v>
      </c>
      <c r="BD63" s="239">
        <v>0</v>
      </c>
      <c r="BE63" s="239">
        <v>0</v>
      </c>
      <c r="BF63" s="239">
        <v>-5297428</v>
      </c>
      <c r="BG63" s="239">
        <v>0</v>
      </c>
      <c r="BH63" s="239">
        <v>-5297428</v>
      </c>
      <c r="BI63" s="239">
        <v>-7123</v>
      </c>
      <c r="BJ63" s="239">
        <v>0</v>
      </c>
      <c r="BK63" s="239">
        <v>-7123</v>
      </c>
      <c r="BL63" s="239">
        <v>0</v>
      </c>
      <c r="BM63" s="239">
        <v>0</v>
      </c>
      <c r="BN63" s="239">
        <v>0</v>
      </c>
      <c r="BO63" s="239">
        <v>-686228</v>
      </c>
      <c r="BP63" s="239">
        <v>0</v>
      </c>
      <c r="BQ63" s="239">
        <v>-686228</v>
      </c>
      <c r="BR63" s="239">
        <v>26168</v>
      </c>
      <c r="BS63" s="239">
        <v>0</v>
      </c>
      <c r="BT63" s="239">
        <v>26168</v>
      </c>
      <c r="BU63" s="239">
        <v>-667183</v>
      </c>
      <c r="BV63" s="239">
        <v>0</v>
      </c>
      <c r="BW63" s="239">
        <v>-667183</v>
      </c>
      <c r="BX63" s="239">
        <v>-12197</v>
      </c>
      <c r="BY63" s="239">
        <v>0</v>
      </c>
      <c r="BZ63" s="239">
        <v>-12197</v>
      </c>
      <c r="CA63" s="239">
        <v>0</v>
      </c>
      <c r="CB63" s="239">
        <v>0</v>
      </c>
      <c r="CC63" s="239">
        <v>0</v>
      </c>
      <c r="CD63" s="239">
        <v>0</v>
      </c>
      <c r="CE63" s="239">
        <v>0</v>
      </c>
      <c r="CF63" s="239">
        <v>0</v>
      </c>
      <c r="CG63" s="239">
        <v>0</v>
      </c>
      <c r="CH63" s="239">
        <v>0</v>
      </c>
      <c r="CI63" s="239">
        <v>0</v>
      </c>
      <c r="CJ63" s="239">
        <v>0</v>
      </c>
      <c r="CK63" s="239">
        <v>0</v>
      </c>
      <c r="CL63" s="239">
        <v>0</v>
      </c>
      <c r="CM63" s="239">
        <v>0</v>
      </c>
      <c r="CN63" s="239">
        <v>0</v>
      </c>
      <c r="CO63" s="239">
        <v>0</v>
      </c>
      <c r="CP63" s="239">
        <v>0</v>
      </c>
      <c r="CQ63" s="239">
        <v>0</v>
      </c>
      <c r="CR63" s="239">
        <v>0</v>
      </c>
      <c r="CS63" s="239">
        <v>0</v>
      </c>
      <c r="CT63" s="239">
        <v>0</v>
      </c>
      <c r="CU63" s="239">
        <v>0</v>
      </c>
      <c r="CV63" s="239">
        <v>0</v>
      </c>
      <c r="CW63" s="239">
        <v>0</v>
      </c>
      <c r="CX63" s="239">
        <v>0</v>
      </c>
      <c r="CY63" s="239">
        <v>0</v>
      </c>
      <c r="CZ63" s="239">
        <v>0</v>
      </c>
      <c r="DA63" s="239">
        <v>0</v>
      </c>
      <c r="DB63" s="239">
        <v>0</v>
      </c>
      <c r="DC63" s="239">
        <v>0</v>
      </c>
      <c r="DD63" s="239">
        <v>0</v>
      </c>
      <c r="DE63" s="239">
        <v>0</v>
      </c>
      <c r="DF63" s="239">
        <v>0</v>
      </c>
      <c r="DG63" s="239">
        <v>0</v>
      </c>
      <c r="DH63" s="239">
        <v>0</v>
      </c>
      <c r="DI63" s="239">
        <v>0</v>
      </c>
      <c r="DJ63" s="239">
        <v>-12197</v>
      </c>
      <c r="DK63" s="239">
        <v>0</v>
      </c>
      <c r="DL63" s="239">
        <v>-12197</v>
      </c>
      <c r="DM63" s="239">
        <v>0</v>
      </c>
      <c r="DN63" s="239">
        <v>0</v>
      </c>
      <c r="DO63" s="239">
        <v>0</v>
      </c>
      <c r="DP63" s="239">
        <v>0</v>
      </c>
      <c r="DQ63" s="239">
        <v>0</v>
      </c>
      <c r="DR63" s="239">
        <v>0</v>
      </c>
      <c r="DS63" s="239">
        <v>0</v>
      </c>
      <c r="DT63" s="239">
        <v>0</v>
      </c>
      <c r="DU63" s="239">
        <v>0</v>
      </c>
      <c r="DV63" s="239">
        <v>0</v>
      </c>
      <c r="DW63" s="239">
        <v>0</v>
      </c>
      <c r="DX63" s="239">
        <v>0</v>
      </c>
      <c r="DY63" s="239">
        <v>3253</v>
      </c>
      <c r="DZ63" s="239">
        <v>0</v>
      </c>
      <c r="EA63" s="239">
        <v>3253</v>
      </c>
      <c r="EB63" s="239">
        <v>0</v>
      </c>
      <c r="EC63" s="239">
        <v>0</v>
      </c>
      <c r="ED63" s="239">
        <v>0</v>
      </c>
      <c r="EE63" s="239">
        <v>330</v>
      </c>
      <c r="EF63" s="239">
        <v>0</v>
      </c>
      <c r="EG63" s="239">
        <v>330</v>
      </c>
      <c r="EH63" s="239">
        <v>0</v>
      </c>
      <c r="EI63" s="239">
        <v>0</v>
      </c>
      <c r="EJ63" s="239">
        <v>0</v>
      </c>
      <c r="EK63" s="239">
        <v>-5226</v>
      </c>
      <c r="EL63" s="239">
        <v>0</v>
      </c>
      <c r="EM63" s="239">
        <v>-5226</v>
      </c>
      <c r="EN63" s="239">
        <v>0</v>
      </c>
      <c r="EO63" s="239">
        <v>0</v>
      </c>
      <c r="EP63" s="239">
        <v>0</v>
      </c>
      <c r="EQ63" s="239">
        <v>-26717</v>
      </c>
      <c r="ER63" s="239">
        <v>0</v>
      </c>
      <c r="ES63" s="239">
        <v>-26717</v>
      </c>
      <c r="ET63" s="239">
        <v>-107104</v>
      </c>
      <c r="EU63" s="239">
        <v>0</v>
      </c>
      <c r="EV63" s="239">
        <v>-107104</v>
      </c>
      <c r="EW63" s="239">
        <v>-49759</v>
      </c>
      <c r="EX63" s="239">
        <v>0</v>
      </c>
      <c r="EY63" s="239">
        <v>-49759</v>
      </c>
      <c r="EZ63" s="239">
        <v>-185223</v>
      </c>
      <c r="FA63" s="239">
        <v>0</v>
      </c>
      <c r="FB63" s="239">
        <v>-185223</v>
      </c>
      <c r="FC63" s="239">
        <v>0</v>
      </c>
      <c r="FD63" s="239">
        <v>0</v>
      </c>
      <c r="FE63" s="239">
        <v>0</v>
      </c>
      <c r="FF63" s="239">
        <v>0</v>
      </c>
      <c r="FG63" s="239">
        <v>0</v>
      </c>
      <c r="FH63" s="239">
        <v>0</v>
      </c>
      <c r="FI63" s="239">
        <v>0</v>
      </c>
      <c r="FJ63" s="239">
        <v>0</v>
      </c>
      <c r="FK63" s="239">
        <v>0</v>
      </c>
      <c r="FL63" s="239">
        <v>30660591</v>
      </c>
      <c r="FM63" s="239">
        <v>0</v>
      </c>
      <c r="FN63" s="239">
        <v>30660591</v>
      </c>
      <c r="FO63" s="239">
        <v>2365086</v>
      </c>
      <c r="FP63" s="239">
        <v>0</v>
      </c>
      <c r="FQ63" s="239">
        <v>2365086</v>
      </c>
      <c r="FR63" s="239">
        <v>-5297428</v>
      </c>
      <c r="FS63" s="239">
        <v>0</v>
      </c>
      <c r="FT63" s="239">
        <v>-5297428</v>
      </c>
      <c r="FU63" s="239">
        <v>-667183</v>
      </c>
      <c r="FV63" s="239">
        <v>0</v>
      </c>
      <c r="FW63" s="239">
        <v>-667183</v>
      </c>
      <c r="FX63" s="239">
        <v>-12197</v>
      </c>
      <c r="FY63" s="239">
        <v>0</v>
      </c>
      <c r="FZ63" s="239">
        <v>-12197</v>
      </c>
      <c r="GA63" s="239">
        <v>-185223</v>
      </c>
      <c r="GB63" s="239">
        <v>0</v>
      </c>
      <c r="GC63" s="239">
        <v>-185223</v>
      </c>
      <c r="GD63" s="239">
        <v>0</v>
      </c>
      <c r="GE63" s="239">
        <v>0</v>
      </c>
      <c r="GF63" s="239">
        <v>0</v>
      </c>
      <c r="GG63" s="239">
        <v>-3796945</v>
      </c>
      <c r="GH63" s="239">
        <v>0</v>
      </c>
      <c r="GI63" s="239">
        <v>-3796945</v>
      </c>
      <c r="GJ63" s="239">
        <v>26863646</v>
      </c>
      <c r="GK63" s="239">
        <v>0</v>
      </c>
      <c r="GL63" s="239">
        <v>26863646</v>
      </c>
      <c r="GM63" s="214" t="s">
        <v>1158</v>
      </c>
    </row>
    <row r="64" spans="2:195" s="214" customFormat="1" x14ac:dyDescent="0.2">
      <c r="B64" s="602" t="s">
        <v>211</v>
      </c>
      <c r="C64" s="602" t="s">
        <v>210</v>
      </c>
      <c r="D64" s="239">
        <v>-883584</v>
      </c>
      <c r="E64" s="239">
        <v>0</v>
      </c>
      <c r="F64" s="239">
        <v>-883584</v>
      </c>
      <c r="G64" s="239">
        <v>698</v>
      </c>
      <c r="H64" s="239">
        <v>0</v>
      </c>
      <c r="I64" s="239">
        <v>698</v>
      </c>
      <c r="J64" s="239">
        <v>726627</v>
      </c>
      <c r="K64" s="239">
        <v>0</v>
      </c>
      <c r="L64" s="239">
        <v>726627</v>
      </c>
      <c r="M64" s="239">
        <v>-1965</v>
      </c>
      <c r="N64" s="239">
        <v>0</v>
      </c>
      <c r="O64" s="239">
        <v>-1965</v>
      </c>
      <c r="P64" s="239">
        <v>-158224</v>
      </c>
      <c r="Q64" s="239">
        <v>0</v>
      </c>
      <c r="R64" s="239">
        <v>-158224</v>
      </c>
      <c r="S64" s="239">
        <v>-1888084</v>
      </c>
      <c r="T64" s="239">
        <v>0</v>
      </c>
      <c r="U64" s="239">
        <v>-1888084</v>
      </c>
      <c r="V64" s="239">
        <v>-1344</v>
      </c>
      <c r="W64" s="239">
        <v>0</v>
      </c>
      <c r="X64" s="239">
        <v>-1344</v>
      </c>
      <c r="Y64" s="239">
        <v>-74926</v>
      </c>
      <c r="Z64" s="239">
        <v>0</v>
      </c>
      <c r="AA64" s="239">
        <v>-74926</v>
      </c>
      <c r="AB64" s="239">
        <v>-70629</v>
      </c>
      <c r="AC64" s="239">
        <v>0</v>
      </c>
      <c r="AD64" s="239">
        <v>-70629</v>
      </c>
      <c r="AE64" s="239">
        <v>0</v>
      </c>
      <c r="AF64" s="239">
        <v>0</v>
      </c>
      <c r="AG64" s="239">
        <v>0</v>
      </c>
      <c r="AH64" s="239">
        <v>469718</v>
      </c>
      <c r="AI64" s="239">
        <v>0</v>
      </c>
      <c r="AJ64" s="239">
        <v>469718</v>
      </c>
      <c r="AK64" s="239">
        <v>-1713</v>
      </c>
      <c r="AL64" s="239">
        <v>0</v>
      </c>
      <c r="AM64" s="239">
        <v>-1713</v>
      </c>
      <c r="AN64" s="239">
        <v>-869257</v>
      </c>
      <c r="AO64" s="239">
        <v>0</v>
      </c>
      <c r="AP64" s="239">
        <v>-869257</v>
      </c>
      <c r="AQ64" s="239">
        <v>-21071</v>
      </c>
      <c r="AR64" s="239">
        <v>0</v>
      </c>
      <c r="AS64" s="239">
        <v>-21071</v>
      </c>
      <c r="AT64" s="239">
        <v>-31137</v>
      </c>
      <c r="AU64" s="239">
        <v>0</v>
      </c>
      <c r="AV64" s="239">
        <v>-31137</v>
      </c>
      <c r="AW64" s="239">
        <v>0</v>
      </c>
      <c r="AX64" s="239">
        <v>0</v>
      </c>
      <c r="AY64" s="239">
        <v>0</v>
      </c>
      <c r="AZ64" s="239">
        <v>0</v>
      </c>
      <c r="BA64" s="239">
        <v>0</v>
      </c>
      <c r="BB64" s="239">
        <v>0</v>
      </c>
      <c r="BC64" s="239">
        <v>0</v>
      </c>
      <c r="BD64" s="239">
        <v>0</v>
      </c>
      <c r="BE64" s="239">
        <v>0</v>
      </c>
      <c r="BF64" s="239">
        <v>-2416470</v>
      </c>
      <c r="BG64" s="239">
        <v>0</v>
      </c>
      <c r="BH64" s="239">
        <v>-2416470</v>
      </c>
      <c r="BI64" s="239">
        <v>-110106</v>
      </c>
      <c r="BJ64" s="239">
        <v>0</v>
      </c>
      <c r="BK64" s="239">
        <v>-110106</v>
      </c>
      <c r="BL64" s="239">
        <v>-64254</v>
      </c>
      <c r="BM64" s="239">
        <v>0</v>
      </c>
      <c r="BN64" s="239">
        <v>-64254</v>
      </c>
      <c r="BO64" s="239">
        <v>-601660</v>
      </c>
      <c r="BP64" s="239">
        <v>0</v>
      </c>
      <c r="BQ64" s="239">
        <v>-601660</v>
      </c>
      <c r="BR64" s="239">
        <v>24903</v>
      </c>
      <c r="BS64" s="239">
        <v>0</v>
      </c>
      <c r="BT64" s="239">
        <v>24903</v>
      </c>
      <c r="BU64" s="239">
        <v>-751117</v>
      </c>
      <c r="BV64" s="239">
        <v>0</v>
      </c>
      <c r="BW64" s="239">
        <v>-751117</v>
      </c>
      <c r="BX64" s="239">
        <v>-9144</v>
      </c>
      <c r="BY64" s="239">
        <v>0</v>
      </c>
      <c r="BZ64" s="239">
        <v>-9144</v>
      </c>
      <c r="CA64" s="239">
        <v>0</v>
      </c>
      <c r="CB64" s="239">
        <v>0</v>
      </c>
      <c r="CC64" s="239">
        <v>0</v>
      </c>
      <c r="CD64" s="239">
        <v>-4893</v>
      </c>
      <c r="CE64" s="239">
        <v>0</v>
      </c>
      <c r="CF64" s="239">
        <v>-4893</v>
      </c>
      <c r="CG64" s="239">
        <v>0</v>
      </c>
      <c r="CH64" s="239">
        <v>0</v>
      </c>
      <c r="CI64" s="239">
        <v>0</v>
      </c>
      <c r="CJ64" s="239">
        <v>-1533</v>
      </c>
      <c r="CK64" s="239">
        <v>0</v>
      </c>
      <c r="CL64" s="239">
        <v>-1533</v>
      </c>
      <c r="CM64" s="239">
        <v>0</v>
      </c>
      <c r="CN64" s="239">
        <v>0</v>
      </c>
      <c r="CO64" s="239">
        <v>0</v>
      </c>
      <c r="CP64" s="239">
        <v>0</v>
      </c>
      <c r="CQ64" s="239">
        <v>0</v>
      </c>
      <c r="CR64" s="239">
        <v>0</v>
      </c>
      <c r="CS64" s="239">
        <v>0</v>
      </c>
      <c r="CT64" s="239">
        <v>0</v>
      </c>
      <c r="CU64" s="239">
        <v>0</v>
      </c>
      <c r="CV64" s="239">
        <v>0</v>
      </c>
      <c r="CW64" s="239">
        <v>0</v>
      </c>
      <c r="CX64" s="239">
        <v>0</v>
      </c>
      <c r="CY64" s="239">
        <v>0</v>
      </c>
      <c r="CZ64" s="239">
        <v>0</v>
      </c>
      <c r="DA64" s="239">
        <v>0</v>
      </c>
      <c r="DB64" s="239">
        <v>0</v>
      </c>
      <c r="DC64" s="239">
        <v>0</v>
      </c>
      <c r="DD64" s="239">
        <v>0</v>
      </c>
      <c r="DE64" s="239">
        <v>0</v>
      </c>
      <c r="DF64" s="239">
        <v>0</v>
      </c>
      <c r="DG64" s="239">
        <v>0</v>
      </c>
      <c r="DH64" s="239">
        <v>0</v>
      </c>
      <c r="DI64" s="239">
        <v>0</v>
      </c>
      <c r="DJ64" s="239">
        <v>-15570</v>
      </c>
      <c r="DK64" s="239">
        <v>0</v>
      </c>
      <c r="DL64" s="239">
        <v>-15570</v>
      </c>
      <c r="DM64" s="239">
        <v>0</v>
      </c>
      <c r="DN64" s="239">
        <v>0</v>
      </c>
      <c r="DO64" s="239">
        <v>0</v>
      </c>
      <c r="DP64" s="239">
        <v>0</v>
      </c>
      <c r="DQ64" s="239">
        <v>0</v>
      </c>
      <c r="DR64" s="239">
        <v>0</v>
      </c>
      <c r="DS64" s="239">
        <v>0</v>
      </c>
      <c r="DT64" s="239">
        <v>0</v>
      </c>
      <c r="DU64" s="239">
        <v>0</v>
      </c>
      <c r="DV64" s="239">
        <v>0</v>
      </c>
      <c r="DW64" s="239">
        <v>0</v>
      </c>
      <c r="DX64" s="239">
        <v>0</v>
      </c>
      <c r="DY64" s="239">
        <v>5000</v>
      </c>
      <c r="DZ64" s="239">
        <v>0</v>
      </c>
      <c r="EA64" s="239">
        <v>5000</v>
      </c>
      <c r="EB64" s="239">
        <v>0</v>
      </c>
      <c r="EC64" s="239">
        <v>0</v>
      </c>
      <c r="ED64" s="239">
        <v>0</v>
      </c>
      <c r="EE64" s="239">
        <v>0</v>
      </c>
      <c r="EF64" s="239">
        <v>0</v>
      </c>
      <c r="EG64" s="239">
        <v>0</v>
      </c>
      <c r="EH64" s="239">
        <v>290</v>
      </c>
      <c r="EI64" s="239">
        <v>0</v>
      </c>
      <c r="EJ64" s="239">
        <v>290</v>
      </c>
      <c r="EK64" s="239">
        <v>0</v>
      </c>
      <c r="EL64" s="239">
        <v>0</v>
      </c>
      <c r="EM64" s="239">
        <v>0</v>
      </c>
      <c r="EN64" s="239">
        <v>0</v>
      </c>
      <c r="EO64" s="239">
        <v>0</v>
      </c>
      <c r="EP64" s="239">
        <v>0</v>
      </c>
      <c r="EQ64" s="239">
        <v>-3043</v>
      </c>
      <c r="ER64" s="239">
        <v>0</v>
      </c>
      <c r="ES64" s="239">
        <v>-3043</v>
      </c>
      <c r="ET64" s="239">
        <v>-159883</v>
      </c>
      <c r="EU64" s="239">
        <v>0</v>
      </c>
      <c r="EV64" s="239">
        <v>-159883</v>
      </c>
      <c r="EW64" s="239">
        <v>-16449</v>
      </c>
      <c r="EX64" s="239">
        <v>0</v>
      </c>
      <c r="EY64" s="239">
        <v>-16449</v>
      </c>
      <c r="EZ64" s="239">
        <v>-174085</v>
      </c>
      <c r="FA64" s="239">
        <v>0</v>
      </c>
      <c r="FB64" s="239">
        <v>-174085</v>
      </c>
      <c r="FC64" s="239">
        <v>0</v>
      </c>
      <c r="FD64" s="239">
        <v>0</v>
      </c>
      <c r="FE64" s="239">
        <v>0</v>
      </c>
      <c r="FF64" s="239">
        <v>0</v>
      </c>
      <c r="FG64" s="239">
        <v>0</v>
      </c>
      <c r="FH64" s="239">
        <v>0</v>
      </c>
      <c r="FI64" s="239">
        <v>0</v>
      </c>
      <c r="FJ64" s="239">
        <v>0</v>
      </c>
      <c r="FK64" s="239">
        <v>0</v>
      </c>
      <c r="FL64" s="239">
        <v>23691673</v>
      </c>
      <c r="FM64" s="239">
        <v>0</v>
      </c>
      <c r="FN64" s="239">
        <v>23691673</v>
      </c>
      <c r="FO64" s="239">
        <v>-158224</v>
      </c>
      <c r="FP64" s="239">
        <v>0</v>
      </c>
      <c r="FQ64" s="239">
        <v>-158224</v>
      </c>
      <c r="FR64" s="239">
        <v>-2416470</v>
      </c>
      <c r="FS64" s="239">
        <v>0</v>
      </c>
      <c r="FT64" s="239">
        <v>-2416470</v>
      </c>
      <c r="FU64" s="239">
        <v>-751117</v>
      </c>
      <c r="FV64" s="239">
        <v>0</v>
      </c>
      <c r="FW64" s="239">
        <v>-751117</v>
      </c>
      <c r="FX64" s="239">
        <v>-15570</v>
      </c>
      <c r="FY64" s="239">
        <v>0</v>
      </c>
      <c r="FZ64" s="239">
        <v>-15570</v>
      </c>
      <c r="GA64" s="239">
        <v>-174085</v>
      </c>
      <c r="GB64" s="239">
        <v>0</v>
      </c>
      <c r="GC64" s="239">
        <v>-174085</v>
      </c>
      <c r="GD64" s="239">
        <v>0</v>
      </c>
      <c r="GE64" s="239">
        <v>0</v>
      </c>
      <c r="GF64" s="239">
        <v>0</v>
      </c>
      <c r="GG64" s="239">
        <v>-3515466</v>
      </c>
      <c r="GH64" s="239">
        <v>0</v>
      </c>
      <c r="GI64" s="239">
        <v>-3515466</v>
      </c>
      <c r="GJ64" s="239">
        <v>20176207</v>
      </c>
      <c r="GK64" s="239">
        <v>0</v>
      </c>
      <c r="GL64" s="239">
        <v>20176207</v>
      </c>
      <c r="GM64" s="214" t="s">
        <v>1158</v>
      </c>
    </row>
    <row r="65" spans="1:195" s="214" customFormat="1" x14ac:dyDescent="0.2">
      <c r="B65" s="602" t="s">
        <v>213</v>
      </c>
      <c r="C65" s="602" t="s">
        <v>212</v>
      </c>
      <c r="D65" s="239">
        <v>-30935009</v>
      </c>
      <c r="E65" s="239">
        <v>0</v>
      </c>
      <c r="F65" s="239">
        <v>-30935009</v>
      </c>
      <c r="G65" s="239">
        <v>130545</v>
      </c>
      <c r="H65" s="239">
        <v>0</v>
      </c>
      <c r="I65" s="239">
        <v>130545</v>
      </c>
      <c r="J65" s="239">
        <v>1423896</v>
      </c>
      <c r="K65" s="239">
        <v>0</v>
      </c>
      <c r="L65" s="239">
        <v>1423896</v>
      </c>
      <c r="M65" s="239">
        <v>9281</v>
      </c>
      <c r="N65" s="239">
        <v>0</v>
      </c>
      <c r="O65" s="239">
        <v>9281</v>
      </c>
      <c r="P65" s="239">
        <v>-29371287</v>
      </c>
      <c r="Q65" s="239">
        <v>0</v>
      </c>
      <c r="R65" s="239">
        <v>-29371287</v>
      </c>
      <c r="S65" s="239">
        <v>-699100</v>
      </c>
      <c r="T65" s="239">
        <v>0</v>
      </c>
      <c r="U65" s="239">
        <v>-699100</v>
      </c>
      <c r="V65" s="239">
        <v>-3175</v>
      </c>
      <c r="W65" s="239">
        <v>0</v>
      </c>
      <c r="X65" s="239">
        <v>-3175</v>
      </c>
      <c r="Y65" s="239">
        <v>-55613</v>
      </c>
      <c r="Z65" s="239">
        <v>0</v>
      </c>
      <c r="AA65" s="239">
        <v>-55613</v>
      </c>
      <c r="AB65" s="239">
        <v>-55628</v>
      </c>
      <c r="AC65" s="239">
        <v>0</v>
      </c>
      <c r="AD65" s="239">
        <v>-55628</v>
      </c>
      <c r="AE65" s="239">
        <v>0</v>
      </c>
      <c r="AF65" s="239">
        <v>0</v>
      </c>
      <c r="AG65" s="239">
        <v>0</v>
      </c>
      <c r="AH65" s="239">
        <v>31090313</v>
      </c>
      <c r="AI65" s="239">
        <v>0</v>
      </c>
      <c r="AJ65" s="239">
        <v>31090313</v>
      </c>
      <c r="AK65" s="239">
        <v>-1502570</v>
      </c>
      <c r="AL65" s="239">
        <v>0</v>
      </c>
      <c r="AM65" s="239">
        <v>-1502570</v>
      </c>
      <c r="AN65" s="239">
        <v>-15603069</v>
      </c>
      <c r="AO65" s="239">
        <v>0</v>
      </c>
      <c r="AP65" s="239">
        <v>-15603069</v>
      </c>
      <c r="AQ65" s="239">
        <v>-9140</v>
      </c>
      <c r="AR65" s="239">
        <v>0</v>
      </c>
      <c r="AS65" s="239">
        <v>-9140</v>
      </c>
      <c r="AT65" s="239">
        <v>0</v>
      </c>
      <c r="AU65" s="239">
        <v>0</v>
      </c>
      <c r="AV65" s="239">
        <v>0</v>
      </c>
      <c r="AW65" s="239">
        <v>0</v>
      </c>
      <c r="AX65" s="239">
        <v>0</v>
      </c>
      <c r="AY65" s="239">
        <v>0</v>
      </c>
      <c r="AZ65" s="239">
        <v>0</v>
      </c>
      <c r="BA65" s="239">
        <v>0</v>
      </c>
      <c r="BB65" s="239">
        <v>0</v>
      </c>
      <c r="BC65" s="239">
        <v>0</v>
      </c>
      <c r="BD65" s="239">
        <v>0</v>
      </c>
      <c r="BE65" s="239">
        <v>0</v>
      </c>
      <c r="BF65" s="239">
        <v>13220821</v>
      </c>
      <c r="BG65" s="239">
        <v>0</v>
      </c>
      <c r="BH65" s="239">
        <v>13220821</v>
      </c>
      <c r="BI65" s="239">
        <v>-724995</v>
      </c>
      <c r="BJ65" s="239">
        <v>0</v>
      </c>
      <c r="BK65" s="239">
        <v>-724995</v>
      </c>
      <c r="BL65" s="239">
        <v>-515579</v>
      </c>
      <c r="BM65" s="239">
        <v>0</v>
      </c>
      <c r="BN65" s="239">
        <v>-515579</v>
      </c>
      <c r="BO65" s="239">
        <v>-45662936</v>
      </c>
      <c r="BP65" s="239">
        <v>0</v>
      </c>
      <c r="BQ65" s="239">
        <v>-45662936</v>
      </c>
      <c r="BR65" s="239">
        <v>2311124</v>
      </c>
      <c r="BS65" s="239">
        <v>0</v>
      </c>
      <c r="BT65" s="239">
        <v>2311124</v>
      </c>
      <c r="BU65" s="239">
        <v>-44592386</v>
      </c>
      <c r="BV65" s="239">
        <v>0</v>
      </c>
      <c r="BW65" s="239">
        <v>-44592386</v>
      </c>
      <c r="BX65" s="239">
        <v>-174173</v>
      </c>
      <c r="BY65" s="239">
        <v>0</v>
      </c>
      <c r="BZ65" s="239">
        <v>-174173</v>
      </c>
      <c r="CA65" s="239">
        <v>-3374</v>
      </c>
      <c r="CB65" s="239">
        <v>0</v>
      </c>
      <c r="CC65" s="239">
        <v>-3374</v>
      </c>
      <c r="CD65" s="239">
        <v>-191946</v>
      </c>
      <c r="CE65" s="239">
        <v>0</v>
      </c>
      <c r="CF65" s="239">
        <v>-191946</v>
      </c>
      <c r="CG65" s="239">
        <v>-96852</v>
      </c>
      <c r="CH65" s="239">
        <v>0</v>
      </c>
      <c r="CI65" s="239">
        <v>-96852</v>
      </c>
      <c r="CJ65" s="239">
        <v>0</v>
      </c>
      <c r="CK65" s="239">
        <v>0</v>
      </c>
      <c r="CL65" s="239">
        <v>0</v>
      </c>
      <c r="CM65" s="239">
        <v>0</v>
      </c>
      <c r="CN65" s="239">
        <v>0</v>
      </c>
      <c r="CO65" s="239">
        <v>0</v>
      </c>
      <c r="CP65" s="239">
        <v>0</v>
      </c>
      <c r="CQ65" s="239">
        <v>0</v>
      </c>
      <c r="CR65" s="239">
        <v>0</v>
      </c>
      <c r="CS65" s="239">
        <v>0</v>
      </c>
      <c r="CT65" s="239">
        <v>0</v>
      </c>
      <c r="CU65" s="239">
        <v>0</v>
      </c>
      <c r="CV65" s="239">
        <v>0</v>
      </c>
      <c r="CW65" s="239">
        <v>0</v>
      </c>
      <c r="CX65" s="239">
        <v>0</v>
      </c>
      <c r="CY65" s="239">
        <v>0</v>
      </c>
      <c r="CZ65" s="239">
        <v>0</v>
      </c>
      <c r="DA65" s="239">
        <v>0</v>
      </c>
      <c r="DB65" s="239">
        <v>0</v>
      </c>
      <c r="DC65" s="239">
        <v>0</v>
      </c>
      <c r="DD65" s="239">
        <v>0</v>
      </c>
      <c r="DE65" s="239">
        <v>0</v>
      </c>
      <c r="DF65" s="239">
        <v>0</v>
      </c>
      <c r="DG65" s="239">
        <v>0</v>
      </c>
      <c r="DH65" s="239">
        <v>0</v>
      </c>
      <c r="DI65" s="239">
        <v>0</v>
      </c>
      <c r="DJ65" s="239">
        <v>-466345</v>
      </c>
      <c r="DK65" s="239">
        <v>0</v>
      </c>
      <c r="DL65" s="239">
        <v>-466345</v>
      </c>
      <c r="DM65" s="239">
        <v>-62128</v>
      </c>
      <c r="DN65" s="239">
        <v>0</v>
      </c>
      <c r="DO65" s="239">
        <v>-62128</v>
      </c>
      <c r="DP65" s="239">
        <v>0</v>
      </c>
      <c r="DQ65" s="239">
        <v>0</v>
      </c>
      <c r="DR65" s="239">
        <v>0</v>
      </c>
      <c r="DS65" s="239">
        <v>-19184</v>
      </c>
      <c r="DT65" s="239">
        <v>0</v>
      </c>
      <c r="DU65" s="239">
        <v>-19184</v>
      </c>
      <c r="DV65" s="239">
        <v>0</v>
      </c>
      <c r="DW65" s="239">
        <v>0</v>
      </c>
      <c r="DX65" s="239">
        <v>0</v>
      </c>
      <c r="DY65" s="239">
        <v>1488</v>
      </c>
      <c r="DZ65" s="239">
        <v>0</v>
      </c>
      <c r="EA65" s="239">
        <v>1488</v>
      </c>
      <c r="EB65" s="239">
        <v>0</v>
      </c>
      <c r="EC65" s="239">
        <v>0</v>
      </c>
      <c r="ED65" s="239">
        <v>0</v>
      </c>
      <c r="EE65" s="239">
        <v>0</v>
      </c>
      <c r="EF65" s="239">
        <v>0</v>
      </c>
      <c r="EG65" s="239">
        <v>0</v>
      </c>
      <c r="EH65" s="239">
        <v>386</v>
      </c>
      <c r="EI65" s="239">
        <v>0</v>
      </c>
      <c r="EJ65" s="239">
        <v>386</v>
      </c>
      <c r="EK65" s="239">
        <v>0</v>
      </c>
      <c r="EL65" s="239">
        <v>0</v>
      </c>
      <c r="EM65" s="239">
        <v>0</v>
      </c>
      <c r="EN65" s="239">
        <v>0</v>
      </c>
      <c r="EO65" s="239">
        <v>0</v>
      </c>
      <c r="EP65" s="239">
        <v>0</v>
      </c>
      <c r="EQ65" s="239">
        <v>-29331</v>
      </c>
      <c r="ER65" s="239">
        <v>0</v>
      </c>
      <c r="ES65" s="239">
        <v>-29331</v>
      </c>
      <c r="ET65" s="239">
        <v>-5443893</v>
      </c>
      <c r="EU65" s="239">
        <v>0</v>
      </c>
      <c r="EV65" s="239">
        <v>-5443893</v>
      </c>
      <c r="EW65" s="239">
        <v>-49679</v>
      </c>
      <c r="EX65" s="239">
        <v>0</v>
      </c>
      <c r="EY65" s="239">
        <v>-49679</v>
      </c>
      <c r="EZ65" s="239">
        <v>-5602341</v>
      </c>
      <c r="FA65" s="239">
        <v>0</v>
      </c>
      <c r="FB65" s="239">
        <v>-5602341</v>
      </c>
      <c r="FC65" s="239">
        <v>0</v>
      </c>
      <c r="FD65" s="239">
        <v>0</v>
      </c>
      <c r="FE65" s="239">
        <v>0</v>
      </c>
      <c r="FF65" s="239">
        <v>0</v>
      </c>
      <c r="FG65" s="239">
        <v>0</v>
      </c>
      <c r="FH65" s="239">
        <v>0</v>
      </c>
      <c r="FI65" s="239">
        <v>0</v>
      </c>
      <c r="FJ65" s="239">
        <v>0</v>
      </c>
      <c r="FK65" s="239">
        <v>0</v>
      </c>
      <c r="FL65" s="239">
        <v>1105085211</v>
      </c>
      <c r="FM65" s="239">
        <v>0</v>
      </c>
      <c r="FN65" s="239">
        <v>1105085211</v>
      </c>
      <c r="FO65" s="239">
        <v>-29371287</v>
      </c>
      <c r="FP65" s="239">
        <v>0</v>
      </c>
      <c r="FQ65" s="239">
        <v>-29371287</v>
      </c>
      <c r="FR65" s="239">
        <v>13220821</v>
      </c>
      <c r="FS65" s="239">
        <v>0</v>
      </c>
      <c r="FT65" s="239">
        <v>13220821</v>
      </c>
      <c r="FU65" s="239">
        <v>-44592386</v>
      </c>
      <c r="FV65" s="239">
        <v>0</v>
      </c>
      <c r="FW65" s="239">
        <v>-44592386</v>
      </c>
      <c r="FX65" s="239">
        <v>-466345</v>
      </c>
      <c r="FY65" s="239">
        <v>0</v>
      </c>
      <c r="FZ65" s="239">
        <v>-466345</v>
      </c>
      <c r="GA65" s="239">
        <v>-5602341</v>
      </c>
      <c r="GB65" s="239">
        <v>0</v>
      </c>
      <c r="GC65" s="239">
        <v>-5602341</v>
      </c>
      <c r="GD65" s="239">
        <v>0</v>
      </c>
      <c r="GE65" s="239">
        <v>0</v>
      </c>
      <c r="GF65" s="239">
        <v>0</v>
      </c>
      <c r="GG65" s="239">
        <v>-66811538</v>
      </c>
      <c r="GH65" s="239">
        <v>0</v>
      </c>
      <c r="GI65" s="239">
        <v>-66811538</v>
      </c>
      <c r="GJ65" s="239">
        <v>1038273673</v>
      </c>
      <c r="GK65" s="239">
        <v>0</v>
      </c>
      <c r="GL65" s="239">
        <v>1038273673</v>
      </c>
      <c r="GM65" s="214" t="s">
        <v>1161</v>
      </c>
    </row>
    <row r="66" spans="1:195" s="214" customFormat="1" x14ac:dyDescent="0.2">
      <c r="B66" s="602" t="s">
        <v>215</v>
      </c>
      <c r="C66" s="602" t="s">
        <v>214</v>
      </c>
      <c r="D66" s="239">
        <v>-2178456</v>
      </c>
      <c r="E66" s="239">
        <v>0</v>
      </c>
      <c r="F66" s="239">
        <v>-2178456</v>
      </c>
      <c r="G66" s="239">
        <v>4440</v>
      </c>
      <c r="H66" s="239">
        <v>0</v>
      </c>
      <c r="I66" s="239">
        <v>4440</v>
      </c>
      <c r="J66" s="239">
        <v>3814535</v>
      </c>
      <c r="K66" s="239">
        <v>0</v>
      </c>
      <c r="L66" s="239">
        <v>3814535</v>
      </c>
      <c r="M66" s="239">
        <v>135601</v>
      </c>
      <c r="N66" s="239">
        <v>0</v>
      </c>
      <c r="O66" s="239">
        <v>135601</v>
      </c>
      <c r="P66" s="239">
        <v>1776120</v>
      </c>
      <c r="Q66" s="239">
        <v>0</v>
      </c>
      <c r="R66" s="239">
        <v>1776120</v>
      </c>
      <c r="S66" s="239">
        <v>-5420542</v>
      </c>
      <c r="T66" s="239">
        <v>0</v>
      </c>
      <c r="U66" s="239">
        <v>-5420542</v>
      </c>
      <c r="V66" s="239">
        <v>0</v>
      </c>
      <c r="W66" s="239">
        <v>0</v>
      </c>
      <c r="X66" s="239">
        <v>0</v>
      </c>
      <c r="Y66" s="239">
        <v>-168186</v>
      </c>
      <c r="Z66" s="239">
        <v>0</v>
      </c>
      <c r="AA66" s="239">
        <v>-168186</v>
      </c>
      <c r="AB66" s="239">
        <v>-141517</v>
      </c>
      <c r="AC66" s="239">
        <v>0</v>
      </c>
      <c r="AD66" s="239">
        <v>-141517</v>
      </c>
      <c r="AE66" s="239">
        <v>0</v>
      </c>
      <c r="AF66" s="239">
        <v>0</v>
      </c>
      <c r="AG66" s="239">
        <v>0</v>
      </c>
      <c r="AH66" s="239">
        <v>1488749</v>
      </c>
      <c r="AI66" s="239">
        <v>0</v>
      </c>
      <c r="AJ66" s="239">
        <v>1488749</v>
      </c>
      <c r="AK66" s="239">
        <v>-27998</v>
      </c>
      <c r="AL66" s="239">
        <v>0</v>
      </c>
      <c r="AM66" s="239">
        <v>-27998</v>
      </c>
      <c r="AN66" s="239">
        <v>-6063935</v>
      </c>
      <c r="AO66" s="239">
        <v>0</v>
      </c>
      <c r="AP66" s="239">
        <v>-6063935</v>
      </c>
      <c r="AQ66" s="239">
        <v>-374149</v>
      </c>
      <c r="AR66" s="239">
        <v>0</v>
      </c>
      <c r="AS66" s="239">
        <v>-374149</v>
      </c>
      <c r="AT66" s="239">
        <v>-58697</v>
      </c>
      <c r="AU66" s="239">
        <v>0</v>
      </c>
      <c r="AV66" s="239">
        <v>-58697</v>
      </c>
      <c r="AW66" s="239">
        <v>-2784</v>
      </c>
      <c r="AX66" s="239">
        <v>0</v>
      </c>
      <c r="AY66" s="239">
        <v>-2784</v>
      </c>
      <c r="AZ66" s="239">
        <v>-4959</v>
      </c>
      <c r="BA66" s="239">
        <v>0</v>
      </c>
      <c r="BB66" s="239">
        <v>-4959</v>
      </c>
      <c r="BC66" s="239">
        <v>0</v>
      </c>
      <c r="BD66" s="239">
        <v>0</v>
      </c>
      <c r="BE66" s="239">
        <v>0</v>
      </c>
      <c r="BF66" s="239">
        <v>-10632501</v>
      </c>
      <c r="BG66" s="239">
        <v>0</v>
      </c>
      <c r="BH66" s="239">
        <v>-10632501</v>
      </c>
      <c r="BI66" s="239">
        <v>-24099</v>
      </c>
      <c r="BJ66" s="239">
        <v>0</v>
      </c>
      <c r="BK66" s="239">
        <v>-24099</v>
      </c>
      <c r="BL66" s="239">
        <v>-8436</v>
      </c>
      <c r="BM66" s="239">
        <v>0</v>
      </c>
      <c r="BN66" s="239">
        <v>-8436</v>
      </c>
      <c r="BO66" s="239">
        <v>-1618232</v>
      </c>
      <c r="BP66" s="239">
        <v>0</v>
      </c>
      <c r="BQ66" s="239">
        <v>-1618232</v>
      </c>
      <c r="BR66" s="239">
        <v>88951</v>
      </c>
      <c r="BS66" s="239">
        <v>0</v>
      </c>
      <c r="BT66" s="239">
        <v>88951</v>
      </c>
      <c r="BU66" s="239">
        <v>-1561816</v>
      </c>
      <c r="BV66" s="239">
        <v>0</v>
      </c>
      <c r="BW66" s="239">
        <v>-1561816</v>
      </c>
      <c r="BX66" s="239">
        <v>-219185</v>
      </c>
      <c r="BY66" s="239">
        <v>0</v>
      </c>
      <c r="BZ66" s="239">
        <v>-219185</v>
      </c>
      <c r="CA66" s="239">
        <v>-1256</v>
      </c>
      <c r="CB66" s="239">
        <v>0</v>
      </c>
      <c r="CC66" s="239">
        <v>-1256</v>
      </c>
      <c r="CD66" s="239">
        <v>0</v>
      </c>
      <c r="CE66" s="239">
        <v>0</v>
      </c>
      <c r="CF66" s="239">
        <v>0</v>
      </c>
      <c r="CG66" s="239">
        <v>0</v>
      </c>
      <c r="CH66" s="239">
        <v>0</v>
      </c>
      <c r="CI66" s="239">
        <v>0</v>
      </c>
      <c r="CJ66" s="239">
        <v>-14186</v>
      </c>
      <c r="CK66" s="239">
        <v>0</v>
      </c>
      <c r="CL66" s="239">
        <v>-14186</v>
      </c>
      <c r="CM66" s="239">
        <v>-696</v>
      </c>
      <c r="CN66" s="239">
        <v>0</v>
      </c>
      <c r="CO66" s="239">
        <v>-696</v>
      </c>
      <c r="CP66" s="239">
        <v>0</v>
      </c>
      <c r="CQ66" s="239">
        <v>0</v>
      </c>
      <c r="CR66" s="239">
        <v>0</v>
      </c>
      <c r="CS66" s="239">
        <v>0</v>
      </c>
      <c r="CT66" s="239">
        <v>0</v>
      </c>
      <c r="CU66" s="239">
        <v>0</v>
      </c>
      <c r="CV66" s="239">
        <v>0</v>
      </c>
      <c r="CW66" s="239">
        <v>0</v>
      </c>
      <c r="CX66" s="239">
        <v>0</v>
      </c>
      <c r="CY66" s="239">
        <v>0</v>
      </c>
      <c r="CZ66" s="239">
        <v>0</v>
      </c>
      <c r="DA66" s="239">
        <v>0</v>
      </c>
      <c r="DB66" s="239">
        <v>0</v>
      </c>
      <c r="DC66" s="239">
        <v>0</v>
      </c>
      <c r="DD66" s="239">
        <v>0</v>
      </c>
      <c r="DE66" s="239">
        <v>0</v>
      </c>
      <c r="DF66" s="239">
        <v>0</v>
      </c>
      <c r="DG66" s="239">
        <v>0</v>
      </c>
      <c r="DH66" s="239">
        <v>0</v>
      </c>
      <c r="DI66" s="239">
        <v>0</v>
      </c>
      <c r="DJ66" s="239">
        <v>-235323</v>
      </c>
      <c r="DK66" s="239">
        <v>0</v>
      </c>
      <c r="DL66" s="239">
        <v>-235323</v>
      </c>
      <c r="DM66" s="239">
        <v>0</v>
      </c>
      <c r="DN66" s="239">
        <v>0</v>
      </c>
      <c r="DO66" s="239">
        <v>0</v>
      </c>
      <c r="DP66" s="239">
        <v>-702</v>
      </c>
      <c r="DQ66" s="239">
        <v>0</v>
      </c>
      <c r="DR66" s="239">
        <v>-702</v>
      </c>
      <c r="DS66" s="239">
        <v>0</v>
      </c>
      <c r="DT66" s="239">
        <v>0</v>
      </c>
      <c r="DU66" s="239">
        <v>0</v>
      </c>
      <c r="DV66" s="239">
        <v>0</v>
      </c>
      <c r="DW66" s="239">
        <v>0</v>
      </c>
      <c r="DX66" s="239">
        <v>0</v>
      </c>
      <c r="DY66" s="239">
        <v>3889</v>
      </c>
      <c r="DZ66" s="239">
        <v>0</v>
      </c>
      <c r="EA66" s="239">
        <v>3889</v>
      </c>
      <c r="EB66" s="239">
        <v>0</v>
      </c>
      <c r="EC66" s="239">
        <v>0</v>
      </c>
      <c r="ED66" s="239">
        <v>0</v>
      </c>
      <c r="EE66" s="239">
        <v>0</v>
      </c>
      <c r="EF66" s="239">
        <v>0</v>
      </c>
      <c r="EG66" s="239">
        <v>0</v>
      </c>
      <c r="EH66" s="239">
        <v>154</v>
      </c>
      <c r="EI66" s="239">
        <v>0</v>
      </c>
      <c r="EJ66" s="239">
        <v>154</v>
      </c>
      <c r="EK66" s="239">
        <v>-4959</v>
      </c>
      <c r="EL66" s="239">
        <v>0</v>
      </c>
      <c r="EM66" s="239">
        <v>-4959</v>
      </c>
      <c r="EN66" s="239">
        <v>-1500</v>
      </c>
      <c r="EO66" s="239">
        <v>0</v>
      </c>
      <c r="EP66" s="239">
        <v>-1500</v>
      </c>
      <c r="EQ66" s="239">
        <v>-30832</v>
      </c>
      <c r="ER66" s="239">
        <v>0</v>
      </c>
      <c r="ES66" s="239">
        <v>-30832</v>
      </c>
      <c r="ET66" s="239">
        <v>-291500</v>
      </c>
      <c r="EU66" s="239">
        <v>0</v>
      </c>
      <c r="EV66" s="239">
        <v>-291500</v>
      </c>
      <c r="EW66" s="239">
        <v>-68890</v>
      </c>
      <c r="EX66" s="239">
        <v>0</v>
      </c>
      <c r="EY66" s="239">
        <v>-68890</v>
      </c>
      <c r="EZ66" s="239">
        <v>-394340</v>
      </c>
      <c r="FA66" s="239">
        <v>0</v>
      </c>
      <c r="FB66" s="239">
        <v>-394340</v>
      </c>
      <c r="FC66" s="239">
        <v>-10257</v>
      </c>
      <c r="FD66" s="239">
        <v>0</v>
      </c>
      <c r="FE66" s="239">
        <v>-10257</v>
      </c>
      <c r="FF66" s="239">
        <v>-2946</v>
      </c>
      <c r="FG66" s="239">
        <v>0</v>
      </c>
      <c r="FH66" s="239">
        <v>-2946</v>
      </c>
      <c r="FI66" s="239">
        <v>-13203</v>
      </c>
      <c r="FJ66" s="239">
        <v>0</v>
      </c>
      <c r="FK66" s="239">
        <v>-13203</v>
      </c>
      <c r="FL66" s="239">
        <v>74527395</v>
      </c>
      <c r="FM66" s="239">
        <v>0</v>
      </c>
      <c r="FN66" s="239">
        <v>74527395</v>
      </c>
      <c r="FO66" s="239">
        <v>1776120</v>
      </c>
      <c r="FP66" s="239">
        <v>0</v>
      </c>
      <c r="FQ66" s="239">
        <v>1776120</v>
      </c>
      <c r="FR66" s="239">
        <v>-10632501</v>
      </c>
      <c r="FS66" s="239">
        <v>0</v>
      </c>
      <c r="FT66" s="239">
        <v>-10632501</v>
      </c>
      <c r="FU66" s="239">
        <v>-1561816</v>
      </c>
      <c r="FV66" s="239">
        <v>0</v>
      </c>
      <c r="FW66" s="239">
        <v>-1561816</v>
      </c>
      <c r="FX66" s="239">
        <v>-235323</v>
      </c>
      <c r="FY66" s="239">
        <v>0</v>
      </c>
      <c r="FZ66" s="239">
        <v>-235323</v>
      </c>
      <c r="GA66" s="239">
        <v>-394340</v>
      </c>
      <c r="GB66" s="239">
        <v>0</v>
      </c>
      <c r="GC66" s="239">
        <v>-394340</v>
      </c>
      <c r="GD66" s="239">
        <v>-13203</v>
      </c>
      <c r="GE66" s="239">
        <v>0</v>
      </c>
      <c r="GF66" s="239">
        <v>-13203</v>
      </c>
      <c r="GG66" s="239">
        <v>-11061063</v>
      </c>
      <c r="GH66" s="239">
        <v>0</v>
      </c>
      <c r="GI66" s="239">
        <v>-11061063</v>
      </c>
      <c r="GJ66" s="239">
        <v>63466332</v>
      </c>
      <c r="GK66" s="239">
        <v>0</v>
      </c>
      <c r="GL66" s="239">
        <v>63466332</v>
      </c>
      <c r="GM66" s="214" t="s">
        <v>1158</v>
      </c>
    </row>
    <row r="67" spans="1:195" s="214" customFormat="1" x14ac:dyDescent="0.2">
      <c r="A67" s="215" t="s">
        <v>1668</v>
      </c>
      <c r="B67" s="602" t="s">
        <v>217</v>
      </c>
      <c r="C67" s="602" t="s">
        <v>216</v>
      </c>
      <c r="D67" s="239">
        <v>-1285648</v>
      </c>
      <c r="E67" s="239">
        <v>0</v>
      </c>
      <c r="F67" s="239">
        <v>-1285648</v>
      </c>
      <c r="G67" s="239">
        <v>-34454</v>
      </c>
      <c r="H67" s="239">
        <v>0</v>
      </c>
      <c r="I67" s="239">
        <v>-34454</v>
      </c>
      <c r="J67" s="239">
        <v>8120356</v>
      </c>
      <c r="K67" s="239">
        <v>0</v>
      </c>
      <c r="L67" s="239">
        <v>8120356</v>
      </c>
      <c r="M67" s="239">
        <v>6245</v>
      </c>
      <c r="N67" s="239">
        <v>0</v>
      </c>
      <c r="O67" s="239">
        <v>6245</v>
      </c>
      <c r="P67" s="239">
        <v>6806499</v>
      </c>
      <c r="Q67" s="239">
        <v>0</v>
      </c>
      <c r="R67" s="239">
        <v>6806499</v>
      </c>
      <c r="S67" s="239">
        <v>-1981307</v>
      </c>
      <c r="T67" s="239">
        <v>0</v>
      </c>
      <c r="U67" s="239">
        <v>-1981307</v>
      </c>
      <c r="V67" s="239">
        <v>0</v>
      </c>
      <c r="W67" s="239">
        <v>0</v>
      </c>
      <c r="X67" s="239">
        <v>0</v>
      </c>
      <c r="Y67" s="239">
        <v>-214723</v>
      </c>
      <c r="Z67" s="239">
        <v>0</v>
      </c>
      <c r="AA67" s="239">
        <v>-214723</v>
      </c>
      <c r="AB67" s="239">
        <v>-163451</v>
      </c>
      <c r="AC67" s="239">
        <v>0</v>
      </c>
      <c r="AD67" s="239">
        <v>-163451</v>
      </c>
      <c r="AE67" s="239">
        <v>0</v>
      </c>
      <c r="AF67" s="239">
        <v>0</v>
      </c>
      <c r="AG67" s="239">
        <v>0</v>
      </c>
      <c r="AH67" s="239">
        <v>839029</v>
      </c>
      <c r="AI67" s="239">
        <v>0</v>
      </c>
      <c r="AJ67" s="239">
        <v>839029</v>
      </c>
      <c r="AK67" s="239">
        <v>-20578</v>
      </c>
      <c r="AL67" s="239">
        <v>0</v>
      </c>
      <c r="AM67" s="239">
        <v>-20578</v>
      </c>
      <c r="AN67" s="239">
        <v>-1301822</v>
      </c>
      <c r="AO67" s="239">
        <v>0</v>
      </c>
      <c r="AP67" s="239">
        <v>-1301822</v>
      </c>
      <c r="AQ67" s="239">
        <v>-19206</v>
      </c>
      <c r="AR67" s="239">
        <v>0</v>
      </c>
      <c r="AS67" s="239">
        <v>-19206</v>
      </c>
      <c r="AT67" s="239">
        <v>-65618</v>
      </c>
      <c r="AU67" s="239">
        <v>0</v>
      </c>
      <c r="AV67" s="239">
        <v>-65618</v>
      </c>
      <c r="AW67" s="239">
        <v>0</v>
      </c>
      <c r="AX67" s="239">
        <v>0</v>
      </c>
      <c r="AY67" s="239">
        <v>0</v>
      </c>
      <c r="AZ67" s="239">
        <v>-16737</v>
      </c>
      <c r="BA67" s="239">
        <v>0</v>
      </c>
      <c r="BB67" s="239">
        <v>-16737</v>
      </c>
      <c r="BC67" s="239">
        <v>-101</v>
      </c>
      <c r="BD67" s="239">
        <v>0</v>
      </c>
      <c r="BE67" s="239">
        <v>-101</v>
      </c>
      <c r="BF67" s="239">
        <v>-2781063</v>
      </c>
      <c r="BG67" s="239">
        <v>0</v>
      </c>
      <c r="BH67" s="239">
        <v>-2781063</v>
      </c>
      <c r="BI67" s="239">
        <v>0</v>
      </c>
      <c r="BJ67" s="239">
        <v>0</v>
      </c>
      <c r="BK67" s="239">
        <v>0</v>
      </c>
      <c r="BL67" s="239">
        <v>0</v>
      </c>
      <c r="BM67" s="239">
        <v>0</v>
      </c>
      <c r="BN67" s="239">
        <v>0</v>
      </c>
      <c r="BO67" s="239">
        <v>-290243</v>
      </c>
      <c r="BP67" s="239">
        <v>0</v>
      </c>
      <c r="BQ67" s="239">
        <v>-290243</v>
      </c>
      <c r="BR67" s="239">
        <v>-13530</v>
      </c>
      <c r="BS67" s="239">
        <v>0</v>
      </c>
      <c r="BT67" s="239">
        <v>-13530</v>
      </c>
      <c r="BU67" s="239">
        <v>-303773</v>
      </c>
      <c r="BV67" s="239">
        <v>0</v>
      </c>
      <c r="BW67" s="239">
        <v>-303773</v>
      </c>
      <c r="BX67" s="239">
        <v>-1521</v>
      </c>
      <c r="BY67" s="239">
        <v>0</v>
      </c>
      <c r="BZ67" s="239">
        <v>-1521</v>
      </c>
      <c r="CA67" s="239">
        <v>0</v>
      </c>
      <c r="CB67" s="239">
        <v>0</v>
      </c>
      <c r="CC67" s="239">
        <v>0</v>
      </c>
      <c r="CD67" s="239">
        <v>0</v>
      </c>
      <c r="CE67" s="239">
        <v>0</v>
      </c>
      <c r="CF67" s="239">
        <v>0</v>
      </c>
      <c r="CG67" s="239">
        <v>-8291</v>
      </c>
      <c r="CH67" s="239">
        <v>0</v>
      </c>
      <c r="CI67" s="239">
        <v>-8291</v>
      </c>
      <c r="CJ67" s="239">
        <v>0</v>
      </c>
      <c r="CK67" s="239">
        <v>0</v>
      </c>
      <c r="CL67" s="239">
        <v>0</v>
      </c>
      <c r="CM67" s="239">
        <v>0</v>
      </c>
      <c r="CN67" s="239">
        <v>0</v>
      </c>
      <c r="CO67" s="239">
        <v>0</v>
      </c>
      <c r="CP67" s="239">
        <v>0</v>
      </c>
      <c r="CQ67" s="239">
        <v>0</v>
      </c>
      <c r="CR67" s="239">
        <v>0</v>
      </c>
      <c r="CS67" s="239">
        <v>0</v>
      </c>
      <c r="CT67" s="239">
        <v>0</v>
      </c>
      <c r="CU67" s="239">
        <v>0</v>
      </c>
      <c r="CV67" s="239">
        <v>0</v>
      </c>
      <c r="CW67" s="239">
        <v>0</v>
      </c>
      <c r="CX67" s="239">
        <v>0</v>
      </c>
      <c r="CY67" s="239">
        <v>0</v>
      </c>
      <c r="CZ67" s="239">
        <v>0</v>
      </c>
      <c r="DA67" s="239">
        <v>0</v>
      </c>
      <c r="DB67" s="239">
        <v>0</v>
      </c>
      <c r="DC67" s="239">
        <v>0</v>
      </c>
      <c r="DD67" s="239">
        <v>0</v>
      </c>
      <c r="DE67" s="239">
        <v>0</v>
      </c>
      <c r="DF67" s="239">
        <v>0</v>
      </c>
      <c r="DG67" s="239">
        <v>0</v>
      </c>
      <c r="DH67" s="239">
        <v>0</v>
      </c>
      <c r="DI67" s="239">
        <v>0</v>
      </c>
      <c r="DJ67" s="239">
        <v>-9812</v>
      </c>
      <c r="DK67" s="239">
        <v>0</v>
      </c>
      <c r="DL67" s="239">
        <v>-9812</v>
      </c>
      <c r="DM67" s="239">
        <v>0</v>
      </c>
      <c r="DN67" s="239">
        <v>0</v>
      </c>
      <c r="DO67" s="239">
        <v>0</v>
      </c>
      <c r="DP67" s="239">
        <v>0</v>
      </c>
      <c r="DQ67" s="239">
        <v>0</v>
      </c>
      <c r="DR67" s="239">
        <v>0</v>
      </c>
      <c r="DS67" s="239">
        <v>0</v>
      </c>
      <c r="DT67" s="239">
        <v>0</v>
      </c>
      <c r="DU67" s="239">
        <v>0</v>
      </c>
      <c r="DV67" s="239">
        <v>0</v>
      </c>
      <c r="DW67" s="239">
        <v>0</v>
      </c>
      <c r="DX67" s="239">
        <v>0</v>
      </c>
      <c r="DY67" s="239">
        <v>3146</v>
      </c>
      <c r="DZ67" s="239">
        <v>0</v>
      </c>
      <c r="EA67" s="239">
        <v>3146</v>
      </c>
      <c r="EB67" s="239">
        <v>0</v>
      </c>
      <c r="EC67" s="239">
        <v>0</v>
      </c>
      <c r="ED67" s="239">
        <v>0</v>
      </c>
      <c r="EE67" s="239">
        <v>0</v>
      </c>
      <c r="EF67" s="239">
        <v>0</v>
      </c>
      <c r="EG67" s="239">
        <v>0</v>
      </c>
      <c r="EH67" s="239">
        <v>46</v>
      </c>
      <c r="EI67" s="239">
        <v>0</v>
      </c>
      <c r="EJ67" s="239">
        <v>46</v>
      </c>
      <c r="EK67" s="239">
        <v>-16737</v>
      </c>
      <c r="EL67" s="239">
        <v>0</v>
      </c>
      <c r="EM67" s="239">
        <v>-16737</v>
      </c>
      <c r="EN67" s="239">
        <v>-1500</v>
      </c>
      <c r="EO67" s="239">
        <v>0</v>
      </c>
      <c r="EP67" s="239">
        <v>-1500</v>
      </c>
      <c r="EQ67" s="239">
        <v>-15457</v>
      </c>
      <c r="ER67" s="239">
        <v>0</v>
      </c>
      <c r="ES67" s="239">
        <v>-15457</v>
      </c>
      <c r="ET67" s="239">
        <v>-179426</v>
      </c>
      <c r="EU67" s="239">
        <v>0</v>
      </c>
      <c r="EV67" s="239">
        <v>-179426</v>
      </c>
      <c r="EW67" s="239">
        <v>-54896</v>
      </c>
      <c r="EX67" s="239">
        <v>0</v>
      </c>
      <c r="EY67" s="239">
        <v>-54896</v>
      </c>
      <c r="EZ67" s="239">
        <v>-264824</v>
      </c>
      <c r="FA67" s="239">
        <v>0</v>
      </c>
      <c r="FB67" s="239">
        <v>-264824</v>
      </c>
      <c r="FC67" s="239">
        <v>0</v>
      </c>
      <c r="FD67" s="239">
        <v>0</v>
      </c>
      <c r="FE67" s="239">
        <v>0</v>
      </c>
      <c r="FF67" s="239">
        <v>0</v>
      </c>
      <c r="FG67" s="239">
        <v>0</v>
      </c>
      <c r="FH67" s="239">
        <v>0</v>
      </c>
      <c r="FI67" s="239">
        <v>0</v>
      </c>
      <c r="FJ67" s="239">
        <v>0</v>
      </c>
      <c r="FK67" s="239">
        <v>0</v>
      </c>
      <c r="FL67" s="239">
        <v>37070543</v>
      </c>
      <c r="FM67" s="239">
        <v>0</v>
      </c>
      <c r="FN67" s="239">
        <v>37070543</v>
      </c>
      <c r="FO67" s="239">
        <v>6806499</v>
      </c>
      <c r="FP67" s="239">
        <v>0</v>
      </c>
      <c r="FQ67" s="239">
        <v>6806499</v>
      </c>
      <c r="FR67" s="239">
        <v>-2781063</v>
      </c>
      <c r="FS67" s="239">
        <v>0</v>
      </c>
      <c r="FT67" s="239">
        <v>-2781063</v>
      </c>
      <c r="FU67" s="239">
        <v>-303773</v>
      </c>
      <c r="FV67" s="239">
        <v>0</v>
      </c>
      <c r="FW67" s="239">
        <v>-303773</v>
      </c>
      <c r="FX67" s="239">
        <v>-9812</v>
      </c>
      <c r="FY67" s="239">
        <v>0</v>
      </c>
      <c r="FZ67" s="239">
        <v>-9812</v>
      </c>
      <c r="GA67" s="239">
        <v>-264824</v>
      </c>
      <c r="GB67" s="239">
        <v>0</v>
      </c>
      <c r="GC67" s="239">
        <v>-264824</v>
      </c>
      <c r="GD67" s="239">
        <v>0</v>
      </c>
      <c r="GE67" s="239">
        <v>0</v>
      </c>
      <c r="GF67" s="239">
        <v>0</v>
      </c>
      <c r="GG67" s="239">
        <v>3447027</v>
      </c>
      <c r="GH67" s="239">
        <v>0</v>
      </c>
      <c r="GI67" s="239">
        <v>3447027</v>
      </c>
      <c r="GJ67" s="239">
        <v>40517570</v>
      </c>
      <c r="GK67" s="239">
        <v>0</v>
      </c>
      <c r="GL67" s="239">
        <v>40517570</v>
      </c>
      <c r="GM67" s="214" t="s">
        <v>1158</v>
      </c>
    </row>
    <row r="68" spans="1:195" s="214" customFormat="1" x14ac:dyDescent="0.2">
      <c r="B68" s="602" t="s">
        <v>219</v>
      </c>
      <c r="C68" s="602" t="s">
        <v>218</v>
      </c>
      <c r="D68" s="239">
        <v>-615003</v>
      </c>
      <c r="E68" s="239">
        <v>0</v>
      </c>
      <c r="F68" s="239">
        <v>-615003</v>
      </c>
      <c r="G68" s="239">
        <v>1987202</v>
      </c>
      <c r="H68" s="239">
        <v>0</v>
      </c>
      <c r="I68" s="239">
        <v>1987202</v>
      </c>
      <c r="J68" s="239">
        <v>102256</v>
      </c>
      <c r="K68" s="239">
        <v>0</v>
      </c>
      <c r="L68" s="239">
        <v>102256</v>
      </c>
      <c r="M68" s="239">
        <v>1722970</v>
      </c>
      <c r="N68" s="239">
        <v>0</v>
      </c>
      <c r="O68" s="239">
        <v>1722970</v>
      </c>
      <c r="P68" s="239">
        <v>3197425</v>
      </c>
      <c r="Q68" s="239">
        <v>0</v>
      </c>
      <c r="R68" s="239">
        <v>3197425</v>
      </c>
      <c r="S68" s="239">
        <v>-1718630</v>
      </c>
      <c r="T68" s="239">
        <v>0</v>
      </c>
      <c r="U68" s="239">
        <v>-1718630</v>
      </c>
      <c r="V68" s="239">
        <v>0</v>
      </c>
      <c r="W68" s="239">
        <v>0</v>
      </c>
      <c r="X68" s="239">
        <v>0</v>
      </c>
      <c r="Y68" s="239">
        <v>-150257</v>
      </c>
      <c r="Z68" s="239">
        <v>0</v>
      </c>
      <c r="AA68" s="239">
        <v>-150257</v>
      </c>
      <c r="AB68" s="239">
        <v>0</v>
      </c>
      <c r="AC68" s="239">
        <v>0</v>
      </c>
      <c r="AD68" s="239">
        <v>0</v>
      </c>
      <c r="AE68" s="239">
        <v>0</v>
      </c>
      <c r="AF68" s="239">
        <v>0</v>
      </c>
      <c r="AG68" s="239">
        <v>0</v>
      </c>
      <c r="AH68" s="239">
        <v>764569</v>
      </c>
      <c r="AI68" s="239">
        <v>0</v>
      </c>
      <c r="AJ68" s="239">
        <v>764569</v>
      </c>
      <c r="AK68" s="239">
        <v>99983</v>
      </c>
      <c r="AL68" s="239">
        <v>0</v>
      </c>
      <c r="AM68" s="239">
        <v>99983</v>
      </c>
      <c r="AN68" s="239">
        <v>-2062419</v>
      </c>
      <c r="AO68" s="239">
        <v>0</v>
      </c>
      <c r="AP68" s="239">
        <v>-2062419</v>
      </c>
      <c r="AQ68" s="239">
        <v>-8766</v>
      </c>
      <c r="AR68" s="239">
        <v>0</v>
      </c>
      <c r="AS68" s="239">
        <v>-8766</v>
      </c>
      <c r="AT68" s="239">
        <v>0</v>
      </c>
      <c r="AU68" s="239">
        <v>0</v>
      </c>
      <c r="AV68" s="239">
        <v>0</v>
      </c>
      <c r="AW68" s="239">
        <v>0</v>
      </c>
      <c r="AX68" s="239">
        <v>0</v>
      </c>
      <c r="AY68" s="239">
        <v>0</v>
      </c>
      <c r="AZ68" s="239">
        <v>0</v>
      </c>
      <c r="BA68" s="239">
        <v>0</v>
      </c>
      <c r="BB68" s="239">
        <v>0</v>
      </c>
      <c r="BC68" s="239">
        <v>0</v>
      </c>
      <c r="BD68" s="239">
        <v>0</v>
      </c>
      <c r="BE68" s="239">
        <v>0</v>
      </c>
      <c r="BF68" s="239">
        <v>-3075520</v>
      </c>
      <c r="BG68" s="239">
        <v>0</v>
      </c>
      <c r="BH68" s="239">
        <v>-3075520</v>
      </c>
      <c r="BI68" s="239">
        <v>-139177</v>
      </c>
      <c r="BJ68" s="239">
        <v>0</v>
      </c>
      <c r="BK68" s="239">
        <v>-139177</v>
      </c>
      <c r="BL68" s="239">
        <v>-77139</v>
      </c>
      <c r="BM68" s="239">
        <v>0</v>
      </c>
      <c r="BN68" s="239">
        <v>-77139</v>
      </c>
      <c r="BO68" s="239">
        <v>-374177</v>
      </c>
      <c r="BP68" s="239">
        <v>0</v>
      </c>
      <c r="BQ68" s="239">
        <v>-374177</v>
      </c>
      <c r="BR68" s="239">
        <v>243918</v>
      </c>
      <c r="BS68" s="239">
        <v>0</v>
      </c>
      <c r="BT68" s="239">
        <v>243918</v>
      </c>
      <c r="BU68" s="239">
        <v>-346575</v>
      </c>
      <c r="BV68" s="239">
        <v>0</v>
      </c>
      <c r="BW68" s="239">
        <v>-346575</v>
      </c>
      <c r="BX68" s="239">
        <v>0</v>
      </c>
      <c r="BY68" s="239">
        <v>0</v>
      </c>
      <c r="BZ68" s="239">
        <v>0</v>
      </c>
      <c r="CA68" s="239">
        <v>0</v>
      </c>
      <c r="CB68" s="239">
        <v>0</v>
      </c>
      <c r="CC68" s="239">
        <v>0</v>
      </c>
      <c r="CD68" s="239">
        <v>-361040</v>
      </c>
      <c r="CE68" s="239">
        <v>0</v>
      </c>
      <c r="CF68" s="239">
        <v>-361040</v>
      </c>
      <c r="CG68" s="239">
        <v>74991</v>
      </c>
      <c r="CH68" s="239">
        <v>0</v>
      </c>
      <c r="CI68" s="239">
        <v>74991</v>
      </c>
      <c r="CJ68" s="239">
        <v>0</v>
      </c>
      <c r="CK68" s="239">
        <v>0</v>
      </c>
      <c r="CL68" s="239">
        <v>0</v>
      </c>
      <c r="CM68" s="239">
        <v>0</v>
      </c>
      <c r="CN68" s="239">
        <v>0</v>
      </c>
      <c r="CO68" s="239">
        <v>0</v>
      </c>
      <c r="CP68" s="239">
        <v>0</v>
      </c>
      <c r="CQ68" s="239">
        <v>0</v>
      </c>
      <c r="CR68" s="239">
        <v>0</v>
      </c>
      <c r="CS68" s="239">
        <v>3572</v>
      </c>
      <c r="CT68" s="239">
        <v>0</v>
      </c>
      <c r="CU68" s="239">
        <v>3572</v>
      </c>
      <c r="CV68" s="239">
        <v>0</v>
      </c>
      <c r="CW68" s="239">
        <v>0</v>
      </c>
      <c r="CX68" s="239">
        <v>0</v>
      </c>
      <c r="CY68" s="239">
        <v>0</v>
      </c>
      <c r="CZ68" s="239">
        <v>0</v>
      </c>
      <c r="DA68" s="239">
        <v>0</v>
      </c>
      <c r="DB68" s="239">
        <v>0</v>
      </c>
      <c r="DC68" s="239">
        <v>0</v>
      </c>
      <c r="DD68" s="239">
        <v>0</v>
      </c>
      <c r="DE68" s="239">
        <v>0</v>
      </c>
      <c r="DF68" s="239">
        <v>0</v>
      </c>
      <c r="DG68" s="239">
        <v>0</v>
      </c>
      <c r="DH68" s="239">
        <v>0</v>
      </c>
      <c r="DI68" s="239">
        <v>0</v>
      </c>
      <c r="DJ68" s="239">
        <v>-282477</v>
      </c>
      <c r="DK68" s="239">
        <v>0</v>
      </c>
      <c r="DL68" s="239">
        <v>-282477</v>
      </c>
      <c r="DM68" s="239">
        <v>0</v>
      </c>
      <c r="DN68" s="239">
        <v>0</v>
      </c>
      <c r="DO68" s="239">
        <v>0</v>
      </c>
      <c r="DP68" s="239">
        <v>0</v>
      </c>
      <c r="DQ68" s="239">
        <v>0</v>
      </c>
      <c r="DR68" s="239">
        <v>0</v>
      </c>
      <c r="DS68" s="239">
        <v>-4200</v>
      </c>
      <c r="DT68" s="239">
        <v>0</v>
      </c>
      <c r="DU68" s="239">
        <v>-4200</v>
      </c>
      <c r="DV68" s="239">
        <v>0</v>
      </c>
      <c r="DW68" s="239">
        <v>0</v>
      </c>
      <c r="DX68" s="239">
        <v>0</v>
      </c>
      <c r="DY68" s="239">
        <v>0</v>
      </c>
      <c r="DZ68" s="239">
        <v>0</v>
      </c>
      <c r="EA68" s="239">
        <v>0</v>
      </c>
      <c r="EB68" s="239">
        <v>0</v>
      </c>
      <c r="EC68" s="239">
        <v>0</v>
      </c>
      <c r="ED68" s="239">
        <v>0</v>
      </c>
      <c r="EE68" s="239">
        <v>0</v>
      </c>
      <c r="EF68" s="239">
        <v>0</v>
      </c>
      <c r="EG68" s="239">
        <v>0</v>
      </c>
      <c r="EH68" s="239">
        <v>0</v>
      </c>
      <c r="EI68" s="239">
        <v>0</v>
      </c>
      <c r="EJ68" s="239">
        <v>0</v>
      </c>
      <c r="EK68" s="239">
        <v>0</v>
      </c>
      <c r="EL68" s="239">
        <v>0</v>
      </c>
      <c r="EM68" s="239">
        <v>0</v>
      </c>
      <c r="EN68" s="239">
        <v>0</v>
      </c>
      <c r="EO68" s="239">
        <v>0</v>
      </c>
      <c r="EP68" s="239">
        <v>0</v>
      </c>
      <c r="EQ68" s="239">
        <v>-5559</v>
      </c>
      <c r="ER68" s="239">
        <v>0</v>
      </c>
      <c r="ES68" s="239">
        <v>-5559</v>
      </c>
      <c r="ET68" s="239">
        <v>-25227</v>
      </c>
      <c r="EU68" s="239">
        <v>0</v>
      </c>
      <c r="EV68" s="239">
        <v>-25227</v>
      </c>
      <c r="EW68" s="239">
        <v>-7022</v>
      </c>
      <c r="EX68" s="239">
        <v>0</v>
      </c>
      <c r="EY68" s="239">
        <v>-7022</v>
      </c>
      <c r="EZ68" s="239">
        <v>-42008</v>
      </c>
      <c r="FA68" s="239">
        <v>0</v>
      </c>
      <c r="FB68" s="239">
        <v>-42008</v>
      </c>
      <c r="FC68" s="239">
        <v>0</v>
      </c>
      <c r="FD68" s="239">
        <v>0</v>
      </c>
      <c r="FE68" s="239">
        <v>0</v>
      </c>
      <c r="FF68" s="239">
        <v>0</v>
      </c>
      <c r="FG68" s="239">
        <v>0</v>
      </c>
      <c r="FH68" s="239">
        <v>0</v>
      </c>
      <c r="FI68" s="239">
        <v>0</v>
      </c>
      <c r="FJ68" s="239">
        <v>0</v>
      </c>
      <c r="FK68" s="239">
        <v>0</v>
      </c>
      <c r="FL68" s="239">
        <v>33303797</v>
      </c>
      <c r="FM68" s="239">
        <v>0</v>
      </c>
      <c r="FN68" s="239">
        <v>33303797</v>
      </c>
      <c r="FO68" s="239">
        <v>3197425</v>
      </c>
      <c r="FP68" s="239">
        <v>0</v>
      </c>
      <c r="FQ68" s="239">
        <v>3197425</v>
      </c>
      <c r="FR68" s="239">
        <v>-3075520</v>
      </c>
      <c r="FS68" s="239">
        <v>0</v>
      </c>
      <c r="FT68" s="239">
        <v>-3075520</v>
      </c>
      <c r="FU68" s="239">
        <v>-346575</v>
      </c>
      <c r="FV68" s="239">
        <v>0</v>
      </c>
      <c r="FW68" s="239">
        <v>-346575</v>
      </c>
      <c r="FX68" s="239">
        <v>-282477</v>
      </c>
      <c r="FY68" s="239">
        <v>0</v>
      </c>
      <c r="FZ68" s="239">
        <v>-282477</v>
      </c>
      <c r="GA68" s="239">
        <v>-42008</v>
      </c>
      <c r="GB68" s="239">
        <v>0</v>
      </c>
      <c r="GC68" s="239">
        <v>-42008</v>
      </c>
      <c r="GD68" s="239">
        <v>0</v>
      </c>
      <c r="GE68" s="239">
        <v>0</v>
      </c>
      <c r="GF68" s="239">
        <v>0</v>
      </c>
      <c r="GG68" s="239">
        <v>-549155</v>
      </c>
      <c r="GH68" s="239">
        <v>0</v>
      </c>
      <c r="GI68" s="239">
        <v>-549155</v>
      </c>
      <c r="GJ68" s="239">
        <v>32754642</v>
      </c>
      <c r="GK68" s="239">
        <v>0</v>
      </c>
      <c r="GL68" s="239">
        <v>32754642</v>
      </c>
      <c r="GM68" s="214" t="s">
        <v>1158</v>
      </c>
    </row>
    <row r="69" spans="1:195" s="214" customFormat="1" x14ac:dyDescent="0.2">
      <c r="B69" s="602" t="s">
        <v>221</v>
      </c>
      <c r="C69" s="602" t="s">
        <v>220</v>
      </c>
      <c r="D69" s="239">
        <v>-9250836</v>
      </c>
      <c r="E69" s="239">
        <v>-19919</v>
      </c>
      <c r="F69" s="239">
        <v>-9270755</v>
      </c>
      <c r="G69" s="239">
        <v>88648</v>
      </c>
      <c r="H69" s="239">
        <v>0</v>
      </c>
      <c r="I69" s="239">
        <v>88648</v>
      </c>
      <c r="J69" s="239">
        <v>10099707</v>
      </c>
      <c r="K69" s="239">
        <v>11422</v>
      </c>
      <c r="L69" s="239">
        <v>10111129</v>
      </c>
      <c r="M69" s="239">
        <v>26609</v>
      </c>
      <c r="N69" s="239">
        <v>0</v>
      </c>
      <c r="O69" s="239">
        <v>26609</v>
      </c>
      <c r="P69" s="239">
        <v>964128</v>
      </c>
      <c r="Q69" s="239">
        <v>-8497</v>
      </c>
      <c r="R69" s="239">
        <v>955631</v>
      </c>
      <c r="S69" s="239">
        <v>-34926504</v>
      </c>
      <c r="T69" s="239">
        <v>-6602</v>
      </c>
      <c r="U69" s="239">
        <v>-34933106</v>
      </c>
      <c r="V69" s="239">
        <v>-39585</v>
      </c>
      <c r="W69" s="239">
        <v>0</v>
      </c>
      <c r="X69" s="239">
        <v>-39585</v>
      </c>
      <c r="Y69" s="239">
        <v>-3160102</v>
      </c>
      <c r="Z69" s="239">
        <v>0</v>
      </c>
      <c r="AA69" s="239">
        <v>-3160102</v>
      </c>
      <c r="AB69" s="239">
        <v>-2491259</v>
      </c>
      <c r="AC69" s="239">
        <v>0</v>
      </c>
      <c r="AD69" s="239">
        <v>-2491259</v>
      </c>
      <c r="AE69" s="239">
        <v>-29498</v>
      </c>
      <c r="AF69" s="239">
        <v>0</v>
      </c>
      <c r="AG69" s="239">
        <v>-29498</v>
      </c>
      <c r="AH69" s="239">
        <v>3206440</v>
      </c>
      <c r="AI69" s="239">
        <v>21188</v>
      </c>
      <c r="AJ69" s="239">
        <v>3227628</v>
      </c>
      <c r="AK69" s="239">
        <v>-85623</v>
      </c>
      <c r="AL69" s="239">
        <v>0</v>
      </c>
      <c r="AM69" s="239">
        <v>-85623</v>
      </c>
      <c r="AN69" s="239">
        <v>-17488868</v>
      </c>
      <c r="AO69" s="239">
        <v>-1878</v>
      </c>
      <c r="AP69" s="239">
        <v>-17490746</v>
      </c>
      <c r="AQ69" s="239">
        <v>-50697</v>
      </c>
      <c r="AR69" s="239">
        <v>0</v>
      </c>
      <c r="AS69" s="239">
        <v>-50697</v>
      </c>
      <c r="AT69" s="239">
        <v>-195133</v>
      </c>
      <c r="AU69" s="239">
        <v>0</v>
      </c>
      <c r="AV69" s="239">
        <v>-195133</v>
      </c>
      <c r="AW69" s="239">
        <v>-436</v>
      </c>
      <c r="AX69" s="239">
        <v>0</v>
      </c>
      <c r="AY69" s="239">
        <v>-436</v>
      </c>
      <c r="AZ69" s="239">
        <v>-170367</v>
      </c>
      <c r="BA69" s="239">
        <v>0</v>
      </c>
      <c r="BB69" s="239">
        <v>-170367</v>
      </c>
      <c r="BC69" s="239">
        <v>4903</v>
      </c>
      <c r="BD69" s="239">
        <v>0</v>
      </c>
      <c r="BE69" s="239">
        <v>4903</v>
      </c>
      <c r="BF69" s="239">
        <v>-52866387</v>
      </c>
      <c r="BG69" s="239">
        <v>12708</v>
      </c>
      <c r="BH69" s="239">
        <v>-52853679</v>
      </c>
      <c r="BI69" s="239">
        <v>-23226</v>
      </c>
      <c r="BJ69" s="239">
        <v>0</v>
      </c>
      <c r="BK69" s="239">
        <v>-23226</v>
      </c>
      <c r="BL69" s="239">
        <v>-14474</v>
      </c>
      <c r="BM69" s="239">
        <v>0</v>
      </c>
      <c r="BN69" s="239">
        <v>-14474</v>
      </c>
      <c r="BO69" s="239">
        <v>-2859756</v>
      </c>
      <c r="BP69" s="239">
        <v>0</v>
      </c>
      <c r="BQ69" s="239">
        <v>-2859756</v>
      </c>
      <c r="BR69" s="239">
        <v>-71627</v>
      </c>
      <c r="BS69" s="239">
        <v>9395</v>
      </c>
      <c r="BT69" s="239">
        <v>-62232</v>
      </c>
      <c r="BU69" s="239">
        <v>-2969083</v>
      </c>
      <c r="BV69" s="239">
        <v>9395</v>
      </c>
      <c r="BW69" s="239">
        <v>-2959688</v>
      </c>
      <c r="BX69" s="239">
        <v>-636831</v>
      </c>
      <c r="BY69" s="239">
        <v>0</v>
      </c>
      <c r="BZ69" s="239">
        <v>-636831</v>
      </c>
      <c r="CA69" s="239">
        <v>7548</v>
      </c>
      <c r="CB69" s="239">
        <v>0</v>
      </c>
      <c r="CC69" s="239">
        <v>7548</v>
      </c>
      <c r="CD69" s="239">
        <v>-304030</v>
      </c>
      <c r="CE69" s="239">
        <v>0</v>
      </c>
      <c r="CF69" s="239">
        <v>-304030</v>
      </c>
      <c r="CG69" s="239">
        <v>-15351</v>
      </c>
      <c r="CH69" s="239">
        <v>0</v>
      </c>
      <c r="CI69" s="239">
        <v>-15351</v>
      </c>
      <c r="CJ69" s="239">
        <v>-7745</v>
      </c>
      <c r="CK69" s="239">
        <v>0</v>
      </c>
      <c r="CL69" s="239">
        <v>-7745</v>
      </c>
      <c r="CM69" s="239">
        <v>-499</v>
      </c>
      <c r="CN69" s="239">
        <v>0</v>
      </c>
      <c r="CO69" s="239">
        <v>-499</v>
      </c>
      <c r="CP69" s="239">
        <v>0</v>
      </c>
      <c r="CQ69" s="239">
        <v>0</v>
      </c>
      <c r="CR69" s="239">
        <v>0</v>
      </c>
      <c r="CS69" s="239">
        <v>3274</v>
      </c>
      <c r="CT69" s="239">
        <v>0</v>
      </c>
      <c r="CU69" s="239">
        <v>3274</v>
      </c>
      <c r="CV69" s="239">
        <v>-11767</v>
      </c>
      <c r="CW69" s="239">
        <v>0</v>
      </c>
      <c r="CX69" s="239">
        <v>-11767</v>
      </c>
      <c r="CY69" s="239">
        <v>0</v>
      </c>
      <c r="CZ69" s="239">
        <v>0</v>
      </c>
      <c r="DA69" s="239">
        <v>0</v>
      </c>
      <c r="DB69" s="239">
        <v>-288</v>
      </c>
      <c r="DC69" s="239">
        <v>-257414</v>
      </c>
      <c r="DD69" s="239">
        <v>-257702</v>
      </c>
      <c r="DE69" s="239">
        <v>0</v>
      </c>
      <c r="DF69" s="239">
        <v>-9395</v>
      </c>
      <c r="DG69" s="239">
        <v>-9395</v>
      </c>
      <c r="DH69" s="239">
        <v>-266809</v>
      </c>
      <c r="DI69" s="239">
        <v>0</v>
      </c>
      <c r="DJ69" s="239">
        <v>-965689</v>
      </c>
      <c r="DK69" s="239">
        <v>-266809</v>
      </c>
      <c r="DL69" s="239">
        <v>-1232498</v>
      </c>
      <c r="DM69" s="239">
        <v>-4203</v>
      </c>
      <c r="DN69" s="239">
        <v>0</v>
      </c>
      <c r="DO69" s="239">
        <v>-4203</v>
      </c>
      <c r="DP69" s="239">
        <v>0</v>
      </c>
      <c r="DQ69" s="239">
        <v>0</v>
      </c>
      <c r="DR69" s="239">
        <v>0</v>
      </c>
      <c r="DS69" s="239">
        <v>-271</v>
      </c>
      <c r="DT69" s="239">
        <v>0</v>
      </c>
      <c r="DU69" s="239">
        <v>-271</v>
      </c>
      <c r="DV69" s="239">
        <v>6954</v>
      </c>
      <c r="DW69" s="239">
        <v>0</v>
      </c>
      <c r="DX69" s="239">
        <v>6954</v>
      </c>
      <c r="DY69" s="239">
        <v>64987</v>
      </c>
      <c r="DZ69" s="239">
        <v>0</v>
      </c>
      <c r="EA69" s="239">
        <v>64987</v>
      </c>
      <c r="EB69" s="239">
        <v>0</v>
      </c>
      <c r="EC69" s="239">
        <v>0</v>
      </c>
      <c r="ED69" s="239">
        <v>0</v>
      </c>
      <c r="EE69" s="239">
        <v>0</v>
      </c>
      <c r="EF69" s="239">
        <v>0</v>
      </c>
      <c r="EG69" s="239">
        <v>0</v>
      </c>
      <c r="EH69" s="239">
        <v>17992</v>
      </c>
      <c r="EI69" s="239">
        <v>0</v>
      </c>
      <c r="EJ69" s="239">
        <v>17992</v>
      </c>
      <c r="EK69" s="239">
        <v>-170366</v>
      </c>
      <c r="EL69" s="239">
        <v>0</v>
      </c>
      <c r="EM69" s="239">
        <v>-170366</v>
      </c>
      <c r="EN69" s="239">
        <v>-6000</v>
      </c>
      <c r="EO69" s="239">
        <v>0</v>
      </c>
      <c r="EP69" s="239">
        <v>-6000</v>
      </c>
      <c r="EQ69" s="239">
        <v>-223261</v>
      </c>
      <c r="ER69" s="239">
        <v>0</v>
      </c>
      <c r="ES69" s="239">
        <v>-223261</v>
      </c>
      <c r="ET69" s="239">
        <v>-1390434</v>
      </c>
      <c r="EU69" s="239">
        <v>0</v>
      </c>
      <c r="EV69" s="239">
        <v>-1390434</v>
      </c>
      <c r="EW69" s="239">
        <v>-229656</v>
      </c>
      <c r="EX69" s="239">
        <v>0</v>
      </c>
      <c r="EY69" s="239">
        <v>-229656</v>
      </c>
      <c r="EZ69" s="239">
        <v>-1934258</v>
      </c>
      <c r="FA69" s="239">
        <v>0</v>
      </c>
      <c r="FB69" s="239">
        <v>-1934258</v>
      </c>
      <c r="FC69" s="239">
        <v>0</v>
      </c>
      <c r="FD69" s="239">
        <v>0</v>
      </c>
      <c r="FE69" s="239">
        <v>0</v>
      </c>
      <c r="FF69" s="239">
        <v>-6487</v>
      </c>
      <c r="FG69" s="239">
        <v>0</v>
      </c>
      <c r="FH69" s="239">
        <v>-6487</v>
      </c>
      <c r="FI69" s="239">
        <v>-6487</v>
      </c>
      <c r="FJ69" s="239">
        <v>0</v>
      </c>
      <c r="FK69" s="239">
        <v>-6487</v>
      </c>
      <c r="FL69" s="239">
        <v>212401778</v>
      </c>
      <c r="FM69" s="239">
        <v>990902</v>
      </c>
      <c r="FN69" s="239">
        <v>213392680</v>
      </c>
      <c r="FO69" s="239">
        <v>964128</v>
      </c>
      <c r="FP69" s="239">
        <v>-8497</v>
      </c>
      <c r="FQ69" s="239">
        <v>955631</v>
      </c>
      <c r="FR69" s="239">
        <v>-52866387</v>
      </c>
      <c r="FS69" s="239">
        <v>12708</v>
      </c>
      <c r="FT69" s="239">
        <v>-52853679</v>
      </c>
      <c r="FU69" s="239">
        <v>-2969083</v>
      </c>
      <c r="FV69" s="239">
        <v>9395</v>
      </c>
      <c r="FW69" s="239">
        <v>-2959688</v>
      </c>
      <c r="FX69" s="239">
        <v>-965689</v>
      </c>
      <c r="FY69" s="239">
        <v>-266809</v>
      </c>
      <c r="FZ69" s="239">
        <v>-1232498</v>
      </c>
      <c r="GA69" s="239">
        <v>-1934258</v>
      </c>
      <c r="GB69" s="239">
        <v>0</v>
      </c>
      <c r="GC69" s="239">
        <v>-1934258</v>
      </c>
      <c r="GD69" s="239">
        <v>-6487</v>
      </c>
      <c r="GE69" s="239">
        <v>0</v>
      </c>
      <c r="GF69" s="239">
        <v>-6487</v>
      </c>
      <c r="GG69" s="239">
        <v>-57777776</v>
      </c>
      <c r="GH69" s="239">
        <v>-253203</v>
      </c>
      <c r="GI69" s="239">
        <v>-58030979</v>
      </c>
      <c r="GJ69" s="239">
        <v>154624002</v>
      </c>
      <c r="GK69" s="239">
        <v>737699</v>
      </c>
      <c r="GL69" s="239">
        <v>155361701</v>
      </c>
      <c r="GM69" s="214" t="s">
        <v>746</v>
      </c>
    </row>
    <row r="70" spans="1:195" s="214" customFormat="1" x14ac:dyDescent="0.2">
      <c r="B70" s="602" t="s">
        <v>223</v>
      </c>
      <c r="C70" s="602" t="s">
        <v>222</v>
      </c>
      <c r="D70" s="239">
        <v>-2070217</v>
      </c>
      <c r="E70" s="239">
        <v>0</v>
      </c>
      <c r="F70" s="239">
        <v>-2070217</v>
      </c>
      <c r="G70" s="239">
        <v>11321</v>
      </c>
      <c r="H70" s="239">
        <v>0</v>
      </c>
      <c r="I70" s="239">
        <v>11321</v>
      </c>
      <c r="J70" s="239">
        <v>613964</v>
      </c>
      <c r="K70" s="239">
        <v>0</v>
      </c>
      <c r="L70" s="239">
        <v>613964</v>
      </c>
      <c r="M70" s="239">
        <v>-684</v>
      </c>
      <c r="N70" s="239">
        <v>0</v>
      </c>
      <c r="O70" s="239">
        <v>-684</v>
      </c>
      <c r="P70" s="239">
        <v>-1445616</v>
      </c>
      <c r="Q70" s="239">
        <v>0</v>
      </c>
      <c r="R70" s="239">
        <v>-1445616</v>
      </c>
      <c r="S70" s="239">
        <v>-4876923</v>
      </c>
      <c r="T70" s="239">
        <v>0</v>
      </c>
      <c r="U70" s="239">
        <v>-4876923</v>
      </c>
      <c r="V70" s="239">
        <v>-22624</v>
      </c>
      <c r="W70" s="239">
        <v>0</v>
      </c>
      <c r="X70" s="239">
        <v>-22624</v>
      </c>
      <c r="Y70" s="239">
        <v>-399026</v>
      </c>
      <c r="Z70" s="239">
        <v>0</v>
      </c>
      <c r="AA70" s="239">
        <v>-399026</v>
      </c>
      <c r="AB70" s="239">
        <v>-352162</v>
      </c>
      <c r="AC70" s="239">
        <v>0</v>
      </c>
      <c r="AD70" s="239">
        <v>-352162</v>
      </c>
      <c r="AE70" s="239">
        <v>2388</v>
      </c>
      <c r="AF70" s="239">
        <v>0</v>
      </c>
      <c r="AG70" s="239">
        <v>2388</v>
      </c>
      <c r="AH70" s="239">
        <v>640756</v>
      </c>
      <c r="AI70" s="239">
        <v>0</v>
      </c>
      <c r="AJ70" s="239">
        <v>640756</v>
      </c>
      <c r="AK70" s="239">
        <v>201936</v>
      </c>
      <c r="AL70" s="239">
        <v>0</v>
      </c>
      <c r="AM70" s="239">
        <v>201936</v>
      </c>
      <c r="AN70" s="239">
        <v>-2324863</v>
      </c>
      <c r="AO70" s="239">
        <v>0</v>
      </c>
      <c r="AP70" s="239">
        <v>-2324863</v>
      </c>
      <c r="AQ70" s="239">
        <v>-2293</v>
      </c>
      <c r="AR70" s="239">
        <v>0</v>
      </c>
      <c r="AS70" s="239">
        <v>-2293</v>
      </c>
      <c r="AT70" s="239">
        <v>-48702</v>
      </c>
      <c r="AU70" s="239">
        <v>0</v>
      </c>
      <c r="AV70" s="239">
        <v>-48702</v>
      </c>
      <c r="AW70" s="239">
        <v>0</v>
      </c>
      <c r="AX70" s="239">
        <v>0</v>
      </c>
      <c r="AY70" s="239">
        <v>0</v>
      </c>
      <c r="AZ70" s="239">
        <v>-26449</v>
      </c>
      <c r="BA70" s="239">
        <v>0</v>
      </c>
      <c r="BB70" s="239">
        <v>-26449</v>
      </c>
      <c r="BC70" s="239">
        <v>-318</v>
      </c>
      <c r="BD70" s="239">
        <v>0</v>
      </c>
      <c r="BE70" s="239">
        <v>-318</v>
      </c>
      <c r="BF70" s="239">
        <v>-6835882</v>
      </c>
      <c r="BG70" s="239">
        <v>0</v>
      </c>
      <c r="BH70" s="239">
        <v>-6835882</v>
      </c>
      <c r="BI70" s="239">
        <v>-904</v>
      </c>
      <c r="BJ70" s="239">
        <v>0</v>
      </c>
      <c r="BK70" s="239">
        <v>-904</v>
      </c>
      <c r="BL70" s="239">
        <v>0</v>
      </c>
      <c r="BM70" s="239">
        <v>0</v>
      </c>
      <c r="BN70" s="239">
        <v>0</v>
      </c>
      <c r="BO70" s="239">
        <v>-870049</v>
      </c>
      <c r="BP70" s="239">
        <v>0</v>
      </c>
      <c r="BQ70" s="239">
        <v>-870049</v>
      </c>
      <c r="BR70" s="239">
        <v>10817</v>
      </c>
      <c r="BS70" s="239">
        <v>0</v>
      </c>
      <c r="BT70" s="239">
        <v>10817</v>
      </c>
      <c r="BU70" s="239">
        <v>-860136</v>
      </c>
      <c r="BV70" s="239">
        <v>0</v>
      </c>
      <c r="BW70" s="239">
        <v>-860136</v>
      </c>
      <c r="BX70" s="239">
        <v>-91098</v>
      </c>
      <c r="BY70" s="239">
        <v>0</v>
      </c>
      <c r="BZ70" s="239">
        <v>-91098</v>
      </c>
      <c r="CA70" s="239">
        <v>125</v>
      </c>
      <c r="CB70" s="239">
        <v>0</v>
      </c>
      <c r="CC70" s="239">
        <v>125</v>
      </c>
      <c r="CD70" s="239">
        <v>-889</v>
      </c>
      <c r="CE70" s="239">
        <v>0</v>
      </c>
      <c r="CF70" s="239">
        <v>-889</v>
      </c>
      <c r="CG70" s="239">
        <v>567</v>
      </c>
      <c r="CH70" s="239">
        <v>0</v>
      </c>
      <c r="CI70" s="239">
        <v>567</v>
      </c>
      <c r="CJ70" s="239">
        <v>-303</v>
      </c>
      <c r="CK70" s="239">
        <v>0</v>
      </c>
      <c r="CL70" s="239">
        <v>-303</v>
      </c>
      <c r="CM70" s="239">
        <v>0</v>
      </c>
      <c r="CN70" s="239">
        <v>0</v>
      </c>
      <c r="CO70" s="239">
        <v>0</v>
      </c>
      <c r="CP70" s="239">
        <v>0</v>
      </c>
      <c r="CQ70" s="239">
        <v>0</v>
      </c>
      <c r="CR70" s="239">
        <v>0</v>
      </c>
      <c r="CS70" s="239">
        <v>0</v>
      </c>
      <c r="CT70" s="239">
        <v>0</v>
      </c>
      <c r="CU70" s="239">
        <v>0</v>
      </c>
      <c r="CV70" s="239">
        <v>0</v>
      </c>
      <c r="CW70" s="239">
        <v>0</v>
      </c>
      <c r="CX70" s="239">
        <v>0</v>
      </c>
      <c r="CY70" s="239">
        <v>0</v>
      </c>
      <c r="CZ70" s="239">
        <v>0</v>
      </c>
      <c r="DA70" s="239">
        <v>0</v>
      </c>
      <c r="DB70" s="239">
        <v>0</v>
      </c>
      <c r="DC70" s="239">
        <v>0</v>
      </c>
      <c r="DD70" s="239">
        <v>0</v>
      </c>
      <c r="DE70" s="239">
        <v>0</v>
      </c>
      <c r="DF70" s="239">
        <v>0</v>
      </c>
      <c r="DG70" s="239">
        <v>0</v>
      </c>
      <c r="DH70" s="239">
        <v>0</v>
      </c>
      <c r="DI70" s="239">
        <v>0</v>
      </c>
      <c r="DJ70" s="239">
        <v>-91598</v>
      </c>
      <c r="DK70" s="239">
        <v>0</v>
      </c>
      <c r="DL70" s="239">
        <v>-91598</v>
      </c>
      <c r="DM70" s="239">
        <v>0</v>
      </c>
      <c r="DN70" s="239">
        <v>0</v>
      </c>
      <c r="DO70" s="239">
        <v>0</v>
      </c>
      <c r="DP70" s="239">
        <v>0</v>
      </c>
      <c r="DQ70" s="239">
        <v>0</v>
      </c>
      <c r="DR70" s="239">
        <v>0</v>
      </c>
      <c r="DS70" s="239">
        <v>-5880</v>
      </c>
      <c r="DT70" s="239">
        <v>0</v>
      </c>
      <c r="DU70" s="239">
        <v>-5880</v>
      </c>
      <c r="DV70" s="239">
        <v>-415</v>
      </c>
      <c r="DW70" s="239">
        <v>0</v>
      </c>
      <c r="DX70" s="239">
        <v>-415</v>
      </c>
      <c r="DY70" s="239">
        <v>960</v>
      </c>
      <c r="DZ70" s="239">
        <v>0</v>
      </c>
      <c r="EA70" s="239">
        <v>960</v>
      </c>
      <c r="EB70" s="239">
        <v>0</v>
      </c>
      <c r="EC70" s="239">
        <v>0</v>
      </c>
      <c r="ED70" s="239">
        <v>0</v>
      </c>
      <c r="EE70" s="239">
        <v>0</v>
      </c>
      <c r="EF70" s="239">
        <v>0</v>
      </c>
      <c r="EG70" s="239">
        <v>0</v>
      </c>
      <c r="EH70" s="239">
        <v>0</v>
      </c>
      <c r="EI70" s="239">
        <v>0</v>
      </c>
      <c r="EJ70" s="239">
        <v>0</v>
      </c>
      <c r="EK70" s="239">
        <v>-26449</v>
      </c>
      <c r="EL70" s="239">
        <v>0</v>
      </c>
      <c r="EM70" s="239">
        <v>-26449</v>
      </c>
      <c r="EN70" s="239">
        <v>0</v>
      </c>
      <c r="EO70" s="239">
        <v>0</v>
      </c>
      <c r="EP70" s="239">
        <v>0</v>
      </c>
      <c r="EQ70" s="239">
        <v>-22378</v>
      </c>
      <c r="ER70" s="239">
        <v>0</v>
      </c>
      <c r="ES70" s="239">
        <v>-22378</v>
      </c>
      <c r="ET70" s="239">
        <v>-367692</v>
      </c>
      <c r="EU70" s="239">
        <v>0</v>
      </c>
      <c r="EV70" s="239">
        <v>-367692</v>
      </c>
      <c r="EW70" s="239">
        <v>-77449</v>
      </c>
      <c r="EX70" s="239">
        <v>0</v>
      </c>
      <c r="EY70" s="239">
        <v>-77449</v>
      </c>
      <c r="EZ70" s="239">
        <v>-499303</v>
      </c>
      <c r="FA70" s="239">
        <v>0</v>
      </c>
      <c r="FB70" s="239">
        <v>-499303</v>
      </c>
      <c r="FC70" s="239">
        <v>0</v>
      </c>
      <c r="FD70" s="239">
        <v>0</v>
      </c>
      <c r="FE70" s="239">
        <v>0</v>
      </c>
      <c r="FF70" s="239">
        <v>0</v>
      </c>
      <c r="FG70" s="239">
        <v>0</v>
      </c>
      <c r="FH70" s="239">
        <v>0</v>
      </c>
      <c r="FI70" s="239">
        <v>0</v>
      </c>
      <c r="FJ70" s="239">
        <v>0</v>
      </c>
      <c r="FK70" s="239">
        <v>0</v>
      </c>
      <c r="FL70" s="239">
        <v>40683845</v>
      </c>
      <c r="FM70" s="239">
        <v>0</v>
      </c>
      <c r="FN70" s="239">
        <v>40683845</v>
      </c>
      <c r="FO70" s="239">
        <v>-1445616</v>
      </c>
      <c r="FP70" s="239">
        <v>0</v>
      </c>
      <c r="FQ70" s="239">
        <v>-1445616</v>
      </c>
      <c r="FR70" s="239">
        <v>-6835882</v>
      </c>
      <c r="FS70" s="239">
        <v>0</v>
      </c>
      <c r="FT70" s="239">
        <v>-6835882</v>
      </c>
      <c r="FU70" s="239">
        <v>-860136</v>
      </c>
      <c r="FV70" s="239">
        <v>0</v>
      </c>
      <c r="FW70" s="239">
        <v>-860136</v>
      </c>
      <c r="FX70" s="239">
        <v>-91598</v>
      </c>
      <c r="FY70" s="239">
        <v>0</v>
      </c>
      <c r="FZ70" s="239">
        <v>-91598</v>
      </c>
      <c r="GA70" s="239">
        <v>-499303</v>
      </c>
      <c r="GB70" s="239">
        <v>0</v>
      </c>
      <c r="GC70" s="239">
        <v>-499303</v>
      </c>
      <c r="GD70" s="239">
        <v>0</v>
      </c>
      <c r="GE70" s="239">
        <v>0</v>
      </c>
      <c r="GF70" s="239">
        <v>0</v>
      </c>
      <c r="GG70" s="239">
        <v>-9732535</v>
      </c>
      <c r="GH70" s="239">
        <v>0</v>
      </c>
      <c r="GI70" s="239">
        <v>-9732535</v>
      </c>
      <c r="GJ70" s="239">
        <v>30951310</v>
      </c>
      <c r="GK70" s="239">
        <v>0</v>
      </c>
      <c r="GL70" s="239">
        <v>30951310</v>
      </c>
      <c r="GM70" s="214" t="s">
        <v>1158</v>
      </c>
    </row>
    <row r="71" spans="1:195" s="214" customFormat="1" x14ac:dyDescent="0.2">
      <c r="B71" s="602" t="s">
        <v>225</v>
      </c>
      <c r="C71" s="602" t="s">
        <v>224</v>
      </c>
      <c r="D71" s="239">
        <v>-3161724</v>
      </c>
      <c r="E71" s="239">
        <v>0</v>
      </c>
      <c r="F71" s="239">
        <v>-3161724</v>
      </c>
      <c r="G71" s="239">
        <v>4388</v>
      </c>
      <c r="H71" s="239">
        <v>0</v>
      </c>
      <c r="I71" s="239">
        <v>4388</v>
      </c>
      <c r="J71" s="239">
        <v>8025501</v>
      </c>
      <c r="K71" s="239">
        <v>0</v>
      </c>
      <c r="L71" s="239">
        <v>8025501</v>
      </c>
      <c r="M71" s="239">
        <v>53426</v>
      </c>
      <c r="N71" s="239">
        <v>0</v>
      </c>
      <c r="O71" s="239">
        <v>53426</v>
      </c>
      <c r="P71" s="239">
        <v>4921591</v>
      </c>
      <c r="Q71" s="239">
        <v>0</v>
      </c>
      <c r="R71" s="239">
        <v>4921591</v>
      </c>
      <c r="S71" s="239">
        <v>-7890511</v>
      </c>
      <c r="T71" s="239">
        <v>0</v>
      </c>
      <c r="U71" s="239">
        <v>-7890511</v>
      </c>
      <c r="V71" s="239">
        <v>-2112</v>
      </c>
      <c r="W71" s="239">
        <v>0</v>
      </c>
      <c r="X71" s="239">
        <v>-2112</v>
      </c>
      <c r="Y71" s="239">
        <v>-319896</v>
      </c>
      <c r="Z71" s="239">
        <v>0</v>
      </c>
      <c r="AA71" s="239">
        <v>-319896</v>
      </c>
      <c r="AB71" s="239">
        <v>-271930</v>
      </c>
      <c r="AC71" s="239">
        <v>0</v>
      </c>
      <c r="AD71" s="239">
        <v>-271930</v>
      </c>
      <c r="AE71" s="239">
        <v>524</v>
      </c>
      <c r="AF71" s="239">
        <v>0</v>
      </c>
      <c r="AG71" s="239">
        <v>524</v>
      </c>
      <c r="AH71" s="239">
        <v>3138656</v>
      </c>
      <c r="AI71" s="239">
        <v>0</v>
      </c>
      <c r="AJ71" s="239">
        <v>3138656</v>
      </c>
      <c r="AK71" s="239">
        <v>-526</v>
      </c>
      <c r="AL71" s="239">
        <v>0</v>
      </c>
      <c r="AM71" s="239">
        <v>-526</v>
      </c>
      <c r="AN71" s="239">
        <v>-15733608</v>
      </c>
      <c r="AO71" s="239">
        <v>0</v>
      </c>
      <c r="AP71" s="239">
        <v>-15733608</v>
      </c>
      <c r="AQ71" s="239">
        <v>-1228277</v>
      </c>
      <c r="AR71" s="239">
        <v>0</v>
      </c>
      <c r="AS71" s="239">
        <v>-1228277</v>
      </c>
      <c r="AT71" s="239">
        <v>-62172</v>
      </c>
      <c r="AU71" s="239">
        <v>0</v>
      </c>
      <c r="AV71" s="239">
        <v>-62172</v>
      </c>
      <c r="AW71" s="239">
        <v>239</v>
      </c>
      <c r="AX71" s="239">
        <v>0</v>
      </c>
      <c r="AY71" s="239">
        <v>239</v>
      </c>
      <c r="AZ71" s="239">
        <v>0</v>
      </c>
      <c r="BA71" s="239">
        <v>0</v>
      </c>
      <c r="BB71" s="239">
        <v>0</v>
      </c>
      <c r="BC71" s="239">
        <v>0</v>
      </c>
      <c r="BD71" s="239">
        <v>0</v>
      </c>
      <c r="BE71" s="239">
        <v>0</v>
      </c>
      <c r="BF71" s="239">
        <v>-22096095</v>
      </c>
      <c r="BG71" s="239">
        <v>0</v>
      </c>
      <c r="BH71" s="239">
        <v>-22096095</v>
      </c>
      <c r="BI71" s="239">
        <v>-74449</v>
      </c>
      <c r="BJ71" s="239">
        <v>0</v>
      </c>
      <c r="BK71" s="239">
        <v>-74449</v>
      </c>
      <c r="BL71" s="239">
        <v>-12755</v>
      </c>
      <c r="BM71" s="239">
        <v>0</v>
      </c>
      <c r="BN71" s="239">
        <v>-12755</v>
      </c>
      <c r="BO71" s="239">
        <v>-3429515</v>
      </c>
      <c r="BP71" s="239">
        <v>0</v>
      </c>
      <c r="BQ71" s="239">
        <v>-3429515</v>
      </c>
      <c r="BR71" s="239">
        <v>-358544</v>
      </c>
      <c r="BS71" s="239">
        <v>0</v>
      </c>
      <c r="BT71" s="239">
        <v>-358544</v>
      </c>
      <c r="BU71" s="239">
        <v>-3875263</v>
      </c>
      <c r="BV71" s="239">
        <v>0</v>
      </c>
      <c r="BW71" s="239">
        <v>-3875263</v>
      </c>
      <c r="BX71" s="239">
        <v>-408507</v>
      </c>
      <c r="BY71" s="239">
        <v>0</v>
      </c>
      <c r="BZ71" s="239">
        <v>-408507</v>
      </c>
      <c r="CA71" s="239">
        <v>-51648</v>
      </c>
      <c r="CB71" s="239">
        <v>0</v>
      </c>
      <c r="CC71" s="239">
        <v>-51648</v>
      </c>
      <c r="CD71" s="239">
        <v>-4492</v>
      </c>
      <c r="CE71" s="239">
        <v>0</v>
      </c>
      <c r="CF71" s="239">
        <v>-4492</v>
      </c>
      <c r="CG71" s="239">
        <v>162205</v>
      </c>
      <c r="CH71" s="239">
        <v>0</v>
      </c>
      <c r="CI71" s="239">
        <v>162205</v>
      </c>
      <c r="CJ71" s="239">
        <v>0</v>
      </c>
      <c r="CK71" s="239">
        <v>0</v>
      </c>
      <c r="CL71" s="239">
        <v>0</v>
      </c>
      <c r="CM71" s="239">
        <v>0</v>
      </c>
      <c r="CN71" s="239">
        <v>0</v>
      </c>
      <c r="CO71" s="239">
        <v>0</v>
      </c>
      <c r="CP71" s="239">
        <v>0</v>
      </c>
      <c r="CQ71" s="239">
        <v>0</v>
      </c>
      <c r="CR71" s="239">
        <v>0</v>
      </c>
      <c r="CS71" s="239">
        <v>0</v>
      </c>
      <c r="CT71" s="239">
        <v>0</v>
      </c>
      <c r="CU71" s="239">
        <v>0</v>
      </c>
      <c r="CV71" s="239">
        <v>0</v>
      </c>
      <c r="CW71" s="239">
        <v>0</v>
      </c>
      <c r="CX71" s="239">
        <v>0</v>
      </c>
      <c r="CY71" s="239">
        <v>0</v>
      </c>
      <c r="CZ71" s="239">
        <v>0</v>
      </c>
      <c r="DA71" s="239">
        <v>0</v>
      </c>
      <c r="DB71" s="239">
        <v>0</v>
      </c>
      <c r="DC71" s="239">
        <v>0</v>
      </c>
      <c r="DD71" s="239">
        <v>0</v>
      </c>
      <c r="DE71" s="239">
        <v>0</v>
      </c>
      <c r="DF71" s="239">
        <v>0</v>
      </c>
      <c r="DG71" s="239">
        <v>0</v>
      </c>
      <c r="DH71" s="239">
        <v>0</v>
      </c>
      <c r="DI71" s="239">
        <v>0</v>
      </c>
      <c r="DJ71" s="239">
        <v>-302442</v>
      </c>
      <c r="DK71" s="239">
        <v>0</v>
      </c>
      <c r="DL71" s="239">
        <v>-302442</v>
      </c>
      <c r="DM71" s="239">
        <v>-112378</v>
      </c>
      <c r="DN71" s="239">
        <v>0</v>
      </c>
      <c r="DO71" s="239">
        <v>-112378</v>
      </c>
      <c r="DP71" s="239">
        <v>10808</v>
      </c>
      <c r="DQ71" s="239">
        <v>0</v>
      </c>
      <c r="DR71" s="239">
        <v>10808</v>
      </c>
      <c r="DS71" s="239">
        <v>-1420</v>
      </c>
      <c r="DT71" s="239">
        <v>0</v>
      </c>
      <c r="DU71" s="239">
        <v>-1420</v>
      </c>
      <c r="DV71" s="239">
        <v>-79937</v>
      </c>
      <c r="DW71" s="239">
        <v>0</v>
      </c>
      <c r="DX71" s="239">
        <v>-79937</v>
      </c>
      <c r="DY71" s="239">
        <v>22978</v>
      </c>
      <c r="DZ71" s="239">
        <v>0</v>
      </c>
      <c r="EA71" s="239">
        <v>22978</v>
      </c>
      <c r="EB71" s="239">
        <v>0</v>
      </c>
      <c r="EC71" s="239">
        <v>0</v>
      </c>
      <c r="ED71" s="239">
        <v>0</v>
      </c>
      <c r="EE71" s="239">
        <v>0</v>
      </c>
      <c r="EF71" s="239">
        <v>0</v>
      </c>
      <c r="EG71" s="239">
        <v>0</v>
      </c>
      <c r="EH71" s="239">
        <v>7</v>
      </c>
      <c r="EI71" s="239">
        <v>0</v>
      </c>
      <c r="EJ71" s="239">
        <v>7</v>
      </c>
      <c r="EK71" s="239">
        <v>0</v>
      </c>
      <c r="EL71" s="239">
        <v>0</v>
      </c>
      <c r="EM71" s="239">
        <v>0</v>
      </c>
      <c r="EN71" s="239">
        <v>-1500</v>
      </c>
      <c r="EO71" s="239">
        <v>0</v>
      </c>
      <c r="EP71" s="239">
        <v>-1500</v>
      </c>
      <c r="EQ71" s="239">
        <v>-63486</v>
      </c>
      <c r="ER71" s="239">
        <v>0</v>
      </c>
      <c r="ES71" s="239">
        <v>-63486</v>
      </c>
      <c r="ET71" s="239">
        <v>-348141</v>
      </c>
      <c r="EU71" s="239">
        <v>0</v>
      </c>
      <c r="EV71" s="239">
        <v>-348141</v>
      </c>
      <c r="EW71" s="239">
        <v>-89610</v>
      </c>
      <c r="EX71" s="239">
        <v>0</v>
      </c>
      <c r="EY71" s="239">
        <v>-89610</v>
      </c>
      <c r="EZ71" s="239">
        <v>-662679</v>
      </c>
      <c r="FA71" s="239">
        <v>0</v>
      </c>
      <c r="FB71" s="239">
        <v>-662679</v>
      </c>
      <c r="FC71" s="239">
        <v>0</v>
      </c>
      <c r="FD71" s="239">
        <v>0</v>
      </c>
      <c r="FE71" s="239">
        <v>0</v>
      </c>
      <c r="FF71" s="239">
        <v>-41342</v>
      </c>
      <c r="FG71" s="239">
        <v>0</v>
      </c>
      <c r="FH71" s="239">
        <v>-41342</v>
      </c>
      <c r="FI71" s="239">
        <v>-41342</v>
      </c>
      <c r="FJ71" s="239">
        <v>0</v>
      </c>
      <c r="FK71" s="239">
        <v>-41342</v>
      </c>
      <c r="FL71" s="239">
        <v>144331822</v>
      </c>
      <c r="FM71" s="239">
        <v>0</v>
      </c>
      <c r="FN71" s="239">
        <v>144331822</v>
      </c>
      <c r="FO71" s="239">
        <v>4921591</v>
      </c>
      <c r="FP71" s="239">
        <v>0</v>
      </c>
      <c r="FQ71" s="239">
        <v>4921591</v>
      </c>
      <c r="FR71" s="239">
        <v>-22096095</v>
      </c>
      <c r="FS71" s="239">
        <v>0</v>
      </c>
      <c r="FT71" s="239">
        <v>-22096095</v>
      </c>
      <c r="FU71" s="239">
        <v>-3875263</v>
      </c>
      <c r="FV71" s="239">
        <v>0</v>
      </c>
      <c r="FW71" s="239">
        <v>-3875263</v>
      </c>
      <c r="FX71" s="239">
        <v>-302442</v>
      </c>
      <c r="FY71" s="239">
        <v>0</v>
      </c>
      <c r="FZ71" s="239">
        <v>-302442</v>
      </c>
      <c r="GA71" s="239">
        <v>-662679</v>
      </c>
      <c r="GB71" s="239">
        <v>0</v>
      </c>
      <c r="GC71" s="239">
        <v>-662679</v>
      </c>
      <c r="GD71" s="239">
        <v>-41342</v>
      </c>
      <c r="GE71" s="239">
        <v>0</v>
      </c>
      <c r="GF71" s="239">
        <v>-41342</v>
      </c>
      <c r="GG71" s="239">
        <v>-22056230</v>
      </c>
      <c r="GH71" s="239">
        <v>0</v>
      </c>
      <c r="GI71" s="239">
        <v>-22056230</v>
      </c>
      <c r="GJ71" s="239">
        <v>122275592</v>
      </c>
      <c r="GK71" s="239">
        <v>0</v>
      </c>
      <c r="GL71" s="239">
        <v>122275592</v>
      </c>
      <c r="GM71" s="214" t="s">
        <v>1160</v>
      </c>
    </row>
    <row r="72" spans="1:195" s="214" customFormat="1" x14ac:dyDescent="0.2">
      <c r="B72" s="602" t="s">
        <v>227</v>
      </c>
      <c r="C72" s="602" t="s">
        <v>226</v>
      </c>
      <c r="D72" s="239">
        <v>-1049899</v>
      </c>
      <c r="E72" s="239">
        <v>0</v>
      </c>
      <c r="F72" s="239">
        <v>-1049899</v>
      </c>
      <c r="G72" s="239">
        <v>5287</v>
      </c>
      <c r="H72" s="239">
        <v>0</v>
      </c>
      <c r="I72" s="239">
        <v>5287</v>
      </c>
      <c r="J72" s="239">
        <v>776939</v>
      </c>
      <c r="K72" s="239">
        <v>0</v>
      </c>
      <c r="L72" s="239">
        <v>776939</v>
      </c>
      <c r="M72" s="239">
        <v>4741</v>
      </c>
      <c r="N72" s="239">
        <v>0</v>
      </c>
      <c r="O72" s="239">
        <v>4741</v>
      </c>
      <c r="P72" s="239">
        <v>-262932</v>
      </c>
      <c r="Q72" s="239">
        <v>0</v>
      </c>
      <c r="R72" s="239">
        <v>-262932</v>
      </c>
      <c r="S72" s="239">
        <v>-3401450</v>
      </c>
      <c r="T72" s="239">
        <v>0</v>
      </c>
      <c r="U72" s="239">
        <v>-3401450</v>
      </c>
      <c r="V72" s="239">
        <v>-13175</v>
      </c>
      <c r="W72" s="239">
        <v>0</v>
      </c>
      <c r="X72" s="239">
        <v>-13175</v>
      </c>
      <c r="Y72" s="239">
        <v>-98423</v>
      </c>
      <c r="Z72" s="239">
        <v>0</v>
      </c>
      <c r="AA72" s="239">
        <v>-98423</v>
      </c>
      <c r="AB72" s="239">
        <v>-84720</v>
      </c>
      <c r="AC72" s="239">
        <v>0</v>
      </c>
      <c r="AD72" s="239">
        <v>-84720</v>
      </c>
      <c r="AE72" s="239">
        <v>-302</v>
      </c>
      <c r="AF72" s="239">
        <v>0</v>
      </c>
      <c r="AG72" s="239">
        <v>-302</v>
      </c>
      <c r="AH72" s="239">
        <v>333290</v>
      </c>
      <c r="AI72" s="239">
        <v>0</v>
      </c>
      <c r="AJ72" s="239">
        <v>333290</v>
      </c>
      <c r="AK72" s="239">
        <v>123496</v>
      </c>
      <c r="AL72" s="239">
        <v>0</v>
      </c>
      <c r="AM72" s="239">
        <v>123496</v>
      </c>
      <c r="AN72" s="239">
        <v>-1170230</v>
      </c>
      <c r="AO72" s="239">
        <v>0</v>
      </c>
      <c r="AP72" s="239">
        <v>-1170230</v>
      </c>
      <c r="AQ72" s="239">
        <v>-83403</v>
      </c>
      <c r="AR72" s="239">
        <v>0</v>
      </c>
      <c r="AS72" s="239">
        <v>-83403</v>
      </c>
      <c r="AT72" s="239">
        <v>-23007</v>
      </c>
      <c r="AU72" s="239">
        <v>0</v>
      </c>
      <c r="AV72" s="239">
        <v>-23007</v>
      </c>
      <c r="AW72" s="239">
        <v>0</v>
      </c>
      <c r="AX72" s="239">
        <v>0</v>
      </c>
      <c r="AY72" s="239">
        <v>0</v>
      </c>
      <c r="AZ72" s="239">
        <v>-18303</v>
      </c>
      <c r="BA72" s="239">
        <v>0</v>
      </c>
      <c r="BB72" s="239">
        <v>-18303</v>
      </c>
      <c r="BC72" s="239">
        <v>0</v>
      </c>
      <c r="BD72" s="239">
        <v>0</v>
      </c>
      <c r="BE72" s="239">
        <v>0</v>
      </c>
      <c r="BF72" s="239">
        <v>-4338030</v>
      </c>
      <c r="BG72" s="239">
        <v>0</v>
      </c>
      <c r="BH72" s="239">
        <v>-4338030</v>
      </c>
      <c r="BI72" s="239">
        <v>0</v>
      </c>
      <c r="BJ72" s="239">
        <v>0</v>
      </c>
      <c r="BK72" s="239">
        <v>0</v>
      </c>
      <c r="BL72" s="239">
        <v>-4841</v>
      </c>
      <c r="BM72" s="239">
        <v>0</v>
      </c>
      <c r="BN72" s="239">
        <v>-4841</v>
      </c>
      <c r="BO72" s="239">
        <v>-672080</v>
      </c>
      <c r="BP72" s="239">
        <v>0</v>
      </c>
      <c r="BQ72" s="239">
        <v>-672080</v>
      </c>
      <c r="BR72" s="239">
        <v>15531</v>
      </c>
      <c r="BS72" s="239">
        <v>0</v>
      </c>
      <c r="BT72" s="239">
        <v>15531</v>
      </c>
      <c r="BU72" s="239">
        <v>-661390</v>
      </c>
      <c r="BV72" s="239">
        <v>0</v>
      </c>
      <c r="BW72" s="239">
        <v>-661390</v>
      </c>
      <c r="BX72" s="239">
        <v>-26527</v>
      </c>
      <c r="BY72" s="239">
        <v>0</v>
      </c>
      <c r="BZ72" s="239">
        <v>-26527</v>
      </c>
      <c r="CA72" s="239">
        <v>-1664</v>
      </c>
      <c r="CB72" s="239">
        <v>0</v>
      </c>
      <c r="CC72" s="239">
        <v>-1664</v>
      </c>
      <c r="CD72" s="239">
        <v>-6040</v>
      </c>
      <c r="CE72" s="239">
        <v>0</v>
      </c>
      <c r="CF72" s="239">
        <v>-6040</v>
      </c>
      <c r="CG72" s="239">
        <v>0</v>
      </c>
      <c r="CH72" s="239">
        <v>0</v>
      </c>
      <c r="CI72" s="239">
        <v>0</v>
      </c>
      <c r="CJ72" s="239">
        <v>0</v>
      </c>
      <c r="CK72" s="239">
        <v>0</v>
      </c>
      <c r="CL72" s="239">
        <v>0</v>
      </c>
      <c r="CM72" s="239">
        <v>0</v>
      </c>
      <c r="CN72" s="239">
        <v>0</v>
      </c>
      <c r="CO72" s="239">
        <v>0</v>
      </c>
      <c r="CP72" s="239">
        <v>-12173</v>
      </c>
      <c r="CQ72" s="239">
        <v>0</v>
      </c>
      <c r="CR72" s="239">
        <v>-12173</v>
      </c>
      <c r="CS72" s="239">
        <v>0</v>
      </c>
      <c r="CT72" s="239">
        <v>0</v>
      </c>
      <c r="CU72" s="239">
        <v>0</v>
      </c>
      <c r="CV72" s="239">
        <v>-699</v>
      </c>
      <c r="CW72" s="239">
        <v>0</v>
      </c>
      <c r="CX72" s="239">
        <v>-699</v>
      </c>
      <c r="CY72" s="239">
        <v>0</v>
      </c>
      <c r="CZ72" s="239">
        <v>0</v>
      </c>
      <c r="DA72" s="239">
        <v>0</v>
      </c>
      <c r="DB72" s="239">
        <v>0</v>
      </c>
      <c r="DC72" s="239">
        <v>0</v>
      </c>
      <c r="DD72" s="239">
        <v>0</v>
      </c>
      <c r="DE72" s="239">
        <v>0</v>
      </c>
      <c r="DF72" s="239">
        <v>0</v>
      </c>
      <c r="DG72" s="239">
        <v>0</v>
      </c>
      <c r="DH72" s="239">
        <v>0</v>
      </c>
      <c r="DI72" s="239">
        <v>0</v>
      </c>
      <c r="DJ72" s="239">
        <v>-47103</v>
      </c>
      <c r="DK72" s="239">
        <v>0</v>
      </c>
      <c r="DL72" s="239">
        <v>-47103</v>
      </c>
      <c r="DM72" s="239">
        <v>0</v>
      </c>
      <c r="DN72" s="239">
        <v>0</v>
      </c>
      <c r="DO72" s="239">
        <v>0</v>
      </c>
      <c r="DP72" s="239">
        <v>0</v>
      </c>
      <c r="DQ72" s="239">
        <v>0</v>
      </c>
      <c r="DR72" s="239">
        <v>0</v>
      </c>
      <c r="DS72" s="239">
        <v>-663</v>
      </c>
      <c r="DT72" s="239">
        <v>0</v>
      </c>
      <c r="DU72" s="239">
        <v>-663</v>
      </c>
      <c r="DV72" s="239">
        <v>0</v>
      </c>
      <c r="DW72" s="239">
        <v>0</v>
      </c>
      <c r="DX72" s="239">
        <v>0</v>
      </c>
      <c r="DY72" s="239">
        <v>240</v>
      </c>
      <c r="DZ72" s="239">
        <v>0</v>
      </c>
      <c r="EA72" s="239">
        <v>240</v>
      </c>
      <c r="EB72" s="239">
        <v>0</v>
      </c>
      <c r="EC72" s="239">
        <v>0</v>
      </c>
      <c r="ED72" s="239">
        <v>0</v>
      </c>
      <c r="EE72" s="239">
        <v>0</v>
      </c>
      <c r="EF72" s="239">
        <v>0</v>
      </c>
      <c r="EG72" s="239">
        <v>0</v>
      </c>
      <c r="EH72" s="239">
        <v>0</v>
      </c>
      <c r="EI72" s="239">
        <v>0</v>
      </c>
      <c r="EJ72" s="239">
        <v>0</v>
      </c>
      <c r="EK72" s="239">
        <v>-6130</v>
      </c>
      <c r="EL72" s="239">
        <v>0</v>
      </c>
      <c r="EM72" s="239">
        <v>-6130</v>
      </c>
      <c r="EN72" s="239">
        <v>0</v>
      </c>
      <c r="EO72" s="239">
        <v>0</v>
      </c>
      <c r="EP72" s="239">
        <v>0</v>
      </c>
      <c r="EQ72" s="239">
        <v>-20262</v>
      </c>
      <c r="ER72" s="239">
        <v>0</v>
      </c>
      <c r="ES72" s="239">
        <v>-20262</v>
      </c>
      <c r="ET72" s="239">
        <v>-119864</v>
      </c>
      <c r="EU72" s="239">
        <v>0</v>
      </c>
      <c r="EV72" s="239">
        <v>-119864</v>
      </c>
      <c r="EW72" s="239">
        <v>-56531</v>
      </c>
      <c r="EX72" s="239">
        <v>0</v>
      </c>
      <c r="EY72" s="239">
        <v>-56531</v>
      </c>
      <c r="EZ72" s="239">
        <v>-203210</v>
      </c>
      <c r="FA72" s="239">
        <v>0</v>
      </c>
      <c r="FB72" s="239">
        <v>-203210</v>
      </c>
      <c r="FC72" s="239">
        <v>0</v>
      </c>
      <c r="FD72" s="239">
        <v>0</v>
      </c>
      <c r="FE72" s="239">
        <v>0</v>
      </c>
      <c r="FF72" s="239">
        <v>0</v>
      </c>
      <c r="FG72" s="239">
        <v>0</v>
      </c>
      <c r="FH72" s="239">
        <v>0</v>
      </c>
      <c r="FI72" s="239">
        <v>0</v>
      </c>
      <c r="FJ72" s="239">
        <v>0</v>
      </c>
      <c r="FK72" s="239">
        <v>0</v>
      </c>
      <c r="FL72" s="239">
        <v>22722632</v>
      </c>
      <c r="FM72" s="239">
        <v>0</v>
      </c>
      <c r="FN72" s="239">
        <v>22722632</v>
      </c>
      <c r="FO72" s="239">
        <v>-262932</v>
      </c>
      <c r="FP72" s="239">
        <v>0</v>
      </c>
      <c r="FQ72" s="239">
        <v>-262932</v>
      </c>
      <c r="FR72" s="239">
        <v>-4338030</v>
      </c>
      <c r="FS72" s="239">
        <v>0</v>
      </c>
      <c r="FT72" s="239">
        <v>-4338030</v>
      </c>
      <c r="FU72" s="239">
        <v>-661390</v>
      </c>
      <c r="FV72" s="239">
        <v>0</v>
      </c>
      <c r="FW72" s="239">
        <v>-661390</v>
      </c>
      <c r="FX72" s="239">
        <v>-47103</v>
      </c>
      <c r="FY72" s="239">
        <v>0</v>
      </c>
      <c r="FZ72" s="239">
        <v>-47103</v>
      </c>
      <c r="GA72" s="239">
        <v>-203210</v>
      </c>
      <c r="GB72" s="239">
        <v>0</v>
      </c>
      <c r="GC72" s="239">
        <v>-203210</v>
      </c>
      <c r="GD72" s="239">
        <v>0</v>
      </c>
      <c r="GE72" s="239">
        <v>0</v>
      </c>
      <c r="GF72" s="239">
        <v>0</v>
      </c>
      <c r="GG72" s="239">
        <v>-5512665</v>
      </c>
      <c r="GH72" s="239">
        <v>0</v>
      </c>
      <c r="GI72" s="239">
        <v>-5512665</v>
      </c>
      <c r="GJ72" s="239">
        <v>17209967</v>
      </c>
      <c r="GK72" s="239">
        <v>0</v>
      </c>
      <c r="GL72" s="239">
        <v>17209967</v>
      </c>
      <c r="GM72" s="214" t="s">
        <v>1158</v>
      </c>
    </row>
    <row r="73" spans="1:195" s="214" customFormat="1" x14ac:dyDescent="0.2">
      <c r="B73" s="602" t="s">
        <v>229</v>
      </c>
      <c r="C73" s="602" t="s">
        <v>228</v>
      </c>
      <c r="D73" s="239">
        <v>-2010048</v>
      </c>
      <c r="E73" s="239">
        <v>0</v>
      </c>
      <c r="F73" s="239">
        <v>-2010048</v>
      </c>
      <c r="G73" s="239">
        <v>54454</v>
      </c>
      <c r="H73" s="239">
        <v>0</v>
      </c>
      <c r="I73" s="239">
        <v>54454</v>
      </c>
      <c r="J73" s="239">
        <v>5590892</v>
      </c>
      <c r="K73" s="239">
        <v>0</v>
      </c>
      <c r="L73" s="239">
        <v>5590892</v>
      </c>
      <c r="M73" s="239">
        <v>41330</v>
      </c>
      <c r="N73" s="239">
        <v>0</v>
      </c>
      <c r="O73" s="239">
        <v>41330</v>
      </c>
      <c r="P73" s="239">
        <v>3676628</v>
      </c>
      <c r="Q73" s="239">
        <v>0</v>
      </c>
      <c r="R73" s="239">
        <v>3676628</v>
      </c>
      <c r="S73" s="239">
        <v>-1480985</v>
      </c>
      <c r="T73" s="239">
        <v>0</v>
      </c>
      <c r="U73" s="239">
        <v>-1480985</v>
      </c>
      <c r="V73" s="239">
        <v>-14060</v>
      </c>
      <c r="W73" s="239">
        <v>0</v>
      </c>
      <c r="X73" s="239">
        <v>-14060</v>
      </c>
      <c r="Y73" s="239">
        <v>-59308</v>
      </c>
      <c r="Z73" s="239">
        <v>0</v>
      </c>
      <c r="AA73" s="239">
        <v>-59308</v>
      </c>
      <c r="AB73" s="239">
        <v>-55236</v>
      </c>
      <c r="AC73" s="239">
        <v>0</v>
      </c>
      <c r="AD73" s="239">
        <v>-55236</v>
      </c>
      <c r="AE73" s="239">
        <v>-3077</v>
      </c>
      <c r="AF73" s="239">
        <v>0</v>
      </c>
      <c r="AG73" s="239">
        <v>-3077</v>
      </c>
      <c r="AH73" s="239">
        <v>3130979</v>
      </c>
      <c r="AI73" s="239">
        <v>0</v>
      </c>
      <c r="AJ73" s="239">
        <v>3130979</v>
      </c>
      <c r="AK73" s="239">
        <v>2258659</v>
      </c>
      <c r="AL73" s="239">
        <v>0</v>
      </c>
      <c r="AM73" s="239">
        <v>2258659</v>
      </c>
      <c r="AN73" s="239">
        <v>-3163038</v>
      </c>
      <c r="AO73" s="239">
        <v>0</v>
      </c>
      <c r="AP73" s="239">
        <v>-3163038</v>
      </c>
      <c r="AQ73" s="239">
        <v>25447</v>
      </c>
      <c r="AR73" s="239">
        <v>0</v>
      </c>
      <c r="AS73" s="239">
        <v>25447</v>
      </c>
      <c r="AT73" s="239">
        <v>-29807</v>
      </c>
      <c r="AU73" s="239">
        <v>0</v>
      </c>
      <c r="AV73" s="239">
        <v>-29807</v>
      </c>
      <c r="AW73" s="239">
        <v>0</v>
      </c>
      <c r="AX73" s="239">
        <v>0</v>
      </c>
      <c r="AY73" s="239">
        <v>0</v>
      </c>
      <c r="AZ73" s="239">
        <v>0</v>
      </c>
      <c r="BA73" s="239">
        <v>0</v>
      </c>
      <c r="BB73" s="239">
        <v>0</v>
      </c>
      <c r="BC73" s="239">
        <v>0</v>
      </c>
      <c r="BD73" s="239">
        <v>0</v>
      </c>
      <c r="BE73" s="239">
        <v>0</v>
      </c>
      <c r="BF73" s="239">
        <v>681947</v>
      </c>
      <c r="BG73" s="239">
        <v>0</v>
      </c>
      <c r="BH73" s="239">
        <v>681947</v>
      </c>
      <c r="BI73" s="239">
        <v>-129392</v>
      </c>
      <c r="BJ73" s="239">
        <v>0</v>
      </c>
      <c r="BK73" s="239">
        <v>-129392</v>
      </c>
      <c r="BL73" s="239">
        <v>-46778</v>
      </c>
      <c r="BM73" s="239">
        <v>0</v>
      </c>
      <c r="BN73" s="239">
        <v>-46778</v>
      </c>
      <c r="BO73" s="239">
        <v>-3056513</v>
      </c>
      <c r="BP73" s="239">
        <v>0</v>
      </c>
      <c r="BQ73" s="239">
        <v>-3056513</v>
      </c>
      <c r="BR73" s="239">
        <v>50549</v>
      </c>
      <c r="BS73" s="239">
        <v>0</v>
      </c>
      <c r="BT73" s="239">
        <v>50549</v>
      </c>
      <c r="BU73" s="239">
        <v>-3182134</v>
      </c>
      <c r="BV73" s="239">
        <v>0</v>
      </c>
      <c r="BW73" s="239">
        <v>-3182134</v>
      </c>
      <c r="BX73" s="239">
        <v>-293018</v>
      </c>
      <c r="BY73" s="239">
        <v>0</v>
      </c>
      <c r="BZ73" s="239">
        <v>-293018</v>
      </c>
      <c r="CA73" s="239">
        <v>2473</v>
      </c>
      <c r="CB73" s="239">
        <v>0</v>
      </c>
      <c r="CC73" s="239">
        <v>2473</v>
      </c>
      <c r="CD73" s="239">
        <v>-121251</v>
      </c>
      <c r="CE73" s="239">
        <v>0</v>
      </c>
      <c r="CF73" s="239">
        <v>-121251</v>
      </c>
      <c r="CG73" s="239">
        <v>1021</v>
      </c>
      <c r="CH73" s="239">
        <v>0</v>
      </c>
      <c r="CI73" s="239">
        <v>1021</v>
      </c>
      <c r="CJ73" s="239">
        <v>-1819</v>
      </c>
      <c r="CK73" s="239">
        <v>0</v>
      </c>
      <c r="CL73" s="239">
        <v>-1819</v>
      </c>
      <c r="CM73" s="239">
        <v>0</v>
      </c>
      <c r="CN73" s="239">
        <v>0</v>
      </c>
      <c r="CO73" s="239">
        <v>0</v>
      </c>
      <c r="CP73" s="239">
        <v>0</v>
      </c>
      <c r="CQ73" s="239">
        <v>0</v>
      </c>
      <c r="CR73" s="239">
        <v>0</v>
      </c>
      <c r="CS73" s="239">
        <v>0</v>
      </c>
      <c r="CT73" s="239">
        <v>0</v>
      </c>
      <c r="CU73" s="239">
        <v>0</v>
      </c>
      <c r="CV73" s="239">
        <v>0</v>
      </c>
      <c r="CW73" s="239">
        <v>0</v>
      </c>
      <c r="CX73" s="239">
        <v>0</v>
      </c>
      <c r="CY73" s="239">
        <v>0</v>
      </c>
      <c r="CZ73" s="239">
        <v>0</v>
      </c>
      <c r="DA73" s="239">
        <v>0</v>
      </c>
      <c r="DB73" s="239">
        <v>0</v>
      </c>
      <c r="DC73" s="239">
        <v>0</v>
      </c>
      <c r="DD73" s="239">
        <v>0</v>
      </c>
      <c r="DE73" s="239">
        <v>0</v>
      </c>
      <c r="DF73" s="239">
        <v>0</v>
      </c>
      <c r="DG73" s="239">
        <v>0</v>
      </c>
      <c r="DH73" s="239">
        <v>0</v>
      </c>
      <c r="DI73" s="239">
        <v>0</v>
      </c>
      <c r="DJ73" s="239">
        <v>-412594</v>
      </c>
      <c r="DK73" s="239">
        <v>0</v>
      </c>
      <c r="DL73" s="239">
        <v>-412594</v>
      </c>
      <c r="DM73" s="239">
        <v>0</v>
      </c>
      <c r="DN73" s="239">
        <v>0</v>
      </c>
      <c r="DO73" s="239">
        <v>0</v>
      </c>
      <c r="DP73" s="239">
        <v>0</v>
      </c>
      <c r="DQ73" s="239">
        <v>0</v>
      </c>
      <c r="DR73" s="239">
        <v>0</v>
      </c>
      <c r="DS73" s="239">
        <v>0</v>
      </c>
      <c r="DT73" s="239">
        <v>0</v>
      </c>
      <c r="DU73" s="239">
        <v>0</v>
      </c>
      <c r="DV73" s="239">
        <v>1707</v>
      </c>
      <c r="DW73" s="239">
        <v>0</v>
      </c>
      <c r="DX73" s="239">
        <v>1707</v>
      </c>
      <c r="DY73" s="239">
        <v>69</v>
      </c>
      <c r="DZ73" s="239">
        <v>0</v>
      </c>
      <c r="EA73" s="239">
        <v>69</v>
      </c>
      <c r="EB73" s="239">
        <v>0</v>
      </c>
      <c r="EC73" s="239">
        <v>0</v>
      </c>
      <c r="ED73" s="239">
        <v>0</v>
      </c>
      <c r="EE73" s="239">
        <v>0</v>
      </c>
      <c r="EF73" s="239">
        <v>0</v>
      </c>
      <c r="EG73" s="239">
        <v>0</v>
      </c>
      <c r="EH73" s="239">
        <v>0</v>
      </c>
      <c r="EI73" s="239">
        <v>0</v>
      </c>
      <c r="EJ73" s="239">
        <v>0</v>
      </c>
      <c r="EK73" s="239">
        <v>0</v>
      </c>
      <c r="EL73" s="239">
        <v>0</v>
      </c>
      <c r="EM73" s="239">
        <v>0</v>
      </c>
      <c r="EN73" s="239">
        <v>0</v>
      </c>
      <c r="EO73" s="239">
        <v>0</v>
      </c>
      <c r="EP73" s="239">
        <v>0</v>
      </c>
      <c r="EQ73" s="239">
        <v>-16956</v>
      </c>
      <c r="ER73" s="239">
        <v>0</v>
      </c>
      <c r="ES73" s="239">
        <v>-16956</v>
      </c>
      <c r="ET73" s="239">
        <v>-180513</v>
      </c>
      <c r="EU73" s="239">
        <v>0</v>
      </c>
      <c r="EV73" s="239">
        <v>-180513</v>
      </c>
      <c r="EW73" s="239">
        <v>-19893</v>
      </c>
      <c r="EX73" s="239">
        <v>0</v>
      </c>
      <c r="EY73" s="239">
        <v>-19893</v>
      </c>
      <c r="EZ73" s="239">
        <v>-215586</v>
      </c>
      <c r="FA73" s="239">
        <v>0</v>
      </c>
      <c r="FB73" s="239">
        <v>-215586</v>
      </c>
      <c r="FC73" s="239">
        <v>0</v>
      </c>
      <c r="FD73" s="239">
        <v>0</v>
      </c>
      <c r="FE73" s="239">
        <v>0</v>
      </c>
      <c r="FF73" s="239">
        <v>0</v>
      </c>
      <c r="FG73" s="239">
        <v>0</v>
      </c>
      <c r="FH73" s="239">
        <v>0</v>
      </c>
      <c r="FI73" s="239">
        <v>0</v>
      </c>
      <c r="FJ73" s="239">
        <v>0</v>
      </c>
      <c r="FK73" s="239">
        <v>0</v>
      </c>
      <c r="FL73" s="239">
        <v>118346428</v>
      </c>
      <c r="FM73" s="239">
        <v>0</v>
      </c>
      <c r="FN73" s="239">
        <v>118346428</v>
      </c>
      <c r="FO73" s="239">
        <v>3676628</v>
      </c>
      <c r="FP73" s="239">
        <v>0</v>
      </c>
      <c r="FQ73" s="239">
        <v>3676628</v>
      </c>
      <c r="FR73" s="239">
        <v>681947</v>
      </c>
      <c r="FS73" s="239">
        <v>0</v>
      </c>
      <c r="FT73" s="239">
        <v>681947</v>
      </c>
      <c r="FU73" s="239">
        <v>-3182134</v>
      </c>
      <c r="FV73" s="239">
        <v>0</v>
      </c>
      <c r="FW73" s="239">
        <v>-3182134</v>
      </c>
      <c r="FX73" s="239">
        <v>-412594</v>
      </c>
      <c r="FY73" s="239">
        <v>0</v>
      </c>
      <c r="FZ73" s="239">
        <v>-412594</v>
      </c>
      <c r="GA73" s="239">
        <v>-215586</v>
      </c>
      <c r="GB73" s="239">
        <v>0</v>
      </c>
      <c r="GC73" s="239">
        <v>-215586</v>
      </c>
      <c r="GD73" s="239">
        <v>0</v>
      </c>
      <c r="GE73" s="239">
        <v>0</v>
      </c>
      <c r="GF73" s="239">
        <v>0</v>
      </c>
      <c r="GG73" s="239">
        <v>548261</v>
      </c>
      <c r="GH73" s="239">
        <v>0</v>
      </c>
      <c r="GI73" s="239">
        <v>548261</v>
      </c>
      <c r="GJ73" s="239">
        <v>118894689</v>
      </c>
      <c r="GK73" s="239">
        <v>0</v>
      </c>
      <c r="GL73" s="239">
        <v>118894689</v>
      </c>
      <c r="GM73" s="214" t="s">
        <v>1158</v>
      </c>
    </row>
    <row r="74" spans="1:195" s="214" customFormat="1" x14ac:dyDescent="0.2">
      <c r="A74" s="215"/>
      <c r="B74" s="602" t="s">
        <v>231</v>
      </c>
      <c r="C74" s="602" t="s">
        <v>230</v>
      </c>
      <c r="D74" s="239">
        <v>-12563965</v>
      </c>
      <c r="E74" s="239">
        <v>0</v>
      </c>
      <c r="F74" s="239">
        <v>-12563965</v>
      </c>
      <c r="G74" s="239">
        <v>214880</v>
      </c>
      <c r="H74" s="239">
        <v>0</v>
      </c>
      <c r="I74" s="239">
        <v>214880</v>
      </c>
      <c r="J74" s="239">
        <v>5480575</v>
      </c>
      <c r="K74" s="239">
        <v>0</v>
      </c>
      <c r="L74" s="239">
        <v>5480575</v>
      </c>
      <c r="M74" s="239">
        <v>94375</v>
      </c>
      <c r="N74" s="239">
        <v>0</v>
      </c>
      <c r="O74" s="239">
        <v>94375</v>
      </c>
      <c r="P74" s="239">
        <v>-6774135</v>
      </c>
      <c r="Q74" s="239">
        <v>0</v>
      </c>
      <c r="R74" s="239">
        <v>-6774135</v>
      </c>
      <c r="S74" s="239">
        <v>-7216225</v>
      </c>
      <c r="T74" s="239">
        <v>0</v>
      </c>
      <c r="U74" s="239">
        <v>-7216225</v>
      </c>
      <c r="V74" s="239">
        <v>-34724</v>
      </c>
      <c r="W74" s="239">
        <v>0</v>
      </c>
      <c r="X74" s="239">
        <v>-34724</v>
      </c>
      <c r="Y74" s="239">
        <v>-196807</v>
      </c>
      <c r="Z74" s="239">
        <v>0</v>
      </c>
      <c r="AA74" s="239">
        <v>-196807</v>
      </c>
      <c r="AB74" s="239">
        <v>-165255</v>
      </c>
      <c r="AC74" s="239">
        <v>0</v>
      </c>
      <c r="AD74" s="239">
        <v>-165255</v>
      </c>
      <c r="AE74" s="239">
        <v>-2159</v>
      </c>
      <c r="AF74" s="239">
        <v>0</v>
      </c>
      <c r="AG74" s="239">
        <v>-2159</v>
      </c>
      <c r="AH74" s="239">
        <v>3294560</v>
      </c>
      <c r="AI74" s="239">
        <v>0</v>
      </c>
      <c r="AJ74" s="239">
        <v>3294560</v>
      </c>
      <c r="AK74" s="239">
        <v>1588820</v>
      </c>
      <c r="AL74" s="239">
        <v>0</v>
      </c>
      <c r="AM74" s="239">
        <v>1588820</v>
      </c>
      <c r="AN74" s="239">
        <v>-10187628</v>
      </c>
      <c r="AO74" s="239">
        <v>0</v>
      </c>
      <c r="AP74" s="239">
        <v>-10187628</v>
      </c>
      <c r="AQ74" s="239">
        <v>71496</v>
      </c>
      <c r="AR74" s="239">
        <v>0</v>
      </c>
      <c r="AS74" s="239">
        <v>71496</v>
      </c>
      <c r="AT74" s="239">
        <v>-180382</v>
      </c>
      <c r="AU74" s="239">
        <v>0</v>
      </c>
      <c r="AV74" s="239">
        <v>-180382</v>
      </c>
      <c r="AW74" s="239">
        <v>0</v>
      </c>
      <c r="AX74" s="239">
        <v>0</v>
      </c>
      <c r="AY74" s="239">
        <v>0</v>
      </c>
      <c r="AZ74" s="239">
        <v>0</v>
      </c>
      <c r="BA74" s="239">
        <v>0</v>
      </c>
      <c r="BB74" s="239">
        <v>0</v>
      </c>
      <c r="BC74" s="239">
        <v>0</v>
      </c>
      <c r="BD74" s="239">
        <v>0</v>
      </c>
      <c r="BE74" s="239">
        <v>0</v>
      </c>
      <c r="BF74" s="239">
        <v>-12826166</v>
      </c>
      <c r="BG74" s="239">
        <v>0</v>
      </c>
      <c r="BH74" s="239">
        <v>-12826166</v>
      </c>
      <c r="BI74" s="239">
        <v>-887675</v>
      </c>
      <c r="BJ74" s="239">
        <v>0</v>
      </c>
      <c r="BK74" s="239">
        <v>-887675</v>
      </c>
      <c r="BL74" s="239">
        <v>-29856</v>
      </c>
      <c r="BM74" s="239">
        <v>0</v>
      </c>
      <c r="BN74" s="239">
        <v>-29856</v>
      </c>
      <c r="BO74" s="239">
        <v>-9044832</v>
      </c>
      <c r="BP74" s="239">
        <v>0</v>
      </c>
      <c r="BQ74" s="239">
        <v>-9044832</v>
      </c>
      <c r="BR74" s="239">
        <v>206663</v>
      </c>
      <c r="BS74" s="239">
        <v>0</v>
      </c>
      <c r="BT74" s="239">
        <v>206663</v>
      </c>
      <c r="BU74" s="239">
        <v>-9755700</v>
      </c>
      <c r="BV74" s="239">
        <v>0</v>
      </c>
      <c r="BW74" s="239">
        <v>-9755700</v>
      </c>
      <c r="BX74" s="239">
        <v>-40779</v>
      </c>
      <c r="BY74" s="239">
        <v>0</v>
      </c>
      <c r="BZ74" s="239">
        <v>-40779</v>
      </c>
      <c r="CA74" s="239">
        <v>690</v>
      </c>
      <c r="CB74" s="239">
        <v>0</v>
      </c>
      <c r="CC74" s="239">
        <v>690</v>
      </c>
      <c r="CD74" s="239">
        <v>-263425</v>
      </c>
      <c r="CE74" s="239">
        <v>0</v>
      </c>
      <c r="CF74" s="239">
        <v>-263425</v>
      </c>
      <c r="CG74" s="239">
        <v>-2011</v>
      </c>
      <c r="CH74" s="239">
        <v>0</v>
      </c>
      <c r="CI74" s="239">
        <v>-2011</v>
      </c>
      <c r="CJ74" s="239">
        <v>0</v>
      </c>
      <c r="CK74" s="239">
        <v>0</v>
      </c>
      <c r="CL74" s="239">
        <v>0</v>
      </c>
      <c r="CM74" s="239">
        <v>0</v>
      </c>
      <c r="CN74" s="239">
        <v>0</v>
      </c>
      <c r="CO74" s="239">
        <v>0</v>
      </c>
      <c r="CP74" s="239">
        <v>0</v>
      </c>
      <c r="CQ74" s="239">
        <v>0</v>
      </c>
      <c r="CR74" s="239">
        <v>0</v>
      </c>
      <c r="CS74" s="239">
        <v>0</v>
      </c>
      <c r="CT74" s="239">
        <v>0</v>
      </c>
      <c r="CU74" s="239">
        <v>0</v>
      </c>
      <c r="CV74" s="239">
        <v>0</v>
      </c>
      <c r="CW74" s="239">
        <v>0</v>
      </c>
      <c r="CX74" s="239">
        <v>0</v>
      </c>
      <c r="CY74" s="239">
        <v>0</v>
      </c>
      <c r="CZ74" s="239">
        <v>0</v>
      </c>
      <c r="DA74" s="239">
        <v>0</v>
      </c>
      <c r="DB74" s="239">
        <v>-4144</v>
      </c>
      <c r="DC74" s="239">
        <v>0</v>
      </c>
      <c r="DD74" s="239">
        <v>-4144</v>
      </c>
      <c r="DE74" s="239">
        <v>-3420</v>
      </c>
      <c r="DF74" s="239">
        <v>0</v>
      </c>
      <c r="DG74" s="239">
        <v>-3420</v>
      </c>
      <c r="DH74" s="239">
        <v>0</v>
      </c>
      <c r="DI74" s="239">
        <v>0</v>
      </c>
      <c r="DJ74" s="239">
        <v>-313089</v>
      </c>
      <c r="DK74" s="239">
        <v>0</v>
      </c>
      <c r="DL74" s="239">
        <v>-313089</v>
      </c>
      <c r="DM74" s="239">
        <v>0</v>
      </c>
      <c r="DN74" s="239">
        <v>0</v>
      </c>
      <c r="DO74" s="239">
        <v>0</v>
      </c>
      <c r="DP74" s="239">
        <v>0</v>
      </c>
      <c r="DQ74" s="239">
        <v>0</v>
      </c>
      <c r="DR74" s="239">
        <v>0</v>
      </c>
      <c r="DS74" s="239">
        <v>0</v>
      </c>
      <c r="DT74" s="239">
        <v>0</v>
      </c>
      <c r="DU74" s="239">
        <v>0</v>
      </c>
      <c r="DV74" s="239">
        <v>0</v>
      </c>
      <c r="DW74" s="239">
        <v>0</v>
      </c>
      <c r="DX74" s="239">
        <v>0</v>
      </c>
      <c r="DY74" s="239">
        <v>5358</v>
      </c>
      <c r="DZ74" s="239">
        <v>0</v>
      </c>
      <c r="EA74" s="239">
        <v>5358</v>
      </c>
      <c r="EB74" s="239">
        <v>0</v>
      </c>
      <c r="EC74" s="239">
        <v>0</v>
      </c>
      <c r="ED74" s="239">
        <v>0</v>
      </c>
      <c r="EE74" s="239">
        <v>0</v>
      </c>
      <c r="EF74" s="239">
        <v>0</v>
      </c>
      <c r="EG74" s="239">
        <v>0</v>
      </c>
      <c r="EH74" s="239">
        <v>0</v>
      </c>
      <c r="EI74" s="239">
        <v>0</v>
      </c>
      <c r="EJ74" s="239">
        <v>0</v>
      </c>
      <c r="EK74" s="239">
        <v>0</v>
      </c>
      <c r="EL74" s="239">
        <v>0</v>
      </c>
      <c r="EM74" s="239">
        <v>0</v>
      </c>
      <c r="EN74" s="239">
        <v>0</v>
      </c>
      <c r="EO74" s="239">
        <v>0</v>
      </c>
      <c r="EP74" s="239">
        <v>0</v>
      </c>
      <c r="EQ74" s="239">
        <v>-348993</v>
      </c>
      <c r="ER74" s="239">
        <v>0</v>
      </c>
      <c r="ES74" s="239">
        <v>-348993</v>
      </c>
      <c r="ET74" s="239">
        <v>-1621670</v>
      </c>
      <c r="EU74" s="239">
        <v>0</v>
      </c>
      <c r="EV74" s="239">
        <v>-1621670</v>
      </c>
      <c r="EW74" s="239">
        <v>-49855</v>
      </c>
      <c r="EX74" s="239">
        <v>0</v>
      </c>
      <c r="EY74" s="239">
        <v>-49855</v>
      </c>
      <c r="EZ74" s="239">
        <v>-2015160</v>
      </c>
      <c r="FA74" s="239">
        <v>0</v>
      </c>
      <c r="FB74" s="239">
        <v>-2015160</v>
      </c>
      <c r="FC74" s="239">
        <v>0</v>
      </c>
      <c r="FD74" s="239">
        <v>0</v>
      </c>
      <c r="FE74" s="239">
        <v>0</v>
      </c>
      <c r="FF74" s="239">
        <v>0</v>
      </c>
      <c r="FG74" s="239">
        <v>0</v>
      </c>
      <c r="FH74" s="239">
        <v>0</v>
      </c>
      <c r="FI74" s="239">
        <v>0</v>
      </c>
      <c r="FJ74" s="239">
        <v>0</v>
      </c>
      <c r="FK74" s="239">
        <v>0</v>
      </c>
      <c r="FL74" s="239">
        <v>143158245</v>
      </c>
      <c r="FM74" s="239">
        <v>0</v>
      </c>
      <c r="FN74" s="239">
        <v>143158245</v>
      </c>
      <c r="FO74" s="239">
        <v>-6774135</v>
      </c>
      <c r="FP74" s="239">
        <v>0</v>
      </c>
      <c r="FQ74" s="239">
        <v>-6774135</v>
      </c>
      <c r="FR74" s="239">
        <v>-12826166</v>
      </c>
      <c r="FS74" s="239">
        <v>0</v>
      </c>
      <c r="FT74" s="239">
        <v>-12826166</v>
      </c>
      <c r="FU74" s="239">
        <v>-9755700</v>
      </c>
      <c r="FV74" s="239">
        <v>0</v>
      </c>
      <c r="FW74" s="239">
        <v>-9755700</v>
      </c>
      <c r="FX74" s="239">
        <v>-313089</v>
      </c>
      <c r="FY74" s="239">
        <v>0</v>
      </c>
      <c r="FZ74" s="239">
        <v>-313089</v>
      </c>
      <c r="GA74" s="239">
        <v>-2015160</v>
      </c>
      <c r="GB74" s="239">
        <v>0</v>
      </c>
      <c r="GC74" s="239">
        <v>-2015160</v>
      </c>
      <c r="GD74" s="239">
        <v>0</v>
      </c>
      <c r="GE74" s="239">
        <v>0</v>
      </c>
      <c r="GF74" s="239">
        <v>0</v>
      </c>
      <c r="GG74" s="239">
        <v>-31684250</v>
      </c>
      <c r="GH74" s="239">
        <v>0</v>
      </c>
      <c r="GI74" s="239">
        <v>-31684250</v>
      </c>
      <c r="GJ74" s="239">
        <v>111473995</v>
      </c>
      <c r="GK74" s="239">
        <v>0</v>
      </c>
      <c r="GL74" s="239">
        <v>111473995</v>
      </c>
      <c r="GM74" s="214" t="s">
        <v>1159</v>
      </c>
    </row>
    <row r="75" spans="1:195" s="214" customFormat="1" x14ac:dyDescent="0.2">
      <c r="B75" s="602" t="s">
        <v>233</v>
      </c>
      <c r="C75" s="602" t="s">
        <v>232</v>
      </c>
      <c r="D75" s="239">
        <v>-2387767</v>
      </c>
      <c r="E75" s="239">
        <v>-4701</v>
      </c>
      <c r="F75" s="239">
        <v>-2392468</v>
      </c>
      <c r="G75" s="239">
        <v>14591</v>
      </c>
      <c r="H75" s="239">
        <v>0</v>
      </c>
      <c r="I75" s="239">
        <v>14591</v>
      </c>
      <c r="J75" s="239">
        <v>2690811</v>
      </c>
      <c r="K75" s="239">
        <v>0</v>
      </c>
      <c r="L75" s="239">
        <v>2690811</v>
      </c>
      <c r="M75" s="239">
        <v>-21176</v>
      </c>
      <c r="N75" s="239">
        <v>0</v>
      </c>
      <c r="O75" s="239">
        <v>-21176</v>
      </c>
      <c r="P75" s="239">
        <v>296459</v>
      </c>
      <c r="Q75" s="239">
        <v>-4701</v>
      </c>
      <c r="R75" s="239">
        <v>291758</v>
      </c>
      <c r="S75" s="239">
        <v>-3624979</v>
      </c>
      <c r="T75" s="239">
        <v>0</v>
      </c>
      <c r="U75" s="239">
        <v>-3624979</v>
      </c>
      <c r="V75" s="239">
        <v>0</v>
      </c>
      <c r="W75" s="239">
        <v>0</v>
      </c>
      <c r="X75" s="239">
        <v>0</v>
      </c>
      <c r="Y75" s="239">
        <v>-159630</v>
      </c>
      <c r="Z75" s="239">
        <v>0</v>
      </c>
      <c r="AA75" s="239">
        <v>-159630</v>
      </c>
      <c r="AB75" s="239">
        <v>-147509</v>
      </c>
      <c r="AC75" s="239">
        <v>0</v>
      </c>
      <c r="AD75" s="239">
        <v>-147509</v>
      </c>
      <c r="AE75" s="239">
        <v>0</v>
      </c>
      <c r="AF75" s="239">
        <v>0</v>
      </c>
      <c r="AG75" s="239">
        <v>0</v>
      </c>
      <c r="AH75" s="239">
        <v>1535913</v>
      </c>
      <c r="AI75" s="239">
        <v>1511</v>
      </c>
      <c r="AJ75" s="239">
        <v>1537424</v>
      </c>
      <c r="AK75" s="239">
        <v>940857</v>
      </c>
      <c r="AL75" s="239">
        <v>504</v>
      </c>
      <c r="AM75" s="239">
        <v>941361</v>
      </c>
      <c r="AN75" s="239">
        <v>-5102054</v>
      </c>
      <c r="AO75" s="239">
        <v>0</v>
      </c>
      <c r="AP75" s="239">
        <v>-5102054</v>
      </c>
      <c r="AQ75" s="239">
        <v>72736</v>
      </c>
      <c r="AR75" s="239">
        <v>0</v>
      </c>
      <c r="AS75" s="239">
        <v>72736</v>
      </c>
      <c r="AT75" s="239">
        <v>-86161</v>
      </c>
      <c r="AU75" s="239">
        <v>0</v>
      </c>
      <c r="AV75" s="239">
        <v>-86161</v>
      </c>
      <c r="AW75" s="239">
        <v>0</v>
      </c>
      <c r="AX75" s="239">
        <v>0</v>
      </c>
      <c r="AY75" s="239">
        <v>0</v>
      </c>
      <c r="AZ75" s="239">
        <v>-4143</v>
      </c>
      <c r="BA75" s="239">
        <v>0</v>
      </c>
      <c r="BB75" s="239">
        <v>-4143</v>
      </c>
      <c r="BC75" s="239">
        <v>0</v>
      </c>
      <c r="BD75" s="239">
        <v>0</v>
      </c>
      <c r="BE75" s="239">
        <v>0</v>
      </c>
      <c r="BF75" s="239">
        <v>-6427461</v>
      </c>
      <c r="BG75" s="239">
        <v>2015</v>
      </c>
      <c r="BH75" s="239">
        <v>-6425446</v>
      </c>
      <c r="BI75" s="239">
        <v>-105263</v>
      </c>
      <c r="BJ75" s="239">
        <v>0</v>
      </c>
      <c r="BK75" s="239">
        <v>-105263</v>
      </c>
      <c r="BL75" s="239">
        <v>5494</v>
      </c>
      <c r="BM75" s="239">
        <v>0</v>
      </c>
      <c r="BN75" s="239">
        <v>5494</v>
      </c>
      <c r="BO75" s="239">
        <v>-2256807</v>
      </c>
      <c r="BP75" s="239">
        <v>-336</v>
      </c>
      <c r="BQ75" s="239">
        <v>-2257143</v>
      </c>
      <c r="BR75" s="239">
        <v>-516670</v>
      </c>
      <c r="BS75" s="239">
        <v>0</v>
      </c>
      <c r="BT75" s="239">
        <v>-516670</v>
      </c>
      <c r="BU75" s="239">
        <v>-2873246</v>
      </c>
      <c r="BV75" s="239">
        <v>-336</v>
      </c>
      <c r="BW75" s="239">
        <v>-2873582</v>
      </c>
      <c r="BX75" s="239">
        <v>-248665</v>
      </c>
      <c r="BY75" s="239">
        <v>0</v>
      </c>
      <c r="BZ75" s="239">
        <v>-248665</v>
      </c>
      <c r="CA75" s="239">
        <v>3857</v>
      </c>
      <c r="CB75" s="239">
        <v>0</v>
      </c>
      <c r="CC75" s="239">
        <v>3857</v>
      </c>
      <c r="CD75" s="239">
        <v>-9458</v>
      </c>
      <c r="CE75" s="239">
        <v>0</v>
      </c>
      <c r="CF75" s="239">
        <v>-9458</v>
      </c>
      <c r="CG75" s="239">
        <v>-1438</v>
      </c>
      <c r="CH75" s="239">
        <v>0</v>
      </c>
      <c r="CI75" s="239">
        <v>-1438</v>
      </c>
      <c r="CJ75" s="239">
        <v>-195</v>
      </c>
      <c r="CK75" s="239">
        <v>0</v>
      </c>
      <c r="CL75" s="239">
        <v>-195</v>
      </c>
      <c r="CM75" s="239">
        <v>0</v>
      </c>
      <c r="CN75" s="239">
        <v>0</v>
      </c>
      <c r="CO75" s="239">
        <v>0</v>
      </c>
      <c r="CP75" s="239">
        <v>0</v>
      </c>
      <c r="CQ75" s="239">
        <v>0</v>
      </c>
      <c r="CR75" s="239">
        <v>0</v>
      </c>
      <c r="CS75" s="239">
        <v>0</v>
      </c>
      <c r="CT75" s="239">
        <v>0</v>
      </c>
      <c r="CU75" s="239">
        <v>0</v>
      </c>
      <c r="CV75" s="239">
        <v>0</v>
      </c>
      <c r="CW75" s="239">
        <v>0</v>
      </c>
      <c r="CX75" s="239">
        <v>0</v>
      </c>
      <c r="CY75" s="239">
        <v>0</v>
      </c>
      <c r="CZ75" s="239">
        <v>0</v>
      </c>
      <c r="DA75" s="239">
        <v>0</v>
      </c>
      <c r="DB75" s="239">
        <v>0</v>
      </c>
      <c r="DC75" s="239">
        <v>0</v>
      </c>
      <c r="DD75" s="239">
        <v>0</v>
      </c>
      <c r="DE75" s="239">
        <v>0</v>
      </c>
      <c r="DF75" s="239">
        <v>0</v>
      </c>
      <c r="DG75" s="239">
        <v>0</v>
      </c>
      <c r="DH75" s="239">
        <v>0</v>
      </c>
      <c r="DI75" s="239">
        <v>0</v>
      </c>
      <c r="DJ75" s="239">
        <v>-255899</v>
      </c>
      <c r="DK75" s="239">
        <v>0</v>
      </c>
      <c r="DL75" s="239">
        <v>-255899</v>
      </c>
      <c r="DM75" s="239">
        <v>0</v>
      </c>
      <c r="DN75" s="239">
        <v>0</v>
      </c>
      <c r="DO75" s="239">
        <v>0</v>
      </c>
      <c r="DP75" s="239">
        <v>0</v>
      </c>
      <c r="DQ75" s="239">
        <v>0</v>
      </c>
      <c r="DR75" s="239">
        <v>0</v>
      </c>
      <c r="DS75" s="239">
        <v>0</v>
      </c>
      <c r="DT75" s="239">
        <v>0</v>
      </c>
      <c r="DU75" s="239">
        <v>0</v>
      </c>
      <c r="DV75" s="239">
        <v>0</v>
      </c>
      <c r="DW75" s="239">
        <v>0</v>
      </c>
      <c r="DX75" s="239">
        <v>0</v>
      </c>
      <c r="DY75" s="239">
        <v>3762</v>
      </c>
      <c r="DZ75" s="239">
        <v>0</v>
      </c>
      <c r="EA75" s="239">
        <v>3762</v>
      </c>
      <c r="EB75" s="239">
        <v>0</v>
      </c>
      <c r="EC75" s="239">
        <v>0</v>
      </c>
      <c r="ED75" s="239">
        <v>0</v>
      </c>
      <c r="EE75" s="239">
        <v>0</v>
      </c>
      <c r="EF75" s="239">
        <v>0</v>
      </c>
      <c r="EG75" s="239">
        <v>0</v>
      </c>
      <c r="EH75" s="239">
        <v>0</v>
      </c>
      <c r="EI75" s="239">
        <v>0</v>
      </c>
      <c r="EJ75" s="239">
        <v>0</v>
      </c>
      <c r="EK75" s="239">
        <v>-4143</v>
      </c>
      <c r="EL75" s="239">
        <v>0</v>
      </c>
      <c r="EM75" s="239">
        <v>-4143</v>
      </c>
      <c r="EN75" s="239">
        <v>0</v>
      </c>
      <c r="EO75" s="239">
        <v>0</v>
      </c>
      <c r="EP75" s="239">
        <v>0</v>
      </c>
      <c r="EQ75" s="239">
        <v>-23994</v>
      </c>
      <c r="ER75" s="239">
        <v>0</v>
      </c>
      <c r="ES75" s="239">
        <v>-23994</v>
      </c>
      <c r="ET75" s="239">
        <v>-318488</v>
      </c>
      <c r="EU75" s="239">
        <v>0</v>
      </c>
      <c r="EV75" s="239">
        <v>-318488</v>
      </c>
      <c r="EW75" s="239">
        <v>-47597</v>
      </c>
      <c r="EX75" s="239">
        <v>0</v>
      </c>
      <c r="EY75" s="239">
        <v>-47597</v>
      </c>
      <c r="EZ75" s="239">
        <v>-390460</v>
      </c>
      <c r="FA75" s="239">
        <v>0</v>
      </c>
      <c r="FB75" s="239">
        <v>-390460</v>
      </c>
      <c r="FC75" s="239">
        <v>0</v>
      </c>
      <c r="FD75" s="239">
        <v>0</v>
      </c>
      <c r="FE75" s="239">
        <v>0</v>
      </c>
      <c r="FF75" s="239">
        <v>0</v>
      </c>
      <c r="FG75" s="239">
        <v>0</v>
      </c>
      <c r="FH75" s="239">
        <v>0</v>
      </c>
      <c r="FI75" s="239">
        <v>0</v>
      </c>
      <c r="FJ75" s="239">
        <v>0</v>
      </c>
      <c r="FK75" s="239">
        <v>0</v>
      </c>
      <c r="FL75" s="239">
        <v>71421496</v>
      </c>
      <c r="FM75" s="239">
        <v>61779</v>
      </c>
      <c r="FN75" s="239">
        <v>71483275</v>
      </c>
      <c r="FO75" s="239">
        <v>296459</v>
      </c>
      <c r="FP75" s="239">
        <v>-4701</v>
      </c>
      <c r="FQ75" s="239">
        <v>291758</v>
      </c>
      <c r="FR75" s="239">
        <v>-6427461</v>
      </c>
      <c r="FS75" s="239">
        <v>2015</v>
      </c>
      <c r="FT75" s="239">
        <v>-6425446</v>
      </c>
      <c r="FU75" s="239">
        <v>-2873246</v>
      </c>
      <c r="FV75" s="239">
        <v>-336</v>
      </c>
      <c r="FW75" s="239">
        <v>-2873582</v>
      </c>
      <c r="FX75" s="239">
        <v>-255899</v>
      </c>
      <c r="FY75" s="239">
        <v>0</v>
      </c>
      <c r="FZ75" s="239">
        <v>-255899</v>
      </c>
      <c r="GA75" s="239">
        <v>-390460</v>
      </c>
      <c r="GB75" s="239">
        <v>0</v>
      </c>
      <c r="GC75" s="239">
        <v>-390460</v>
      </c>
      <c r="GD75" s="239">
        <v>0</v>
      </c>
      <c r="GE75" s="239">
        <v>0</v>
      </c>
      <c r="GF75" s="239">
        <v>0</v>
      </c>
      <c r="GG75" s="239">
        <v>-9650607</v>
      </c>
      <c r="GH75" s="239">
        <v>-3022</v>
      </c>
      <c r="GI75" s="239">
        <v>-9653629</v>
      </c>
      <c r="GJ75" s="239">
        <v>61770889</v>
      </c>
      <c r="GK75" s="239">
        <v>58757</v>
      </c>
      <c r="GL75" s="239">
        <v>61829646</v>
      </c>
      <c r="GM75" s="214" t="s">
        <v>1158</v>
      </c>
    </row>
    <row r="76" spans="1:195" s="214" customFormat="1" x14ac:dyDescent="0.2">
      <c r="B76" s="602" t="s">
        <v>235</v>
      </c>
      <c r="C76" s="602" t="s">
        <v>234</v>
      </c>
      <c r="D76" s="239">
        <v>-881010</v>
      </c>
      <c r="E76" s="239">
        <v>0</v>
      </c>
      <c r="F76" s="239">
        <v>-881010</v>
      </c>
      <c r="G76" s="239">
        <v>-2444</v>
      </c>
      <c r="H76" s="239">
        <v>0</v>
      </c>
      <c r="I76" s="239">
        <v>-2444</v>
      </c>
      <c r="J76" s="239">
        <v>4469410</v>
      </c>
      <c r="K76" s="239">
        <v>12096</v>
      </c>
      <c r="L76" s="239">
        <v>4481506</v>
      </c>
      <c r="M76" s="239">
        <v>-70287</v>
      </c>
      <c r="N76" s="239">
        <v>0</v>
      </c>
      <c r="O76" s="239">
        <v>-70287</v>
      </c>
      <c r="P76" s="239">
        <v>3515669</v>
      </c>
      <c r="Q76" s="239">
        <v>12096</v>
      </c>
      <c r="R76" s="239">
        <v>3527765</v>
      </c>
      <c r="S76" s="239">
        <v>-3684931</v>
      </c>
      <c r="T76" s="239">
        <v>-71661</v>
      </c>
      <c r="U76" s="239">
        <v>-3756592</v>
      </c>
      <c r="V76" s="239">
        <v>-21493</v>
      </c>
      <c r="W76" s="239">
        <v>0</v>
      </c>
      <c r="X76" s="239">
        <v>-21493</v>
      </c>
      <c r="Y76" s="239">
        <v>-87204</v>
      </c>
      <c r="Z76" s="239">
        <v>-2419</v>
      </c>
      <c r="AA76" s="239">
        <v>-89623</v>
      </c>
      <c r="AB76" s="239">
        <v>-81893</v>
      </c>
      <c r="AC76" s="239">
        <v>-2419</v>
      </c>
      <c r="AD76" s="239">
        <v>-84312</v>
      </c>
      <c r="AE76" s="239">
        <v>-1509</v>
      </c>
      <c r="AF76" s="239">
        <v>0</v>
      </c>
      <c r="AG76" s="239">
        <v>-1509</v>
      </c>
      <c r="AH76" s="239">
        <v>0</v>
      </c>
      <c r="AI76" s="239">
        <v>4747</v>
      </c>
      <c r="AJ76" s="239">
        <v>4747</v>
      </c>
      <c r="AK76" s="239">
        <v>733731</v>
      </c>
      <c r="AL76" s="239">
        <v>98</v>
      </c>
      <c r="AM76" s="239">
        <v>733829</v>
      </c>
      <c r="AN76" s="239">
        <v>-2823892</v>
      </c>
      <c r="AO76" s="239">
        <v>-2061</v>
      </c>
      <c r="AP76" s="239">
        <v>-2825953</v>
      </c>
      <c r="AQ76" s="239">
        <v>-132295</v>
      </c>
      <c r="AR76" s="239">
        <v>0</v>
      </c>
      <c r="AS76" s="239">
        <v>-132295</v>
      </c>
      <c r="AT76" s="239">
        <v>-47588</v>
      </c>
      <c r="AU76" s="239">
        <v>0</v>
      </c>
      <c r="AV76" s="239">
        <v>-47588</v>
      </c>
      <c r="AW76" s="239">
        <v>16893</v>
      </c>
      <c r="AX76" s="239">
        <v>0</v>
      </c>
      <c r="AY76" s="239">
        <v>16893</v>
      </c>
      <c r="AZ76" s="239">
        <v>-361</v>
      </c>
      <c r="BA76" s="239">
        <v>0</v>
      </c>
      <c r="BB76" s="239">
        <v>-361</v>
      </c>
      <c r="BC76" s="239">
        <v>0</v>
      </c>
      <c r="BD76" s="239">
        <v>0</v>
      </c>
      <c r="BE76" s="239">
        <v>0</v>
      </c>
      <c r="BF76" s="239">
        <v>-6025647</v>
      </c>
      <c r="BG76" s="239">
        <v>-71296</v>
      </c>
      <c r="BH76" s="239">
        <v>-6096943</v>
      </c>
      <c r="BI76" s="239">
        <v>-7171</v>
      </c>
      <c r="BJ76" s="239">
        <v>0</v>
      </c>
      <c r="BK76" s="239">
        <v>-7171</v>
      </c>
      <c r="BL76" s="239">
        <v>2083</v>
      </c>
      <c r="BM76" s="239">
        <v>0</v>
      </c>
      <c r="BN76" s="239">
        <v>2083</v>
      </c>
      <c r="BO76" s="239">
        <v>-1456815</v>
      </c>
      <c r="BP76" s="239">
        <v>-4547</v>
      </c>
      <c r="BQ76" s="239">
        <v>-1461362</v>
      </c>
      <c r="BR76" s="239">
        <v>-1809</v>
      </c>
      <c r="BS76" s="239">
        <v>-142</v>
      </c>
      <c r="BT76" s="239">
        <v>-1951</v>
      </c>
      <c r="BU76" s="239">
        <v>-1463712</v>
      </c>
      <c r="BV76" s="239">
        <v>-4689</v>
      </c>
      <c r="BW76" s="239">
        <v>-1468401</v>
      </c>
      <c r="BX76" s="239">
        <v>0</v>
      </c>
      <c r="BY76" s="239">
        <v>0</v>
      </c>
      <c r="BZ76" s="239">
        <v>0</v>
      </c>
      <c r="CA76" s="239">
        <v>-5409</v>
      </c>
      <c r="CB76" s="239">
        <v>0</v>
      </c>
      <c r="CC76" s="239">
        <v>-5409</v>
      </c>
      <c r="CD76" s="239">
        <v>0</v>
      </c>
      <c r="CE76" s="239">
        <v>0</v>
      </c>
      <c r="CF76" s="239">
        <v>0</v>
      </c>
      <c r="CG76" s="239">
        <v>0</v>
      </c>
      <c r="CH76" s="239">
        <v>0</v>
      </c>
      <c r="CI76" s="239">
        <v>0</v>
      </c>
      <c r="CJ76" s="239">
        <v>0</v>
      </c>
      <c r="CK76" s="239">
        <v>0</v>
      </c>
      <c r="CL76" s="239">
        <v>0</v>
      </c>
      <c r="CM76" s="239">
        <v>0</v>
      </c>
      <c r="CN76" s="239">
        <v>0</v>
      </c>
      <c r="CO76" s="239">
        <v>0</v>
      </c>
      <c r="CP76" s="239">
        <v>0</v>
      </c>
      <c r="CQ76" s="239">
        <v>0</v>
      </c>
      <c r="CR76" s="239">
        <v>0</v>
      </c>
      <c r="CS76" s="239">
        <v>0</v>
      </c>
      <c r="CT76" s="239">
        <v>0</v>
      </c>
      <c r="CU76" s="239">
        <v>0</v>
      </c>
      <c r="CV76" s="239">
        <v>0</v>
      </c>
      <c r="CW76" s="239">
        <v>0</v>
      </c>
      <c r="CX76" s="239">
        <v>0</v>
      </c>
      <c r="CY76" s="239">
        <v>0</v>
      </c>
      <c r="CZ76" s="239">
        <v>0</v>
      </c>
      <c r="DA76" s="239">
        <v>0</v>
      </c>
      <c r="DB76" s="239">
        <v>0</v>
      </c>
      <c r="DC76" s="239">
        <v>-19866</v>
      </c>
      <c r="DD76" s="239">
        <v>-19866</v>
      </c>
      <c r="DE76" s="239">
        <v>0</v>
      </c>
      <c r="DF76" s="239">
        <v>0</v>
      </c>
      <c r="DG76" s="239">
        <v>0</v>
      </c>
      <c r="DH76" s="239">
        <v>-19866</v>
      </c>
      <c r="DI76" s="239">
        <v>0</v>
      </c>
      <c r="DJ76" s="239">
        <v>-5409</v>
      </c>
      <c r="DK76" s="239">
        <v>-19866</v>
      </c>
      <c r="DL76" s="239">
        <v>-25275</v>
      </c>
      <c r="DM76" s="239">
        <v>-56111</v>
      </c>
      <c r="DN76" s="239">
        <v>0</v>
      </c>
      <c r="DO76" s="239">
        <v>-56111</v>
      </c>
      <c r="DP76" s="239">
        <v>0</v>
      </c>
      <c r="DQ76" s="239">
        <v>783</v>
      </c>
      <c r="DR76" s="239">
        <v>783</v>
      </c>
      <c r="DS76" s="239">
        <v>-3233</v>
      </c>
      <c r="DT76" s="239">
        <v>0</v>
      </c>
      <c r="DU76" s="239">
        <v>-3233</v>
      </c>
      <c r="DV76" s="239">
        <v>1177</v>
      </c>
      <c r="DW76" s="239">
        <v>0</v>
      </c>
      <c r="DX76" s="239">
        <v>1177</v>
      </c>
      <c r="DY76" s="239">
        <v>1500</v>
      </c>
      <c r="DZ76" s="239">
        <v>0</v>
      </c>
      <c r="EA76" s="239">
        <v>1500</v>
      </c>
      <c r="EB76" s="239">
        <v>0</v>
      </c>
      <c r="EC76" s="239">
        <v>0</v>
      </c>
      <c r="ED76" s="239">
        <v>0</v>
      </c>
      <c r="EE76" s="239">
        <v>0</v>
      </c>
      <c r="EF76" s="239">
        <v>0</v>
      </c>
      <c r="EG76" s="239">
        <v>0</v>
      </c>
      <c r="EH76" s="239">
        <v>0</v>
      </c>
      <c r="EI76" s="239">
        <v>0</v>
      </c>
      <c r="EJ76" s="239">
        <v>0</v>
      </c>
      <c r="EK76" s="239">
        <v>-361</v>
      </c>
      <c r="EL76" s="239">
        <v>0</v>
      </c>
      <c r="EM76" s="239">
        <v>-361</v>
      </c>
      <c r="EN76" s="239">
        <v>-1500</v>
      </c>
      <c r="EO76" s="239">
        <v>0</v>
      </c>
      <c r="EP76" s="239">
        <v>-1500</v>
      </c>
      <c r="EQ76" s="239">
        <v>-20854</v>
      </c>
      <c r="ER76" s="239">
        <v>0</v>
      </c>
      <c r="ES76" s="239">
        <v>-20854</v>
      </c>
      <c r="ET76" s="239">
        <v>-130536</v>
      </c>
      <c r="EU76" s="239">
        <v>-3846</v>
      </c>
      <c r="EV76" s="239">
        <v>-134382</v>
      </c>
      <c r="EW76" s="239">
        <v>-44556</v>
      </c>
      <c r="EX76" s="239">
        <v>0</v>
      </c>
      <c r="EY76" s="239">
        <v>-44556</v>
      </c>
      <c r="EZ76" s="239">
        <v>-254474</v>
      </c>
      <c r="FA76" s="239">
        <v>-3063</v>
      </c>
      <c r="FB76" s="239">
        <v>-257537</v>
      </c>
      <c r="FC76" s="239">
        <v>0</v>
      </c>
      <c r="FD76" s="239">
        <v>0</v>
      </c>
      <c r="FE76" s="239">
        <v>0</v>
      </c>
      <c r="FF76" s="239">
        <v>0</v>
      </c>
      <c r="FG76" s="239">
        <v>0</v>
      </c>
      <c r="FH76" s="239">
        <v>0</v>
      </c>
      <c r="FI76" s="239">
        <v>0</v>
      </c>
      <c r="FJ76" s="239">
        <v>0</v>
      </c>
      <c r="FK76" s="239">
        <v>0</v>
      </c>
      <c r="FL76" s="239">
        <v>38138730</v>
      </c>
      <c r="FM76" s="239">
        <v>301443</v>
      </c>
      <c r="FN76" s="239">
        <v>38440173</v>
      </c>
      <c r="FO76" s="239">
        <v>3515669</v>
      </c>
      <c r="FP76" s="239">
        <v>12096</v>
      </c>
      <c r="FQ76" s="239">
        <v>3527765</v>
      </c>
      <c r="FR76" s="239">
        <v>-6025647</v>
      </c>
      <c r="FS76" s="239">
        <v>-71296</v>
      </c>
      <c r="FT76" s="239">
        <v>-6096943</v>
      </c>
      <c r="FU76" s="239">
        <v>-1463712</v>
      </c>
      <c r="FV76" s="239">
        <v>-4689</v>
      </c>
      <c r="FW76" s="239">
        <v>-1468401</v>
      </c>
      <c r="FX76" s="239">
        <v>-5409</v>
      </c>
      <c r="FY76" s="239">
        <v>-19866</v>
      </c>
      <c r="FZ76" s="239">
        <v>-25275</v>
      </c>
      <c r="GA76" s="239">
        <v>-254474</v>
      </c>
      <c r="GB76" s="239">
        <v>-3063</v>
      </c>
      <c r="GC76" s="239">
        <v>-257537</v>
      </c>
      <c r="GD76" s="239">
        <v>0</v>
      </c>
      <c r="GE76" s="239">
        <v>0</v>
      </c>
      <c r="GF76" s="239">
        <v>0</v>
      </c>
      <c r="GG76" s="239">
        <v>-4233573</v>
      </c>
      <c r="GH76" s="239">
        <v>-86818</v>
      </c>
      <c r="GI76" s="239">
        <v>-4320391</v>
      </c>
      <c r="GJ76" s="239">
        <v>33905157</v>
      </c>
      <c r="GK76" s="239">
        <v>214625</v>
      </c>
      <c r="GL76" s="239">
        <v>34119782</v>
      </c>
      <c r="GM76" s="214" t="s">
        <v>746</v>
      </c>
    </row>
    <row r="77" spans="1:195" s="214" customFormat="1" x14ac:dyDescent="0.2">
      <c r="B77" s="602" t="s">
        <v>237</v>
      </c>
      <c r="C77" s="602" t="s">
        <v>236</v>
      </c>
      <c r="D77" s="239">
        <v>-1649439</v>
      </c>
      <c r="E77" s="239">
        <v>0</v>
      </c>
      <c r="F77" s="239">
        <v>-1649439</v>
      </c>
      <c r="G77" s="239">
        <v>64392</v>
      </c>
      <c r="H77" s="239">
        <v>0</v>
      </c>
      <c r="I77" s="239">
        <v>64392</v>
      </c>
      <c r="J77" s="239">
        <v>6710344</v>
      </c>
      <c r="K77" s="239">
        <v>0</v>
      </c>
      <c r="L77" s="239">
        <v>6710344</v>
      </c>
      <c r="M77" s="239">
        <v>3924</v>
      </c>
      <c r="N77" s="239">
        <v>0</v>
      </c>
      <c r="O77" s="239">
        <v>3924</v>
      </c>
      <c r="P77" s="239">
        <v>5129221</v>
      </c>
      <c r="Q77" s="239">
        <v>0</v>
      </c>
      <c r="R77" s="239">
        <v>5129221</v>
      </c>
      <c r="S77" s="239">
        <v>-2307696</v>
      </c>
      <c r="T77" s="239">
        <v>0</v>
      </c>
      <c r="U77" s="239">
        <v>-2307696</v>
      </c>
      <c r="V77" s="239">
        <v>-3556</v>
      </c>
      <c r="W77" s="239">
        <v>0</v>
      </c>
      <c r="X77" s="239">
        <v>-3556</v>
      </c>
      <c r="Y77" s="239">
        <v>-80991</v>
      </c>
      <c r="Z77" s="239">
        <v>0</v>
      </c>
      <c r="AA77" s="239">
        <v>-80991</v>
      </c>
      <c r="AB77" s="239">
        <v>-71835</v>
      </c>
      <c r="AC77" s="239">
        <v>0</v>
      </c>
      <c r="AD77" s="239">
        <v>-71835</v>
      </c>
      <c r="AE77" s="239">
        <v>-604</v>
      </c>
      <c r="AF77" s="239">
        <v>0</v>
      </c>
      <c r="AG77" s="239">
        <v>-604</v>
      </c>
      <c r="AH77" s="239">
        <v>2245276</v>
      </c>
      <c r="AI77" s="239">
        <v>0</v>
      </c>
      <c r="AJ77" s="239">
        <v>2245276</v>
      </c>
      <c r="AK77" s="239">
        <v>-49442</v>
      </c>
      <c r="AL77" s="239">
        <v>0</v>
      </c>
      <c r="AM77" s="239">
        <v>-49442</v>
      </c>
      <c r="AN77" s="239">
        <v>-3055816</v>
      </c>
      <c r="AO77" s="239">
        <v>0</v>
      </c>
      <c r="AP77" s="239">
        <v>-3055816</v>
      </c>
      <c r="AQ77" s="239">
        <v>-12080</v>
      </c>
      <c r="AR77" s="239">
        <v>0</v>
      </c>
      <c r="AS77" s="239">
        <v>-12080</v>
      </c>
      <c r="AT77" s="239">
        <v>-51309</v>
      </c>
      <c r="AU77" s="239">
        <v>0</v>
      </c>
      <c r="AV77" s="239">
        <v>-51309</v>
      </c>
      <c r="AW77" s="239">
        <v>-58</v>
      </c>
      <c r="AX77" s="239">
        <v>0</v>
      </c>
      <c r="AY77" s="239">
        <v>-58</v>
      </c>
      <c r="AZ77" s="239">
        <v>0</v>
      </c>
      <c r="BA77" s="239">
        <v>0</v>
      </c>
      <c r="BB77" s="239">
        <v>0</v>
      </c>
      <c r="BC77" s="239">
        <v>0</v>
      </c>
      <c r="BD77" s="239">
        <v>0</v>
      </c>
      <c r="BE77" s="239">
        <v>0</v>
      </c>
      <c r="BF77" s="239">
        <v>-3312116</v>
      </c>
      <c r="BG77" s="239">
        <v>0</v>
      </c>
      <c r="BH77" s="239">
        <v>-3312116</v>
      </c>
      <c r="BI77" s="239">
        <v>0</v>
      </c>
      <c r="BJ77" s="239">
        <v>0</v>
      </c>
      <c r="BK77" s="239">
        <v>0</v>
      </c>
      <c r="BL77" s="239">
        <v>21</v>
      </c>
      <c r="BM77" s="239">
        <v>0</v>
      </c>
      <c r="BN77" s="239">
        <v>21</v>
      </c>
      <c r="BO77" s="239">
        <v>-2582047</v>
      </c>
      <c r="BP77" s="239">
        <v>0</v>
      </c>
      <c r="BQ77" s="239">
        <v>-2582047</v>
      </c>
      <c r="BR77" s="239">
        <v>-418161</v>
      </c>
      <c r="BS77" s="239">
        <v>0</v>
      </c>
      <c r="BT77" s="239">
        <v>-418161</v>
      </c>
      <c r="BU77" s="239">
        <v>-3000187</v>
      </c>
      <c r="BV77" s="239">
        <v>0</v>
      </c>
      <c r="BW77" s="239">
        <v>-3000187</v>
      </c>
      <c r="BX77" s="239">
        <v>-37152</v>
      </c>
      <c r="BY77" s="239">
        <v>0</v>
      </c>
      <c r="BZ77" s="239">
        <v>-37152</v>
      </c>
      <c r="CA77" s="239">
        <v>0</v>
      </c>
      <c r="CB77" s="239">
        <v>0</v>
      </c>
      <c r="CC77" s="239">
        <v>0</v>
      </c>
      <c r="CD77" s="239">
        <v>-133313</v>
      </c>
      <c r="CE77" s="239">
        <v>0</v>
      </c>
      <c r="CF77" s="239">
        <v>-133313</v>
      </c>
      <c r="CG77" s="239">
        <v>-3291</v>
      </c>
      <c r="CH77" s="239">
        <v>0</v>
      </c>
      <c r="CI77" s="239">
        <v>-3291</v>
      </c>
      <c r="CJ77" s="239">
        <v>-7760</v>
      </c>
      <c r="CK77" s="239">
        <v>0</v>
      </c>
      <c r="CL77" s="239">
        <v>-7760</v>
      </c>
      <c r="CM77" s="239">
        <v>0</v>
      </c>
      <c r="CN77" s="239">
        <v>0</v>
      </c>
      <c r="CO77" s="239">
        <v>0</v>
      </c>
      <c r="CP77" s="239">
        <v>0</v>
      </c>
      <c r="CQ77" s="239">
        <v>0</v>
      </c>
      <c r="CR77" s="239">
        <v>0</v>
      </c>
      <c r="CS77" s="239">
        <v>0</v>
      </c>
      <c r="CT77" s="239">
        <v>0</v>
      </c>
      <c r="CU77" s="239">
        <v>0</v>
      </c>
      <c r="CV77" s="239">
        <v>-3974</v>
      </c>
      <c r="CW77" s="239">
        <v>0</v>
      </c>
      <c r="CX77" s="239">
        <v>-3974</v>
      </c>
      <c r="CY77" s="239">
        <v>0</v>
      </c>
      <c r="CZ77" s="239">
        <v>0</v>
      </c>
      <c r="DA77" s="239">
        <v>0</v>
      </c>
      <c r="DB77" s="239">
        <v>0</v>
      </c>
      <c r="DC77" s="239">
        <v>0</v>
      </c>
      <c r="DD77" s="239">
        <v>0</v>
      </c>
      <c r="DE77" s="239">
        <v>0</v>
      </c>
      <c r="DF77" s="239">
        <v>0</v>
      </c>
      <c r="DG77" s="239">
        <v>0</v>
      </c>
      <c r="DH77" s="239">
        <v>0</v>
      </c>
      <c r="DI77" s="239">
        <v>0</v>
      </c>
      <c r="DJ77" s="239">
        <v>-185490</v>
      </c>
      <c r="DK77" s="239">
        <v>0</v>
      </c>
      <c r="DL77" s="239">
        <v>-185490</v>
      </c>
      <c r="DM77" s="239">
        <v>0</v>
      </c>
      <c r="DN77" s="239">
        <v>0</v>
      </c>
      <c r="DO77" s="239">
        <v>0</v>
      </c>
      <c r="DP77" s="239">
        <v>0</v>
      </c>
      <c r="DQ77" s="239">
        <v>0</v>
      </c>
      <c r="DR77" s="239">
        <v>0</v>
      </c>
      <c r="DS77" s="239">
        <v>0</v>
      </c>
      <c r="DT77" s="239">
        <v>0</v>
      </c>
      <c r="DU77" s="239">
        <v>0</v>
      </c>
      <c r="DV77" s="239">
        <v>0</v>
      </c>
      <c r="DW77" s="239">
        <v>0</v>
      </c>
      <c r="DX77" s="239">
        <v>0</v>
      </c>
      <c r="DY77" s="239">
        <v>1652</v>
      </c>
      <c r="DZ77" s="239">
        <v>0</v>
      </c>
      <c r="EA77" s="239">
        <v>1652</v>
      </c>
      <c r="EB77" s="239">
        <v>0</v>
      </c>
      <c r="EC77" s="239">
        <v>0</v>
      </c>
      <c r="ED77" s="239">
        <v>0</v>
      </c>
      <c r="EE77" s="239">
        <v>0</v>
      </c>
      <c r="EF77" s="239">
        <v>0</v>
      </c>
      <c r="EG77" s="239">
        <v>0</v>
      </c>
      <c r="EH77" s="239">
        <v>1393</v>
      </c>
      <c r="EI77" s="239">
        <v>0</v>
      </c>
      <c r="EJ77" s="239">
        <v>1393</v>
      </c>
      <c r="EK77" s="239">
        <v>0</v>
      </c>
      <c r="EL77" s="239">
        <v>0</v>
      </c>
      <c r="EM77" s="239">
        <v>0</v>
      </c>
      <c r="EN77" s="239">
        <v>0</v>
      </c>
      <c r="EO77" s="239">
        <v>0</v>
      </c>
      <c r="EP77" s="239">
        <v>0</v>
      </c>
      <c r="EQ77" s="239">
        <v>-6369</v>
      </c>
      <c r="ER77" s="239">
        <v>0</v>
      </c>
      <c r="ES77" s="239">
        <v>-6369</v>
      </c>
      <c r="ET77" s="239">
        <v>-210029</v>
      </c>
      <c r="EU77" s="239">
        <v>0</v>
      </c>
      <c r="EV77" s="239">
        <v>-210029</v>
      </c>
      <c r="EW77" s="239">
        <v>-32566</v>
      </c>
      <c r="EX77" s="239">
        <v>0</v>
      </c>
      <c r="EY77" s="239">
        <v>-32566</v>
      </c>
      <c r="EZ77" s="239">
        <v>-245919</v>
      </c>
      <c r="FA77" s="239">
        <v>0</v>
      </c>
      <c r="FB77" s="239">
        <v>-245919</v>
      </c>
      <c r="FC77" s="239">
        <v>0</v>
      </c>
      <c r="FD77" s="239">
        <v>0</v>
      </c>
      <c r="FE77" s="239">
        <v>0</v>
      </c>
      <c r="FF77" s="239">
        <v>0</v>
      </c>
      <c r="FG77" s="239">
        <v>0</v>
      </c>
      <c r="FH77" s="239">
        <v>0</v>
      </c>
      <c r="FI77" s="239">
        <v>0</v>
      </c>
      <c r="FJ77" s="239">
        <v>0</v>
      </c>
      <c r="FK77" s="239">
        <v>0</v>
      </c>
      <c r="FL77" s="239">
        <v>90390065</v>
      </c>
      <c r="FM77" s="239">
        <v>0</v>
      </c>
      <c r="FN77" s="239">
        <v>90390065</v>
      </c>
      <c r="FO77" s="239">
        <v>5129221</v>
      </c>
      <c r="FP77" s="239">
        <v>0</v>
      </c>
      <c r="FQ77" s="239">
        <v>5129221</v>
      </c>
      <c r="FR77" s="239">
        <v>-3312116</v>
      </c>
      <c r="FS77" s="239">
        <v>0</v>
      </c>
      <c r="FT77" s="239">
        <v>-3312116</v>
      </c>
      <c r="FU77" s="239">
        <v>-3000187</v>
      </c>
      <c r="FV77" s="239">
        <v>0</v>
      </c>
      <c r="FW77" s="239">
        <v>-3000187</v>
      </c>
      <c r="FX77" s="239">
        <v>-185490</v>
      </c>
      <c r="FY77" s="239">
        <v>0</v>
      </c>
      <c r="FZ77" s="239">
        <v>-185490</v>
      </c>
      <c r="GA77" s="239">
        <v>-245919</v>
      </c>
      <c r="GB77" s="239">
        <v>0</v>
      </c>
      <c r="GC77" s="239">
        <v>-245919</v>
      </c>
      <c r="GD77" s="239">
        <v>0</v>
      </c>
      <c r="GE77" s="239">
        <v>0</v>
      </c>
      <c r="GF77" s="239">
        <v>0</v>
      </c>
      <c r="GG77" s="239">
        <v>-1614491</v>
      </c>
      <c r="GH77" s="239">
        <v>0</v>
      </c>
      <c r="GI77" s="239">
        <v>-1614491</v>
      </c>
      <c r="GJ77" s="239">
        <v>88775574</v>
      </c>
      <c r="GK77" s="239">
        <v>0</v>
      </c>
      <c r="GL77" s="239">
        <v>88775574</v>
      </c>
      <c r="GM77" s="214" t="s">
        <v>1158</v>
      </c>
    </row>
    <row r="78" spans="1:195" s="214" customFormat="1" x14ac:dyDescent="0.2">
      <c r="B78" s="602" t="s">
        <v>239</v>
      </c>
      <c r="C78" s="602" t="s">
        <v>238</v>
      </c>
      <c r="D78" s="239">
        <v>-538807</v>
      </c>
      <c r="E78" s="239">
        <v>0</v>
      </c>
      <c r="F78" s="239">
        <v>-538807</v>
      </c>
      <c r="G78" s="239">
        <v>10086</v>
      </c>
      <c r="H78" s="239">
        <v>0</v>
      </c>
      <c r="I78" s="239">
        <v>10086</v>
      </c>
      <c r="J78" s="239">
        <v>1321848</v>
      </c>
      <c r="K78" s="239">
        <v>0</v>
      </c>
      <c r="L78" s="239">
        <v>1321848</v>
      </c>
      <c r="M78" s="239">
        <v>101595</v>
      </c>
      <c r="N78" s="239">
        <v>0</v>
      </c>
      <c r="O78" s="239">
        <v>101595</v>
      </c>
      <c r="P78" s="239">
        <v>894722</v>
      </c>
      <c r="Q78" s="239">
        <v>0</v>
      </c>
      <c r="R78" s="239">
        <v>894722</v>
      </c>
      <c r="S78" s="239">
        <v>-2571954</v>
      </c>
      <c r="T78" s="239">
        <v>0</v>
      </c>
      <c r="U78" s="239">
        <v>-2571954</v>
      </c>
      <c r="V78" s="239">
        <v>-2</v>
      </c>
      <c r="W78" s="239">
        <v>0</v>
      </c>
      <c r="X78" s="239">
        <v>-2</v>
      </c>
      <c r="Y78" s="239">
        <v>-61113</v>
      </c>
      <c r="Z78" s="239">
        <v>0</v>
      </c>
      <c r="AA78" s="239">
        <v>-61113</v>
      </c>
      <c r="AB78" s="239">
        <v>-50930</v>
      </c>
      <c r="AC78" s="239">
        <v>0</v>
      </c>
      <c r="AD78" s="239">
        <v>-50930</v>
      </c>
      <c r="AE78" s="239">
        <v>0</v>
      </c>
      <c r="AF78" s="239">
        <v>0</v>
      </c>
      <c r="AG78" s="239">
        <v>0</v>
      </c>
      <c r="AH78" s="239">
        <v>1140782</v>
      </c>
      <c r="AI78" s="239">
        <v>0</v>
      </c>
      <c r="AJ78" s="239">
        <v>1140782</v>
      </c>
      <c r="AK78" s="239">
        <v>-5609</v>
      </c>
      <c r="AL78" s="239">
        <v>0</v>
      </c>
      <c r="AM78" s="239">
        <v>-5609</v>
      </c>
      <c r="AN78" s="239">
        <v>-2120444</v>
      </c>
      <c r="AO78" s="239">
        <v>0</v>
      </c>
      <c r="AP78" s="239">
        <v>-2120444</v>
      </c>
      <c r="AQ78" s="239">
        <v>-1700</v>
      </c>
      <c r="AR78" s="239">
        <v>0</v>
      </c>
      <c r="AS78" s="239">
        <v>-1700</v>
      </c>
      <c r="AT78" s="239">
        <v>-41184</v>
      </c>
      <c r="AU78" s="239">
        <v>0</v>
      </c>
      <c r="AV78" s="239">
        <v>-41184</v>
      </c>
      <c r="AW78" s="239">
        <v>-4346</v>
      </c>
      <c r="AX78" s="239">
        <v>0</v>
      </c>
      <c r="AY78" s="239">
        <v>-4346</v>
      </c>
      <c r="AZ78" s="239">
        <v>-51434</v>
      </c>
      <c r="BA78" s="239">
        <v>0</v>
      </c>
      <c r="BB78" s="239">
        <v>-51434</v>
      </c>
      <c r="BC78" s="239">
        <v>-8769</v>
      </c>
      <c r="BD78" s="239">
        <v>0</v>
      </c>
      <c r="BE78" s="239">
        <v>-8769</v>
      </c>
      <c r="BF78" s="239">
        <v>-3725771</v>
      </c>
      <c r="BG78" s="239">
        <v>0</v>
      </c>
      <c r="BH78" s="239">
        <v>-3725771</v>
      </c>
      <c r="BI78" s="239">
        <v>-176524</v>
      </c>
      <c r="BJ78" s="239">
        <v>0</v>
      </c>
      <c r="BK78" s="239">
        <v>-176524</v>
      </c>
      <c r="BL78" s="239">
        <v>407</v>
      </c>
      <c r="BM78" s="239">
        <v>0</v>
      </c>
      <c r="BN78" s="239">
        <v>407</v>
      </c>
      <c r="BO78" s="239">
        <v>-657604</v>
      </c>
      <c r="BP78" s="239">
        <v>0</v>
      </c>
      <c r="BQ78" s="239">
        <v>-657604</v>
      </c>
      <c r="BR78" s="239">
        <v>-328750</v>
      </c>
      <c r="BS78" s="239">
        <v>0</v>
      </c>
      <c r="BT78" s="239">
        <v>-328750</v>
      </c>
      <c r="BU78" s="239">
        <v>-1162471</v>
      </c>
      <c r="BV78" s="239">
        <v>0</v>
      </c>
      <c r="BW78" s="239">
        <v>-1162471</v>
      </c>
      <c r="BX78" s="239">
        <v>-42765</v>
      </c>
      <c r="BY78" s="239">
        <v>0</v>
      </c>
      <c r="BZ78" s="239">
        <v>-42765</v>
      </c>
      <c r="CA78" s="239">
        <v>1862</v>
      </c>
      <c r="CB78" s="239">
        <v>0</v>
      </c>
      <c r="CC78" s="239">
        <v>1862</v>
      </c>
      <c r="CD78" s="239">
        <v>-12189</v>
      </c>
      <c r="CE78" s="239">
        <v>0</v>
      </c>
      <c r="CF78" s="239">
        <v>-12189</v>
      </c>
      <c r="CG78" s="239">
        <v>0</v>
      </c>
      <c r="CH78" s="239">
        <v>0</v>
      </c>
      <c r="CI78" s="239">
        <v>0</v>
      </c>
      <c r="CJ78" s="239">
        <v>-1109</v>
      </c>
      <c r="CK78" s="239">
        <v>0</v>
      </c>
      <c r="CL78" s="239">
        <v>-1109</v>
      </c>
      <c r="CM78" s="239">
        <v>-714</v>
      </c>
      <c r="CN78" s="239">
        <v>0</v>
      </c>
      <c r="CO78" s="239">
        <v>-714</v>
      </c>
      <c r="CP78" s="239">
        <v>0</v>
      </c>
      <c r="CQ78" s="239">
        <v>0</v>
      </c>
      <c r="CR78" s="239">
        <v>0</v>
      </c>
      <c r="CS78" s="239">
        <v>-609</v>
      </c>
      <c r="CT78" s="239">
        <v>0</v>
      </c>
      <c r="CU78" s="239">
        <v>-609</v>
      </c>
      <c r="CV78" s="239">
        <v>0</v>
      </c>
      <c r="CW78" s="239">
        <v>0</v>
      </c>
      <c r="CX78" s="239">
        <v>0</v>
      </c>
      <c r="CY78" s="239">
        <v>0</v>
      </c>
      <c r="CZ78" s="239">
        <v>0</v>
      </c>
      <c r="DA78" s="239">
        <v>0</v>
      </c>
      <c r="DB78" s="239">
        <v>0</v>
      </c>
      <c r="DC78" s="239">
        <v>0</v>
      </c>
      <c r="DD78" s="239">
        <v>0</v>
      </c>
      <c r="DE78" s="239">
        <v>0</v>
      </c>
      <c r="DF78" s="239">
        <v>0</v>
      </c>
      <c r="DG78" s="239">
        <v>0</v>
      </c>
      <c r="DH78" s="239">
        <v>0</v>
      </c>
      <c r="DI78" s="239">
        <v>0</v>
      </c>
      <c r="DJ78" s="239">
        <v>-55524</v>
      </c>
      <c r="DK78" s="239">
        <v>0</v>
      </c>
      <c r="DL78" s="239">
        <v>-55524</v>
      </c>
      <c r="DM78" s="239">
        <v>-176101</v>
      </c>
      <c r="DN78" s="239">
        <v>0</v>
      </c>
      <c r="DO78" s="239">
        <v>-176101</v>
      </c>
      <c r="DP78" s="239">
        <v>-38466</v>
      </c>
      <c r="DQ78" s="239">
        <v>0</v>
      </c>
      <c r="DR78" s="239">
        <v>-38466</v>
      </c>
      <c r="DS78" s="239">
        <v>0</v>
      </c>
      <c r="DT78" s="239">
        <v>0</v>
      </c>
      <c r="DU78" s="239">
        <v>0</v>
      </c>
      <c r="DV78" s="239">
        <v>0</v>
      </c>
      <c r="DW78" s="239">
        <v>0</v>
      </c>
      <c r="DX78" s="239">
        <v>0</v>
      </c>
      <c r="DY78" s="239">
        <v>0</v>
      </c>
      <c r="DZ78" s="239">
        <v>0</v>
      </c>
      <c r="EA78" s="239">
        <v>0</v>
      </c>
      <c r="EB78" s="239">
        <v>0</v>
      </c>
      <c r="EC78" s="239">
        <v>0</v>
      </c>
      <c r="ED78" s="239">
        <v>0</v>
      </c>
      <c r="EE78" s="239">
        <v>0</v>
      </c>
      <c r="EF78" s="239">
        <v>0</v>
      </c>
      <c r="EG78" s="239">
        <v>0</v>
      </c>
      <c r="EH78" s="239">
        <v>0</v>
      </c>
      <c r="EI78" s="239">
        <v>0</v>
      </c>
      <c r="EJ78" s="239">
        <v>0</v>
      </c>
      <c r="EK78" s="239">
        <v>-51434</v>
      </c>
      <c r="EL78" s="239">
        <v>0</v>
      </c>
      <c r="EM78" s="239">
        <v>-51434</v>
      </c>
      <c r="EN78" s="239">
        <v>0</v>
      </c>
      <c r="EO78" s="239">
        <v>0</v>
      </c>
      <c r="EP78" s="239">
        <v>0</v>
      </c>
      <c r="EQ78" s="239">
        <v>-17642</v>
      </c>
      <c r="ER78" s="239">
        <v>0</v>
      </c>
      <c r="ES78" s="239">
        <v>-17642</v>
      </c>
      <c r="ET78" s="239">
        <v>-98770</v>
      </c>
      <c r="EU78" s="239">
        <v>0</v>
      </c>
      <c r="EV78" s="239">
        <v>-98770</v>
      </c>
      <c r="EW78" s="239">
        <v>-38314</v>
      </c>
      <c r="EX78" s="239">
        <v>0</v>
      </c>
      <c r="EY78" s="239">
        <v>-38314</v>
      </c>
      <c r="EZ78" s="239">
        <v>-420727</v>
      </c>
      <c r="FA78" s="239">
        <v>0</v>
      </c>
      <c r="FB78" s="239">
        <v>-420727</v>
      </c>
      <c r="FC78" s="239">
        <v>-14011</v>
      </c>
      <c r="FD78" s="239">
        <v>0</v>
      </c>
      <c r="FE78" s="239">
        <v>-14011</v>
      </c>
      <c r="FF78" s="239">
        <v>-5153</v>
      </c>
      <c r="FG78" s="239">
        <v>0</v>
      </c>
      <c r="FH78" s="239">
        <v>-5153</v>
      </c>
      <c r="FI78" s="239">
        <v>-19164</v>
      </c>
      <c r="FJ78" s="239">
        <v>0</v>
      </c>
      <c r="FK78" s="239">
        <v>-19164</v>
      </c>
      <c r="FL78" s="239">
        <v>51058785</v>
      </c>
      <c r="FM78" s="239">
        <v>0</v>
      </c>
      <c r="FN78" s="239">
        <v>51058785</v>
      </c>
      <c r="FO78" s="239">
        <v>894722</v>
      </c>
      <c r="FP78" s="239">
        <v>0</v>
      </c>
      <c r="FQ78" s="239">
        <v>894722</v>
      </c>
      <c r="FR78" s="239">
        <v>-3725771</v>
      </c>
      <c r="FS78" s="239">
        <v>0</v>
      </c>
      <c r="FT78" s="239">
        <v>-3725771</v>
      </c>
      <c r="FU78" s="239">
        <v>-1162471</v>
      </c>
      <c r="FV78" s="239">
        <v>0</v>
      </c>
      <c r="FW78" s="239">
        <v>-1162471</v>
      </c>
      <c r="FX78" s="239">
        <v>-55524</v>
      </c>
      <c r="FY78" s="239">
        <v>0</v>
      </c>
      <c r="FZ78" s="239">
        <v>-55524</v>
      </c>
      <c r="GA78" s="239">
        <v>-420727</v>
      </c>
      <c r="GB78" s="239">
        <v>0</v>
      </c>
      <c r="GC78" s="239">
        <v>-420727</v>
      </c>
      <c r="GD78" s="239">
        <v>-19164</v>
      </c>
      <c r="GE78" s="239">
        <v>0</v>
      </c>
      <c r="GF78" s="239">
        <v>-19164</v>
      </c>
      <c r="GG78" s="239">
        <v>-4488935</v>
      </c>
      <c r="GH78" s="239">
        <v>0</v>
      </c>
      <c r="GI78" s="239">
        <v>-4488935</v>
      </c>
      <c r="GJ78" s="239">
        <v>46569850</v>
      </c>
      <c r="GK78" s="239">
        <v>0</v>
      </c>
      <c r="GL78" s="239">
        <v>46569850</v>
      </c>
      <c r="GM78" s="214" t="s">
        <v>1158</v>
      </c>
    </row>
    <row r="79" spans="1:195" s="214" customFormat="1" x14ac:dyDescent="0.2">
      <c r="B79" s="602" t="s">
        <v>241</v>
      </c>
      <c r="C79" s="602" t="s">
        <v>240</v>
      </c>
      <c r="D79" s="239">
        <v>-3663293</v>
      </c>
      <c r="E79" s="239">
        <v>0</v>
      </c>
      <c r="F79" s="239">
        <v>-3663293</v>
      </c>
      <c r="G79" s="239">
        <v>2368</v>
      </c>
      <c r="H79" s="239">
        <v>0</v>
      </c>
      <c r="I79" s="239">
        <v>2368</v>
      </c>
      <c r="J79" s="239">
        <v>2534616</v>
      </c>
      <c r="K79" s="239">
        <v>0</v>
      </c>
      <c r="L79" s="239">
        <v>2534616</v>
      </c>
      <c r="M79" s="239">
        <v>270826</v>
      </c>
      <c r="N79" s="239">
        <v>0</v>
      </c>
      <c r="O79" s="239">
        <v>270826</v>
      </c>
      <c r="P79" s="239">
        <v>-855483</v>
      </c>
      <c r="Q79" s="239">
        <v>0</v>
      </c>
      <c r="R79" s="239">
        <v>-855483</v>
      </c>
      <c r="S79" s="239">
        <v>-5955633</v>
      </c>
      <c r="T79" s="239">
        <v>-10593</v>
      </c>
      <c r="U79" s="239">
        <v>-5966226</v>
      </c>
      <c r="V79" s="239">
        <v>0</v>
      </c>
      <c r="W79" s="239">
        <v>0</v>
      </c>
      <c r="X79" s="239">
        <v>0</v>
      </c>
      <c r="Y79" s="239">
        <v>-222934</v>
      </c>
      <c r="Z79" s="239">
        <v>0</v>
      </c>
      <c r="AA79" s="239">
        <v>-222934</v>
      </c>
      <c r="AB79" s="239">
        <v>0</v>
      </c>
      <c r="AC79" s="239">
        <v>0</v>
      </c>
      <c r="AD79" s="239">
        <v>0</v>
      </c>
      <c r="AE79" s="239">
        <v>0</v>
      </c>
      <c r="AF79" s="239">
        <v>0</v>
      </c>
      <c r="AG79" s="239">
        <v>0</v>
      </c>
      <c r="AH79" s="239">
        <v>2166150</v>
      </c>
      <c r="AI79" s="239">
        <v>2785</v>
      </c>
      <c r="AJ79" s="239">
        <v>2168935</v>
      </c>
      <c r="AK79" s="239">
        <v>-83418</v>
      </c>
      <c r="AL79" s="239">
        <v>939</v>
      </c>
      <c r="AM79" s="239">
        <v>-82479</v>
      </c>
      <c r="AN79" s="239">
        <v>-6384696</v>
      </c>
      <c r="AO79" s="239">
        <v>0</v>
      </c>
      <c r="AP79" s="239">
        <v>-6384696</v>
      </c>
      <c r="AQ79" s="239">
        <v>-16258</v>
      </c>
      <c r="AR79" s="239">
        <v>0</v>
      </c>
      <c r="AS79" s="239">
        <v>-16258</v>
      </c>
      <c r="AT79" s="239">
        <v>-36502</v>
      </c>
      <c r="AU79" s="239">
        <v>0</v>
      </c>
      <c r="AV79" s="239">
        <v>-36502</v>
      </c>
      <c r="AW79" s="239">
        <v>0</v>
      </c>
      <c r="AX79" s="239">
        <v>0</v>
      </c>
      <c r="AY79" s="239">
        <v>0</v>
      </c>
      <c r="AZ79" s="239">
        <v>0</v>
      </c>
      <c r="BA79" s="239">
        <v>0</v>
      </c>
      <c r="BB79" s="239">
        <v>0</v>
      </c>
      <c r="BC79" s="239">
        <v>0</v>
      </c>
      <c r="BD79" s="239">
        <v>0</v>
      </c>
      <c r="BE79" s="239">
        <v>0</v>
      </c>
      <c r="BF79" s="239">
        <v>-10533291</v>
      </c>
      <c r="BG79" s="239">
        <v>-6869</v>
      </c>
      <c r="BH79" s="239">
        <v>-10540160</v>
      </c>
      <c r="BI79" s="239">
        <v>-329267</v>
      </c>
      <c r="BJ79" s="239">
        <v>0</v>
      </c>
      <c r="BK79" s="239">
        <v>-329267</v>
      </c>
      <c r="BL79" s="239">
        <v>-259435</v>
      </c>
      <c r="BM79" s="239">
        <v>0</v>
      </c>
      <c r="BN79" s="239">
        <v>-259435</v>
      </c>
      <c r="BO79" s="239">
        <v>-2756244</v>
      </c>
      <c r="BP79" s="239">
        <v>-6623</v>
      </c>
      <c r="BQ79" s="239">
        <v>-2762867</v>
      </c>
      <c r="BR79" s="239">
        <v>27611</v>
      </c>
      <c r="BS79" s="239">
        <v>-25528</v>
      </c>
      <c r="BT79" s="239">
        <v>2083</v>
      </c>
      <c r="BU79" s="239">
        <v>-3317335</v>
      </c>
      <c r="BV79" s="239">
        <v>-32151</v>
      </c>
      <c r="BW79" s="239">
        <v>-3349486</v>
      </c>
      <c r="BX79" s="239">
        <v>-116950</v>
      </c>
      <c r="BY79" s="239">
        <v>0</v>
      </c>
      <c r="BZ79" s="239">
        <v>-116950</v>
      </c>
      <c r="CA79" s="239">
        <v>-445</v>
      </c>
      <c r="CB79" s="239">
        <v>0</v>
      </c>
      <c r="CC79" s="239">
        <v>-445</v>
      </c>
      <c r="CD79" s="239">
        <v>-139335</v>
      </c>
      <c r="CE79" s="239">
        <v>0</v>
      </c>
      <c r="CF79" s="239">
        <v>-139335</v>
      </c>
      <c r="CG79" s="239">
        <v>-1967</v>
      </c>
      <c r="CH79" s="239">
        <v>0</v>
      </c>
      <c r="CI79" s="239">
        <v>-1967</v>
      </c>
      <c r="CJ79" s="239">
        <v>-8570</v>
      </c>
      <c r="CK79" s="239">
        <v>0</v>
      </c>
      <c r="CL79" s="239">
        <v>-8570</v>
      </c>
      <c r="CM79" s="239">
        <v>0</v>
      </c>
      <c r="CN79" s="239">
        <v>0</v>
      </c>
      <c r="CO79" s="239">
        <v>0</v>
      </c>
      <c r="CP79" s="239">
        <v>0</v>
      </c>
      <c r="CQ79" s="239">
        <v>0</v>
      </c>
      <c r="CR79" s="239">
        <v>0</v>
      </c>
      <c r="CS79" s="239">
        <v>0</v>
      </c>
      <c r="CT79" s="239">
        <v>0</v>
      </c>
      <c r="CU79" s="239">
        <v>0</v>
      </c>
      <c r="CV79" s="239">
        <v>0</v>
      </c>
      <c r="CW79" s="239">
        <v>0</v>
      </c>
      <c r="CX79" s="239">
        <v>0</v>
      </c>
      <c r="CY79" s="239">
        <v>0</v>
      </c>
      <c r="CZ79" s="239">
        <v>0</v>
      </c>
      <c r="DA79" s="239">
        <v>0</v>
      </c>
      <c r="DB79" s="239">
        <v>0</v>
      </c>
      <c r="DC79" s="239">
        <v>-35475</v>
      </c>
      <c r="DD79" s="239">
        <v>-35475</v>
      </c>
      <c r="DE79" s="239">
        <v>0</v>
      </c>
      <c r="DF79" s="239">
        <v>-388</v>
      </c>
      <c r="DG79" s="239">
        <v>-388</v>
      </c>
      <c r="DH79" s="239">
        <v>-35863</v>
      </c>
      <c r="DI79" s="239">
        <v>0</v>
      </c>
      <c r="DJ79" s="239">
        <v>-267267</v>
      </c>
      <c r="DK79" s="239">
        <v>-35863</v>
      </c>
      <c r="DL79" s="239">
        <v>-303130</v>
      </c>
      <c r="DM79" s="239">
        <v>0</v>
      </c>
      <c r="DN79" s="239">
        <v>0</v>
      </c>
      <c r="DO79" s="239">
        <v>0</v>
      </c>
      <c r="DP79" s="239">
        <v>0</v>
      </c>
      <c r="DQ79" s="239">
        <v>0</v>
      </c>
      <c r="DR79" s="239">
        <v>0</v>
      </c>
      <c r="DS79" s="239">
        <v>0</v>
      </c>
      <c r="DT79" s="239">
        <v>0</v>
      </c>
      <c r="DU79" s="239">
        <v>0</v>
      </c>
      <c r="DV79" s="239">
        <v>0</v>
      </c>
      <c r="DW79" s="239">
        <v>0</v>
      </c>
      <c r="DX79" s="239">
        <v>0</v>
      </c>
      <c r="DY79" s="239">
        <v>14759</v>
      </c>
      <c r="DZ79" s="239">
        <v>0</v>
      </c>
      <c r="EA79" s="239">
        <v>14759</v>
      </c>
      <c r="EB79" s="239">
        <v>0</v>
      </c>
      <c r="EC79" s="239">
        <v>0</v>
      </c>
      <c r="ED79" s="239">
        <v>0</v>
      </c>
      <c r="EE79" s="239">
        <v>0</v>
      </c>
      <c r="EF79" s="239">
        <v>0</v>
      </c>
      <c r="EG79" s="239">
        <v>0</v>
      </c>
      <c r="EH79" s="239">
        <v>0</v>
      </c>
      <c r="EI79" s="239">
        <v>0</v>
      </c>
      <c r="EJ79" s="239">
        <v>0</v>
      </c>
      <c r="EK79" s="239">
        <v>0</v>
      </c>
      <c r="EL79" s="239">
        <v>0</v>
      </c>
      <c r="EM79" s="239">
        <v>0</v>
      </c>
      <c r="EN79" s="239">
        <v>-1500</v>
      </c>
      <c r="EO79" s="239">
        <v>0</v>
      </c>
      <c r="EP79" s="239">
        <v>-1500</v>
      </c>
      <c r="EQ79" s="239">
        <v>-92280</v>
      </c>
      <c r="ER79" s="239">
        <v>0</v>
      </c>
      <c r="ES79" s="239">
        <v>-92280</v>
      </c>
      <c r="ET79" s="239">
        <v>-456980</v>
      </c>
      <c r="EU79" s="239">
        <v>-343</v>
      </c>
      <c r="EV79" s="239">
        <v>-457323</v>
      </c>
      <c r="EW79" s="239">
        <v>-95493</v>
      </c>
      <c r="EX79" s="239">
        <v>0</v>
      </c>
      <c r="EY79" s="239">
        <v>-95493</v>
      </c>
      <c r="EZ79" s="239">
        <v>-631494</v>
      </c>
      <c r="FA79" s="239">
        <v>-343</v>
      </c>
      <c r="FB79" s="239">
        <v>-631837</v>
      </c>
      <c r="FC79" s="239">
        <v>0</v>
      </c>
      <c r="FD79" s="239">
        <v>0</v>
      </c>
      <c r="FE79" s="239">
        <v>0</v>
      </c>
      <c r="FF79" s="239">
        <v>0</v>
      </c>
      <c r="FG79" s="239">
        <v>0</v>
      </c>
      <c r="FH79" s="239">
        <v>0</v>
      </c>
      <c r="FI79" s="239">
        <v>0</v>
      </c>
      <c r="FJ79" s="239">
        <v>0</v>
      </c>
      <c r="FK79" s="239">
        <v>0</v>
      </c>
      <c r="FL79" s="239">
        <v>103150710</v>
      </c>
      <c r="FM79" s="239">
        <v>162785</v>
      </c>
      <c r="FN79" s="239">
        <v>103313495</v>
      </c>
      <c r="FO79" s="239">
        <v>-855483</v>
      </c>
      <c r="FP79" s="239">
        <v>0</v>
      </c>
      <c r="FQ79" s="239">
        <v>-855483</v>
      </c>
      <c r="FR79" s="239">
        <v>-10533291</v>
      </c>
      <c r="FS79" s="239">
        <v>-6869</v>
      </c>
      <c r="FT79" s="239">
        <v>-10540160</v>
      </c>
      <c r="FU79" s="239">
        <v>-3317335</v>
      </c>
      <c r="FV79" s="239">
        <v>-32151</v>
      </c>
      <c r="FW79" s="239">
        <v>-3349486</v>
      </c>
      <c r="FX79" s="239">
        <v>-267267</v>
      </c>
      <c r="FY79" s="239">
        <v>-35863</v>
      </c>
      <c r="FZ79" s="239">
        <v>-303130</v>
      </c>
      <c r="GA79" s="239">
        <v>-631494</v>
      </c>
      <c r="GB79" s="239">
        <v>-343</v>
      </c>
      <c r="GC79" s="239">
        <v>-631837</v>
      </c>
      <c r="GD79" s="239">
        <v>0</v>
      </c>
      <c r="GE79" s="239">
        <v>0</v>
      </c>
      <c r="GF79" s="239">
        <v>0</v>
      </c>
      <c r="GG79" s="239">
        <v>-15604870</v>
      </c>
      <c r="GH79" s="239">
        <v>-75226</v>
      </c>
      <c r="GI79" s="239">
        <v>-15680096</v>
      </c>
      <c r="GJ79" s="239">
        <v>87545840</v>
      </c>
      <c r="GK79" s="239">
        <v>87559</v>
      </c>
      <c r="GL79" s="239">
        <v>87633399</v>
      </c>
      <c r="GM79" s="214" t="s">
        <v>746</v>
      </c>
    </row>
    <row r="80" spans="1:195" s="214" customFormat="1" x14ac:dyDescent="0.2">
      <c r="B80" s="602" t="s">
        <v>243</v>
      </c>
      <c r="C80" s="602" t="s">
        <v>242</v>
      </c>
      <c r="D80" s="239">
        <v>-2567377</v>
      </c>
      <c r="E80" s="239">
        <v>0</v>
      </c>
      <c r="F80" s="239">
        <v>-2567377</v>
      </c>
      <c r="G80" s="239">
        <v>15916</v>
      </c>
      <c r="H80" s="239">
        <v>0</v>
      </c>
      <c r="I80" s="239">
        <v>15916</v>
      </c>
      <c r="J80" s="239">
        <v>364694</v>
      </c>
      <c r="K80" s="239">
        <v>0</v>
      </c>
      <c r="L80" s="239">
        <v>364694</v>
      </c>
      <c r="M80" s="239">
        <v>-46599</v>
      </c>
      <c r="N80" s="239">
        <v>0</v>
      </c>
      <c r="O80" s="239">
        <v>-46599</v>
      </c>
      <c r="P80" s="239">
        <v>-2233366</v>
      </c>
      <c r="Q80" s="239">
        <v>0</v>
      </c>
      <c r="R80" s="239">
        <v>-2233366</v>
      </c>
      <c r="S80" s="239">
        <v>-3872170</v>
      </c>
      <c r="T80" s="239">
        <v>0</v>
      </c>
      <c r="U80" s="239">
        <v>-3872170</v>
      </c>
      <c r="V80" s="239">
        <v>0</v>
      </c>
      <c r="W80" s="239">
        <v>0</v>
      </c>
      <c r="X80" s="239">
        <v>0</v>
      </c>
      <c r="Y80" s="239">
        <v>-233142</v>
      </c>
      <c r="Z80" s="239">
        <v>0</v>
      </c>
      <c r="AA80" s="239">
        <v>-233142</v>
      </c>
      <c r="AB80" s="239">
        <v>-193059</v>
      </c>
      <c r="AC80" s="239">
        <v>0</v>
      </c>
      <c r="AD80" s="239">
        <v>-193059</v>
      </c>
      <c r="AE80" s="239">
        <v>0</v>
      </c>
      <c r="AF80" s="239">
        <v>0</v>
      </c>
      <c r="AG80" s="239">
        <v>0</v>
      </c>
      <c r="AH80" s="239">
        <v>351566</v>
      </c>
      <c r="AI80" s="239">
        <v>0</v>
      </c>
      <c r="AJ80" s="239">
        <v>351566</v>
      </c>
      <c r="AK80" s="239">
        <v>-19819</v>
      </c>
      <c r="AL80" s="239">
        <v>0</v>
      </c>
      <c r="AM80" s="239">
        <v>-19819</v>
      </c>
      <c r="AN80" s="239">
        <v>-1208757</v>
      </c>
      <c r="AO80" s="239">
        <v>0</v>
      </c>
      <c r="AP80" s="239">
        <v>-1208757</v>
      </c>
      <c r="AQ80" s="239">
        <v>-21305</v>
      </c>
      <c r="AR80" s="239">
        <v>0</v>
      </c>
      <c r="AS80" s="239">
        <v>-21305</v>
      </c>
      <c r="AT80" s="239">
        <v>-20597</v>
      </c>
      <c r="AU80" s="239">
        <v>0</v>
      </c>
      <c r="AV80" s="239">
        <v>-20597</v>
      </c>
      <c r="AW80" s="239">
        <v>0</v>
      </c>
      <c r="AX80" s="239">
        <v>0</v>
      </c>
      <c r="AY80" s="239">
        <v>0</v>
      </c>
      <c r="AZ80" s="239">
        <v>-45103</v>
      </c>
      <c r="BA80" s="239">
        <v>0</v>
      </c>
      <c r="BB80" s="239">
        <v>-45103</v>
      </c>
      <c r="BC80" s="239">
        <v>687</v>
      </c>
      <c r="BD80" s="239">
        <v>0</v>
      </c>
      <c r="BE80" s="239">
        <v>687</v>
      </c>
      <c r="BF80" s="239">
        <v>-5068640</v>
      </c>
      <c r="BG80" s="239">
        <v>0</v>
      </c>
      <c r="BH80" s="239">
        <v>-5068640</v>
      </c>
      <c r="BI80" s="239">
        <v>0</v>
      </c>
      <c r="BJ80" s="239">
        <v>0</v>
      </c>
      <c r="BK80" s="239">
        <v>0</v>
      </c>
      <c r="BL80" s="239">
        <v>0</v>
      </c>
      <c r="BM80" s="239">
        <v>0</v>
      </c>
      <c r="BN80" s="239">
        <v>0</v>
      </c>
      <c r="BO80" s="239">
        <v>-390834</v>
      </c>
      <c r="BP80" s="239">
        <v>0</v>
      </c>
      <c r="BQ80" s="239">
        <v>-390834</v>
      </c>
      <c r="BR80" s="239">
        <v>37948</v>
      </c>
      <c r="BS80" s="239">
        <v>0</v>
      </c>
      <c r="BT80" s="239">
        <v>37948</v>
      </c>
      <c r="BU80" s="239">
        <v>-352886</v>
      </c>
      <c r="BV80" s="239">
        <v>0</v>
      </c>
      <c r="BW80" s="239">
        <v>-352886</v>
      </c>
      <c r="BX80" s="239">
        <v>-130461</v>
      </c>
      <c r="BY80" s="239">
        <v>0</v>
      </c>
      <c r="BZ80" s="239">
        <v>-130461</v>
      </c>
      <c r="CA80" s="239">
        <v>-2164</v>
      </c>
      <c r="CB80" s="239">
        <v>0</v>
      </c>
      <c r="CC80" s="239">
        <v>-2164</v>
      </c>
      <c r="CD80" s="239">
        <v>-129292</v>
      </c>
      <c r="CE80" s="239">
        <v>0</v>
      </c>
      <c r="CF80" s="239">
        <v>-129292</v>
      </c>
      <c r="CG80" s="239">
        <v>-4340</v>
      </c>
      <c r="CH80" s="239">
        <v>0</v>
      </c>
      <c r="CI80" s="239">
        <v>-4340</v>
      </c>
      <c r="CJ80" s="239">
        <v>-3664</v>
      </c>
      <c r="CK80" s="239">
        <v>0</v>
      </c>
      <c r="CL80" s="239">
        <v>-3664</v>
      </c>
      <c r="CM80" s="239">
        <v>0</v>
      </c>
      <c r="CN80" s="239">
        <v>0</v>
      </c>
      <c r="CO80" s="239">
        <v>0</v>
      </c>
      <c r="CP80" s="239">
        <v>-1616</v>
      </c>
      <c r="CQ80" s="239">
        <v>0</v>
      </c>
      <c r="CR80" s="239">
        <v>-1616</v>
      </c>
      <c r="CS80" s="239">
        <v>687</v>
      </c>
      <c r="CT80" s="239">
        <v>0</v>
      </c>
      <c r="CU80" s="239">
        <v>687</v>
      </c>
      <c r="CV80" s="239">
        <v>-4078</v>
      </c>
      <c r="CW80" s="239">
        <v>0</v>
      </c>
      <c r="CX80" s="239">
        <v>-4078</v>
      </c>
      <c r="CY80" s="239">
        <v>0</v>
      </c>
      <c r="CZ80" s="239">
        <v>0</v>
      </c>
      <c r="DA80" s="239">
        <v>0</v>
      </c>
      <c r="DB80" s="239">
        <v>0</v>
      </c>
      <c r="DC80" s="239">
        <v>0</v>
      </c>
      <c r="DD80" s="239">
        <v>0</v>
      </c>
      <c r="DE80" s="239">
        <v>0</v>
      </c>
      <c r="DF80" s="239">
        <v>0</v>
      </c>
      <c r="DG80" s="239">
        <v>0</v>
      </c>
      <c r="DH80" s="239">
        <v>0</v>
      </c>
      <c r="DI80" s="239">
        <v>0</v>
      </c>
      <c r="DJ80" s="239">
        <v>-274928</v>
      </c>
      <c r="DK80" s="239">
        <v>0</v>
      </c>
      <c r="DL80" s="239">
        <v>-274928</v>
      </c>
      <c r="DM80" s="239">
        <v>0</v>
      </c>
      <c r="DN80" s="239">
        <v>0</v>
      </c>
      <c r="DO80" s="239">
        <v>0</v>
      </c>
      <c r="DP80" s="239">
        <v>0</v>
      </c>
      <c r="DQ80" s="239">
        <v>0</v>
      </c>
      <c r="DR80" s="239">
        <v>0</v>
      </c>
      <c r="DS80" s="239">
        <v>0</v>
      </c>
      <c r="DT80" s="239">
        <v>0</v>
      </c>
      <c r="DU80" s="239">
        <v>0</v>
      </c>
      <c r="DV80" s="239">
        <v>0</v>
      </c>
      <c r="DW80" s="239">
        <v>0</v>
      </c>
      <c r="DX80" s="239">
        <v>0</v>
      </c>
      <c r="DY80" s="239">
        <v>10910</v>
      </c>
      <c r="DZ80" s="239">
        <v>0</v>
      </c>
      <c r="EA80" s="239">
        <v>10910</v>
      </c>
      <c r="EB80" s="239">
        <v>0</v>
      </c>
      <c r="EC80" s="239">
        <v>0</v>
      </c>
      <c r="ED80" s="239">
        <v>0</v>
      </c>
      <c r="EE80" s="239">
        <v>0</v>
      </c>
      <c r="EF80" s="239">
        <v>0</v>
      </c>
      <c r="EG80" s="239">
        <v>0</v>
      </c>
      <c r="EH80" s="239">
        <v>1605</v>
      </c>
      <c r="EI80" s="239">
        <v>0</v>
      </c>
      <c r="EJ80" s="239">
        <v>1605</v>
      </c>
      <c r="EK80" s="239">
        <v>-43487</v>
      </c>
      <c r="EL80" s="239">
        <v>0</v>
      </c>
      <c r="EM80" s="239">
        <v>-43487</v>
      </c>
      <c r="EN80" s="239">
        <v>0</v>
      </c>
      <c r="EO80" s="239">
        <v>0</v>
      </c>
      <c r="EP80" s="239">
        <v>0</v>
      </c>
      <c r="EQ80" s="239">
        <v>-84583</v>
      </c>
      <c r="ER80" s="239">
        <v>0</v>
      </c>
      <c r="ES80" s="239">
        <v>-84583</v>
      </c>
      <c r="ET80" s="239">
        <v>-309440</v>
      </c>
      <c r="EU80" s="239">
        <v>0</v>
      </c>
      <c r="EV80" s="239">
        <v>-309440</v>
      </c>
      <c r="EW80" s="239">
        <v>-79506</v>
      </c>
      <c r="EX80" s="239">
        <v>0</v>
      </c>
      <c r="EY80" s="239">
        <v>-79506</v>
      </c>
      <c r="EZ80" s="239">
        <v>-504501</v>
      </c>
      <c r="FA80" s="239">
        <v>0</v>
      </c>
      <c r="FB80" s="239">
        <v>-504501</v>
      </c>
      <c r="FC80" s="239">
        <v>0</v>
      </c>
      <c r="FD80" s="239">
        <v>0</v>
      </c>
      <c r="FE80" s="239">
        <v>0</v>
      </c>
      <c r="FF80" s="239">
        <v>0</v>
      </c>
      <c r="FG80" s="239">
        <v>0</v>
      </c>
      <c r="FH80" s="239">
        <v>0</v>
      </c>
      <c r="FI80" s="239">
        <v>0</v>
      </c>
      <c r="FJ80" s="239">
        <v>0</v>
      </c>
      <c r="FK80" s="239">
        <v>0</v>
      </c>
      <c r="FL80" s="239">
        <v>25442555</v>
      </c>
      <c r="FM80" s="239">
        <v>0</v>
      </c>
      <c r="FN80" s="239">
        <v>25442555</v>
      </c>
      <c r="FO80" s="239">
        <v>-2233366</v>
      </c>
      <c r="FP80" s="239">
        <v>0</v>
      </c>
      <c r="FQ80" s="239">
        <v>-2233366</v>
      </c>
      <c r="FR80" s="239">
        <v>-5068640</v>
      </c>
      <c r="FS80" s="239">
        <v>0</v>
      </c>
      <c r="FT80" s="239">
        <v>-5068640</v>
      </c>
      <c r="FU80" s="239">
        <v>-352886</v>
      </c>
      <c r="FV80" s="239">
        <v>0</v>
      </c>
      <c r="FW80" s="239">
        <v>-352886</v>
      </c>
      <c r="FX80" s="239">
        <v>-274928</v>
      </c>
      <c r="FY80" s="239">
        <v>0</v>
      </c>
      <c r="FZ80" s="239">
        <v>-274928</v>
      </c>
      <c r="GA80" s="239">
        <v>-504501</v>
      </c>
      <c r="GB80" s="239">
        <v>0</v>
      </c>
      <c r="GC80" s="239">
        <v>-504501</v>
      </c>
      <c r="GD80" s="239">
        <v>0</v>
      </c>
      <c r="GE80" s="239">
        <v>0</v>
      </c>
      <c r="GF80" s="239">
        <v>0</v>
      </c>
      <c r="GG80" s="239">
        <v>-8434321</v>
      </c>
      <c r="GH80" s="239">
        <v>0</v>
      </c>
      <c r="GI80" s="239">
        <v>-8434321</v>
      </c>
      <c r="GJ80" s="239">
        <v>17008234</v>
      </c>
      <c r="GK80" s="239">
        <v>0</v>
      </c>
      <c r="GL80" s="239">
        <v>17008234</v>
      </c>
      <c r="GM80" s="214" t="s">
        <v>1158</v>
      </c>
    </row>
    <row r="81" spans="1:195" s="214" customFormat="1" x14ac:dyDescent="0.2">
      <c r="B81" s="602" t="s">
        <v>245</v>
      </c>
      <c r="C81" s="602" t="s">
        <v>244</v>
      </c>
      <c r="D81" s="239">
        <v>-2754052</v>
      </c>
      <c r="E81" s="239">
        <v>0</v>
      </c>
      <c r="F81" s="239">
        <v>-2754052</v>
      </c>
      <c r="G81" s="239">
        <v>810</v>
      </c>
      <c r="H81" s="239">
        <v>0</v>
      </c>
      <c r="I81" s="239">
        <v>810</v>
      </c>
      <c r="J81" s="239">
        <v>6850088</v>
      </c>
      <c r="K81" s="239">
        <v>0</v>
      </c>
      <c r="L81" s="239">
        <v>6850088</v>
      </c>
      <c r="M81" s="239">
        <v>55035</v>
      </c>
      <c r="N81" s="239">
        <v>0</v>
      </c>
      <c r="O81" s="239">
        <v>55035</v>
      </c>
      <c r="P81" s="239">
        <v>4151881</v>
      </c>
      <c r="Q81" s="239">
        <v>0</v>
      </c>
      <c r="R81" s="239">
        <v>4151881</v>
      </c>
      <c r="S81" s="239">
        <v>-8785719</v>
      </c>
      <c r="T81" s="239">
        <v>0</v>
      </c>
      <c r="U81" s="239">
        <v>-8785719</v>
      </c>
      <c r="V81" s="239">
        <v>-49084</v>
      </c>
      <c r="W81" s="239">
        <v>0</v>
      </c>
      <c r="X81" s="239">
        <v>-49084</v>
      </c>
      <c r="Y81" s="239">
        <v>-406557</v>
      </c>
      <c r="Z81" s="239">
        <v>0</v>
      </c>
      <c r="AA81" s="239">
        <v>-406557</v>
      </c>
      <c r="AB81" s="239">
        <v>-357605</v>
      </c>
      <c r="AC81" s="239">
        <v>0</v>
      </c>
      <c r="AD81" s="239">
        <v>-357605</v>
      </c>
      <c r="AE81" s="239">
        <v>1643</v>
      </c>
      <c r="AF81" s="239">
        <v>0</v>
      </c>
      <c r="AG81" s="239">
        <v>1643</v>
      </c>
      <c r="AH81" s="239">
        <v>2287870</v>
      </c>
      <c r="AI81" s="239">
        <v>0</v>
      </c>
      <c r="AJ81" s="239">
        <v>2287870</v>
      </c>
      <c r="AK81" s="239">
        <v>967176</v>
      </c>
      <c r="AL81" s="239">
        <v>0</v>
      </c>
      <c r="AM81" s="239">
        <v>967176</v>
      </c>
      <c r="AN81" s="239">
        <v>-6470725</v>
      </c>
      <c r="AO81" s="239">
        <v>0</v>
      </c>
      <c r="AP81" s="239">
        <v>-6470725</v>
      </c>
      <c r="AQ81" s="239">
        <v>-53430</v>
      </c>
      <c r="AR81" s="239">
        <v>0</v>
      </c>
      <c r="AS81" s="239">
        <v>-53430</v>
      </c>
      <c r="AT81" s="239">
        <v>-50886</v>
      </c>
      <c r="AU81" s="239">
        <v>0</v>
      </c>
      <c r="AV81" s="239">
        <v>-50886</v>
      </c>
      <c r="AW81" s="239">
        <v>-10</v>
      </c>
      <c r="AX81" s="239">
        <v>0</v>
      </c>
      <c r="AY81" s="239">
        <v>-10</v>
      </c>
      <c r="AZ81" s="239">
        <v>-4376</v>
      </c>
      <c r="BA81" s="239">
        <v>0</v>
      </c>
      <c r="BB81" s="239">
        <v>-4376</v>
      </c>
      <c r="BC81" s="239">
        <v>0</v>
      </c>
      <c r="BD81" s="239">
        <v>0</v>
      </c>
      <c r="BE81" s="239">
        <v>0</v>
      </c>
      <c r="BF81" s="239">
        <v>-12516657</v>
      </c>
      <c r="BG81" s="239">
        <v>0</v>
      </c>
      <c r="BH81" s="239">
        <v>-12516657</v>
      </c>
      <c r="BI81" s="239">
        <v>-17485</v>
      </c>
      <c r="BJ81" s="239">
        <v>0</v>
      </c>
      <c r="BK81" s="239">
        <v>-17485</v>
      </c>
      <c r="BL81" s="239">
        <v>9731</v>
      </c>
      <c r="BM81" s="239">
        <v>0</v>
      </c>
      <c r="BN81" s="239">
        <v>9731</v>
      </c>
      <c r="BO81" s="239">
        <v>-3004019</v>
      </c>
      <c r="BP81" s="239">
        <v>0</v>
      </c>
      <c r="BQ81" s="239">
        <v>-3004019</v>
      </c>
      <c r="BR81" s="239">
        <v>-52372</v>
      </c>
      <c r="BS81" s="239">
        <v>0</v>
      </c>
      <c r="BT81" s="239">
        <v>-52372</v>
      </c>
      <c r="BU81" s="239">
        <v>-3064145</v>
      </c>
      <c r="BV81" s="239">
        <v>0</v>
      </c>
      <c r="BW81" s="239">
        <v>-3064145</v>
      </c>
      <c r="BX81" s="239">
        <v>-325768</v>
      </c>
      <c r="BY81" s="239">
        <v>0</v>
      </c>
      <c r="BZ81" s="239">
        <v>-325768</v>
      </c>
      <c r="CA81" s="239">
        <v>2234</v>
      </c>
      <c r="CB81" s="239">
        <v>0</v>
      </c>
      <c r="CC81" s="239">
        <v>2234</v>
      </c>
      <c r="CD81" s="239">
        <v>-150139</v>
      </c>
      <c r="CE81" s="239">
        <v>0</v>
      </c>
      <c r="CF81" s="239">
        <v>-150139</v>
      </c>
      <c r="CG81" s="239">
        <v>24146</v>
      </c>
      <c r="CH81" s="239">
        <v>0</v>
      </c>
      <c r="CI81" s="239">
        <v>24146</v>
      </c>
      <c r="CJ81" s="239">
        <v>0</v>
      </c>
      <c r="CK81" s="239">
        <v>0</v>
      </c>
      <c r="CL81" s="239">
        <v>0</v>
      </c>
      <c r="CM81" s="239">
        <v>0</v>
      </c>
      <c r="CN81" s="239">
        <v>0</v>
      </c>
      <c r="CO81" s="239">
        <v>0</v>
      </c>
      <c r="CP81" s="239">
        <v>0</v>
      </c>
      <c r="CQ81" s="239">
        <v>0</v>
      </c>
      <c r="CR81" s="239">
        <v>0</v>
      </c>
      <c r="CS81" s="239">
        <v>0</v>
      </c>
      <c r="CT81" s="239">
        <v>0</v>
      </c>
      <c r="CU81" s="239">
        <v>0</v>
      </c>
      <c r="CV81" s="239">
        <v>0</v>
      </c>
      <c r="CW81" s="239">
        <v>0</v>
      </c>
      <c r="CX81" s="239">
        <v>0</v>
      </c>
      <c r="CY81" s="239">
        <v>0</v>
      </c>
      <c r="CZ81" s="239">
        <v>0</v>
      </c>
      <c r="DA81" s="239">
        <v>0</v>
      </c>
      <c r="DB81" s="239">
        <v>0</v>
      </c>
      <c r="DC81" s="239">
        <v>0</v>
      </c>
      <c r="DD81" s="239">
        <v>0</v>
      </c>
      <c r="DE81" s="239">
        <v>0</v>
      </c>
      <c r="DF81" s="239">
        <v>0</v>
      </c>
      <c r="DG81" s="239">
        <v>0</v>
      </c>
      <c r="DH81" s="239">
        <v>0</v>
      </c>
      <c r="DI81" s="239">
        <v>0</v>
      </c>
      <c r="DJ81" s="239">
        <v>-449527</v>
      </c>
      <c r="DK81" s="239">
        <v>0</v>
      </c>
      <c r="DL81" s="239">
        <v>-449527</v>
      </c>
      <c r="DM81" s="239">
        <v>-160665</v>
      </c>
      <c r="DN81" s="239">
        <v>0</v>
      </c>
      <c r="DO81" s="239">
        <v>-160665</v>
      </c>
      <c r="DP81" s="239">
        <v>11430</v>
      </c>
      <c r="DQ81" s="239">
        <v>0</v>
      </c>
      <c r="DR81" s="239">
        <v>11430</v>
      </c>
      <c r="DS81" s="239">
        <v>-672</v>
      </c>
      <c r="DT81" s="239">
        <v>0</v>
      </c>
      <c r="DU81" s="239">
        <v>-672</v>
      </c>
      <c r="DV81" s="239">
        <v>93</v>
      </c>
      <c r="DW81" s="239">
        <v>0</v>
      </c>
      <c r="DX81" s="239">
        <v>93</v>
      </c>
      <c r="DY81" s="239">
        <v>6195</v>
      </c>
      <c r="DZ81" s="239">
        <v>0</v>
      </c>
      <c r="EA81" s="239">
        <v>6195</v>
      </c>
      <c r="EB81" s="239">
        <v>0</v>
      </c>
      <c r="EC81" s="239">
        <v>0</v>
      </c>
      <c r="ED81" s="239">
        <v>0</v>
      </c>
      <c r="EE81" s="239">
        <v>0</v>
      </c>
      <c r="EF81" s="239">
        <v>0</v>
      </c>
      <c r="EG81" s="239">
        <v>0</v>
      </c>
      <c r="EH81" s="239">
        <v>0</v>
      </c>
      <c r="EI81" s="239">
        <v>0</v>
      </c>
      <c r="EJ81" s="239">
        <v>0</v>
      </c>
      <c r="EK81" s="239">
        <v>-4376</v>
      </c>
      <c r="EL81" s="239">
        <v>0</v>
      </c>
      <c r="EM81" s="239">
        <v>-4376</v>
      </c>
      <c r="EN81" s="239">
        <v>0</v>
      </c>
      <c r="EO81" s="239">
        <v>0</v>
      </c>
      <c r="EP81" s="239">
        <v>0</v>
      </c>
      <c r="EQ81" s="239">
        <v>-45857</v>
      </c>
      <c r="ER81" s="239">
        <v>0</v>
      </c>
      <c r="ES81" s="239">
        <v>-45857</v>
      </c>
      <c r="ET81" s="239">
        <v>-209578</v>
      </c>
      <c r="EU81" s="239">
        <v>0</v>
      </c>
      <c r="EV81" s="239">
        <v>-209578</v>
      </c>
      <c r="EW81" s="239">
        <v>-91236</v>
      </c>
      <c r="EX81" s="239">
        <v>0</v>
      </c>
      <c r="EY81" s="239">
        <v>-91236</v>
      </c>
      <c r="EZ81" s="239">
        <v>-494666</v>
      </c>
      <c r="FA81" s="239">
        <v>0</v>
      </c>
      <c r="FB81" s="239">
        <v>-494666</v>
      </c>
      <c r="FC81" s="239">
        <v>0</v>
      </c>
      <c r="FD81" s="239">
        <v>0</v>
      </c>
      <c r="FE81" s="239">
        <v>0</v>
      </c>
      <c r="FF81" s="239">
        <v>0</v>
      </c>
      <c r="FG81" s="239">
        <v>0</v>
      </c>
      <c r="FH81" s="239">
        <v>0</v>
      </c>
      <c r="FI81" s="239">
        <v>0</v>
      </c>
      <c r="FJ81" s="239">
        <v>0</v>
      </c>
      <c r="FK81" s="239">
        <v>0</v>
      </c>
      <c r="FL81" s="239">
        <v>110865127</v>
      </c>
      <c r="FM81" s="239">
        <v>0</v>
      </c>
      <c r="FN81" s="239">
        <v>110865127</v>
      </c>
      <c r="FO81" s="239">
        <v>4151881</v>
      </c>
      <c r="FP81" s="239">
        <v>0</v>
      </c>
      <c r="FQ81" s="239">
        <v>4151881</v>
      </c>
      <c r="FR81" s="239">
        <v>-12516657</v>
      </c>
      <c r="FS81" s="239">
        <v>0</v>
      </c>
      <c r="FT81" s="239">
        <v>-12516657</v>
      </c>
      <c r="FU81" s="239">
        <v>-3064145</v>
      </c>
      <c r="FV81" s="239">
        <v>0</v>
      </c>
      <c r="FW81" s="239">
        <v>-3064145</v>
      </c>
      <c r="FX81" s="239">
        <v>-449527</v>
      </c>
      <c r="FY81" s="239">
        <v>0</v>
      </c>
      <c r="FZ81" s="239">
        <v>-449527</v>
      </c>
      <c r="GA81" s="239">
        <v>-494666</v>
      </c>
      <c r="GB81" s="239">
        <v>0</v>
      </c>
      <c r="GC81" s="239">
        <v>-494666</v>
      </c>
      <c r="GD81" s="239">
        <v>0</v>
      </c>
      <c r="GE81" s="239">
        <v>0</v>
      </c>
      <c r="GF81" s="239">
        <v>0</v>
      </c>
      <c r="GG81" s="239">
        <v>-12373114</v>
      </c>
      <c r="GH81" s="239">
        <v>0</v>
      </c>
      <c r="GI81" s="239">
        <v>-12373114</v>
      </c>
      <c r="GJ81" s="239">
        <v>98492013</v>
      </c>
      <c r="GK81" s="239">
        <v>0</v>
      </c>
      <c r="GL81" s="239">
        <v>98492013</v>
      </c>
      <c r="GM81" s="214" t="s">
        <v>1160</v>
      </c>
    </row>
    <row r="82" spans="1:195" s="214" customFormat="1" x14ac:dyDescent="0.2">
      <c r="B82" s="602" t="s">
        <v>247</v>
      </c>
      <c r="C82" s="602" t="s">
        <v>246</v>
      </c>
      <c r="D82" s="239">
        <v>-3671379</v>
      </c>
      <c r="E82" s="239">
        <v>0</v>
      </c>
      <c r="F82" s="239">
        <v>-3671379</v>
      </c>
      <c r="G82" s="239">
        <v>314</v>
      </c>
      <c r="H82" s="239">
        <v>0</v>
      </c>
      <c r="I82" s="239">
        <v>314</v>
      </c>
      <c r="J82" s="239">
        <v>2368245</v>
      </c>
      <c r="K82" s="239">
        <v>0</v>
      </c>
      <c r="L82" s="239">
        <v>2368245</v>
      </c>
      <c r="M82" s="239">
        <v>275</v>
      </c>
      <c r="N82" s="239">
        <v>0</v>
      </c>
      <c r="O82" s="239">
        <v>275</v>
      </c>
      <c r="P82" s="239">
        <v>-1302545</v>
      </c>
      <c r="Q82" s="239">
        <v>0</v>
      </c>
      <c r="R82" s="239">
        <v>-1302545</v>
      </c>
      <c r="S82" s="239">
        <v>-3583864</v>
      </c>
      <c r="T82" s="239">
        <v>0</v>
      </c>
      <c r="U82" s="239">
        <v>-3583864</v>
      </c>
      <c r="V82" s="239">
        <v>-12816</v>
      </c>
      <c r="W82" s="239">
        <v>0</v>
      </c>
      <c r="X82" s="239">
        <v>-12816</v>
      </c>
      <c r="Y82" s="239">
        <v>-109355</v>
      </c>
      <c r="Z82" s="239">
        <v>0</v>
      </c>
      <c r="AA82" s="239">
        <v>-109355</v>
      </c>
      <c r="AB82" s="239">
        <v>-99755</v>
      </c>
      <c r="AC82" s="239">
        <v>0</v>
      </c>
      <c r="AD82" s="239">
        <v>-99755</v>
      </c>
      <c r="AE82" s="239">
        <v>0</v>
      </c>
      <c r="AF82" s="239">
        <v>0</v>
      </c>
      <c r="AG82" s="239">
        <v>0</v>
      </c>
      <c r="AH82" s="239">
        <v>994030</v>
      </c>
      <c r="AI82" s="239">
        <v>0</v>
      </c>
      <c r="AJ82" s="239">
        <v>994030</v>
      </c>
      <c r="AK82" s="239">
        <v>-10563</v>
      </c>
      <c r="AL82" s="239">
        <v>0</v>
      </c>
      <c r="AM82" s="239">
        <v>-10563</v>
      </c>
      <c r="AN82" s="239">
        <v>-2646942</v>
      </c>
      <c r="AO82" s="239">
        <v>0</v>
      </c>
      <c r="AP82" s="239">
        <v>-2646942</v>
      </c>
      <c r="AQ82" s="239">
        <v>-7595</v>
      </c>
      <c r="AR82" s="239">
        <v>0</v>
      </c>
      <c r="AS82" s="239">
        <v>-7595</v>
      </c>
      <c r="AT82" s="239">
        <v>-35976</v>
      </c>
      <c r="AU82" s="239">
        <v>0</v>
      </c>
      <c r="AV82" s="239">
        <v>-35976</v>
      </c>
      <c r="AW82" s="239">
        <v>2507</v>
      </c>
      <c r="AX82" s="239">
        <v>0</v>
      </c>
      <c r="AY82" s="239">
        <v>2507</v>
      </c>
      <c r="AZ82" s="239">
        <v>-14695</v>
      </c>
      <c r="BA82" s="239">
        <v>0</v>
      </c>
      <c r="BB82" s="239">
        <v>-14695</v>
      </c>
      <c r="BC82" s="239">
        <v>618</v>
      </c>
      <c r="BD82" s="239">
        <v>0</v>
      </c>
      <c r="BE82" s="239">
        <v>618</v>
      </c>
      <c r="BF82" s="239">
        <v>-5411835</v>
      </c>
      <c r="BG82" s="239">
        <v>0</v>
      </c>
      <c r="BH82" s="239">
        <v>-5411835</v>
      </c>
      <c r="BI82" s="239">
        <v>0</v>
      </c>
      <c r="BJ82" s="239">
        <v>0</v>
      </c>
      <c r="BK82" s="239">
        <v>0</v>
      </c>
      <c r="BL82" s="239">
        <v>-6746</v>
      </c>
      <c r="BM82" s="239">
        <v>0</v>
      </c>
      <c r="BN82" s="239">
        <v>-6746</v>
      </c>
      <c r="BO82" s="239">
        <v>-1075175</v>
      </c>
      <c r="BP82" s="239">
        <v>0</v>
      </c>
      <c r="BQ82" s="239">
        <v>-1075175</v>
      </c>
      <c r="BR82" s="239">
        <v>64955</v>
      </c>
      <c r="BS82" s="239">
        <v>0</v>
      </c>
      <c r="BT82" s="239">
        <v>64955</v>
      </c>
      <c r="BU82" s="239">
        <v>-1016966</v>
      </c>
      <c r="BV82" s="239">
        <v>0</v>
      </c>
      <c r="BW82" s="239">
        <v>-1016966</v>
      </c>
      <c r="BX82" s="239">
        <v>-156441</v>
      </c>
      <c r="BY82" s="239">
        <v>0</v>
      </c>
      <c r="BZ82" s="239">
        <v>-156441</v>
      </c>
      <c r="CA82" s="239">
        <v>-795</v>
      </c>
      <c r="CB82" s="239">
        <v>0</v>
      </c>
      <c r="CC82" s="239">
        <v>-795</v>
      </c>
      <c r="CD82" s="239">
        <v>-20326</v>
      </c>
      <c r="CE82" s="239">
        <v>0</v>
      </c>
      <c r="CF82" s="239">
        <v>-20326</v>
      </c>
      <c r="CG82" s="239">
        <v>4915</v>
      </c>
      <c r="CH82" s="239">
        <v>0</v>
      </c>
      <c r="CI82" s="239">
        <v>4915</v>
      </c>
      <c r="CJ82" s="239">
        <v>0</v>
      </c>
      <c r="CK82" s="239">
        <v>0</v>
      </c>
      <c r="CL82" s="239">
        <v>0</v>
      </c>
      <c r="CM82" s="239">
        <v>0</v>
      </c>
      <c r="CN82" s="239">
        <v>0</v>
      </c>
      <c r="CO82" s="239">
        <v>0</v>
      </c>
      <c r="CP82" s="239">
        <v>0</v>
      </c>
      <c r="CQ82" s="239">
        <v>0</v>
      </c>
      <c r="CR82" s="239">
        <v>0</v>
      </c>
      <c r="CS82" s="239">
        <v>0</v>
      </c>
      <c r="CT82" s="239">
        <v>0</v>
      </c>
      <c r="CU82" s="239">
        <v>0</v>
      </c>
      <c r="CV82" s="239">
        <v>0</v>
      </c>
      <c r="CW82" s="239">
        <v>0</v>
      </c>
      <c r="CX82" s="239">
        <v>0</v>
      </c>
      <c r="CY82" s="239">
        <v>0</v>
      </c>
      <c r="CZ82" s="239">
        <v>0</v>
      </c>
      <c r="DA82" s="239">
        <v>0</v>
      </c>
      <c r="DB82" s="239">
        <v>-2637958</v>
      </c>
      <c r="DC82" s="239">
        <v>0</v>
      </c>
      <c r="DD82" s="239">
        <v>-2637958</v>
      </c>
      <c r="DE82" s="239">
        <v>-258936</v>
      </c>
      <c r="DF82" s="239">
        <v>0</v>
      </c>
      <c r="DG82" s="239">
        <v>-258936</v>
      </c>
      <c r="DH82" s="239">
        <v>0</v>
      </c>
      <c r="DI82" s="239">
        <v>-2896894</v>
      </c>
      <c r="DJ82" s="239">
        <v>-3069541</v>
      </c>
      <c r="DK82" s="239">
        <v>0</v>
      </c>
      <c r="DL82" s="239">
        <v>-3069541</v>
      </c>
      <c r="DM82" s="239">
        <v>-5861</v>
      </c>
      <c r="DN82" s="239">
        <v>0</v>
      </c>
      <c r="DO82" s="239">
        <v>-5861</v>
      </c>
      <c r="DP82" s="239">
        <v>-3909</v>
      </c>
      <c r="DQ82" s="239">
        <v>0</v>
      </c>
      <c r="DR82" s="239">
        <v>-3909</v>
      </c>
      <c r="DS82" s="239">
        <v>-727</v>
      </c>
      <c r="DT82" s="239">
        <v>0</v>
      </c>
      <c r="DU82" s="239">
        <v>-727</v>
      </c>
      <c r="DV82" s="239">
        <v>-54</v>
      </c>
      <c r="DW82" s="239">
        <v>0</v>
      </c>
      <c r="DX82" s="239">
        <v>-54</v>
      </c>
      <c r="DY82" s="239">
        <v>6440</v>
      </c>
      <c r="DZ82" s="239">
        <v>0</v>
      </c>
      <c r="EA82" s="239">
        <v>6440</v>
      </c>
      <c r="EB82" s="239">
        <v>0</v>
      </c>
      <c r="EC82" s="239">
        <v>0</v>
      </c>
      <c r="ED82" s="239">
        <v>0</v>
      </c>
      <c r="EE82" s="239">
        <v>0</v>
      </c>
      <c r="EF82" s="239">
        <v>0</v>
      </c>
      <c r="EG82" s="239">
        <v>0</v>
      </c>
      <c r="EH82" s="239">
        <v>0</v>
      </c>
      <c r="EI82" s="239">
        <v>0</v>
      </c>
      <c r="EJ82" s="239">
        <v>0</v>
      </c>
      <c r="EK82" s="239">
        <v>-14695</v>
      </c>
      <c r="EL82" s="239">
        <v>0</v>
      </c>
      <c r="EM82" s="239">
        <v>-14695</v>
      </c>
      <c r="EN82" s="239">
        <v>-1500</v>
      </c>
      <c r="EO82" s="239">
        <v>0</v>
      </c>
      <c r="EP82" s="239">
        <v>-1500</v>
      </c>
      <c r="EQ82" s="239">
        <v>-35905</v>
      </c>
      <c r="ER82" s="239">
        <v>0</v>
      </c>
      <c r="ES82" s="239">
        <v>-35905</v>
      </c>
      <c r="ET82" s="239">
        <v>-99292</v>
      </c>
      <c r="EU82" s="239">
        <v>0</v>
      </c>
      <c r="EV82" s="239">
        <v>-99292</v>
      </c>
      <c r="EW82" s="239">
        <v>-66495</v>
      </c>
      <c r="EX82" s="239">
        <v>0</v>
      </c>
      <c r="EY82" s="239">
        <v>-66495</v>
      </c>
      <c r="EZ82" s="239">
        <v>-221998</v>
      </c>
      <c r="FA82" s="239">
        <v>0</v>
      </c>
      <c r="FB82" s="239">
        <v>-221998</v>
      </c>
      <c r="FC82" s="239">
        <v>0</v>
      </c>
      <c r="FD82" s="239">
        <v>0</v>
      </c>
      <c r="FE82" s="239">
        <v>0</v>
      </c>
      <c r="FF82" s="239">
        <v>0</v>
      </c>
      <c r="FG82" s="239">
        <v>0</v>
      </c>
      <c r="FH82" s="239">
        <v>0</v>
      </c>
      <c r="FI82" s="239">
        <v>0</v>
      </c>
      <c r="FJ82" s="239">
        <v>0</v>
      </c>
      <c r="FK82" s="239">
        <v>0</v>
      </c>
      <c r="FL82" s="239">
        <v>48365397</v>
      </c>
      <c r="FM82" s="239">
        <v>0</v>
      </c>
      <c r="FN82" s="239">
        <v>48365397</v>
      </c>
      <c r="FO82" s="239">
        <v>-1302545</v>
      </c>
      <c r="FP82" s="239">
        <v>0</v>
      </c>
      <c r="FQ82" s="239">
        <v>-1302545</v>
      </c>
      <c r="FR82" s="239">
        <v>-5411835</v>
      </c>
      <c r="FS82" s="239">
        <v>0</v>
      </c>
      <c r="FT82" s="239">
        <v>-5411835</v>
      </c>
      <c r="FU82" s="239">
        <v>-1016966</v>
      </c>
      <c r="FV82" s="239">
        <v>0</v>
      </c>
      <c r="FW82" s="239">
        <v>-1016966</v>
      </c>
      <c r="FX82" s="239">
        <v>-3069541</v>
      </c>
      <c r="FY82" s="239">
        <v>0</v>
      </c>
      <c r="FZ82" s="239">
        <v>-3069541</v>
      </c>
      <c r="GA82" s="239">
        <v>-221998</v>
      </c>
      <c r="GB82" s="239">
        <v>0</v>
      </c>
      <c r="GC82" s="239">
        <v>-221998</v>
      </c>
      <c r="GD82" s="239">
        <v>0</v>
      </c>
      <c r="GE82" s="239">
        <v>0</v>
      </c>
      <c r="GF82" s="239">
        <v>0</v>
      </c>
      <c r="GG82" s="239">
        <v>-11022885</v>
      </c>
      <c r="GH82" s="239">
        <v>0</v>
      </c>
      <c r="GI82" s="239">
        <v>-11022885</v>
      </c>
      <c r="GJ82" s="239">
        <v>37342512</v>
      </c>
      <c r="GK82" s="239">
        <v>0</v>
      </c>
      <c r="GL82" s="239">
        <v>37342512</v>
      </c>
      <c r="GM82" s="214" t="s">
        <v>1158</v>
      </c>
    </row>
    <row r="83" spans="1:195" s="214" customFormat="1" x14ac:dyDescent="0.2">
      <c r="B83" s="602" t="s">
        <v>249</v>
      </c>
      <c r="C83" s="602" t="s">
        <v>248</v>
      </c>
      <c r="D83" s="239">
        <v>-1914725</v>
      </c>
      <c r="E83" s="239">
        <v>-2487</v>
      </c>
      <c r="F83" s="239">
        <v>-1917212</v>
      </c>
      <c r="G83" s="239">
        <v>186020</v>
      </c>
      <c r="H83" s="239">
        <v>0</v>
      </c>
      <c r="I83" s="239">
        <v>186020</v>
      </c>
      <c r="J83" s="239">
        <v>6386205</v>
      </c>
      <c r="K83" s="239">
        <v>256</v>
      </c>
      <c r="L83" s="239">
        <v>6386461</v>
      </c>
      <c r="M83" s="239">
        <v>-61092</v>
      </c>
      <c r="N83" s="239">
        <v>0</v>
      </c>
      <c r="O83" s="239">
        <v>-61092</v>
      </c>
      <c r="P83" s="239">
        <v>4596408</v>
      </c>
      <c r="Q83" s="239">
        <v>-2231</v>
      </c>
      <c r="R83" s="239">
        <v>4594177</v>
      </c>
      <c r="S83" s="239">
        <v>-10642487</v>
      </c>
      <c r="T83" s="239">
        <v>-4520</v>
      </c>
      <c r="U83" s="239">
        <v>-10647007</v>
      </c>
      <c r="V83" s="239">
        <v>-41009</v>
      </c>
      <c r="W83" s="239">
        <v>0</v>
      </c>
      <c r="X83" s="239">
        <v>-41009</v>
      </c>
      <c r="Y83" s="239">
        <v>-419135</v>
      </c>
      <c r="Z83" s="239">
        <v>0</v>
      </c>
      <c r="AA83" s="239">
        <v>-419135</v>
      </c>
      <c r="AB83" s="239">
        <v>-407128</v>
      </c>
      <c r="AC83" s="239">
        <v>0</v>
      </c>
      <c r="AD83" s="239">
        <v>-407128</v>
      </c>
      <c r="AE83" s="239">
        <v>-4223</v>
      </c>
      <c r="AF83" s="239">
        <v>0</v>
      </c>
      <c r="AG83" s="239">
        <v>-4223</v>
      </c>
      <c r="AH83" s="239">
        <v>2006174</v>
      </c>
      <c r="AI83" s="239">
        <v>0</v>
      </c>
      <c r="AJ83" s="239">
        <v>2006174</v>
      </c>
      <c r="AK83" s="239">
        <v>628547</v>
      </c>
      <c r="AL83" s="239">
        <v>0</v>
      </c>
      <c r="AM83" s="239">
        <v>628547</v>
      </c>
      <c r="AN83" s="239">
        <v>-5466781</v>
      </c>
      <c r="AO83" s="239">
        <v>0</v>
      </c>
      <c r="AP83" s="239">
        <v>-5466781</v>
      </c>
      <c r="AQ83" s="239">
        <v>29736</v>
      </c>
      <c r="AR83" s="239">
        <v>0</v>
      </c>
      <c r="AS83" s="239">
        <v>29736</v>
      </c>
      <c r="AT83" s="239">
        <v>-34694</v>
      </c>
      <c r="AU83" s="239">
        <v>0</v>
      </c>
      <c r="AV83" s="239">
        <v>-34694</v>
      </c>
      <c r="AW83" s="239">
        <v>0</v>
      </c>
      <c r="AX83" s="239">
        <v>0</v>
      </c>
      <c r="AY83" s="239">
        <v>0</v>
      </c>
      <c r="AZ83" s="239">
        <v>0</v>
      </c>
      <c r="BA83" s="239">
        <v>0</v>
      </c>
      <c r="BB83" s="239">
        <v>0</v>
      </c>
      <c r="BC83" s="239">
        <v>0</v>
      </c>
      <c r="BD83" s="239">
        <v>0</v>
      </c>
      <c r="BE83" s="239">
        <v>0</v>
      </c>
      <c r="BF83" s="239">
        <v>-13898640</v>
      </c>
      <c r="BG83" s="239">
        <v>-4520</v>
      </c>
      <c r="BH83" s="239">
        <v>-13903160</v>
      </c>
      <c r="BI83" s="239">
        <v>-81111</v>
      </c>
      <c r="BJ83" s="239">
        <v>0</v>
      </c>
      <c r="BK83" s="239">
        <v>-81111</v>
      </c>
      <c r="BL83" s="239">
        <v>3424</v>
      </c>
      <c r="BM83" s="239">
        <v>0</v>
      </c>
      <c r="BN83" s="239">
        <v>3424</v>
      </c>
      <c r="BO83" s="239">
        <v>-4015052</v>
      </c>
      <c r="BP83" s="239">
        <v>-1361</v>
      </c>
      <c r="BQ83" s="239">
        <v>-4016413</v>
      </c>
      <c r="BR83" s="239">
        <v>418495</v>
      </c>
      <c r="BS83" s="239">
        <v>0</v>
      </c>
      <c r="BT83" s="239">
        <v>418495</v>
      </c>
      <c r="BU83" s="239">
        <v>-3674244</v>
      </c>
      <c r="BV83" s="239">
        <v>-1361</v>
      </c>
      <c r="BW83" s="239">
        <v>-3675605</v>
      </c>
      <c r="BX83" s="239">
        <v>-518563</v>
      </c>
      <c r="BY83" s="239">
        <v>0</v>
      </c>
      <c r="BZ83" s="239">
        <v>-518563</v>
      </c>
      <c r="CA83" s="239">
        <v>-3157</v>
      </c>
      <c r="CB83" s="239">
        <v>0</v>
      </c>
      <c r="CC83" s="239">
        <v>-3157</v>
      </c>
      <c r="CD83" s="239">
        <v>-93034</v>
      </c>
      <c r="CE83" s="239">
        <v>0</v>
      </c>
      <c r="CF83" s="239">
        <v>-93034</v>
      </c>
      <c r="CG83" s="239">
        <v>-1651</v>
      </c>
      <c r="CH83" s="239">
        <v>0</v>
      </c>
      <c r="CI83" s="239">
        <v>-1651</v>
      </c>
      <c r="CJ83" s="239">
        <v>-8246</v>
      </c>
      <c r="CK83" s="239">
        <v>0</v>
      </c>
      <c r="CL83" s="239">
        <v>-8246</v>
      </c>
      <c r="CM83" s="239">
        <v>0</v>
      </c>
      <c r="CN83" s="239">
        <v>0</v>
      </c>
      <c r="CO83" s="239">
        <v>0</v>
      </c>
      <c r="CP83" s="239">
        <v>0</v>
      </c>
      <c r="CQ83" s="239">
        <v>0</v>
      </c>
      <c r="CR83" s="239">
        <v>0</v>
      </c>
      <c r="CS83" s="239">
        <v>0</v>
      </c>
      <c r="CT83" s="239">
        <v>0</v>
      </c>
      <c r="CU83" s="239">
        <v>0</v>
      </c>
      <c r="CV83" s="239">
        <v>0</v>
      </c>
      <c r="CW83" s="239">
        <v>0</v>
      </c>
      <c r="CX83" s="239">
        <v>0</v>
      </c>
      <c r="CY83" s="239">
        <v>0</v>
      </c>
      <c r="CZ83" s="239">
        <v>0</v>
      </c>
      <c r="DA83" s="239">
        <v>0</v>
      </c>
      <c r="DB83" s="239">
        <v>-111974</v>
      </c>
      <c r="DC83" s="239">
        <v>0</v>
      </c>
      <c r="DD83" s="239">
        <v>-111974</v>
      </c>
      <c r="DE83" s="239">
        <v>0</v>
      </c>
      <c r="DF83" s="239">
        <v>0</v>
      </c>
      <c r="DG83" s="239">
        <v>0</v>
      </c>
      <c r="DH83" s="239">
        <v>0</v>
      </c>
      <c r="DI83" s="239">
        <v>-83608</v>
      </c>
      <c r="DJ83" s="239">
        <v>-736625</v>
      </c>
      <c r="DK83" s="239">
        <v>0</v>
      </c>
      <c r="DL83" s="239">
        <v>-736625</v>
      </c>
      <c r="DM83" s="239">
        <v>0</v>
      </c>
      <c r="DN83" s="239">
        <v>0</v>
      </c>
      <c r="DO83" s="239">
        <v>0</v>
      </c>
      <c r="DP83" s="239">
        <v>0</v>
      </c>
      <c r="DQ83" s="239">
        <v>0</v>
      </c>
      <c r="DR83" s="239">
        <v>0</v>
      </c>
      <c r="DS83" s="239">
        <v>-3874</v>
      </c>
      <c r="DT83" s="239">
        <v>0</v>
      </c>
      <c r="DU83" s="239">
        <v>-3874</v>
      </c>
      <c r="DV83" s="239">
        <v>3337</v>
      </c>
      <c r="DW83" s="239">
        <v>0</v>
      </c>
      <c r="DX83" s="239">
        <v>3337</v>
      </c>
      <c r="DY83" s="239">
        <v>22032</v>
      </c>
      <c r="DZ83" s="239">
        <v>0</v>
      </c>
      <c r="EA83" s="239">
        <v>22032</v>
      </c>
      <c r="EB83" s="239">
        <v>0</v>
      </c>
      <c r="EC83" s="239">
        <v>0</v>
      </c>
      <c r="ED83" s="239">
        <v>0</v>
      </c>
      <c r="EE83" s="239">
        <v>0</v>
      </c>
      <c r="EF83" s="239">
        <v>0</v>
      </c>
      <c r="EG83" s="239">
        <v>0</v>
      </c>
      <c r="EH83" s="239">
        <v>-62464</v>
      </c>
      <c r="EI83" s="239">
        <v>0</v>
      </c>
      <c r="EJ83" s="239">
        <v>-62464</v>
      </c>
      <c r="EK83" s="239">
        <v>0</v>
      </c>
      <c r="EL83" s="239">
        <v>0</v>
      </c>
      <c r="EM83" s="239">
        <v>0</v>
      </c>
      <c r="EN83" s="239">
        <v>-3253</v>
      </c>
      <c r="EO83" s="239">
        <v>0</v>
      </c>
      <c r="EP83" s="239">
        <v>-3253</v>
      </c>
      <c r="EQ83" s="239">
        <v>-22602</v>
      </c>
      <c r="ER83" s="239">
        <v>0</v>
      </c>
      <c r="ES83" s="239">
        <v>-22602</v>
      </c>
      <c r="ET83" s="239">
        <v>-228202</v>
      </c>
      <c r="EU83" s="239">
        <v>0</v>
      </c>
      <c r="EV83" s="239">
        <v>-228202</v>
      </c>
      <c r="EW83" s="239">
        <v>-71963</v>
      </c>
      <c r="EX83" s="239">
        <v>0</v>
      </c>
      <c r="EY83" s="239">
        <v>-71963</v>
      </c>
      <c r="EZ83" s="239">
        <v>-366989</v>
      </c>
      <c r="FA83" s="239">
        <v>0</v>
      </c>
      <c r="FB83" s="239">
        <v>-366989</v>
      </c>
      <c r="FC83" s="239">
        <v>0</v>
      </c>
      <c r="FD83" s="239">
        <v>0</v>
      </c>
      <c r="FE83" s="239">
        <v>0</v>
      </c>
      <c r="FF83" s="239">
        <v>0</v>
      </c>
      <c r="FG83" s="239">
        <v>0</v>
      </c>
      <c r="FH83" s="239">
        <v>0</v>
      </c>
      <c r="FI83" s="239">
        <v>0</v>
      </c>
      <c r="FJ83" s="239">
        <v>0</v>
      </c>
      <c r="FK83" s="239">
        <v>0</v>
      </c>
      <c r="FL83" s="239">
        <v>103470561</v>
      </c>
      <c r="FM83" s="239">
        <v>131323</v>
      </c>
      <c r="FN83" s="239">
        <v>103601884</v>
      </c>
      <c r="FO83" s="239">
        <v>4596408</v>
      </c>
      <c r="FP83" s="239">
        <v>-2231</v>
      </c>
      <c r="FQ83" s="239">
        <v>4594177</v>
      </c>
      <c r="FR83" s="239">
        <v>-13898640</v>
      </c>
      <c r="FS83" s="239">
        <v>-4520</v>
      </c>
      <c r="FT83" s="239">
        <v>-13903160</v>
      </c>
      <c r="FU83" s="239">
        <v>-3674244</v>
      </c>
      <c r="FV83" s="239">
        <v>-1361</v>
      </c>
      <c r="FW83" s="239">
        <v>-3675605</v>
      </c>
      <c r="FX83" s="239">
        <v>-736625</v>
      </c>
      <c r="FY83" s="239">
        <v>0</v>
      </c>
      <c r="FZ83" s="239">
        <v>-736625</v>
      </c>
      <c r="GA83" s="239">
        <v>-366989</v>
      </c>
      <c r="GB83" s="239">
        <v>0</v>
      </c>
      <c r="GC83" s="239">
        <v>-366989</v>
      </c>
      <c r="GD83" s="239">
        <v>0</v>
      </c>
      <c r="GE83" s="239">
        <v>0</v>
      </c>
      <c r="GF83" s="239">
        <v>0</v>
      </c>
      <c r="GG83" s="239">
        <v>-14080090</v>
      </c>
      <c r="GH83" s="239">
        <v>-8112</v>
      </c>
      <c r="GI83" s="239">
        <v>-14088202</v>
      </c>
      <c r="GJ83" s="239">
        <v>89390471</v>
      </c>
      <c r="GK83" s="239">
        <v>123211</v>
      </c>
      <c r="GL83" s="239">
        <v>89513682</v>
      </c>
      <c r="GM83" s="214" t="s">
        <v>1160</v>
      </c>
    </row>
    <row r="84" spans="1:195" s="214" customFormat="1" x14ac:dyDescent="0.2">
      <c r="B84" s="602" t="s">
        <v>251</v>
      </c>
      <c r="C84" s="602" t="s">
        <v>250</v>
      </c>
      <c r="D84" s="239">
        <v>-4651643</v>
      </c>
      <c r="E84" s="239">
        <v>0</v>
      </c>
      <c r="F84" s="239">
        <v>-4651643</v>
      </c>
      <c r="G84" s="239">
        <v>228775</v>
      </c>
      <c r="H84" s="239">
        <v>0</v>
      </c>
      <c r="I84" s="239">
        <v>228775</v>
      </c>
      <c r="J84" s="239">
        <v>8911537</v>
      </c>
      <c r="K84" s="239">
        <v>0</v>
      </c>
      <c r="L84" s="239">
        <v>8911537</v>
      </c>
      <c r="M84" s="239">
        <v>185832</v>
      </c>
      <c r="N84" s="239">
        <v>0</v>
      </c>
      <c r="O84" s="239">
        <v>185832</v>
      </c>
      <c r="P84" s="239">
        <v>4674501</v>
      </c>
      <c r="Q84" s="239">
        <v>0</v>
      </c>
      <c r="R84" s="239">
        <v>4674501</v>
      </c>
      <c r="S84" s="239">
        <v>-13924554</v>
      </c>
      <c r="T84" s="239">
        <v>0</v>
      </c>
      <c r="U84" s="239">
        <v>-13924554</v>
      </c>
      <c r="V84" s="239">
        <v>-61948</v>
      </c>
      <c r="W84" s="239">
        <v>0</v>
      </c>
      <c r="X84" s="239">
        <v>-61948</v>
      </c>
      <c r="Y84" s="239">
        <v>-377036</v>
      </c>
      <c r="Z84" s="239">
        <v>0</v>
      </c>
      <c r="AA84" s="239">
        <v>-377036</v>
      </c>
      <c r="AB84" s="239">
        <v>-321332</v>
      </c>
      <c r="AC84" s="239">
        <v>0</v>
      </c>
      <c r="AD84" s="239">
        <v>-321332</v>
      </c>
      <c r="AE84" s="239">
        <v>-11171</v>
      </c>
      <c r="AF84" s="239">
        <v>0</v>
      </c>
      <c r="AG84" s="239">
        <v>-11171</v>
      </c>
      <c r="AH84" s="239">
        <v>2687186</v>
      </c>
      <c r="AI84" s="239">
        <v>0</v>
      </c>
      <c r="AJ84" s="239">
        <v>2687186</v>
      </c>
      <c r="AK84" s="239">
        <v>-103912</v>
      </c>
      <c r="AL84" s="239">
        <v>0</v>
      </c>
      <c r="AM84" s="239">
        <v>-103912</v>
      </c>
      <c r="AN84" s="239">
        <v>-11653147</v>
      </c>
      <c r="AO84" s="239">
        <v>0</v>
      </c>
      <c r="AP84" s="239">
        <v>-11653147</v>
      </c>
      <c r="AQ84" s="239">
        <v>-97579</v>
      </c>
      <c r="AR84" s="239">
        <v>0</v>
      </c>
      <c r="AS84" s="239">
        <v>-97579</v>
      </c>
      <c r="AT84" s="239">
        <v>-253804</v>
      </c>
      <c r="AU84" s="239">
        <v>0</v>
      </c>
      <c r="AV84" s="239">
        <v>-253804</v>
      </c>
      <c r="AW84" s="239">
        <v>7113</v>
      </c>
      <c r="AX84" s="239">
        <v>0</v>
      </c>
      <c r="AY84" s="239">
        <v>7113</v>
      </c>
      <c r="AZ84" s="239">
        <v>-90585</v>
      </c>
      <c r="BA84" s="239">
        <v>0</v>
      </c>
      <c r="BB84" s="239">
        <v>-90585</v>
      </c>
      <c r="BC84" s="239">
        <v>-895</v>
      </c>
      <c r="BD84" s="239">
        <v>0</v>
      </c>
      <c r="BE84" s="239">
        <v>-895</v>
      </c>
      <c r="BF84" s="239">
        <v>-23807213</v>
      </c>
      <c r="BG84" s="239">
        <v>0</v>
      </c>
      <c r="BH84" s="239">
        <v>-23807213</v>
      </c>
      <c r="BI84" s="239">
        <v>-48456</v>
      </c>
      <c r="BJ84" s="239">
        <v>0</v>
      </c>
      <c r="BK84" s="239">
        <v>-48456</v>
      </c>
      <c r="BL84" s="239">
        <v>416913</v>
      </c>
      <c r="BM84" s="239">
        <v>0</v>
      </c>
      <c r="BN84" s="239">
        <v>416913</v>
      </c>
      <c r="BO84" s="239">
        <v>-4602896</v>
      </c>
      <c r="BP84" s="239">
        <v>0</v>
      </c>
      <c r="BQ84" s="239">
        <v>-4602896</v>
      </c>
      <c r="BR84" s="239">
        <v>320</v>
      </c>
      <c r="BS84" s="239">
        <v>0</v>
      </c>
      <c r="BT84" s="239">
        <v>320</v>
      </c>
      <c r="BU84" s="239">
        <v>-4234119</v>
      </c>
      <c r="BV84" s="239">
        <v>0</v>
      </c>
      <c r="BW84" s="239">
        <v>-4234119</v>
      </c>
      <c r="BX84" s="239">
        <v>-649926</v>
      </c>
      <c r="BY84" s="239">
        <v>0</v>
      </c>
      <c r="BZ84" s="239">
        <v>-649926</v>
      </c>
      <c r="CA84" s="239">
        <v>-11439</v>
      </c>
      <c r="CB84" s="239">
        <v>0</v>
      </c>
      <c r="CC84" s="239">
        <v>-11439</v>
      </c>
      <c r="CD84" s="239">
        <v>-204107</v>
      </c>
      <c r="CE84" s="239">
        <v>0</v>
      </c>
      <c r="CF84" s="239">
        <v>-204107</v>
      </c>
      <c r="CG84" s="239">
        <v>-12180</v>
      </c>
      <c r="CH84" s="239">
        <v>0</v>
      </c>
      <c r="CI84" s="239">
        <v>-12180</v>
      </c>
      <c r="CJ84" s="239">
        <v>0</v>
      </c>
      <c r="CK84" s="239">
        <v>0</v>
      </c>
      <c r="CL84" s="239">
        <v>0</v>
      </c>
      <c r="CM84" s="239">
        <v>0</v>
      </c>
      <c r="CN84" s="239">
        <v>0</v>
      </c>
      <c r="CO84" s="239">
        <v>0</v>
      </c>
      <c r="CP84" s="239">
        <v>0</v>
      </c>
      <c r="CQ84" s="239">
        <v>0</v>
      </c>
      <c r="CR84" s="239">
        <v>0</v>
      </c>
      <c r="CS84" s="239">
        <v>-3393</v>
      </c>
      <c r="CT84" s="239">
        <v>0</v>
      </c>
      <c r="CU84" s="239">
        <v>-3393</v>
      </c>
      <c r="CV84" s="239">
        <v>-2233</v>
      </c>
      <c r="CW84" s="239">
        <v>0</v>
      </c>
      <c r="CX84" s="239">
        <v>-2233</v>
      </c>
      <c r="CY84" s="239">
        <v>0</v>
      </c>
      <c r="CZ84" s="239">
        <v>0</v>
      </c>
      <c r="DA84" s="239">
        <v>0</v>
      </c>
      <c r="DB84" s="239">
        <v>0</v>
      </c>
      <c r="DC84" s="239">
        <v>0</v>
      </c>
      <c r="DD84" s="239">
        <v>0</v>
      </c>
      <c r="DE84" s="239">
        <v>0</v>
      </c>
      <c r="DF84" s="239">
        <v>0</v>
      </c>
      <c r="DG84" s="239">
        <v>0</v>
      </c>
      <c r="DH84" s="239">
        <v>0</v>
      </c>
      <c r="DI84" s="239">
        <v>0</v>
      </c>
      <c r="DJ84" s="239">
        <v>-883278</v>
      </c>
      <c r="DK84" s="239">
        <v>0</v>
      </c>
      <c r="DL84" s="239">
        <v>-883278</v>
      </c>
      <c r="DM84" s="239">
        <v>-2306</v>
      </c>
      <c r="DN84" s="239">
        <v>0</v>
      </c>
      <c r="DO84" s="239">
        <v>-2306</v>
      </c>
      <c r="DP84" s="239">
        <v>10637</v>
      </c>
      <c r="DQ84" s="239">
        <v>0</v>
      </c>
      <c r="DR84" s="239">
        <v>10637</v>
      </c>
      <c r="DS84" s="239">
        <v>-4837</v>
      </c>
      <c r="DT84" s="239">
        <v>0</v>
      </c>
      <c r="DU84" s="239">
        <v>-4837</v>
      </c>
      <c r="DV84" s="239">
        <v>172</v>
      </c>
      <c r="DW84" s="239">
        <v>0</v>
      </c>
      <c r="DX84" s="239">
        <v>172</v>
      </c>
      <c r="DY84" s="239">
        <v>13153</v>
      </c>
      <c r="DZ84" s="239">
        <v>0</v>
      </c>
      <c r="EA84" s="239">
        <v>13153</v>
      </c>
      <c r="EB84" s="239">
        <v>0</v>
      </c>
      <c r="EC84" s="239">
        <v>0</v>
      </c>
      <c r="ED84" s="239">
        <v>0</v>
      </c>
      <c r="EE84" s="239">
        <v>0</v>
      </c>
      <c r="EF84" s="239">
        <v>0</v>
      </c>
      <c r="EG84" s="239">
        <v>0</v>
      </c>
      <c r="EH84" s="239">
        <v>1313</v>
      </c>
      <c r="EI84" s="239">
        <v>0</v>
      </c>
      <c r="EJ84" s="239">
        <v>1313</v>
      </c>
      <c r="EK84" s="239">
        <v>-88352</v>
      </c>
      <c r="EL84" s="239">
        <v>0</v>
      </c>
      <c r="EM84" s="239">
        <v>-88352</v>
      </c>
      <c r="EN84" s="239">
        <v>-1500</v>
      </c>
      <c r="EO84" s="239">
        <v>0</v>
      </c>
      <c r="EP84" s="239">
        <v>-1500</v>
      </c>
      <c r="EQ84" s="239">
        <v>-85215</v>
      </c>
      <c r="ER84" s="239">
        <v>0</v>
      </c>
      <c r="ES84" s="239">
        <v>-85215</v>
      </c>
      <c r="ET84" s="239">
        <v>-669427</v>
      </c>
      <c r="EU84" s="239">
        <v>0</v>
      </c>
      <c r="EV84" s="239">
        <v>-669427</v>
      </c>
      <c r="EW84" s="239">
        <v>-178574</v>
      </c>
      <c r="EX84" s="239">
        <v>0</v>
      </c>
      <c r="EY84" s="239">
        <v>-178574</v>
      </c>
      <c r="EZ84" s="239">
        <v>-1004936</v>
      </c>
      <c r="FA84" s="239">
        <v>0</v>
      </c>
      <c r="FB84" s="239">
        <v>-1004936</v>
      </c>
      <c r="FC84" s="239">
        <v>-61695</v>
      </c>
      <c r="FD84" s="239">
        <v>0</v>
      </c>
      <c r="FE84" s="239">
        <v>-61695</v>
      </c>
      <c r="FF84" s="239">
        <v>-14786</v>
      </c>
      <c r="FG84" s="239">
        <v>0</v>
      </c>
      <c r="FH84" s="239">
        <v>-14786</v>
      </c>
      <c r="FI84" s="239">
        <v>-76481</v>
      </c>
      <c r="FJ84" s="239">
        <v>0</v>
      </c>
      <c r="FK84" s="239">
        <v>-76481</v>
      </c>
      <c r="FL84" s="239">
        <v>139472054</v>
      </c>
      <c r="FM84" s="239">
        <v>0</v>
      </c>
      <c r="FN84" s="239">
        <v>139472054</v>
      </c>
      <c r="FO84" s="239">
        <v>4674501</v>
      </c>
      <c r="FP84" s="239">
        <v>0</v>
      </c>
      <c r="FQ84" s="239">
        <v>4674501</v>
      </c>
      <c r="FR84" s="239">
        <v>-23807213</v>
      </c>
      <c r="FS84" s="239">
        <v>0</v>
      </c>
      <c r="FT84" s="239">
        <v>-23807213</v>
      </c>
      <c r="FU84" s="239">
        <v>-4234119</v>
      </c>
      <c r="FV84" s="239">
        <v>0</v>
      </c>
      <c r="FW84" s="239">
        <v>-4234119</v>
      </c>
      <c r="FX84" s="239">
        <v>-883278</v>
      </c>
      <c r="FY84" s="239">
        <v>0</v>
      </c>
      <c r="FZ84" s="239">
        <v>-883278</v>
      </c>
      <c r="GA84" s="239">
        <v>-1004936</v>
      </c>
      <c r="GB84" s="239">
        <v>0</v>
      </c>
      <c r="GC84" s="239">
        <v>-1004936</v>
      </c>
      <c r="GD84" s="239">
        <v>-76481</v>
      </c>
      <c r="GE84" s="239">
        <v>0</v>
      </c>
      <c r="GF84" s="239">
        <v>-76481</v>
      </c>
      <c r="GG84" s="239">
        <v>-25331526</v>
      </c>
      <c r="GH84" s="239">
        <v>0</v>
      </c>
      <c r="GI84" s="239">
        <v>-25331526</v>
      </c>
      <c r="GJ84" s="239">
        <v>114140528</v>
      </c>
      <c r="GK84" s="239">
        <v>0</v>
      </c>
      <c r="GL84" s="239">
        <v>114140528</v>
      </c>
      <c r="GM84" s="214" t="s">
        <v>746</v>
      </c>
    </row>
    <row r="85" spans="1:195" s="214" customFormat="1" x14ac:dyDescent="0.2">
      <c r="B85" s="602" t="s">
        <v>253</v>
      </c>
      <c r="C85" s="602" t="s">
        <v>252</v>
      </c>
      <c r="D85" s="239">
        <v>-10568695</v>
      </c>
      <c r="E85" s="239">
        <v>0</v>
      </c>
      <c r="F85" s="239">
        <v>-10568695</v>
      </c>
      <c r="G85" s="239">
        <v>-155270</v>
      </c>
      <c r="H85" s="239">
        <v>0</v>
      </c>
      <c r="I85" s="239">
        <v>-155270</v>
      </c>
      <c r="J85" s="239">
        <v>4862862</v>
      </c>
      <c r="K85" s="239">
        <v>0</v>
      </c>
      <c r="L85" s="239">
        <v>4862862</v>
      </c>
      <c r="M85" s="239">
        <v>21838</v>
      </c>
      <c r="N85" s="239">
        <v>0</v>
      </c>
      <c r="O85" s="239">
        <v>21838</v>
      </c>
      <c r="P85" s="239">
        <v>-5839265</v>
      </c>
      <c r="Q85" s="239">
        <v>0</v>
      </c>
      <c r="R85" s="239">
        <v>-5839265</v>
      </c>
      <c r="S85" s="239">
        <v>-8156039</v>
      </c>
      <c r="T85" s="239">
        <v>0</v>
      </c>
      <c r="U85" s="239">
        <v>-8156039</v>
      </c>
      <c r="V85" s="239">
        <v>-30618</v>
      </c>
      <c r="W85" s="239">
        <v>0</v>
      </c>
      <c r="X85" s="239">
        <v>-30618</v>
      </c>
      <c r="Y85" s="239">
        <v>-394535</v>
      </c>
      <c r="Z85" s="239">
        <v>0</v>
      </c>
      <c r="AA85" s="239">
        <v>-394535</v>
      </c>
      <c r="AB85" s="239">
        <v>-340347</v>
      </c>
      <c r="AC85" s="239">
        <v>0</v>
      </c>
      <c r="AD85" s="239">
        <v>-340347</v>
      </c>
      <c r="AE85" s="239">
        <v>368</v>
      </c>
      <c r="AF85" s="239">
        <v>0</v>
      </c>
      <c r="AG85" s="239">
        <v>368</v>
      </c>
      <c r="AH85" s="239">
        <v>3710725</v>
      </c>
      <c r="AI85" s="239">
        <v>0</v>
      </c>
      <c r="AJ85" s="239">
        <v>3710725</v>
      </c>
      <c r="AK85" s="239">
        <v>29858</v>
      </c>
      <c r="AL85" s="239">
        <v>0</v>
      </c>
      <c r="AM85" s="239">
        <v>29858</v>
      </c>
      <c r="AN85" s="239">
        <v>-8232441</v>
      </c>
      <c r="AO85" s="239">
        <v>0</v>
      </c>
      <c r="AP85" s="239">
        <v>-8232441</v>
      </c>
      <c r="AQ85" s="239">
        <v>-707883</v>
      </c>
      <c r="AR85" s="239">
        <v>0</v>
      </c>
      <c r="AS85" s="239">
        <v>-707883</v>
      </c>
      <c r="AT85" s="239">
        <v>-72467</v>
      </c>
      <c r="AU85" s="239">
        <v>0</v>
      </c>
      <c r="AV85" s="239">
        <v>-72467</v>
      </c>
      <c r="AW85" s="239">
        <v>-2231</v>
      </c>
      <c r="AX85" s="239">
        <v>0</v>
      </c>
      <c r="AY85" s="239">
        <v>-2231</v>
      </c>
      <c r="AZ85" s="239">
        <v>0</v>
      </c>
      <c r="BA85" s="239">
        <v>0</v>
      </c>
      <c r="BB85" s="239">
        <v>0</v>
      </c>
      <c r="BC85" s="239">
        <v>0</v>
      </c>
      <c r="BD85" s="239">
        <v>0</v>
      </c>
      <c r="BE85" s="239">
        <v>0</v>
      </c>
      <c r="BF85" s="239">
        <v>-13825013</v>
      </c>
      <c r="BG85" s="239">
        <v>0</v>
      </c>
      <c r="BH85" s="239">
        <v>-13825013</v>
      </c>
      <c r="BI85" s="239">
        <v>-2657</v>
      </c>
      <c r="BJ85" s="239">
        <v>0</v>
      </c>
      <c r="BK85" s="239">
        <v>-2657</v>
      </c>
      <c r="BL85" s="239">
        <v>9277</v>
      </c>
      <c r="BM85" s="239">
        <v>0</v>
      </c>
      <c r="BN85" s="239">
        <v>9277</v>
      </c>
      <c r="BO85" s="239">
        <v>-5612470</v>
      </c>
      <c r="BP85" s="239">
        <v>0</v>
      </c>
      <c r="BQ85" s="239">
        <v>-5612470</v>
      </c>
      <c r="BR85" s="239">
        <v>-786133</v>
      </c>
      <c r="BS85" s="239">
        <v>0</v>
      </c>
      <c r="BT85" s="239">
        <v>-786133</v>
      </c>
      <c r="BU85" s="239">
        <v>-6391983</v>
      </c>
      <c r="BV85" s="239">
        <v>0</v>
      </c>
      <c r="BW85" s="239">
        <v>-6391983</v>
      </c>
      <c r="BX85" s="239">
        <v>-176558</v>
      </c>
      <c r="BY85" s="239">
        <v>0</v>
      </c>
      <c r="BZ85" s="239">
        <v>-176558</v>
      </c>
      <c r="CA85" s="239">
        <v>-18940</v>
      </c>
      <c r="CB85" s="239">
        <v>0</v>
      </c>
      <c r="CC85" s="239">
        <v>-18940</v>
      </c>
      <c r="CD85" s="239">
        <v>-314542</v>
      </c>
      <c r="CE85" s="239">
        <v>0</v>
      </c>
      <c r="CF85" s="239">
        <v>-314542</v>
      </c>
      <c r="CG85" s="239">
        <v>60222</v>
      </c>
      <c r="CH85" s="239">
        <v>0</v>
      </c>
      <c r="CI85" s="239">
        <v>60222</v>
      </c>
      <c r="CJ85" s="239">
        <v>0</v>
      </c>
      <c r="CK85" s="239">
        <v>0</v>
      </c>
      <c r="CL85" s="239">
        <v>0</v>
      </c>
      <c r="CM85" s="239">
        <v>0</v>
      </c>
      <c r="CN85" s="239">
        <v>0</v>
      </c>
      <c r="CO85" s="239">
        <v>0</v>
      </c>
      <c r="CP85" s="239">
        <v>0</v>
      </c>
      <c r="CQ85" s="239">
        <v>0</v>
      </c>
      <c r="CR85" s="239">
        <v>0</v>
      </c>
      <c r="CS85" s="239">
        <v>0</v>
      </c>
      <c r="CT85" s="239">
        <v>0</v>
      </c>
      <c r="CU85" s="239">
        <v>0</v>
      </c>
      <c r="CV85" s="239">
        <v>0</v>
      </c>
      <c r="CW85" s="239">
        <v>0</v>
      </c>
      <c r="CX85" s="239">
        <v>0</v>
      </c>
      <c r="CY85" s="239">
        <v>0</v>
      </c>
      <c r="CZ85" s="239">
        <v>0</v>
      </c>
      <c r="DA85" s="239">
        <v>0</v>
      </c>
      <c r="DB85" s="239">
        <v>-100</v>
      </c>
      <c r="DC85" s="239">
        <v>0</v>
      </c>
      <c r="DD85" s="239">
        <v>-100</v>
      </c>
      <c r="DE85" s="239">
        <v>0</v>
      </c>
      <c r="DF85" s="239">
        <v>0</v>
      </c>
      <c r="DG85" s="239">
        <v>0</v>
      </c>
      <c r="DH85" s="239">
        <v>0</v>
      </c>
      <c r="DI85" s="239">
        <v>0</v>
      </c>
      <c r="DJ85" s="239">
        <v>-449918</v>
      </c>
      <c r="DK85" s="239">
        <v>0</v>
      </c>
      <c r="DL85" s="239">
        <v>-449918</v>
      </c>
      <c r="DM85" s="239">
        <v>-24573</v>
      </c>
      <c r="DN85" s="239">
        <v>0</v>
      </c>
      <c r="DO85" s="239">
        <v>-24573</v>
      </c>
      <c r="DP85" s="239">
        <v>66853</v>
      </c>
      <c r="DQ85" s="239">
        <v>0</v>
      </c>
      <c r="DR85" s="239">
        <v>66853</v>
      </c>
      <c r="DS85" s="239">
        <v>-1434</v>
      </c>
      <c r="DT85" s="239">
        <v>0</v>
      </c>
      <c r="DU85" s="239">
        <v>-1434</v>
      </c>
      <c r="DV85" s="239">
        <v>1528</v>
      </c>
      <c r="DW85" s="239">
        <v>0</v>
      </c>
      <c r="DX85" s="239">
        <v>1528</v>
      </c>
      <c r="DY85" s="239">
        <v>19765</v>
      </c>
      <c r="DZ85" s="239">
        <v>0</v>
      </c>
      <c r="EA85" s="239">
        <v>19765</v>
      </c>
      <c r="EB85" s="239">
        <v>0</v>
      </c>
      <c r="EC85" s="239">
        <v>0</v>
      </c>
      <c r="ED85" s="239">
        <v>0</v>
      </c>
      <c r="EE85" s="239">
        <v>0</v>
      </c>
      <c r="EF85" s="239">
        <v>0</v>
      </c>
      <c r="EG85" s="239">
        <v>0</v>
      </c>
      <c r="EH85" s="239">
        <v>0</v>
      </c>
      <c r="EI85" s="239">
        <v>0</v>
      </c>
      <c r="EJ85" s="239">
        <v>0</v>
      </c>
      <c r="EK85" s="239">
        <v>0</v>
      </c>
      <c r="EL85" s="239">
        <v>0</v>
      </c>
      <c r="EM85" s="239">
        <v>0</v>
      </c>
      <c r="EN85" s="239">
        <v>0</v>
      </c>
      <c r="EO85" s="239">
        <v>0</v>
      </c>
      <c r="EP85" s="239">
        <v>0</v>
      </c>
      <c r="EQ85" s="239">
        <v>-203425</v>
      </c>
      <c r="ER85" s="239">
        <v>0</v>
      </c>
      <c r="ES85" s="239">
        <v>-203425</v>
      </c>
      <c r="ET85" s="239">
        <v>-1479700</v>
      </c>
      <c r="EU85" s="239">
        <v>0</v>
      </c>
      <c r="EV85" s="239">
        <v>-1479700</v>
      </c>
      <c r="EW85" s="239">
        <v>-32816</v>
      </c>
      <c r="EX85" s="239">
        <v>0</v>
      </c>
      <c r="EY85" s="239">
        <v>-32816</v>
      </c>
      <c r="EZ85" s="239">
        <v>-1653802</v>
      </c>
      <c r="FA85" s="239">
        <v>0</v>
      </c>
      <c r="FB85" s="239">
        <v>-1653802</v>
      </c>
      <c r="FC85" s="239">
        <v>0</v>
      </c>
      <c r="FD85" s="239">
        <v>0</v>
      </c>
      <c r="FE85" s="239">
        <v>0</v>
      </c>
      <c r="FF85" s="239">
        <v>33</v>
      </c>
      <c r="FG85" s="239">
        <v>0</v>
      </c>
      <c r="FH85" s="239">
        <v>33</v>
      </c>
      <c r="FI85" s="239">
        <v>33</v>
      </c>
      <c r="FJ85" s="239">
        <v>0</v>
      </c>
      <c r="FK85" s="239">
        <v>33</v>
      </c>
      <c r="FL85" s="239">
        <v>178735761</v>
      </c>
      <c r="FM85" s="239">
        <v>0</v>
      </c>
      <c r="FN85" s="239">
        <v>178735761</v>
      </c>
      <c r="FO85" s="239">
        <v>-5839265</v>
      </c>
      <c r="FP85" s="239">
        <v>0</v>
      </c>
      <c r="FQ85" s="239">
        <v>-5839265</v>
      </c>
      <c r="FR85" s="239">
        <v>-13825013</v>
      </c>
      <c r="FS85" s="239">
        <v>0</v>
      </c>
      <c r="FT85" s="239">
        <v>-13825013</v>
      </c>
      <c r="FU85" s="239">
        <v>-6391983</v>
      </c>
      <c r="FV85" s="239">
        <v>0</v>
      </c>
      <c r="FW85" s="239">
        <v>-6391983</v>
      </c>
      <c r="FX85" s="239">
        <v>-449918</v>
      </c>
      <c r="FY85" s="239">
        <v>0</v>
      </c>
      <c r="FZ85" s="239">
        <v>-449918</v>
      </c>
      <c r="GA85" s="239">
        <v>-1653802</v>
      </c>
      <c r="GB85" s="239">
        <v>0</v>
      </c>
      <c r="GC85" s="239">
        <v>-1653802</v>
      </c>
      <c r="GD85" s="239">
        <v>33</v>
      </c>
      <c r="GE85" s="239">
        <v>0</v>
      </c>
      <c r="GF85" s="239">
        <v>33</v>
      </c>
      <c r="GG85" s="239">
        <v>-28159948</v>
      </c>
      <c r="GH85" s="239">
        <v>0</v>
      </c>
      <c r="GI85" s="239">
        <v>-28159948</v>
      </c>
      <c r="GJ85" s="239">
        <v>150575813</v>
      </c>
      <c r="GK85" s="239">
        <v>0</v>
      </c>
      <c r="GL85" s="239">
        <v>150575813</v>
      </c>
      <c r="GM85" s="214" t="s">
        <v>1159</v>
      </c>
    </row>
    <row r="86" spans="1:195" s="214" customFormat="1" x14ac:dyDescent="0.2">
      <c r="B86" s="602" t="s">
        <v>255</v>
      </c>
      <c r="C86" s="602" t="s">
        <v>254</v>
      </c>
      <c r="D86" s="239">
        <v>-1350008</v>
      </c>
      <c r="E86" s="239">
        <v>0</v>
      </c>
      <c r="F86" s="239">
        <v>-1350008</v>
      </c>
      <c r="G86" s="239">
        <v>-14156</v>
      </c>
      <c r="H86" s="239">
        <v>0</v>
      </c>
      <c r="I86" s="239">
        <v>-14156</v>
      </c>
      <c r="J86" s="239">
        <v>486079</v>
      </c>
      <c r="K86" s="239">
        <v>0</v>
      </c>
      <c r="L86" s="239">
        <v>486079</v>
      </c>
      <c r="M86" s="239">
        <v>6423</v>
      </c>
      <c r="N86" s="239">
        <v>0</v>
      </c>
      <c r="O86" s="239">
        <v>6423</v>
      </c>
      <c r="P86" s="239">
        <v>-871662</v>
      </c>
      <c r="Q86" s="239">
        <v>0</v>
      </c>
      <c r="R86" s="239">
        <v>-871662</v>
      </c>
      <c r="S86" s="239">
        <v>-2368805</v>
      </c>
      <c r="T86" s="239">
        <v>0</v>
      </c>
      <c r="U86" s="239">
        <v>-2368805</v>
      </c>
      <c r="V86" s="239">
        <v>0</v>
      </c>
      <c r="W86" s="239">
        <v>0</v>
      </c>
      <c r="X86" s="239">
        <v>0</v>
      </c>
      <c r="Y86" s="239">
        <v>-57474</v>
      </c>
      <c r="Z86" s="239">
        <v>0</v>
      </c>
      <c r="AA86" s="239">
        <v>-57474</v>
      </c>
      <c r="AB86" s="239">
        <v>-57474</v>
      </c>
      <c r="AC86" s="239">
        <v>0</v>
      </c>
      <c r="AD86" s="239">
        <v>-57474</v>
      </c>
      <c r="AE86" s="239">
        <v>0</v>
      </c>
      <c r="AF86" s="239">
        <v>0</v>
      </c>
      <c r="AG86" s="239">
        <v>0</v>
      </c>
      <c r="AH86" s="239">
        <v>426938</v>
      </c>
      <c r="AI86" s="239">
        <v>6097</v>
      </c>
      <c r="AJ86" s="239">
        <v>433035</v>
      </c>
      <c r="AK86" s="239">
        <v>15644</v>
      </c>
      <c r="AL86" s="239">
        <v>-343</v>
      </c>
      <c r="AM86" s="239">
        <v>15301</v>
      </c>
      <c r="AN86" s="239">
        <v>-1817060</v>
      </c>
      <c r="AO86" s="239">
        <v>0</v>
      </c>
      <c r="AP86" s="239">
        <v>-1817060</v>
      </c>
      <c r="AQ86" s="239">
        <v>-4810</v>
      </c>
      <c r="AR86" s="239">
        <v>0</v>
      </c>
      <c r="AS86" s="239">
        <v>-4810</v>
      </c>
      <c r="AT86" s="239">
        <v>-22935</v>
      </c>
      <c r="AU86" s="239">
        <v>0</v>
      </c>
      <c r="AV86" s="239">
        <v>-22935</v>
      </c>
      <c r="AW86" s="239">
        <v>0</v>
      </c>
      <c r="AX86" s="239">
        <v>0</v>
      </c>
      <c r="AY86" s="239">
        <v>0</v>
      </c>
      <c r="AZ86" s="239">
        <v>-29473</v>
      </c>
      <c r="BA86" s="239">
        <v>0</v>
      </c>
      <c r="BB86" s="239">
        <v>-29473</v>
      </c>
      <c r="BC86" s="239">
        <v>0</v>
      </c>
      <c r="BD86" s="239">
        <v>0</v>
      </c>
      <c r="BE86" s="239">
        <v>0</v>
      </c>
      <c r="BF86" s="239">
        <v>-3857975</v>
      </c>
      <c r="BG86" s="239">
        <v>5754</v>
      </c>
      <c r="BH86" s="239">
        <v>-3852221</v>
      </c>
      <c r="BI86" s="239">
        <v>0</v>
      </c>
      <c r="BJ86" s="239">
        <v>0</v>
      </c>
      <c r="BK86" s="239">
        <v>0</v>
      </c>
      <c r="BL86" s="239">
        <v>0</v>
      </c>
      <c r="BM86" s="239">
        <v>0</v>
      </c>
      <c r="BN86" s="239">
        <v>0</v>
      </c>
      <c r="BO86" s="239">
        <v>-441899</v>
      </c>
      <c r="BP86" s="239">
        <v>0</v>
      </c>
      <c r="BQ86" s="239">
        <v>-441899</v>
      </c>
      <c r="BR86" s="239">
        <v>30730</v>
      </c>
      <c r="BS86" s="239">
        <v>0</v>
      </c>
      <c r="BT86" s="239">
        <v>30730</v>
      </c>
      <c r="BU86" s="239">
        <v>-411169</v>
      </c>
      <c r="BV86" s="239">
        <v>0</v>
      </c>
      <c r="BW86" s="239">
        <v>-411169</v>
      </c>
      <c r="BX86" s="239">
        <v>-32140</v>
      </c>
      <c r="BY86" s="239">
        <v>0</v>
      </c>
      <c r="BZ86" s="239">
        <v>-32140</v>
      </c>
      <c r="CA86" s="239">
        <v>183</v>
      </c>
      <c r="CB86" s="239">
        <v>0</v>
      </c>
      <c r="CC86" s="239">
        <v>183</v>
      </c>
      <c r="CD86" s="239">
        <v>-6000</v>
      </c>
      <c r="CE86" s="239">
        <v>0</v>
      </c>
      <c r="CF86" s="239">
        <v>-6000</v>
      </c>
      <c r="CG86" s="239">
        <v>0</v>
      </c>
      <c r="CH86" s="239">
        <v>0</v>
      </c>
      <c r="CI86" s="239">
        <v>0</v>
      </c>
      <c r="CJ86" s="239">
        <v>-4788</v>
      </c>
      <c r="CK86" s="239">
        <v>0</v>
      </c>
      <c r="CL86" s="239">
        <v>-4788</v>
      </c>
      <c r="CM86" s="239">
        <v>0</v>
      </c>
      <c r="CN86" s="239">
        <v>0</v>
      </c>
      <c r="CO86" s="239">
        <v>0</v>
      </c>
      <c r="CP86" s="239">
        <v>0</v>
      </c>
      <c r="CQ86" s="239">
        <v>0</v>
      </c>
      <c r="CR86" s="239">
        <v>0</v>
      </c>
      <c r="CS86" s="239">
        <v>0</v>
      </c>
      <c r="CT86" s="239">
        <v>0</v>
      </c>
      <c r="CU86" s="239">
        <v>0</v>
      </c>
      <c r="CV86" s="239">
        <v>0</v>
      </c>
      <c r="CW86" s="239">
        <v>0</v>
      </c>
      <c r="CX86" s="239">
        <v>0</v>
      </c>
      <c r="CY86" s="239">
        <v>0</v>
      </c>
      <c r="CZ86" s="239">
        <v>0</v>
      </c>
      <c r="DA86" s="239">
        <v>0</v>
      </c>
      <c r="DB86" s="239">
        <v>-2388</v>
      </c>
      <c r="DC86" s="239">
        <v>-32812</v>
      </c>
      <c r="DD86" s="239">
        <v>-35200</v>
      </c>
      <c r="DE86" s="239">
        <v>-7591</v>
      </c>
      <c r="DF86" s="239">
        <v>-8602</v>
      </c>
      <c r="DG86" s="239">
        <v>-16193</v>
      </c>
      <c r="DH86" s="239">
        <v>-41414</v>
      </c>
      <c r="DI86" s="239">
        <v>0</v>
      </c>
      <c r="DJ86" s="239">
        <v>-52724</v>
      </c>
      <c r="DK86" s="239">
        <v>-41414</v>
      </c>
      <c r="DL86" s="239">
        <v>-94138</v>
      </c>
      <c r="DM86" s="239">
        <v>0</v>
      </c>
      <c r="DN86" s="239">
        <v>0</v>
      </c>
      <c r="DO86" s="239">
        <v>0</v>
      </c>
      <c r="DP86" s="239">
        <v>1865</v>
      </c>
      <c r="DQ86" s="239">
        <v>0</v>
      </c>
      <c r="DR86" s="239">
        <v>1865</v>
      </c>
      <c r="DS86" s="239">
        <v>0</v>
      </c>
      <c r="DT86" s="239">
        <v>0</v>
      </c>
      <c r="DU86" s="239">
        <v>0</v>
      </c>
      <c r="DV86" s="239">
        <v>0</v>
      </c>
      <c r="DW86" s="239">
        <v>0</v>
      </c>
      <c r="DX86" s="239">
        <v>0</v>
      </c>
      <c r="DY86" s="239">
        <v>2062</v>
      </c>
      <c r="DZ86" s="239">
        <v>0</v>
      </c>
      <c r="EA86" s="239">
        <v>2062</v>
      </c>
      <c r="EB86" s="239">
        <v>0</v>
      </c>
      <c r="EC86" s="239">
        <v>0</v>
      </c>
      <c r="ED86" s="239">
        <v>0</v>
      </c>
      <c r="EE86" s="239">
        <v>0</v>
      </c>
      <c r="EF86" s="239">
        <v>0</v>
      </c>
      <c r="EG86" s="239">
        <v>0</v>
      </c>
      <c r="EH86" s="239">
        <v>0</v>
      </c>
      <c r="EI86" s="239">
        <v>0</v>
      </c>
      <c r="EJ86" s="239">
        <v>0</v>
      </c>
      <c r="EK86" s="239">
        <v>-28549</v>
      </c>
      <c r="EL86" s="239">
        <v>0</v>
      </c>
      <c r="EM86" s="239">
        <v>-28549</v>
      </c>
      <c r="EN86" s="239">
        <v>0</v>
      </c>
      <c r="EO86" s="239">
        <v>0</v>
      </c>
      <c r="EP86" s="239">
        <v>0</v>
      </c>
      <c r="EQ86" s="239">
        <v>-36040</v>
      </c>
      <c r="ER86" s="239">
        <v>0</v>
      </c>
      <c r="ES86" s="239">
        <v>-36040</v>
      </c>
      <c r="ET86" s="239">
        <v>-77101</v>
      </c>
      <c r="EU86" s="239">
        <v>0</v>
      </c>
      <c r="EV86" s="239">
        <v>-77101</v>
      </c>
      <c r="EW86" s="239">
        <v>-35202</v>
      </c>
      <c r="EX86" s="239">
        <v>0</v>
      </c>
      <c r="EY86" s="239">
        <v>-35202</v>
      </c>
      <c r="EZ86" s="239">
        <v>-172965</v>
      </c>
      <c r="FA86" s="239">
        <v>0</v>
      </c>
      <c r="FB86" s="239">
        <v>-172965</v>
      </c>
      <c r="FC86" s="239">
        <v>-44262</v>
      </c>
      <c r="FD86" s="239">
        <v>0</v>
      </c>
      <c r="FE86" s="239">
        <v>-44262</v>
      </c>
      <c r="FF86" s="239">
        <v>2217</v>
      </c>
      <c r="FG86" s="239">
        <v>0</v>
      </c>
      <c r="FH86" s="239">
        <v>2217</v>
      </c>
      <c r="FI86" s="239">
        <v>-42045</v>
      </c>
      <c r="FJ86" s="239">
        <v>0</v>
      </c>
      <c r="FK86" s="239">
        <v>-42045</v>
      </c>
      <c r="FL86" s="239">
        <v>26303870</v>
      </c>
      <c r="FM86" s="239">
        <v>205876</v>
      </c>
      <c r="FN86" s="239">
        <v>26509746</v>
      </c>
      <c r="FO86" s="239">
        <v>-871662</v>
      </c>
      <c r="FP86" s="239">
        <v>0</v>
      </c>
      <c r="FQ86" s="239">
        <v>-871662</v>
      </c>
      <c r="FR86" s="239">
        <v>-3857975</v>
      </c>
      <c r="FS86" s="239">
        <v>5754</v>
      </c>
      <c r="FT86" s="239">
        <v>-3852221</v>
      </c>
      <c r="FU86" s="239">
        <v>-411169</v>
      </c>
      <c r="FV86" s="239">
        <v>0</v>
      </c>
      <c r="FW86" s="239">
        <v>-411169</v>
      </c>
      <c r="FX86" s="239">
        <v>-52724</v>
      </c>
      <c r="FY86" s="239">
        <v>-41414</v>
      </c>
      <c r="FZ86" s="239">
        <v>-94138</v>
      </c>
      <c r="GA86" s="239">
        <v>-172965</v>
      </c>
      <c r="GB86" s="239">
        <v>0</v>
      </c>
      <c r="GC86" s="239">
        <v>-172965</v>
      </c>
      <c r="GD86" s="239">
        <v>-42045</v>
      </c>
      <c r="GE86" s="239">
        <v>0</v>
      </c>
      <c r="GF86" s="239">
        <v>-42045</v>
      </c>
      <c r="GG86" s="239">
        <v>-5408540</v>
      </c>
      <c r="GH86" s="239">
        <v>-35660</v>
      </c>
      <c r="GI86" s="239">
        <v>-5444200</v>
      </c>
      <c r="GJ86" s="239">
        <v>20895330</v>
      </c>
      <c r="GK86" s="239">
        <v>170216</v>
      </c>
      <c r="GL86" s="239">
        <v>21065546</v>
      </c>
      <c r="GM86" s="214" t="s">
        <v>1158</v>
      </c>
    </row>
    <row r="87" spans="1:195" s="214" customFormat="1" x14ac:dyDescent="0.2">
      <c r="B87" s="602" t="s">
        <v>257</v>
      </c>
      <c r="C87" s="602" t="s">
        <v>256</v>
      </c>
      <c r="D87" s="239">
        <v>-1621465</v>
      </c>
      <c r="E87" s="239">
        <v>0</v>
      </c>
      <c r="F87" s="239">
        <v>-1621465</v>
      </c>
      <c r="G87" s="239">
        <v>18816.96</v>
      </c>
      <c r="H87" s="239">
        <v>0</v>
      </c>
      <c r="I87" s="239">
        <v>18816.96</v>
      </c>
      <c r="J87" s="239">
        <v>1689334</v>
      </c>
      <c r="K87" s="239">
        <v>578</v>
      </c>
      <c r="L87" s="239">
        <v>1689912</v>
      </c>
      <c r="M87" s="239">
        <v>1359</v>
      </c>
      <c r="N87" s="239">
        <v>0</v>
      </c>
      <c r="O87" s="239">
        <v>1359</v>
      </c>
      <c r="P87" s="239">
        <v>88045</v>
      </c>
      <c r="Q87" s="239">
        <v>578</v>
      </c>
      <c r="R87" s="239">
        <v>88623</v>
      </c>
      <c r="S87" s="239">
        <v>-6538518</v>
      </c>
      <c r="T87" s="239">
        <v>-35213</v>
      </c>
      <c r="U87" s="239">
        <v>-6573731</v>
      </c>
      <c r="V87" s="239">
        <v>-17421</v>
      </c>
      <c r="W87" s="239">
        <v>0</v>
      </c>
      <c r="X87" s="239">
        <v>-17421</v>
      </c>
      <c r="Y87" s="239">
        <v>-322737</v>
      </c>
      <c r="Z87" s="239">
        <v>-881</v>
      </c>
      <c r="AA87" s="239">
        <v>-323618</v>
      </c>
      <c r="AB87" s="239">
        <v>-276069</v>
      </c>
      <c r="AC87" s="239">
        <v>0</v>
      </c>
      <c r="AD87" s="239">
        <v>-276069</v>
      </c>
      <c r="AE87" s="239">
        <v>0</v>
      </c>
      <c r="AF87" s="239">
        <v>0</v>
      </c>
      <c r="AG87" s="239">
        <v>0</v>
      </c>
      <c r="AH87" s="239">
        <v>660243</v>
      </c>
      <c r="AI87" s="239">
        <v>15578</v>
      </c>
      <c r="AJ87" s="239">
        <v>675821</v>
      </c>
      <c r="AK87" s="239">
        <v>-16250</v>
      </c>
      <c r="AL87" s="239">
        <v>-333</v>
      </c>
      <c r="AM87" s="239">
        <v>-16583</v>
      </c>
      <c r="AN87" s="239">
        <v>-2733032</v>
      </c>
      <c r="AO87" s="239">
        <v>0</v>
      </c>
      <c r="AP87" s="239">
        <v>-2733032</v>
      </c>
      <c r="AQ87" s="239">
        <v>4186</v>
      </c>
      <c r="AR87" s="239">
        <v>0</v>
      </c>
      <c r="AS87" s="239">
        <v>4186</v>
      </c>
      <c r="AT87" s="239">
        <v>-457954</v>
      </c>
      <c r="AU87" s="239">
        <v>0</v>
      </c>
      <c r="AV87" s="239">
        <v>-457954</v>
      </c>
      <c r="AW87" s="239">
        <v>-4717</v>
      </c>
      <c r="AX87" s="239">
        <v>0</v>
      </c>
      <c r="AY87" s="239">
        <v>-4717</v>
      </c>
      <c r="AZ87" s="239">
        <v>-43999</v>
      </c>
      <c r="BA87" s="239">
        <v>0</v>
      </c>
      <c r="BB87" s="239">
        <v>-43999</v>
      </c>
      <c r="BC87" s="239">
        <v>-32</v>
      </c>
      <c r="BD87" s="239">
        <v>0</v>
      </c>
      <c r="BE87" s="239">
        <v>-32</v>
      </c>
      <c r="BF87" s="239">
        <v>-9452810</v>
      </c>
      <c r="BG87" s="239">
        <v>-20849</v>
      </c>
      <c r="BH87" s="239">
        <v>-9473659</v>
      </c>
      <c r="BI87" s="239">
        <v>0</v>
      </c>
      <c r="BJ87" s="239">
        <v>0</v>
      </c>
      <c r="BK87" s="239">
        <v>0</v>
      </c>
      <c r="BL87" s="239">
        <v>0</v>
      </c>
      <c r="BM87" s="239">
        <v>0</v>
      </c>
      <c r="BN87" s="239">
        <v>0</v>
      </c>
      <c r="BO87" s="239">
        <v>-1117879</v>
      </c>
      <c r="BP87" s="239">
        <v>-14624</v>
      </c>
      <c r="BQ87" s="239">
        <v>-1132503</v>
      </c>
      <c r="BR87" s="239">
        <v>-49042</v>
      </c>
      <c r="BS87" s="239">
        <v>-198</v>
      </c>
      <c r="BT87" s="239">
        <v>-49240</v>
      </c>
      <c r="BU87" s="239">
        <v>-1166921</v>
      </c>
      <c r="BV87" s="239">
        <v>-14822</v>
      </c>
      <c r="BW87" s="239">
        <v>-1181743</v>
      </c>
      <c r="BX87" s="239">
        <v>-126293</v>
      </c>
      <c r="BY87" s="239">
        <v>0</v>
      </c>
      <c r="BZ87" s="239">
        <v>-126293</v>
      </c>
      <c r="CA87" s="239">
        <v>-1213</v>
      </c>
      <c r="CB87" s="239">
        <v>0</v>
      </c>
      <c r="CC87" s="239">
        <v>-1213</v>
      </c>
      <c r="CD87" s="239">
        <v>-363</v>
      </c>
      <c r="CE87" s="239">
        <v>0</v>
      </c>
      <c r="CF87" s="239">
        <v>-363</v>
      </c>
      <c r="CG87" s="239">
        <v>0</v>
      </c>
      <c r="CH87" s="239">
        <v>0</v>
      </c>
      <c r="CI87" s="239">
        <v>0</v>
      </c>
      <c r="CJ87" s="239">
        <v>-82374</v>
      </c>
      <c r="CK87" s="239">
        <v>0</v>
      </c>
      <c r="CL87" s="239">
        <v>-82374</v>
      </c>
      <c r="CM87" s="239">
        <v>110</v>
      </c>
      <c r="CN87" s="239">
        <v>0</v>
      </c>
      <c r="CO87" s="239">
        <v>110</v>
      </c>
      <c r="CP87" s="239">
        <v>0</v>
      </c>
      <c r="CQ87" s="239">
        <v>0</v>
      </c>
      <c r="CR87" s="239">
        <v>0</v>
      </c>
      <c r="CS87" s="239">
        <v>-32</v>
      </c>
      <c r="CT87" s="239">
        <v>0</v>
      </c>
      <c r="CU87" s="239">
        <v>-32</v>
      </c>
      <c r="CV87" s="239">
        <v>0</v>
      </c>
      <c r="CW87" s="239">
        <v>0</v>
      </c>
      <c r="CX87" s="239">
        <v>0</v>
      </c>
      <c r="CY87" s="239">
        <v>0</v>
      </c>
      <c r="CZ87" s="239">
        <v>0</v>
      </c>
      <c r="DA87" s="239">
        <v>0</v>
      </c>
      <c r="DB87" s="239">
        <v>-1519</v>
      </c>
      <c r="DC87" s="239">
        <v>-41726</v>
      </c>
      <c r="DD87" s="239">
        <v>-43245</v>
      </c>
      <c r="DE87" s="239">
        <v>0</v>
      </c>
      <c r="DF87" s="239">
        <v>0</v>
      </c>
      <c r="DG87" s="239">
        <v>0</v>
      </c>
      <c r="DH87" s="239">
        <v>-41726</v>
      </c>
      <c r="DI87" s="239">
        <v>0</v>
      </c>
      <c r="DJ87" s="239">
        <v>-211684</v>
      </c>
      <c r="DK87" s="239">
        <v>-41726</v>
      </c>
      <c r="DL87" s="239">
        <v>-253410</v>
      </c>
      <c r="DM87" s="239">
        <v>-10592</v>
      </c>
      <c r="DN87" s="239">
        <v>0</v>
      </c>
      <c r="DO87" s="239">
        <v>-10592</v>
      </c>
      <c r="DP87" s="239">
        <v>-219</v>
      </c>
      <c r="DQ87" s="239">
        <v>0</v>
      </c>
      <c r="DR87" s="239">
        <v>-219</v>
      </c>
      <c r="DS87" s="239">
        <v>0</v>
      </c>
      <c r="DT87" s="239">
        <v>0</v>
      </c>
      <c r="DU87" s="239">
        <v>0</v>
      </c>
      <c r="DV87" s="239">
        <v>0</v>
      </c>
      <c r="DW87" s="239">
        <v>0</v>
      </c>
      <c r="DX87" s="239">
        <v>0</v>
      </c>
      <c r="DY87" s="239">
        <v>231</v>
      </c>
      <c r="DZ87" s="239">
        <v>0</v>
      </c>
      <c r="EA87" s="239">
        <v>231</v>
      </c>
      <c r="EB87" s="239">
        <v>0</v>
      </c>
      <c r="EC87" s="239">
        <v>0</v>
      </c>
      <c r="ED87" s="239">
        <v>0</v>
      </c>
      <c r="EE87" s="239">
        <v>0</v>
      </c>
      <c r="EF87" s="239">
        <v>0</v>
      </c>
      <c r="EG87" s="239">
        <v>0</v>
      </c>
      <c r="EH87" s="239">
        <v>605</v>
      </c>
      <c r="EI87" s="239">
        <v>0</v>
      </c>
      <c r="EJ87" s="239">
        <v>605</v>
      </c>
      <c r="EK87" s="239">
        <v>-43999</v>
      </c>
      <c r="EL87" s="239">
        <v>0</v>
      </c>
      <c r="EM87" s="239">
        <v>-43999</v>
      </c>
      <c r="EN87" s="239">
        <v>-1500</v>
      </c>
      <c r="EO87" s="239">
        <v>0</v>
      </c>
      <c r="EP87" s="239">
        <v>-1500</v>
      </c>
      <c r="EQ87" s="239">
        <v>-18625</v>
      </c>
      <c r="ER87" s="239">
        <v>0</v>
      </c>
      <c r="ES87" s="239">
        <v>-18625</v>
      </c>
      <c r="ET87" s="239">
        <v>-251621</v>
      </c>
      <c r="EU87" s="239">
        <v>0</v>
      </c>
      <c r="EV87" s="239">
        <v>-251621</v>
      </c>
      <c r="EW87" s="239">
        <v>-61102</v>
      </c>
      <c r="EX87" s="239">
        <v>0</v>
      </c>
      <c r="EY87" s="239">
        <v>-61102</v>
      </c>
      <c r="EZ87" s="239">
        <v>-386822</v>
      </c>
      <c r="FA87" s="239">
        <v>0</v>
      </c>
      <c r="FB87" s="239">
        <v>-386822</v>
      </c>
      <c r="FC87" s="239">
        <v>0</v>
      </c>
      <c r="FD87" s="239">
        <v>0</v>
      </c>
      <c r="FE87" s="239">
        <v>0</v>
      </c>
      <c r="FF87" s="239">
        <v>0</v>
      </c>
      <c r="FG87" s="239">
        <v>0</v>
      </c>
      <c r="FH87" s="239">
        <v>0</v>
      </c>
      <c r="FI87" s="239">
        <v>0</v>
      </c>
      <c r="FJ87" s="239">
        <v>0</v>
      </c>
      <c r="FK87" s="239">
        <v>0</v>
      </c>
      <c r="FL87" s="239">
        <v>43487400</v>
      </c>
      <c r="FM87" s="239">
        <v>686940</v>
      </c>
      <c r="FN87" s="239">
        <v>44174340</v>
      </c>
      <c r="FO87" s="239">
        <v>88045</v>
      </c>
      <c r="FP87" s="239">
        <v>578</v>
      </c>
      <c r="FQ87" s="239">
        <v>88623</v>
      </c>
      <c r="FR87" s="239">
        <v>-9452810</v>
      </c>
      <c r="FS87" s="239">
        <v>-20849</v>
      </c>
      <c r="FT87" s="239">
        <v>-9473659</v>
      </c>
      <c r="FU87" s="239">
        <v>-1166921</v>
      </c>
      <c r="FV87" s="239">
        <v>-14822</v>
      </c>
      <c r="FW87" s="239">
        <v>-1181743</v>
      </c>
      <c r="FX87" s="239">
        <v>-211684</v>
      </c>
      <c r="FY87" s="239">
        <v>-41726</v>
      </c>
      <c r="FZ87" s="239">
        <v>-253410</v>
      </c>
      <c r="GA87" s="239">
        <v>-386822</v>
      </c>
      <c r="GB87" s="239">
        <v>0</v>
      </c>
      <c r="GC87" s="239">
        <v>-386822</v>
      </c>
      <c r="GD87" s="239">
        <v>0</v>
      </c>
      <c r="GE87" s="239">
        <v>0</v>
      </c>
      <c r="GF87" s="239">
        <v>0</v>
      </c>
      <c r="GG87" s="239">
        <v>-11130192</v>
      </c>
      <c r="GH87" s="239">
        <v>-76819</v>
      </c>
      <c r="GI87" s="239">
        <v>-11207011</v>
      </c>
      <c r="GJ87" s="239">
        <v>32357208</v>
      </c>
      <c r="GK87" s="239">
        <v>610121</v>
      </c>
      <c r="GL87" s="239">
        <v>32967329</v>
      </c>
      <c r="GM87" s="214" t="s">
        <v>1158</v>
      </c>
    </row>
    <row r="88" spans="1:195" s="214" customFormat="1" x14ac:dyDescent="0.2">
      <c r="B88" s="602" t="s">
        <v>259</v>
      </c>
      <c r="C88" s="602" t="s">
        <v>258</v>
      </c>
      <c r="D88" s="239">
        <v>-1153427</v>
      </c>
      <c r="E88" s="239">
        <v>0</v>
      </c>
      <c r="F88" s="239">
        <v>-1153427</v>
      </c>
      <c r="G88" s="239">
        <v>4943</v>
      </c>
      <c r="H88" s="239">
        <v>0</v>
      </c>
      <c r="I88" s="239">
        <v>4943</v>
      </c>
      <c r="J88" s="239">
        <v>783464</v>
      </c>
      <c r="K88" s="239">
        <v>0</v>
      </c>
      <c r="L88" s="239">
        <v>783464</v>
      </c>
      <c r="M88" s="239">
        <v>-4161</v>
      </c>
      <c r="N88" s="239">
        <v>0</v>
      </c>
      <c r="O88" s="239">
        <v>-4161</v>
      </c>
      <c r="P88" s="239">
        <v>-369181</v>
      </c>
      <c r="Q88" s="239">
        <v>0</v>
      </c>
      <c r="R88" s="239">
        <v>-369181</v>
      </c>
      <c r="S88" s="239">
        <v>-3192152</v>
      </c>
      <c r="T88" s="239">
        <v>0</v>
      </c>
      <c r="U88" s="239">
        <v>-3192152</v>
      </c>
      <c r="V88" s="239">
        <v>-783</v>
      </c>
      <c r="W88" s="239">
        <v>0</v>
      </c>
      <c r="X88" s="239">
        <v>-783</v>
      </c>
      <c r="Y88" s="239">
        <v>-60231</v>
      </c>
      <c r="Z88" s="239">
        <v>0</v>
      </c>
      <c r="AA88" s="239">
        <v>-60231</v>
      </c>
      <c r="AB88" s="239">
        <v>-59590</v>
      </c>
      <c r="AC88" s="239">
        <v>0</v>
      </c>
      <c r="AD88" s="239">
        <v>-59590</v>
      </c>
      <c r="AE88" s="239">
        <v>850</v>
      </c>
      <c r="AF88" s="239">
        <v>0</v>
      </c>
      <c r="AG88" s="239">
        <v>850</v>
      </c>
      <c r="AH88" s="239">
        <v>435641</v>
      </c>
      <c r="AI88" s="239">
        <v>0</v>
      </c>
      <c r="AJ88" s="239">
        <v>435641</v>
      </c>
      <c r="AK88" s="239">
        <v>-8879</v>
      </c>
      <c r="AL88" s="239">
        <v>0</v>
      </c>
      <c r="AM88" s="239">
        <v>-8879</v>
      </c>
      <c r="AN88" s="239">
        <v>-1434806</v>
      </c>
      <c r="AO88" s="239">
        <v>0</v>
      </c>
      <c r="AP88" s="239">
        <v>-1434806</v>
      </c>
      <c r="AQ88" s="239">
        <v>-7553</v>
      </c>
      <c r="AR88" s="239">
        <v>0</v>
      </c>
      <c r="AS88" s="239">
        <v>-7553</v>
      </c>
      <c r="AT88" s="239">
        <v>-37794</v>
      </c>
      <c r="AU88" s="239">
        <v>0</v>
      </c>
      <c r="AV88" s="239">
        <v>-37794</v>
      </c>
      <c r="AW88" s="239">
        <v>0</v>
      </c>
      <c r="AX88" s="239">
        <v>0</v>
      </c>
      <c r="AY88" s="239">
        <v>0</v>
      </c>
      <c r="AZ88" s="239">
        <v>-11955</v>
      </c>
      <c r="BA88" s="239">
        <v>0</v>
      </c>
      <c r="BB88" s="239">
        <v>-11955</v>
      </c>
      <c r="BC88" s="239">
        <v>0</v>
      </c>
      <c r="BD88" s="239">
        <v>0</v>
      </c>
      <c r="BE88" s="239">
        <v>0</v>
      </c>
      <c r="BF88" s="239">
        <v>-4317729</v>
      </c>
      <c r="BG88" s="239">
        <v>0</v>
      </c>
      <c r="BH88" s="239">
        <v>-4317729</v>
      </c>
      <c r="BI88" s="239">
        <v>-63682</v>
      </c>
      <c r="BJ88" s="239">
        <v>0</v>
      </c>
      <c r="BK88" s="239">
        <v>-63682</v>
      </c>
      <c r="BL88" s="239">
        <v>-3876</v>
      </c>
      <c r="BM88" s="239">
        <v>0</v>
      </c>
      <c r="BN88" s="239">
        <v>-3876</v>
      </c>
      <c r="BO88" s="239">
        <v>-591237</v>
      </c>
      <c r="BP88" s="239">
        <v>0</v>
      </c>
      <c r="BQ88" s="239">
        <v>-591237</v>
      </c>
      <c r="BR88" s="239">
        <v>25216</v>
      </c>
      <c r="BS88" s="239">
        <v>0</v>
      </c>
      <c r="BT88" s="239">
        <v>25216</v>
      </c>
      <c r="BU88" s="239">
        <v>-633579</v>
      </c>
      <c r="BV88" s="239">
        <v>0</v>
      </c>
      <c r="BW88" s="239">
        <v>-633579</v>
      </c>
      <c r="BX88" s="239">
        <v>-27255</v>
      </c>
      <c r="BY88" s="239">
        <v>0</v>
      </c>
      <c r="BZ88" s="239">
        <v>-27255</v>
      </c>
      <c r="CA88" s="239">
        <v>0</v>
      </c>
      <c r="CB88" s="239">
        <v>0</v>
      </c>
      <c r="CC88" s="239">
        <v>0</v>
      </c>
      <c r="CD88" s="239">
        <v>-7786</v>
      </c>
      <c r="CE88" s="239">
        <v>0</v>
      </c>
      <c r="CF88" s="239">
        <v>-7786</v>
      </c>
      <c r="CG88" s="239">
        <v>0</v>
      </c>
      <c r="CH88" s="239">
        <v>0</v>
      </c>
      <c r="CI88" s="239">
        <v>0</v>
      </c>
      <c r="CJ88" s="239">
        <v>0</v>
      </c>
      <c r="CK88" s="239">
        <v>0</v>
      </c>
      <c r="CL88" s="239">
        <v>0</v>
      </c>
      <c r="CM88" s="239">
        <v>0</v>
      </c>
      <c r="CN88" s="239">
        <v>0</v>
      </c>
      <c r="CO88" s="239">
        <v>0</v>
      </c>
      <c r="CP88" s="239">
        <v>0</v>
      </c>
      <c r="CQ88" s="239">
        <v>0</v>
      </c>
      <c r="CR88" s="239">
        <v>0</v>
      </c>
      <c r="CS88" s="239">
        <v>0</v>
      </c>
      <c r="CT88" s="239">
        <v>0</v>
      </c>
      <c r="CU88" s="239">
        <v>0</v>
      </c>
      <c r="CV88" s="239">
        <v>0</v>
      </c>
      <c r="CW88" s="239">
        <v>0</v>
      </c>
      <c r="CX88" s="239">
        <v>0</v>
      </c>
      <c r="CY88" s="239">
        <v>0</v>
      </c>
      <c r="CZ88" s="239">
        <v>0</v>
      </c>
      <c r="DA88" s="239">
        <v>0</v>
      </c>
      <c r="DB88" s="239">
        <v>0</v>
      </c>
      <c r="DC88" s="239">
        <v>0</v>
      </c>
      <c r="DD88" s="239">
        <v>0</v>
      </c>
      <c r="DE88" s="239">
        <v>0</v>
      </c>
      <c r="DF88" s="239">
        <v>0</v>
      </c>
      <c r="DG88" s="239">
        <v>0</v>
      </c>
      <c r="DH88" s="239">
        <v>0</v>
      </c>
      <c r="DI88" s="239">
        <v>0</v>
      </c>
      <c r="DJ88" s="239">
        <v>-35041</v>
      </c>
      <c r="DK88" s="239">
        <v>0</v>
      </c>
      <c r="DL88" s="239">
        <v>-35041</v>
      </c>
      <c r="DM88" s="239">
        <v>0</v>
      </c>
      <c r="DN88" s="239">
        <v>0</v>
      </c>
      <c r="DO88" s="239">
        <v>0</v>
      </c>
      <c r="DP88" s="239">
        <v>0</v>
      </c>
      <c r="DQ88" s="239">
        <v>0</v>
      </c>
      <c r="DR88" s="239">
        <v>0</v>
      </c>
      <c r="DS88" s="239">
        <v>0</v>
      </c>
      <c r="DT88" s="239">
        <v>0</v>
      </c>
      <c r="DU88" s="239">
        <v>0</v>
      </c>
      <c r="DV88" s="239">
        <v>0</v>
      </c>
      <c r="DW88" s="239">
        <v>0</v>
      </c>
      <c r="DX88" s="239">
        <v>0</v>
      </c>
      <c r="DY88" s="239">
        <v>7.35</v>
      </c>
      <c r="DZ88" s="239">
        <v>0</v>
      </c>
      <c r="EA88" s="239">
        <v>7.35</v>
      </c>
      <c r="EB88" s="239">
        <v>0</v>
      </c>
      <c r="EC88" s="239">
        <v>0</v>
      </c>
      <c r="ED88" s="239">
        <v>0</v>
      </c>
      <c r="EE88" s="239">
        <v>0</v>
      </c>
      <c r="EF88" s="239">
        <v>0</v>
      </c>
      <c r="EG88" s="239">
        <v>0</v>
      </c>
      <c r="EH88" s="239">
        <v>0</v>
      </c>
      <c r="EI88" s="239">
        <v>0</v>
      </c>
      <c r="EJ88" s="239">
        <v>0</v>
      </c>
      <c r="EK88" s="239">
        <v>-12282</v>
      </c>
      <c r="EL88" s="239">
        <v>0</v>
      </c>
      <c r="EM88" s="239">
        <v>-12282</v>
      </c>
      <c r="EN88" s="239">
        <v>0</v>
      </c>
      <c r="EO88" s="239">
        <v>0</v>
      </c>
      <c r="EP88" s="239">
        <v>0</v>
      </c>
      <c r="EQ88" s="239">
        <v>-23481</v>
      </c>
      <c r="ER88" s="239">
        <v>0</v>
      </c>
      <c r="ES88" s="239">
        <v>-23481</v>
      </c>
      <c r="ET88" s="239">
        <v>-215276</v>
      </c>
      <c r="EU88" s="239">
        <v>0</v>
      </c>
      <c r="EV88" s="239">
        <v>-215276</v>
      </c>
      <c r="EW88" s="239">
        <v>-40301</v>
      </c>
      <c r="EX88" s="239">
        <v>0</v>
      </c>
      <c r="EY88" s="239">
        <v>-40301</v>
      </c>
      <c r="EZ88" s="239">
        <v>-291333</v>
      </c>
      <c r="FA88" s="239">
        <v>0</v>
      </c>
      <c r="FB88" s="239">
        <v>-291333</v>
      </c>
      <c r="FC88" s="239">
        <v>0</v>
      </c>
      <c r="FD88" s="239">
        <v>0</v>
      </c>
      <c r="FE88" s="239">
        <v>0</v>
      </c>
      <c r="FF88" s="239">
        <v>0</v>
      </c>
      <c r="FG88" s="239">
        <v>0</v>
      </c>
      <c r="FH88" s="239">
        <v>0</v>
      </c>
      <c r="FI88" s="239">
        <v>0</v>
      </c>
      <c r="FJ88" s="239">
        <v>0</v>
      </c>
      <c r="FK88" s="239">
        <v>0</v>
      </c>
      <c r="FL88" s="239">
        <v>27322414</v>
      </c>
      <c r="FM88" s="239">
        <v>0</v>
      </c>
      <c r="FN88" s="239">
        <v>27322414</v>
      </c>
      <c r="FO88" s="239">
        <v>-369181</v>
      </c>
      <c r="FP88" s="239">
        <v>0</v>
      </c>
      <c r="FQ88" s="239">
        <v>-369181</v>
      </c>
      <c r="FR88" s="239">
        <v>-4317729</v>
      </c>
      <c r="FS88" s="239">
        <v>0</v>
      </c>
      <c r="FT88" s="239">
        <v>-4317729</v>
      </c>
      <c r="FU88" s="239">
        <v>-633579</v>
      </c>
      <c r="FV88" s="239">
        <v>0</v>
      </c>
      <c r="FW88" s="239">
        <v>-633579</v>
      </c>
      <c r="FX88" s="239">
        <v>-35041</v>
      </c>
      <c r="FY88" s="239">
        <v>0</v>
      </c>
      <c r="FZ88" s="239">
        <v>-35041</v>
      </c>
      <c r="GA88" s="239">
        <v>-291333</v>
      </c>
      <c r="GB88" s="239">
        <v>0</v>
      </c>
      <c r="GC88" s="239">
        <v>-291333</v>
      </c>
      <c r="GD88" s="239">
        <v>0</v>
      </c>
      <c r="GE88" s="239">
        <v>0</v>
      </c>
      <c r="GF88" s="239">
        <v>0</v>
      </c>
      <c r="GG88" s="239">
        <v>-5646863</v>
      </c>
      <c r="GH88" s="239">
        <v>0</v>
      </c>
      <c r="GI88" s="239">
        <v>-5646863</v>
      </c>
      <c r="GJ88" s="239">
        <v>21675551</v>
      </c>
      <c r="GK88" s="239">
        <v>0</v>
      </c>
      <c r="GL88" s="239">
        <v>21675551</v>
      </c>
      <c r="GM88" s="214" t="s">
        <v>1158</v>
      </c>
    </row>
    <row r="89" spans="1:195" s="214" customFormat="1" x14ac:dyDescent="0.2">
      <c r="B89" s="602" t="s">
        <v>261</v>
      </c>
      <c r="C89" s="602" t="s">
        <v>260</v>
      </c>
      <c r="D89" s="239">
        <v>-2249000</v>
      </c>
      <c r="E89" s="239">
        <v>0</v>
      </c>
      <c r="F89" s="239">
        <v>-2249000</v>
      </c>
      <c r="G89" s="239">
        <v>2716</v>
      </c>
      <c r="H89" s="239">
        <v>0</v>
      </c>
      <c r="I89" s="239">
        <v>2716</v>
      </c>
      <c r="J89" s="239">
        <v>651399</v>
      </c>
      <c r="K89" s="239">
        <v>0</v>
      </c>
      <c r="L89" s="239">
        <v>651399</v>
      </c>
      <c r="M89" s="239">
        <v>-1562</v>
      </c>
      <c r="N89" s="239">
        <v>0</v>
      </c>
      <c r="O89" s="239">
        <v>-1562</v>
      </c>
      <c r="P89" s="239">
        <v>-1596447</v>
      </c>
      <c r="Q89" s="239">
        <v>0</v>
      </c>
      <c r="R89" s="239">
        <v>-1596447</v>
      </c>
      <c r="S89" s="239">
        <v>-3729905</v>
      </c>
      <c r="T89" s="239">
        <v>0</v>
      </c>
      <c r="U89" s="239">
        <v>-3729905</v>
      </c>
      <c r="V89" s="239">
        <v>-3243</v>
      </c>
      <c r="W89" s="239">
        <v>0</v>
      </c>
      <c r="X89" s="239">
        <v>-3243</v>
      </c>
      <c r="Y89" s="239">
        <v>-104463</v>
      </c>
      <c r="Z89" s="239">
        <v>0</v>
      </c>
      <c r="AA89" s="239">
        <v>-104463</v>
      </c>
      <c r="AB89" s="239">
        <v>-100539</v>
      </c>
      <c r="AC89" s="239">
        <v>0</v>
      </c>
      <c r="AD89" s="239">
        <v>-100539</v>
      </c>
      <c r="AE89" s="239">
        <v>-359</v>
      </c>
      <c r="AF89" s="239">
        <v>0</v>
      </c>
      <c r="AG89" s="239">
        <v>-359</v>
      </c>
      <c r="AH89" s="239">
        <v>637843</v>
      </c>
      <c r="AI89" s="239">
        <v>525</v>
      </c>
      <c r="AJ89" s="239">
        <v>638368</v>
      </c>
      <c r="AK89" s="239">
        <v>-27346</v>
      </c>
      <c r="AL89" s="239">
        <v>0</v>
      </c>
      <c r="AM89" s="239">
        <v>-27346</v>
      </c>
      <c r="AN89" s="239">
        <v>-2774311</v>
      </c>
      <c r="AO89" s="239">
        <v>-15481</v>
      </c>
      <c r="AP89" s="239">
        <v>-2789792</v>
      </c>
      <c r="AQ89" s="239">
        <v>-28183</v>
      </c>
      <c r="AR89" s="239">
        <v>0</v>
      </c>
      <c r="AS89" s="239">
        <v>-28183</v>
      </c>
      <c r="AT89" s="239">
        <v>-32099</v>
      </c>
      <c r="AU89" s="239">
        <v>0</v>
      </c>
      <c r="AV89" s="239">
        <v>-32099</v>
      </c>
      <c r="AW89" s="239">
        <v>0</v>
      </c>
      <c r="AX89" s="239">
        <v>0</v>
      </c>
      <c r="AY89" s="239">
        <v>0</v>
      </c>
      <c r="AZ89" s="239">
        <v>-19934</v>
      </c>
      <c r="BA89" s="239">
        <v>0</v>
      </c>
      <c r="BB89" s="239">
        <v>-19934</v>
      </c>
      <c r="BC89" s="239">
        <v>0</v>
      </c>
      <c r="BD89" s="239">
        <v>0</v>
      </c>
      <c r="BE89" s="239">
        <v>0</v>
      </c>
      <c r="BF89" s="239">
        <v>-6078398</v>
      </c>
      <c r="BG89" s="239">
        <v>-14956</v>
      </c>
      <c r="BH89" s="239">
        <v>-6093354</v>
      </c>
      <c r="BI89" s="239">
        <v>-231358</v>
      </c>
      <c r="BJ89" s="239">
        <v>0</v>
      </c>
      <c r="BK89" s="239">
        <v>-231358</v>
      </c>
      <c r="BL89" s="239">
        <v>-8324</v>
      </c>
      <c r="BM89" s="239">
        <v>0</v>
      </c>
      <c r="BN89" s="239">
        <v>-8324</v>
      </c>
      <c r="BO89" s="239">
        <v>-1053821</v>
      </c>
      <c r="BP89" s="239">
        <v>0</v>
      </c>
      <c r="BQ89" s="239">
        <v>-1053821</v>
      </c>
      <c r="BR89" s="239">
        <v>-308578</v>
      </c>
      <c r="BS89" s="239">
        <v>0</v>
      </c>
      <c r="BT89" s="239">
        <v>-308578</v>
      </c>
      <c r="BU89" s="239">
        <v>-1602081</v>
      </c>
      <c r="BV89" s="239">
        <v>0</v>
      </c>
      <c r="BW89" s="239">
        <v>-1602081</v>
      </c>
      <c r="BX89" s="239">
        <v>-67490</v>
      </c>
      <c r="BY89" s="239">
        <v>0</v>
      </c>
      <c r="BZ89" s="239">
        <v>-67490</v>
      </c>
      <c r="CA89" s="239">
        <v>-3174</v>
      </c>
      <c r="CB89" s="239">
        <v>0</v>
      </c>
      <c r="CC89" s="239">
        <v>-3174</v>
      </c>
      <c r="CD89" s="239">
        <v>-13305</v>
      </c>
      <c r="CE89" s="239">
        <v>0</v>
      </c>
      <c r="CF89" s="239">
        <v>-13305</v>
      </c>
      <c r="CG89" s="239">
        <v>-17991</v>
      </c>
      <c r="CH89" s="239">
        <v>0</v>
      </c>
      <c r="CI89" s="239">
        <v>-17991</v>
      </c>
      <c r="CJ89" s="239">
        <v>-4012</v>
      </c>
      <c r="CK89" s="239">
        <v>0</v>
      </c>
      <c r="CL89" s="239">
        <v>-4012</v>
      </c>
      <c r="CM89" s="239">
        <v>0</v>
      </c>
      <c r="CN89" s="239">
        <v>0</v>
      </c>
      <c r="CO89" s="239">
        <v>0</v>
      </c>
      <c r="CP89" s="239">
        <v>0</v>
      </c>
      <c r="CQ89" s="239">
        <v>0</v>
      </c>
      <c r="CR89" s="239">
        <v>0</v>
      </c>
      <c r="CS89" s="239">
        <v>0</v>
      </c>
      <c r="CT89" s="239">
        <v>0</v>
      </c>
      <c r="CU89" s="239">
        <v>0</v>
      </c>
      <c r="CV89" s="239">
        <v>0</v>
      </c>
      <c r="CW89" s="239">
        <v>0</v>
      </c>
      <c r="CX89" s="239">
        <v>0</v>
      </c>
      <c r="CY89" s="239">
        <v>0</v>
      </c>
      <c r="CZ89" s="239">
        <v>0</v>
      </c>
      <c r="DA89" s="239">
        <v>0</v>
      </c>
      <c r="DB89" s="239">
        <v>0</v>
      </c>
      <c r="DC89" s="239">
        <v>0</v>
      </c>
      <c r="DD89" s="239">
        <v>0</v>
      </c>
      <c r="DE89" s="239">
        <v>0</v>
      </c>
      <c r="DF89" s="239">
        <v>0</v>
      </c>
      <c r="DG89" s="239">
        <v>0</v>
      </c>
      <c r="DH89" s="239">
        <v>0</v>
      </c>
      <c r="DI89" s="239">
        <v>0</v>
      </c>
      <c r="DJ89" s="239">
        <v>-105972</v>
      </c>
      <c r="DK89" s="239">
        <v>0</v>
      </c>
      <c r="DL89" s="239">
        <v>-105972</v>
      </c>
      <c r="DM89" s="239">
        <v>0</v>
      </c>
      <c r="DN89" s="239">
        <v>0</v>
      </c>
      <c r="DO89" s="239">
        <v>0</v>
      </c>
      <c r="DP89" s="239">
        <v>0</v>
      </c>
      <c r="DQ89" s="239">
        <v>0</v>
      </c>
      <c r="DR89" s="239">
        <v>0</v>
      </c>
      <c r="DS89" s="239">
        <v>-7688</v>
      </c>
      <c r="DT89" s="239">
        <v>0</v>
      </c>
      <c r="DU89" s="239">
        <v>-7688</v>
      </c>
      <c r="DV89" s="239">
        <v>169</v>
      </c>
      <c r="DW89" s="239">
        <v>0</v>
      </c>
      <c r="DX89" s="239">
        <v>169</v>
      </c>
      <c r="DY89" s="239">
        <v>-2103</v>
      </c>
      <c r="DZ89" s="239">
        <v>0</v>
      </c>
      <c r="EA89" s="239">
        <v>-2103</v>
      </c>
      <c r="EB89" s="239">
        <v>0</v>
      </c>
      <c r="EC89" s="239">
        <v>0</v>
      </c>
      <c r="ED89" s="239">
        <v>0</v>
      </c>
      <c r="EE89" s="239">
        <v>0</v>
      </c>
      <c r="EF89" s="239">
        <v>0</v>
      </c>
      <c r="EG89" s="239">
        <v>0</v>
      </c>
      <c r="EH89" s="239">
        <v>0</v>
      </c>
      <c r="EI89" s="239">
        <v>0</v>
      </c>
      <c r="EJ89" s="239">
        <v>0</v>
      </c>
      <c r="EK89" s="239">
        <v>-19934</v>
      </c>
      <c r="EL89" s="239">
        <v>0</v>
      </c>
      <c r="EM89" s="239">
        <v>-19934</v>
      </c>
      <c r="EN89" s="239">
        <v>-1500</v>
      </c>
      <c r="EO89" s="239">
        <v>0</v>
      </c>
      <c r="EP89" s="239">
        <v>-1500</v>
      </c>
      <c r="EQ89" s="239">
        <v>-52247</v>
      </c>
      <c r="ER89" s="239">
        <v>0</v>
      </c>
      <c r="ES89" s="239">
        <v>-52247</v>
      </c>
      <c r="ET89" s="239">
        <v>-399591</v>
      </c>
      <c r="EU89" s="239">
        <v>0</v>
      </c>
      <c r="EV89" s="239">
        <v>-399591</v>
      </c>
      <c r="EW89" s="239">
        <v>-50693</v>
      </c>
      <c r="EX89" s="239">
        <v>0</v>
      </c>
      <c r="EY89" s="239">
        <v>-50693</v>
      </c>
      <c r="EZ89" s="239">
        <v>-533587</v>
      </c>
      <c r="FA89" s="239">
        <v>0</v>
      </c>
      <c r="FB89" s="239">
        <v>-533587</v>
      </c>
      <c r="FC89" s="239">
        <v>-28916</v>
      </c>
      <c r="FD89" s="239">
        <v>0</v>
      </c>
      <c r="FE89" s="239">
        <v>-28916</v>
      </c>
      <c r="FF89" s="239">
        <v>0</v>
      </c>
      <c r="FG89" s="239">
        <v>0</v>
      </c>
      <c r="FH89" s="239">
        <v>0</v>
      </c>
      <c r="FI89" s="239">
        <v>-28916</v>
      </c>
      <c r="FJ89" s="239">
        <v>0</v>
      </c>
      <c r="FK89" s="239">
        <v>-28916</v>
      </c>
      <c r="FL89" s="239">
        <v>40594558</v>
      </c>
      <c r="FM89" s="239">
        <v>18826</v>
      </c>
      <c r="FN89" s="239">
        <v>40613384</v>
      </c>
      <c r="FO89" s="239">
        <v>-1596447</v>
      </c>
      <c r="FP89" s="239">
        <v>0</v>
      </c>
      <c r="FQ89" s="239">
        <v>-1596447</v>
      </c>
      <c r="FR89" s="239">
        <v>-6078398</v>
      </c>
      <c r="FS89" s="239">
        <v>-14956</v>
      </c>
      <c r="FT89" s="239">
        <v>-6093354</v>
      </c>
      <c r="FU89" s="239">
        <v>-1602081</v>
      </c>
      <c r="FV89" s="239">
        <v>0</v>
      </c>
      <c r="FW89" s="239">
        <v>-1602081</v>
      </c>
      <c r="FX89" s="239">
        <v>-105972</v>
      </c>
      <c r="FY89" s="239">
        <v>0</v>
      </c>
      <c r="FZ89" s="239">
        <v>-105972</v>
      </c>
      <c r="GA89" s="239">
        <v>-533587</v>
      </c>
      <c r="GB89" s="239">
        <v>0</v>
      </c>
      <c r="GC89" s="239">
        <v>-533587</v>
      </c>
      <c r="GD89" s="239">
        <v>-28916</v>
      </c>
      <c r="GE89" s="239">
        <v>0</v>
      </c>
      <c r="GF89" s="239">
        <v>-28916</v>
      </c>
      <c r="GG89" s="239">
        <v>-9945401</v>
      </c>
      <c r="GH89" s="239">
        <v>-14956</v>
      </c>
      <c r="GI89" s="239">
        <v>-9960357</v>
      </c>
      <c r="GJ89" s="239">
        <v>30649157</v>
      </c>
      <c r="GK89" s="239">
        <v>3870</v>
      </c>
      <c r="GL89" s="239">
        <v>30653027</v>
      </c>
      <c r="GM89" s="214" t="s">
        <v>1158</v>
      </c>
    </row>
    <row r="90" spans="1:195" s="214" customFormat="1" x14ac:dyDescent="0.2">
      <c r="B90" s="602" t="s">
        <v>263</v>
      </c>
      <c r="C90" s="602" t="s">
        <v>262</v>
      </c>
      <c r="D90" s="239">
        <v>-2227147</v>
      </c>
      <c r="E90" s="239">
        <v>0</v>
      </c>
      <c r="F90" s="239">
        <v>-2227147</v>
      </c>
      <c r="G90" s="239">
        <v>15720</v>
      </c>
      <c r="H90" s="239">
        <v>0</v>
      </c>
      <c r="I90" s="239">
        <v>15720</v>
      </c>
      <c r="J90" s="239">
        <v>2417227</v>
      </c>
      <c r="K90" s="239">
        <v>0</v>
      </c>
      <c r="L90" s="239">
        <v>2417227</v>
      </c>
      <c r="M90" s="239">
        <v>20126</v>
      </c>
      <c r="N90" s="239">
        <v>0</v>
      </c>
      <c r="O90" s="239">
        <v>20126</v>
      </c>
      <c r="P90" s="239">
        <v>225926</v>
      </c>
      <c r="Q90" s="239">
        <v>0</v>
      </c>
      <c r="R90" s="239">
        <v>225926</v>
      </c>
      <c r="S90" s="239">
        <v>-4730452</v>
      </c>
      <c r="T90" s="239">
        <v>0</v>
      </c>
      <c r="U90" s="239">
        <v>-4730452</v>
      </c>
      <c r="V90" s="239">
        <v>0</v>
      </c>
      <c r="W90" s="239">
        <v>0</v>
      </c>
      <c r="X90" s="239">
        <v>0</v>
      </c>
      <c r="Y90" s="239">
        <v>-266740.28000000003</v>
      </c>
      <c r="Z90" s="239">
        <v>0</v>
      </c>
      <c r="AA90" s="239">
        <v>-266740.28000000003</v>
      </c>
      <c r="AB90" s="239">
        <v>0</v>
      </c>
      <c r="AC90" s="239">
        <v>0</v>
      </c>
      <c r="AD90" s="239">
        <v>0</v>
      </c>
      <c r="AE90" s="239">
        <v>0</v>
      </c>
      <c r="AF90" s="239">
        <v>0</v>
      </c>
      <c r="AG90" s="239">
        <v>0</v>
      </c>
      <c r="AH90" s="239">
        <v>961072</v>
      </c>
      <c r="AI90" s="239">
        <v>0</v>
      </c>
      <c r="AJ90" s="239">
        <v>961072</v>
      </c>
      <c r="AK90" s="239">
        <v>-24162</v>
      </c>
      <c r="AL90" s="239">
        <v>0</v>
      </c>
      <c r="AM90" s="239">
        <v>-24162</v>
      </c>
      <c r="AN90" s="239">
        <v>-4520948</v>
      </c>
      <c r="AO90" s="239">
        <v>0</v>
      </c>
      <c r="AP90" s="239">
        <v>-4520948</v>
      </c>
      <c r="AQ90" s="239">
        <v>30804</v>
      </c>
      <c r="AR90" s="239">
        <v>0</v>
      </c>
      <c r="AS90" s="239">
        <v>30804</v>
      </c>
      <c r="AT90" s="239">
        <v>-74931</v>
      </c>
      <c r="AU90" s="239">
        <v>0</v>
      </c>
      <c r="AV90" s="239">
        <v>-74931</v>
      </c>
      <c r="AW90" s="239">
        <v>3228</v>
      </c>
      <c r="AX90" s="239">
        <v>0</v>
      </c>
      <c r="AY90" s="239">
        <v>3228</v>
      </c>
      <c r="AZ90" s="239">
        <v>-43421</v>
      </c>
      <c r="BA90" s="239">
        <v>0</v>
      </c>
      <c r="BB90" s="239">
        <v>-43421</v>
      </c>
      <c r="BC90" s="239">
        <v>-2085</v>
      </c>
      <c r="BD90" s="239">
        <v>0</v>
      </c>
      <c r="BE90" s="239">
        <v>-2085</v>
      </c>
      <c r="BF90" s="239">
        <v>-8667635</v>
      </c>
      <c r="BG90" s="239">
        <v>0</v>
      </c>
      <c r="BH90" s="239">
        <v>-8667635</v>
      </c>
      <c r="BI90" s="239">
        <v>0</v>
      </c>
      <c r="BJ90" s="239">
        <v>0</v>
      </c>
      <c r="BK90" s="239">
        <v>0</v>
      </c>
      <c r="BL90" s="239">
        <v>4415</v>
      </c>
      <c r="BM90" s="239">
        <v>0</v>
      </c>
      <c r="BN90" s="239">
        <v>4415</v>
      </c>
      <c r="BO90" s="239">
        <v>-1283245</v>
      </c>
      <c r="BP90" s="239">
        <v>0</v>
      </c>
      <c r="BQ90" s="239">
        <v>-1283245</v>
      </c>
      <c r="BR90" s="239">
        <v>51319</v>
      </c>
      <c r="BS90" s="239">
        <v>0</v>
      </c>
      <c r="BT90" s="239">
        <v>51319</v>
      </c>
      <c r="BU90" s="239">
        <v>-1227511</v>
      </c>
      <c r="BV90" s="239">
        <v>0</v>
      </c>
      <c r="BW90" s="239">
        <v>-1227511</v>
      </c>
      <c r="BX90" s="239">
        <v>-188833</v>
      </c>
      <c r="BY90" s="239">
        <v>0</v>
      </c>
      <c r="BZ90" s="239">
        <v>-188833</v>
      </c>
      <c r="CA90" s="239">
        <v>-10080</v>
      </c>
      <c r="CB90" s="239">
        <v>0</v>
      </c>
      <c r="CC90" s="239">
        <v>-10080</v>
      </c>
      <c r="CD90" s="239">
        <v>-46846</v>
      </c>
      <c r="CE90" s="239">
        <v>0</v>
      </c>
      <c r="CF90" s="239">
        <v>-46846</v>
      </c>
      <c r="CG90" s="239">
        <v>0</v>
      </c>
      <c r="CH90" s="239">
        <v>0</v>
      </c>
      <c r="CI90" s="239">
        <v>0</v>
      </c>
      <c r="CJ90" s="239">
        <v>0</v>
      </c>
      <c r="CK90" s="239">
        <v>0</v>
      </c>
      <c r="CL90" s="239">
        <v>0</v>
      </c>
      <c r="CM90" s="239">
        <v>0</v>
      </c>
      <c r="CN90" s="239">
        <v>0</v>
      </c>
      <c r="CO90" s="239">
        <v>0</v>
      </c>
      <c r="CP90" s="239">
        <v>-1711</v>
      </c>
      <c r="CQ90" s="239">
        <v>0</v>
      </c>
      <c r="CR90" s="239">
        <v>-1711</v>
      </c>
      <c r="CS90" s="239">
        <v>0</v>
      </c>
      <c r="CT90" s="239">
        <v>0</v>
      </c>
      <c r="CU90" s="239">
        <v>0</v>
      </c>
      <c r="CV90" s="239">
        <v>0</v>
      </c>
      <c r="CW90" s="239">
        <v>0</v>
      </c>
      <c r="CX90" s="239">
        <v>0</v>
      </c>
      <c r="CY90" s="239">
        <v>0</v>
      </c>
      <c r="CZ90" s="239">
        <v>0</v>
      </c>
      <c r="DA90" s="239">
        <v>0</v>
      </c>
      <c r="DB90" s="239">
        <v>0</v>
      </c>
      <c r="DC90" s="239">
        <v>0</v>
      </c>
      <c r="DD90" s="239">
        <v>0</v>
      </c>
      <c r="DE90" s="239">
        <v>0</v>
      </c>
      <c r="DF90" s="239">
        <v>0</v>
      </c>
      <c r="DG90" s="239">
        <v>0</v>
      </c>
      <c r="DH90" s="239">
        <v>0</v>
      </c>
      <c r="DI90" s="239">
        <v>0</v>
      </c>
      <c r="DJ90" s="239">
        <v>-247470</v>
      </c>
      <c r="DK90" s="239">
        <v>0</v>
      </c>
      <c r="DL90" s="239">
        <v>-247470</v>
      </c>
      <c r="DM90" s="239">
        <v>-4982</v>
      </c>
      <c r="DN90" s="239">
        <v>0</v>
      </c>
      <c r="DO90" s="239">
        <v>-4982</v>
      </c>
      <c r="DP90" s="239">
        <v>10051</v>
      </c>
      <c r="DQ90" s="239">
        <v>0</v>
      </c>
      <c r="DR90" s="239">
        <v>10051</v>
      </c>
      <c r="DS90" s="239">
        <v>-1225</v>
      </c>
      <c r="DT90" s="239">
        <v>0</v>
      </c>
      <c r="DU90" s="239">
        <v>-1225</v>
      </c>
      <c r="DV90" s="239">
        <v>0</v>
      </c>
      <c r="DW90" s="239">
        <v>0</v>
      </c>
      <c r="DX90" s="239">
        <v>0</v>
      </c>
      <c r="DY90" s="239">
        <v>0</v>
      </c>
      <c r="DZ90" s="239">
        <v>0</v>
      </c>
      <c r="EA90" s="239">
        <v>0</v>
      </c>
      <c r="EB90" s="239">
        <v>0</v>
      </c>
      <c r="EC90" s="239">
        <v>0</v>
      </c>
      <c r="ED90" s="239">
        <v>0</v>
      </c>
      <c r="EE90" s="239">
        <v>0</v>
      </c>
      <c r="EF90" s="239">
        <v>0</v>
      </c>
      <c r="EG90" s="239">
        <v>0</v>
      </c>
      <c r="EH90" s="239">
        <v>0</v>
      </c>
      <c r="EI90" s="239">
        <v>0</v>
      </c>
      <c r="EJ90" s="239">
        <v>0</v>
      </c>
      <c r="EK90" s="239">
        <v>-40758</v>
      </c>
      <c r="EL90" s="239">
        <v>0</v>
      </c>
      <c r="EM90" s="239">
        <v>-40758</v>
      </c>
      <c r="EN90" s="239">
        <v>-1500</v>
      </c>
      <c r="EO90" s="239">
        <v>0</v>
      </c>
      <c r="EP90" s="239">
        <v>-1500</v>
      </c>
      <c r="EQ90" s="239">
        <v>-30181</v>
      </c>
      <c r="ER90" s="239">
        <v>0</v>
      </c>
      <c r="ES90" s="239">
        <v>-30181</v>
      </c>
      <c r="ET90" s="239">
        <v>-159710</v>
      </c>
      <c r="EU90" s="239">
        <v>0</v>
      </c>
      <c r="EV90" s="239">
        <v>-159710</v>
      </c>
      <c r="EW90" s="239">
        <v>-60668</v>
      </c>
      <c r="EX90" s="239">
        <v>0</v>
      </c>
      <c r="EY90" s="239">
        <v>-60668</v>
      </c>
      <c r="EZ90" s="239">
        <v>-288973</v>
      </c>
      <c r="FA90" s="239">
        <v>0</v>
      </c>
      <c r="FB90" s="239">
        <v>-288973</v>
      </c>
      <c r="FC90" s="239">
        <v>0</v>
      </c>
      <c r="FD90" s="239">
        <v>0</v>
      </c>
      <c r="FE90" s="239">
        <v>0</v>
      </c>
      <c r="FF90" s="239">
        <v>0</v>
      </c>
      <c r="FG90" s="239">
        <v>0</v>
      </c>
      <c r="FH90" s="239">
        <v>0</v>
      </c>
      <c r="FI90" s="239">
        <v>0</v>
      </c>
      <c r="FJ90" s="239">
        <v>0</v>
      </c>
      <c r="FK90" s="239">
        <v>0</v>
      </c>
      <c r="FL90" s="239">
        <v>54450735</v>
      </c>
      <c r="FM90" s="239">
        <v>0</v>
      </c>
      <c r="FN90" s="239">
        <v>54450735</v>
      </c>
      <c r="FO90" s="239">
        <v>225926</v>
      </c>
      <c r="FP90" s="239">
        <v>0</v>
      </c>
      <c r="FQ90" s="239">
        <v>225926</v>
      </c>
      <c r="FR90" s="239">
        <v>-8667635</v>
      </c>
      <c r="FS90" s="239">
        <v>0</v>
      </c>
      <c r="FT90" s="239">
        <v>-8667635</v>
      </c>
      <c r="FU90" s="239">
        <v>-1227511</v>
      </c>
      <c r="FV90" s="239">
        <v>0</v>
      </c>
      <c r="FW90" s="239">
        <v>-1227511</v>
      </c>
      <c r="FX90" s="239">
        <v>-247470</v>
      </c>
      <c r="FY90" s="239">
        <v>0</v>
      </c>
      <c r="FZ90" s="239">
        <v>-247470</v>
      </c>
      <c r="GA90" s="239">
        <v>-288973</v>
      </c>
      <c r="GB90" s="239">
        <v>0</v>
      </c>
      <c r="GC90" s="239">
        <v>-288973</v>
      </c>
      <c r="GD90" s="239">
        <v>0</v>
      </c>
      <c r="GE90" s="239">
        <v>0</v>
      </c>
      <c r="GF90" s="239">
        <v>0</v>
      </c>
      <c r="GG90" s="239">
        <v>-10205663</v>
      </c>
      <c r="GH90" s="239">
        <v>0</v>
      </c>
      <c r="GI90" s="239">
        <v>-10205663</v>
      </c>
      <c r="GJ90" s="239">
        <v>44245072</v>
      </c>
      <c r="GK90" s="239">
        <v>0</v>
      </c>
      <c r="GL90" s="239">
        <v>44245072</v>
      </c>
      <c r="GM90" s="214" t="s">
        <v>1158</v>
      </c>
    </row>
    <row r="91" spans="1:195" s="214" customFormat="1" x14ac:dyDescent="0.2">
      <c r="B91" s="602" t="s">
        <v>265</v>
      </c>
      <c r="C91" s="602" t="s">
        <v>264</v>
      </c>
      <c r="D91" s="239">
        <v>-2348700</v>
      </c>
      <c r="E91" s="239">
        <v>0</v>
      </c>
      <c r="F91" s="239">
        <v>-2348700</v>
      </c>
      <c r="G91" s="239">
        <v>11124</v>
      </c>
      <c r="H91" s="239">
        <v>0</v>
      </c>
      <c r="I91" s="239">
        <v>11124</v>
      </c>
      <c r="J91" s="239">
        <v>1669625</v>
      </c>
      <c r="K91" s="239">
        <v>0</v>
      </c>
      <c r="L91" s="239">
        <v>1669625</v>
      </c>
      <c r="M91" s="239">
        <v>100177</v>
      </c>
      <c r="N91" s="239">
        <v>0</v>
      </c>
      <c r="O91" s="239">
        <v>100177</v>
      </c>
      <c r="P91" s="239">
        <v>-567774</v>
      </c>
      <c r="Q91" s="239">
        <v>0</v>
      </c>
      <c r="R91" s="239">
        <v>-567774</v>
      </c>
      <c r="S91" s="239">
        <v>-6319665</v>
      </c>
      <c r="T91" s="239">
        <v>0</v>
      </c>
      <c r="U91" s="239">
        <v>-6319665</v>
      </c>
      <c r="V91" s="239">
        <v>-2528</v>
      </c>
      <c r="W91" s="239">
        <v>0</v>
      </c>
      <c r="X91" s="239">
        <v>-2528</v>
      </c>
      <c r="Y91" s="239">
        <v>-285557</v>
      </c>
      <c r="Z91" s="239">
        <v>0</v>
      </c>
      <c r="AA91" s="239">
        <v>-285557</v>
      </c>
      <c r="AB91" s="239">
        <v>-284869</v>
      </c>
      <c r="AC91" s="239">
        <v>0</v>
      </c>
      <c r="AD91" s="239">
        <v>-284869</v>
      </c>
      <c r="AE91" s="239">
        <v>-688</v>
      </c>
      <c r="AF91" s="239">
        <v>0</v>
      </c>
      <c r="AG91" s="239">
        <v>-688</v>
      </c>
      <c r="AH91" s="239">
        <v>694840</v>
      </c>
      <c r="AI91" s="239">
        <v>0</v>
      </c>
      <c r="AJ91" s="239">
        <v>694840</v>
      </c>
      <c r="AK91" s="239">
        <v>-7985</v>
      </c>
      <c r="AL91" s="239">
        <v>0</v>
      </c>
      <c r="AM91" s="239">
        <v>-7985</v>
      </c>
      <c r="AN91" s="239">
        <v>-2719673</v>
      </c>
      <c r="AO91" s="239">
        <v>0</v>
      </c>
      <c r="AP91" s="239">
        <v>-2719673</v>
      </c>
      <c r="AQ91" s="239">
        <v>-40671</v>
      </c>
      <c r="AR91" s="239">
        <v>0</v>
      </c>
      <c r="AS91" s="239">
        <v>-40671</v>
      </c>
      <c r="AT91" s="239">
        <v>-81424</v>
      </c>
      <c r="AU91" s="239">
        <v>0</v>
      </c>
      <c r="AV91" s="239">
        <v>-81424</v>
      </c>
      <c r="AW91" s="239">
        <v>0</v>
      </c>
      <c r="AX91" s="239">
        <v>0</v>
      </c>
      <c r="AY91" s="239">
        <v>0</v>
      </c>
      <c r="AZ91" s="239">
        <v>-87122</v>
      </c>
      <c r="BA91" s="239">
        <v>0</v>
      </c>
      <c r="BB91" s="239">
        <v>-87122</v>
      </c>
      <c r="BC91" s="239">
        <v>-3705</v>
      </c>
      <c r="BD91" s="239">
        <v>0</v>
      </c>
      <c r="BE91" s="239">
        <v>-3705</v>
      </c>
      <c r="BF91" s="239">
        <v>-8850962</v>
      </c>
      <c r="BG91" s="239">
        <v>0</v>
      </c>
      <c r="BH91" s="239">
        <v>-8850962</v>
      </c>
      <c r="BI91" s="239">
        <v>0</v>
      </c>
      <c r="BJ91" s="239">
        <v>0</v>
      </c>
      <c r="BK91" s="239">
        <v>0</v>
      </c>
      <c r="BL91" s="239">
        <v>0</v>
      </c>
      <c r="BM91" s="239">
        <v>0</v>
      </c>
      <c r="BN91" s="239">
        <v>0</v>
      </c>
      <c r="BO91" s="239">
        <v>-569228</v>
      </c>
      <c r="BP91" s="239">
        <v>0</v>
      </c>
      <c r="BQ91" s="239">
        <v>-569228</v>
      </c>
      <c r="BR91" s="239">
        <v>-115265</v>
      </c>
      <c r="BS91" s="239">
        <v>0</v>
      </c>
      <c r="BT91" s="239">
        <v>-115265</v>
      </c>
      <c r="BU91" s="239">
        <v>-684493</v>
      </c>
      <c r="BV91" s="239">
        <v>0</v>
      </c>
      <c r="BW91" s="239">
        <v>-684493</v>
      </c>
      <c r="BX91" s="239">
        <v>-71181</v>
      </c>
      <c r="BY91" s="239">
        <v>0</v>
      </c>
      <c r="BZ91" s="239">
        <v>-71181</v>
      </c>
      <c r="CA91" s="239">
        <v>-806</v>
      </c>
      <c r="CB91" s="239">
        <v>0</v>
      </c>
      <c r="CC91" s="239">
        <v>-806</v>
      </c>
      <c r="CD91" s="239">
        <v>-2422</v>
      </c>
      <c r="CE91" s="239">
        <v>0</v>
      </c>
      <c r="CF91" s="239">
        <v>-2422</v>
      </c>
      <c r="CG91" s="239">
        <v>0</v>
      </c>
      <c r="CH91" s="239">
        <v>0</v>
      </c>
      <c r="CI91" s="239">
        <v>0</v>
      </c>
      <c r="CJ91" s="239">
        <v>-9495</v>
      </c>
      <c r="CK91" s="239">
        <v>0</v>
      </c>
      <c r="CL91" s="239">
        <v>-9495</v>
      </c>
      <c r="CM91" s="239">
        <v>-221</v>
      </c>
      <c r="CN91" s="239">
        <v>0</v>
      </c>
      <c r="CO91" s="239">
        <v>-221</v>
      </c>
      <c r="CP91" s="239">
        <v>0</v>
      </c>
      <c r="CQ91" s="239">
        <v>0</v>
      </c>
      <c r="CR91" s="239">
        <v>0</v>
      </c>
      <c r="CS91" s="239">
        <v>-1141</v>
      </c>
      <c r="CT91" s="239">
        <v>0</v>
      </c>
      <c r="CU91" s="239">
        <v>-1141</v>
      </c>
      <c r="CV91" s="239">
        <v>0</v>
      </c>
      <c r="CW91" s="239">
        <v>0</v>
      </c>
      <c r="CX91" s="239">
        <v>0</v>
      </c>
      <c r="CY91" s="239">
        <v>0</v>
      </c>
      <c r="CZ91" s="239">
        <v>0</v>
      </c>
      <c r="DA91" s="239">
        <v>0</v>
      </c>
      <c r="DB91" s="239">
        <v>0</v>
      </c>
      <c r="DC91" s="239">
        <v>0</v>
      </c>
      <c r="DD91" s="239">
        <v>0</v>
      </c>
      <c r="DE91" s="239">
        <v>0</v>
      </c>
      <c r="DF91" s="239">
        <v>0</v>
      </c>
      <c r="DG91" s="239">
        <v>0</v>
      </c>
      <c r="DH91" s="239">
        <v>0</v>
      </c>
      <c r="DI91" s="239">
        <v>0</v>
      </c>
      <c r="DJ91" s="239">
        <v>-85266</v>
      </c>
      <c r="DK91" s="239">
        <v>0</v>
      </c>
      <c r="DL91" s="239">
        <v>-85266</v>
      </c>
      <c r="DM91" s="239">
        <v>0</v>
      </c>
      <c r="DN91" s="239">
        <v>0</v>
      </c>
      <c r="DO91" s="239">
        <v>0</v>
      </c>
      <c r="DP91" s="239">
        <v>0</v>
      </c>
      <c r="DQ91" s="239">
        <v>0</v>
      </c>
      <c r="DR91" s="239">
        <v>0</v>
      </c>
      <c r="DS91" s="239">
        <v>0</v>
      </c>
      <c r="DT91" s="239">
        <v>0</v>
      </c>
      <c r="DU91" s="239">
        <v>0</v>
      </c>
      <c r="DV91" s="239">
        <v>0</v>
      </c>
      <c r="DW91" s="239">
        <v>0</v>
      </c>
      <c r="DX91" s="239">
        <v>0</v>
      </c>
      <c r="DY91" s="239">
        <v>9465</v>
      </c>
      <c r="DZ91" s="239">
        <v>0</v>
      </c>
      <c r="EA91" s="239">
        <v>9465</v>
      </c>
      <c r="EB91" s="239">
        <v>0</v>
      </c>
      <c r="EC91" s="239">
        <v>0</v>
      </c>
      <c r="ED91" s="239">
        <v>0</v>
      </c>
      <c r="EE91" s="239">
        <v>0</v>
      </c>
      <c r="EF91" s="239">
        <v>0</v>
      </c>
      <c r="EG91" s="239">
        <v>0</v>
      </c>
      <c r="EH91" s="239">
        <v>38</v>
      </c>
      <c r="EI91" s="239">
        <v>0</v>
      </c>
      <c r="EJ91" s="239">
        <v>38</v>
      </c>
      <c r="EK91" s="239">
        <v>-87122</v>
      </c>
      <c r="EL91" s="239">
        <v>0</v>
      </c>
      <c r="EM91" s="239">
        <v>-87122</v>
      </c>
      <c r="EN91" s="239">
        <v>0</v>
      </c>
      <c r="EO91" s="239">
        <v>0</v>
      </c>
      <c r="EP91" s="239">
        <v>0</v>
      </c>
      <c r="EQ91" s="239">
        <v>-69134</v>
      </c>
      <c r="ER91" s="239">
        <v>0</v>
      </c>
      <c r="ES91" s="239">
        <v>-69134</v>
      </c>
      <c r="ET91" s="239">
        <v>-325507</v>
      </c>
      <c r="EU91" s="239">
        <v>0</v>
      </c>
      <c r="EV91" s="239">
        <v>-325507</v>
      </c>
      <c r="EW91" s="239">
        <v>-87493</v>
      </c>
      <c r="EX91" s="239">
        <v>0</v>
      </c>
      <c r="EY91" s="239">
        <v>-87493</v>
      </c>
      <c r="EZ91" s="239">
        <v>-559753</v>
      </c>
      <c r="FA91" s="239">
        <v>0</v>
      </c>
      <c r="FB91" s="239">
        <v>-559753</v>
      </c>
      <c r="FC91" s="239">
        <v>0</v>
      </c>
      <c r="FD91" s="239">
        <v>0</v>
      </c>
      <c r="FE91" s="239">
        <v>0</v>
      </c>
      <c r="FF91" s="239">
        <v>0</v>
      </c>
      <c r="FG91" s="239">
        <v>0</v>
      </c>
      <c r="FH91" s="239">
        <v>0</v>
      </c>
      <c r="FI91" s="239">
        <v>0</v>
      </c>
      <c r="FJ91" s="239">
        <v>0</v>
      </c>
      <c r="FK91" s="239">
        <v>0</v>
      </c>
      <c r="FL91" s="239">
        <v>45895398</v>
      </c>
      <c r="FM91" s="239">
        <v>0</v>
      </c>
      <c r="FN91" s="239">
        <v>45895398</v>
      </c>
      <c r="FO91" s="239">
        <v>-567774</v>
      </c>
      <c r="FP91" s="239">
        <v>0</v>
      </c>
      <c r="FQ91" s="239">
        <v>-567774</v>
      </c>
      <c r="FR91" s="239">
        <v>-8850962</v>
      </c>
      <c r="FS91" s="239">
        <v>0</v>
      </c>
      <c r="FT91" s="239">
        <v>-8850962</v>
      </c>
      <c r="FU91" s="239">
        <v>-684493</v>
      </c>
      <c r="FV91" s="239">
        <v>0</v>
      </c>
      <c r="FW91" s="239">
        <v>-684493</v>
      </c>
      <c r="FX91" s="239">
        <v>-85266</v>
      </c>
      <c r="FY91" s="239">
        <v>0</v>
      </c>
      <c r="FZ91" s="239">
        <v>-85266</v>
      </c>
      <c r="GA91" s="239">
        <v>-559753</v>
      </c>
      <c r="GB91" s="239">
        <v>0</v>
      </c>
      <c r="GC91" s="239">
        <v>-559753</v>
      </c>
      <c r="GD91" s="239">
        <v>0</v>
      </c>
      <c r="GE91" s="239">
        <v>0</v>
      </c>
      <c r="GF91" s="239">
        <v>0</v>
      </c>
      <c r="GG91" s="239">
        <v>-10748248</v>
      </c>
      <c r="GH91" s="239">
        <v>0</v>
      </c>
      <c r="GI91" s="239">
        <v>-10748248</v>
      </c>
      <c r="GJ91" s="239">
        <v>35147150</v>
      </c>
      <c r="GK91" s="239">
        <v>0</v>
      </c>
      <c r="GL91" s="239">
        <v>35147150</v>
      </c>
      <c r="GM91" s="214" t="s">
        <v>1158</v>
      </c>
    </row>
    <row r="92" spans="1:195" s="214" customFormat="1" x14ac:dyDescent="0.2">
      <c r="B92" s="602" t="s">
        <v>267</v>
      </c>
      <c r="C92" s="602" t="s">
        <v>266</v>
      </c>
      <c r="D92" s="239">
        <v>-520299</v>
      </c>
      <c r="E92" s="239">
        <v>0</v>
      </c>
      <c r="F92" s="239">
        <v>-520299</v>
      </c>
      <c r="G92" s="239">
        <v>16136</v>
      </c>
      <c r="H92" s="239">
        <v>0</v>
      </c>
      <c r="I92" s="239">
        <v>16136</v>
      </c>
      <c r="J92" s="239">
        <v>1227115</v>
      </c>
      <c r="K92" s="239">
        <v>0</v>
      </c>
      <c r="L92" s="239">
        <v>1227115</v>
      </c>
      <c r="M92" s="239">
        <v>-1897</v>
      </c>
      <c r="N92" s="239">
        <v>0</v>
      </c>
      <c r="O92" s="239">
        <v>-1897</v>
      </c>
      <c r="P92" s="239">
        <v>721055</v>
      </c>
      <c r="Q92" s="239">
        <v>0</v>
      </c>
      <c r="R92" s="239">
        <v>721055</v>
      </c>
      <c r="S92" s="239">
        <v>-2843185</v>
      </c>
      <c r="T92" s="239">
        <v>0</v>
      </c>
      <c r="U92" s="239">
        <v>-2843185</v>
      </c>
      <c r="V92" s="239">
        <v>-10257</v>
      </c>
      <c r="W92" s="239">
        <v>0</v>
      </c>
      <c r="X92" s="239">
        <v>-10257</v>
      </c>
      <c r="Y92" s="239">
        <v>-130589</v>
      </c>
      <c r="Z92" s="239">
        <v>0</v>
      </c>
      <c r="AA92" s="239">
        <v>-130589</v>
      </c>
      <c r="AB92" s="239">
        <v>0</v>
      </c>
      <c r="AC92" s="239">
        <v>0</v>
      </c>
      <c r="AD92" s="239">
        <v>0</v>
      </c>
      <c r="AE92" s="239">
        <v>359</v>
      </c>
      <c r="AF92" s="239">
        <v>0</v>
      </c>
      <c r="AG92" s="239">
        <v>359</v>
      </c>
      <c r="AH92" s="239">
        <v>725479</v>
      </c>
      <c r="AI92" s="239">
        <v>0</v>
      </c>
      <c r="AJ92" s="239">
        <v>725479</v>
      </c>
      <c r="AK92" s="239">
        <v>10065</v>
      </c>
      <c r="AL92" s="239">
        <v>0</v>
      </c>
      <c r="AM92" s="239">
        <v>10065</v>
      </c>
      <c r="AN92" s="239">
        <v>-1896156</v>
      </c>
      <c r="AO92" s="239">
        <v>0</v>
      </c>
      <c r="AP92" s="239">
        <v>-1896156</v>
      </c>
      <c r="AQ92" s="239">
        <v>66185</v>
      </c>
      <c r="AR92" s="239">
        <v>0</v>
      </c>
      <c r="AS92" s="239">
        <v>66185</v>
      </c>
      <c r="AT92" s="239">
        <v>-33642</v>
      </c>
      <c r="AU92" s="239">
        <v>0</v>
      </c>
      <c r="AV92" s="239">
        <v>-33642</v>
      </c>
      <c r="AW92" s="239">
        <v>-158</v>
      </c>
      <c r="AX92" s="239">
        <v>0</v>
      </c>
      <c r="AY92" s="239">
        <v>-158</v>
      </c>
      <c r="AZ92" s="239">
        <v>-26791</v>
      </c>
      <c r="BA92" s="239">
        <v>0</v>
      </c>
      <c r="BB92" s="239">
        <v>-26791</v>
      </c>
      <c r="BC92" s="239">
        <v>0</v>
      </c>
      <c r="BD92" s="239">
        <v>0</v>
      </c>
      <c r="BE92" s="239">
        <v>0</v>
      </c>
      <c r="BF92" s="239">
        <v>-4128792</v>
      </c>
      <c r="BG92" s="239">
        <v>0</v>
      </c>
      <c r="BH92" s="239">
        <v>-4128792</v>
      </c>
      <c r="BI92" s="239">
        <v>-50948</v>
      </c>
      <c r="BJ92" s="239">
        <v>0</v>
      </c>
      <c r="BK92" s="239">
        <v>-50948</v>
      </c>
      <c r="BL92" s="239">
        <v>-319574</v>
      </c>
      <c r="BM92" s="239">
        <v>0</v>
      </c>
      <c r="BN92" s="239">
        <v>-319574</v>
      </c>
      <c r="BO92" s="239">
        <v>-491979</v>
      </c>
      <c r="BP92" s="239">
        <v>0</v>
      </c>
      <c r="BQ92" s="239">
        <v>-491979</v>
      </c>
      <c r="BR92" s="239">
        <v>-160476</v>
      </c>
      <c r="BS92" s="239">
        <v>0</v>
      </c>
      <c r="BT92" s="239">
        <v>-160476</v>
      </c>
      <c r="BU92" s="239">
        <v>-1022977</v>
      </c>
      <c r="BV92" s="239">
        <v>0</v>
      </c>
      <c r="BW92" s="239">
        <v>-1022977</v>
      </c>
      <c r="BX92" s="239">
        <v>-79603</v>
      </c>
      <c r="BY92" s="239">
        <v>0</v>
      </c>
      <c r="BZ92" s="239">
        <v>-79603</v>
      </c>
      <c r="CA92" s="239">
        <v>2447</v>
      </c>
      <c r="CB92" s="239">
        <v>0</v>
      </c>
      <c r="CC92" s="239">
        <v>2447</v>
      </c>
      <c r="CD92" s="239">
        <v>-56575</v>
      </c>
      <c r="CE92" s="239">
        <v>0</v>
      </c>
      <c r="CF92" s="239">
        <v>-56575</v>
      </c>
      <c r="CG92" s="239">
        <v>-1255</v>
      </c>
      <c r="CH92" s="239">
        <v>0</v>
      </c>
      <c r="CI92" s="239">
        <v>-1255</v>
      </c>
      <c r="CJ92" s="239">
        <v>-3935</v>
      </c>
      <c r="CK92" s="239">
        <v>0</v>
      </c>
      <c r="CL92" s="239">
        <v>-3935</v>
      </c>
      <c r="CM92" s="239">
        <v>-40</v>
      </c>
      <c r="CN92" s="239">
        <v>0</v>
      </c>
      <c r="CO92" s="239">
        <v>-40</v>
      </c>
      <c r="CP92" s="239">
        <v>0</v>
      </c>
      <c r="CQ92" s="239">
        <v>0</v>
      </c>
      <c r="CR92" s="239">
        <v>0</v>
      </c>
      <c r="CS92" s="239">
        <v>0</v>
      </c>
      <c r="CT92" s="239">
        <v>0</v>
      </c>
      <c r="CU92" s="239">
        <v>0</v>
      </c>
      <c r="CV92" s="239">
        <v>-44529</v>
      </c>
      <c r="CW92" s="239">
        <v>0</v>
      </c>
      <c r="CX92" s="239">
        <v>-44529</v>
      </c>
      <c r="CY92" s="239">
        <v>-33</v>
      </c>
      <c r="CZ92" s="239">
        <v>0</v>
      </c>
      <c r="DA92" s="239">
        <v>-33</v>
      </c>
      <c r="DB92" s="239">
        <v>-26791</v>
      </c>
      <c r="DC92" s="239">
        <v>0</v>
      </c>
      <c r="DD92" s="239">
        <v>-26791</v>
      </c>
      <c r="DE92" s="239">
        <v>0</v>
      </c>
      <c r="DF92" s="239">
        <v>0</v>
      </c>
      <c r="DG92" s="239">
        <v>0</v>
      </c>
      <c r="DH92" s="239">
        <v>0</v>
      </c>
      <c r="DI92" s="239">
        <v>0</v>
      </c>
      <c r="DJ92" s="239">
        <v>-210314</v>
      </c>
      <c r="DK92" s="239">
        <v>0</v>
      </c>
      <c r="DL92" s="239">
        <v>-210314</v>
      </c>
      <c r="DM92" s="239">
        <v>0</v>
      </c>
      <c r="DN92" s="239">
        <v>0</v>
      </c>
      <c r="DO92" s="239">
        <v>0</v>
      </c>
      <c r="DP92" s="239">
        <v>0</v>
      </c>
      <c r="DQ92" s="239">
        <v>0</v>
      </c>
      <c r="DR92" s="239">
        <v>0</v>
      </c>
      <c r="DS92" s="239">
        <v>0</v>
      </c>
      <c r="DT92" s="239">
        <v>0</v>
      </c>
      <c r="DU92" s="239">
        <v>0</v>
      </c>
      <c r="DV92" s="239">
        <v>0</v>
      </c>
      <c r="DW92" s="239">
        <v>0</v>
      </c>
      <c r="DX92" s="239">
        <v>0</v>
      </c>
      <c r="DY92" s="239">
        <v>0</v>
      </c>
      <c r="DZ92" s="239">
        <v>0</v>
      </c>
      <c r="EA92" s="239">
        <v>0</v>
      </c>
      <c r="EB92" s="239">
        <v>0</v>
      </c>
      <c r="EC92" s="239">
        <v>0</v>
      </c>
      <c r="ED92" s="239">
        <v>0</v>
      </c>
      <c r="EE92" s="239">
        <v>0</v>
      </c>
      <c r="EF92" s="239">
        <v>0</v>
      </c>
      <c r="EG92" s="239">
        <v>0</v>
      </c>
      <c r="EH92" s="239">
        <v>0</v>
      </c>
      <c r="EI92" s="239">
        <v>0</v>
      </c>
      <c r="EJ92" s="239">
        <v>0</v>
      </c>
      <c r="EK92" s="239">
        <v>0</v>
      </c>
      <c r="EL92" s="239">
        <v>0</v>
      </c>
      <c r="EM92" s="239">
        <v>0</v>
      </c>
      <c r="EN92" s="239">
        <v>0</v>
      </c>
      <c r="EO92" s="239">
        <v>0</v>
      </c>
      <c r="EP92" s="239">
        <v>0</v>
      </c>
      <c r="EQ92" s="239">
        <v>-9573</v>
      </c>
      <c r="ER92" s="239">
        <v>0</v>
      </c>
      <c r="ES92" s="239">
        <v>-9573</v>
      </c>
      <c r="ET92" s="239">
        <v>-88577</v>
      </c>
      <c r="EU92" s="239">
        <v>0</v>
      </c>
      <c r="EV92" s="239">
        <v>-88577</v>
      </c>
      <c r="EW92" s="239">
        <v>-41787</v>
      </c>
      <c r="EX92" s="239">
        <v>0</v>
      </c>
      <c r="EY92" s="239">
        <v>-41787</v>
      </c>
      <c r="EZ92" s="239">
        <v>-139937</v>
      </c>
      <c r="FA92" s="239">
        <v>0</v>
      </c>
      <c r="FB92" s="239">
        <v>-139937</v>
      </c>
      <c r="FC92" s="239">
        <v>0</v>
      </c>
      <c r="FD92" s="239">
        <v>0</v>
      </c>
      <c r="FE92" s="239">
        <v>0</v>
      </c>
      <c r="FF92" s="239">
        <v>0</v>
      </c>
      <c r="FG92" s="239">
        <v>0</v>
      </c>
      <c r="FH92" s="239">
        <v>0</v>
      </c>
      <c r="FI92" s="239">
        <v>0</v>
      </c>
      <c r="FJ92" s="239">
        <v>0</v>
      </c>
      <c r="FK92" s="239">
        <v>0</v>
      </c>
      <c r="FL92" s="239">
        <v>35199688</v>
      </c>
      <c r="FM92" s="239">
        <v>0</v>
      </c>
      <c r="FN92" s="239">
        <v>35199688</v>
      </c>
      <c r="FO92" s="239">
        <v>721055</v>
      </c>
      <c r="FP92" s="239">
        <v>0</v>
      </c>
      <c r="FQ92" s="239">
        <v>721055</v>
      </c>
      <c r="FR92" s="239">
        <v>-4128792</v>
      </c>
      <c r="FS92" s="239">
        <v>0</v>
      </c>
      <c r="FT92" s="239">
        <v>-4128792</v>
      </c>
      <c r="FU92" s="239">
        <v>-1022977</v>
      </c>
      <c r="FV92" s="239">
        <v>0</v>
      </c>
      <c r="FW92" s="239">
        <v>-1022977</v>
      </c>
      <c r="FX92" s="239">
        <v>-210314</v>
      </c>
      <c r="FY92" s="239">
        <v>0</v>
      </c>
      <c r="FZ92" s="239">
        <v>-210314</v>
      </c>
      <c r="GA92" s="239">
        <v>-139937</v>
      </c>
      <c r="GB92" s="239">
        <v>0</v>
      </c>
      <c r="GC92" s="239">
        <v>-139937</v>
      </c>
      <c r="GD92" s="239">
        <v>0</v>
      </c>
      <c r="GE92" s="239">
        <v>0</v>
      </c>
      <c r="GF92" s="239">
        <v>0</v>
      </c>
      <c r="GG92" s="239">
        <v>-4780965</v>
      </c>
      <c r="GH92" s="239">
        <v>0</v>
      </c>
      <c r="GI92" s="239">
        <v>-4780965</v>
      </c>
      <c r="GJ92" s="239">
        <v>30418723</v>
      </c>
      <c r="GK92" s="239">
        <v>0</v>
      </c>
      <c r="GL92" s="239">
        <v>30418723</v>
      </c>
      <c r="GM92" s="214" t="s">
        <v>1158</v>
      </c>
    </row>
    <row r="93" spans="1:195" s="214" customFormat="1" x14ac:dyDescent="0.2">
      <c r="B93" s="602" t="s">
        <v>269</v>
      </c>
      <c r="C93" s="602" t="s">
        <v>268</v>
      </c>
      <c r="D93" s="239">
        <v>-3349122</v>
      </c>
      <c r="E93" s="239">
        <v>0</v>
      </c>
      <c r="F93" s="239">
        <v>-3349122</v>
      </c>
      <c r="G93" s="239">
        <v>953637</v>
      </c>
      <c r="H93" s="239">
        <v>0</v>
      </c>
      <c r="I93" s="239">
        <v>953637</v>
      </c>
      <c r="J93" s="239">
        <v>12744396</v>
      </c>
      <c r="K93" s="239">
        <v>0</v>
      </c>
      <c r="L93" s="239">
        <v>12744396</v>
      </c>
      <c r="M93" s="239">
        <v>52895</v>
      </c>
      <c r="N93" s="239">
        <v>0</v>
      </c>
      <c r="O93" s="239">
        <v>52895</v>
      </c>
      <c r="P93" s="239">
        <v>10401806</v>
      </c>
      <c r="Q93" s="239">
        <v>0</v>
      </c>
      <c r="R93" s="239">
        <v>10401806</v>
      </c>
      <c r="S93" s="239">
        <v>-11829137</v>
      </c>
      <c r="T93" s="239">
        <v>0</v>
      </c>
      <c r="U93" s="239">
        <v>-11829137</v>
      </c>
      <c r="V93" s="239">
        <v>-10169</v>
      </c>
      <c r="W93" s="239">
        <v>0</v>
      </c>
      <c r="X93" s="239">
        <v>-10169</v>
      </c>
      <c r="Y93" s="239">
        <v>-356650</v>
      </c>
      <c r="Z93" s="239">
        <v>0</v>
      </c>
      <c r="AA93" s="239">
        <v>-356650</v>
      </c>
      <c r="AB93" s="239">
        <v>-350770</v>
      </c>
      <c r="AC93" s="239">
        <v>0</v>
      </c>
      <c r="AD93" s="239">
        <v>-350770</v>
      </c>
      <c r="AE93" s="239">
        <v>-5880</v>
      </c>
      <c r="AF93" s="239">
        <v>0</v>
      </c>
      <c r="AG93" s="239">
        <v>-5880</v>
      </c>
      <c r="AH93" s="239">
        <v>2169889</v>
      </c>
      <c r="AI93" s="239">
        <v>2821</v>
      </c>
      <c r="AJ93" s="239">
        <v>2172710</v>
      </c>
      <c r="AK93" s="239">
        <v>1413840</v>
      </c>
      <c r="AL93" s="239">
        <v>0</v>
      </c>
      <c r="AM93" s="239">
        <v>1413840</v>
      </c>
      <c r="AN93" s="239">
        <v>-4098318</v>
      </c>
      <c r="AO93" s="239">
        <v>0</v>
      </c>
      <c r="AP93" s="239">
        <v>-4098318</v>
      </c>
      <c r="AQ93" s="239">
        <v>-229639</v>
      </c>
      <c r="AR93" s="239">
        <v>0</v>
      </c>
      <c r="AS93" s="239">
        <v>-229639</v>
      </c>
      <c r="AT93" s="239">
        <v>-43420</v>
      </c>
      <c r="AU93" s="239">
        <v>0</v>
      </c>
      <c r="AV93" s="239">
        <v>-43420</v>
      </c>
      <c r="AW93" s="239">
        <v>0</v>
      </c>
      <c r="AX93" s="239">
        <v>0</v>
      </c>
      <c r="AY93" s="239">
        <v>0</v>
      </c>
      <c r="AZ93" s="239">
        <v>-65097</v>
      </c>
      <c r="BA93" s="239">
        <v>0</v>
      </c>
      <c r="BB93" s="239">
        <v>-65097</v>
      </c>
      <c r="BC93" s="239">
        <v>2230</v>
      </c>
      <c r="BD93" s="239">
        <v>0</v>
      </c>
      <c r="BE93" s="239">
        <v>2230</v>
      </c>
      <c r="BF93" s="239">
        <v>-13036302</v>
      </c>
      <c r="BG93" s="239">
        <v>2821</v>
      </c>
      <c r="BH93" s="239">
        <v>-13033481</v>
      </c>
      <c r="BI93" s="239">
        <v>-82702</v>
      </c>
      <c r="BJ93" s="239">
        <v>0</v>
      </c>
      <c r="BK93" s="239">
        <v>-82702</v>
      </c>
      <c r="BL93" s="239">
        <v>14146</v>
      </c>
      <c r="BM93" s="239">
        <v>0</v>
      </c>
      <c r="BN93" s="239">
        <v>14146</v>
      </c>
      <c r="BO93" s="239">
        <v>-2057689</v>
      </c>
      <c r="BP93" s="239">
        <v>0</v>
      </c>
      <c r="BQ93" s="239">
        <v>-2057689</v>
      </c>
      <c r="BR93" s="239">
        <v>-62192</v>
      </c>
      <c r="BS93" s="239">
        <v>0</v>
      </c>
      <c r="BT93" s="239">
        <v>-62192</v>
      </c>
      <c r="BU93" s="239">
        <v>-2188437</v>
      </c>
      <c r="BV93" s="239">
        <v>0</v>
      </c>
      <c r="BW93" s="239">
        <v>-2188437</v>
      </c>
      <c r="BX93" s="239">
        <v>-117405</v>
      </c>
      <c r="BY93" s="239">
        <v>0</v>
      </c>
      <c r="BZ93" s="239">
        <v>-117405</v>
      </c>
      <c r="CA93" s="239">
        <v>4824</v>
      </c>
      <c r="CB93" s="239">
        <v>0</v>
      </c>
      <c r="CC93" s="239">
        <v>4824</v>
      </c>
      <c r="CD93" s="239">
        <v>-329110</v>
      </c>
      <c r="CE93" s="239">
        <v>0</v>
      </c>
      <c r="CF93" s="239">
        <v>-329110</v>
      </c>
      <c r="CG93" s="239">
        <v>1056</v>
      </c>
      <c r="CH93" s="239">
        <v>0</v>
      </c>
      <c r="CI93" s="239">
        <v>1056</v>
      </c>
      <c r="CJ93" s="239">
        <v>-16836</v>
      </c>
      <c r="CK93" s="239">
        <v>0</v>
      </c>
      <c r="CL93" s="239">
        <v>-16836</v>
      </c>
      <c r="CM93" s="239">
        <v>-2762</v>
      </c>
      <c r="CN93" s="239">
        <v>0</v>
      </c>
      <c r="CO93" s="239">
        <v>-2762</v>
      </c>
      <c r="CP93" s="239">
        <v>0</v>
      </c>
      <c r="CQ93" s="239">
        <v>0</v>
      </c>
      <c r="CR93" s="239">
        <v>0</v>
      </c>
      <c r="CS93" s="239">
        <v>-291</v>
      </c>
      <c r="CT93" s="239">
        <v>0</v>
      </c>
      <c r="CU93" s="239">
        <v>-291</v>
      </c>
      <c r="CV93" s="239">
        <v>-30650</v>
      </c>
      <c r="CW93" s="239">
        <v>0</v>
      </c>
      <c r="CX93" s="239">
        <v>-30650</v>
      </c>
      <c r="CY93" s="239">
        <v>-2856</v>
      </c>
      <c r="CZ93" s="239">
        <v>0</v>
      </c>
      <c r="DA93" s="239">
        <v>-2856</v>
      </c>
      <c r="DB93" s="239">
        <v>-215124</v>
      </c>
      <c r="DC93" s="239">
        <v>0</v>
      </c>
      <c r="DD93" s="239">
        <v>-215124</v>
      </c>
      <c r="DE93" s="239">
        <v>-15355</v>
      </c>
      <c r="DF93" s="239">
        <v>0</v>
      </c>
      <c r="DG93" s="239">
        <v>-15355</v>
      </c>
      <c r="DH93" s="239">
        <v>0</v>
      </c>
      <c r="DI93" s="239">
        <v>-230479</v>
      </c>
      <c r="DJ93" s="239">
        <v>-724509</v>
      </c>
      <c r="DK93" s="239">
        <v>0</v>
      </c>
      <c r="DL93" s="239">
        <v>-724509</v>
      </c>
      <c r="DM93" s="239">
        <v>0</v>
      </c>
      <c r="DN93" s="239">
        <v>0</v>
      </c>
      <c r="DO93" s="239">
        <v>0</v>
      </c>
      <c r="DP93" s="239">
        <v>0</v>
      </c>
      <c r="DQ93" s="239">
        <v>0</v>
      </c>
      <c r="DR93" s="239">
        <v>0</v>
      </c>
      <c r="DS93" s="239">
        <v>-7044</v>
      </c>
      <c r="DT93" s="239">
        <v>0</v>
      </c>
      <c r="DU93" s="239">
        <v>-7044</v>
      </c>
      <c r="DV93" s="239">
        <v>5157</v>
      </c>
      <c r="DW93" s="239">
        <v>0</v>
      </c>
      <c r="DX93" s="239">
        <v>5157</v>
      </c>
      <c r="DY93" s="239">
        <v>13940</v>
      </c>
      <c r="DZ93" s="239">
        <v>0</v>
      </c>
      <c r="EA93" s="239">
        <v>13940</v>
      </c>
      <c r="EB93" s="239">
        <v>0</v>
      </c>
      <c r="EC93" s="239">
        <v>0</v>
      </c>
      <c r="ED93" s="239">
        <v>0</v>
      </c>
      <c r="EE93" s="239">
        <v>-1788</v>
      </c>
      <c r="EF93" s="239">
        <v>0</v>
      </c>
      <c r="EG93" s="239">
        <v>-1788</v>
      </c>
      <c r="EH93" s="239">
        <v>0</v>
      </c>
      <c r="EI93" s="239">
        <v>0</v>
      </c>
      <c r="EJ93" s="239">
        <v>0</v>
      </c>
      <c r="EK93" s="239">
        <v>-65096</v>
      </c>
      <c r="EL93" s="239">
        <v>0</v>
      </c>
      <c r="EM93" s="239">
        <v>-65096</v>
      </c>
      <c r="EN93" s="239">
        <v>-1500</v>
      </c>
      <c r="EO93" s="239">
        <v>0</v>
      </c>
      <c r="EP93" s="239">
        <v>-1500</v>
      </c>
      <c r="EQ93" s="239">
        <v>-149037</v>
      </c>
      <c r="ER93" s="239">
        <v>0</v>
      </c>
      <c r="ES93" s="239">
        <v>-149037</v>
      </c>
      <c r="ET93" s="239">
        <v>-570759</v>
      </c>
      <c r="EU93" s="239">
        <v>0</v>
      </c>
      <c r="EV93" s="239">
        <v>-570759</v>
      </c>
      <c r="EW93" s="239">
        <v>-162618</v>
      </c>
      <c r="EX93" s="239">
        <v>0</v>
      </c>
      <c r="EY93" s="239">
        <v>-162618</v>
      </c>
      <c r="EZ93" s="239">
        <v>-938745</v>
      </c>
      <c r="FA93" s="239">
        <v>0</v>
      </c>
      <c r="FB93" s="239">
        <v>-938745</v>
      </c>
      <c r="FC93" s="239">
        <v>0</v>
      </c>
      <c r="FD93" s="239">
        <v>0</v>
      </c>
      <c r="FE93" s="239">
        <v>0</v>
      </c>
      <c r="FF93" s="239">
        <v>0</v>
      </c>
      <c r="FG93" s="239">
        <v>0</v>
      </c>
      <c r="FH93" s="239">
        <v>0</v>
      </c>
      <c r="FI93" s="239">
        <v>0</v>
      </c>
      <c r="FJ93" s="239">
        <v>0</v>
      </c>
      <c r="FK93" s="239">
        <v>0</v>
      </c>
      <c r="FL93" s="239">
        <v>112035242</v>
      </c>
      <c r="FM93" s="239">
        <v>101122</v>
      </c>
      <c r="FN93" s="239">
        <v>112136364</v>
      </c>
      <c r="FO93" s="239">
        <v>10401806</v>
      </c>
      <c r="FP93" s="239">
        <v>0</v>
      </c>
      <c r="FQ93" s="239">
        <v>10401806</v>
      </c>
      <c r="FR93" s="239">
        <v>-13036302</v>
      </c>
      <c r="FS93" s="239">
        <v>2821</v>
      </c>
      <c r="FT93" s="239">
        <v>-13033481</v>
      </c>
      <c r="FU93" s="239">
        <v>-2188437</v>
      </c>
      <c r="FV93" s="239">
        <v>0</v>
      </c>
      <c r="FW93" s="239">
        <v>-2188437</v>
      </c>
      <c r="FX93" s="239">
        <v>-724509</v>
      </c>
      <c r="FY93" s="239">
        <v>0</v>
      </c>
      <c r="FZ93" s="239">
        <v>-724509</v>
      </c>
      <c r="GA93" s="239">
        <v>-938745</v>
      </c>
      <c r="GB93" s="239">
        <v>0</v>
      </c>
      <c r="GC93" s="239">
        <v>-938745</v>
      </c>
      <c r="GD93" s="239">
        <v>0</v>
      </c>
      <c r="GE93" s="239">
        <v>0</v>
      </c>
      <c r="GF93" s="239">
        <v>0</v>
      </c>
      <c r="GG93" s="239">
        <v>-6486187</v>
      </c>
      <c r="GH93" s="239">
        <v>2821</v>
      </c>
      <c r="GI93" s="239">
        <v>-6483366</v>
      </c>
      <c r="GJ93" s="239">
        <v>105549055</v>
      </c>
      <c r="GK93" s="239">
        <v>103943</v>
      </c>
      <c r="GL93" s="239">
        <v>105652998</v>
      </c>
      <c r="GM93" s="214" t="s">
        <v>746</v>
      </c>
    </row>
    <row r="94" spans="1:195" s="214" customFormat="1" x14ac:dyDescent="0.2">
      <c r="B94" s="602" t="s">
        <v>271</v>
      </c>
      <c r="C94" s="602" t="s">
        <v>270</v>
      </c>
      <c r="D94" s="239">
        <v>-2068091</v>
      </c>
      <c r="E94" s="239">
        <v>0</v>
      </c>
      <c r="F94" s="239">
        <v>-2068091</v>
      </c>
      <c r="G94" s="239">
        <v>1814</v>
      </c>
      <c r="H94" s="239">
        <v>0</v>
      </c>
      <c r="I94" s="239">
        <v>1814</v>
      </c>
      <c r="J94" s="239">
        <v>3374836</v>
      </c>
      <c r="K94" s="239">
        <v>0</v>
      </c>
      <c r="L94" s="239">
        <v>3374836</v>
      </c>
      <c r="M94" s="239">
        <v>10689</v>
      </c>
      <c r="N94" s="239">
        <v>0</v>
      </c>
      <c r="O94" s="239">
        <v>10689</v>
      </c>
      <c r="P94" s="239">
        <v>1319248</v>
      </c>
      <c r="Q94" s="239">
        <v>0</v>
      </c>
      <c r="R94" s="239">
        <v>1319248</v>
      </c>
      <c r="S94" s="239">
        <v>-3923215</v>
      </c>
      <c r="T94" s="239">
        <v>0</v>
      </c>
      <c r="U94" s="239">
        <v>-3923215</v>
      </c>
      <c r="V94" s="239">
        <v>0</v>
      </c>
      <c r="W94" s="239">
        <v>0</v>
      </c>
      <c r="X94" s="239">
        <v>0</v>
      </c>
      <c r="Y94" s="239">
        <v>-35475</v>
      </c>
      <c r="Z94" s="239">
        <v>0</v>
      </c>
      <c r="AA94" s="239">
        <v>-35475</v>
      </c>
      <c r="AB94" s="239">
        <v>-35475</v>
      </c>
      <c r="AC94" s="239">
        <v>0</v>
      </c>
      <c r="AD94" s="239">
        <v>-35475</v>
      </c>
      <c r="AE94" s="239">
        <v>0</v>
      </c>
      <c r="AF94" s="239">
        <v>0</v>
      </c>
      <c r="AG94" s="239">
        <v>0</v>
      </c>
      <c r="AH94" s="239">
        <v>1339931</v>
      </c>
      <c r="AI94" s="239">
        <v>0</v>
      </c>
      <c r="AJ94" s="239">
        <v>1339931</v>
      </c>
      <c r="AK94" s="239">
        <v>-39131</v>
      </c>
      <c r="AL94" s="239">
        <v>0</v>
      </c>
      <c r="AM94" s="239">
        <v>-39131</v>
      </c>
      <c r="AN94" s="239">
        <v>-2323330</v>
      </c>
      <c r="AO94" s="239">
        <v>0</v>
      </c>
      <c r="AP94" s="239">
        <v>-2323330</v>
      </c>
      <c r="AQ94" s="239">
        <v>-7404</v>
      </c>
      <c r="AR94" s="239">
        <v>0</v>
      </c>
      <c r="AS94" s="239">
        <v>-7404</v>
      </c>
      <c r="AT94" s="239">
        <v>-47040</v>
      </c>
      <c r="AU94" s="239">
        <v>0</v>
      </c>
      <c r="AV94" s="239">
        <v>-47040</v>
      </c>
      <c r="AW94" s="239">
        <v>-214</v>
      </c>
      <c r="AX94" s="239">
        <v>0</v>
      </c>
      <c r="AY94" s="239">
        <v>-214</v>
      </c>
      <c r="AZ94" s="239">
        <v>-2414</v>
      </c>
      <c r="BA94" s="239">
        <v>0</v>
      </c>
      <c r="BB94" s="239">
        <v>-2414</v>
      </c>
      <c r="BC94" s="239">
        <v>0</v>
      </c>
      <c r="BD94" s="239">
        <v>0</v>
      </c>
      <c r="BE94" s="239">
        <v>0</v>
      </c>
      <c r="BF94" s="239">
        <v>-5038292</v>
      </c>
      <c r="BG94" s="239">
        <v>0</v>
      </c>
      <c r="BH94" s="239">
        <v>-5038292</v>
      </c>
      <c r="BI94" s="239">
        <v>-28543</v>
      </c>
      <c r="BJ94" s="239">
        <v>0</v>
      </c>
      <c r="BK94" s="239">
        <v>-28543</v>
      </c>
      <c r="BL94" s="239">
        <v>-145414</v>
      </c>
      <c r="BM94" s="239">
        <v>0</v>
      </c>
      <c r="BN94" s="239">
        <v>-145414</v>
      </c>
      <c r="BO94" s="239">
        <v>-1686088</v>
      </c>
      <c r="BP94" s="239">
        <v>0</v>
      </c>
      <c r="BQ94" s="239">
        <v>-1686088</v>
      </c>
      <c r="BR94" s="239">
        <v>194316</v>
      </c>
      <c r="BS94" s="239">
        <v>0</v>
      </c>
      <c r="BT94" s="239">
        <v>194316</v>
      </c>
      <c r="BU94" s="239">
        <v>-1665729</v>
      </c>
      <c r="BV94" s="239">
        <v>0</v>
      </c>
      <c r="BW94" s="239">
        <v>-1665729</v>
      </c>
      <c r="BX94" s="239">
        <v>-27095</v>
      </c>
      <c r="BY94" s="239">
        <v>0</v>
      </c>
      <c r="BZ94" s="239">
        <v>-27095</v>
      </c>
      <c r="CA94" s="239">
        <v>-25335</v>
      </c>
      <c r="CB94" s="239">
        <v>0</v>
      </c>
      <c r="CC94" s="239">
        <v>-25335</v>
      </c>
      <c r="CD94" s="239">
        <v>-10485</v>
      </c>
      <c r="CE94" s="239">
        <v>0</v>
      </c>
      <c r="CF94" s="239">
        <v>-10485</v>
      </c>
      <c r="CG94" s="239">
        <v>-30918</v>
      </c>
      <c r="CH94" s="239">
        <v>0</v>
      </c>
      <c r="CI94" s="239">
        <v>-30918</v>
      </c>
      <c r="CJ94" s="239">
        <v>-2429</v>
      </c>
      <c r="CK94" s="239">
        <v>0</v>
      </c>
      <c r="CL94" s="239">
        <v>-2429</v>
      </c>
      <c r="CM94" s="239">
        <v>-6929</v>
      </c>
      <c r="CN94" s="239">
        <v>0</v>
      </c>
      <c r="CO94" s="239">
        <v>-6929</v>
      </c>
      <c r="CP94" s="239">
        <v>0</v>
      </c>
      <c r="CQ94" s="239">
        <v>0</v>
      </c>
      <c r="CR94" s="239">
        <v>0</v>
      </c>
      <c r="CS94" s="239">
        <v>0</v>
      </c>
      <c r="CT94" s="239">
        <v>0</v>
      </c>
      <c r="CU94" s="239">
        <v>0</v>
      </c>
      <c r="CV94" s="239">
        <v>0</v>
      </c>
      <c r="CW94" s="239">
        <v>0</v>
      </c>
      <c r="CX94" s="239">
        <v>0</v>
      </c>
      <c r="CY94" s="239">
        <v>0</v>
      </c>
      <c r="CZ94" s="239">
        <v>0</v>
      </c>
      <c r="DA94" s="239">
        <v>0</v>
      </c>
      <c r="DB94" s="239">
        <v>0</v>
      </c>
      <c r="DC94" s="239">
        <v>0</v>
      </c>
      <c r="DD94" s="239">
        <v>0</v>
      </c>
      <c r="DE94" s="239">
        <v>0</v>
      </c>
      <c r="DF94" s="239">
        <v>0</v>
      </c>
      <c r="DG94" s="239">
        <v>0</v>
      </c>
      <c r="DH94" s="239">
        <v>0</v>
      </c>
      <c r="DI94" s="239">
        <v>0</v>
      </c>
      <c r="DJ94" s="239">
        <v>-103191</v>
      </c>
      <c r="DK94" s="239">
        <v>0</v>
      </c>
      <c r="DL94" s="239">
        <v>-103191</v>
      </c>
      <c r="DM94" s="239">
        <v>0</v>
      </c>
      <c r="DN94" s="239">
        <v>0</v>
      </c>
      <c r="DO94" s="239">
        <v>0</v>
      </c>
      <c r="DP94" s="239">
        <v>0</v>
      </c>
      <c r="DQ94" s="239">
        <v>0</v>
      </c>
      <c r="DR94" s="239">
        <v>0</v>
      </c>
      <c r="DS94" s="239">
        <v>-136</v>
      </c>
      <c r="DT94" s="239">
        <v>0</v>
      </c>
      <c r="DU94" s="239">
        <v>-136</v>
      </c>
      <c r="DV94" s="239">
        <v>0</v>
      </c>
      <c r="DW94" s="239">
        <v>0</v>
      </c>
      <c r="DX94" s="239">
        <v>0</v>
      </c>
      <c r="DY94" s="239">
        <v>6402</v>
      </c>
      <c r="DZ94" s="239">
        <v>0</v>
      </c>
      <c r="EA94" s="239">
        <v>6402</v>
      </c>
      <c r="EB94" s="239">
        <v>0</v>
      </c>
      <c r="EC94" s="239">
        <v>0</v>
      </c>
      <c r="ED94" s="239">
        <v>0</v>
      </c>
      <c r="EE94" s="239">
        <v>0</v>
      </c>
      <c r="EF94" s="239">
        <v>0</v>
      </c>
      <c r="EG94" s="239">
        <v>0</v>
      </c>
      <c r="EH94" s="239">
        <v>0</v>
      </c>
      <c r="EI94" s="239">
        <v>0</v>
      </c>
      <c r="EJ94" s="239">
        <v>0</v>
      </c>
      <c r="EK94" s="239">
        <v>0</v>
      </c>
      <c r="EL94" s="239">
        <v>0</v>
      </c>
      <c r="EM94" s="239">
        <v>0</v>
      </c>
      <c r="EN94" s="239">
        <v>0</v>
      </c>
      <c r="EO94" s="239">
        <v>0</v>
      </c>
      <c r="EP94" s="239">
        <v>0</v>
      </c>
      <c r="EQ94" s="239">
        <v>-29258</v>
      </c>
      <c r="ER94" s="239">
        <v>0</v>
      </c>
      <c r="ES94" s="239">
        <v>-29258</v>
      </c>
      <c r="ET94" s="239">
        <v>-368093</v>
      </c>
      <c r="EU94" s="239">
        <v>0</v>
      </c>
      <c r="EV94" s="239">
        <v>-368093</v>
      </c>
      <c r="EW94" s="239">
        <v>-23811</v>
      </c>
      <c r="EX94" s="239">
        <v>0</v>
      </c>
      <c r="EY94" s="239">
        <v>-23811</v>
      </c>
      <c r="EZ94" s="239">
        <v>-414896</v>
      </c>
      <c r="FA94" s="239">
        <v>0</v>
      </c>
      <c r="FB94" s="239">
        <v>-414896</v>
      </c>
      <c r="FC94" s="239">
        <v>0</v>
      </c>
      <c r="FD94" s="239">
        <v>0</v>
      </c>
      <c r="FE94" s="239">
        <v>0</v>
      </c>
      <c r="FF94" s="239">
        <v>-3751</v>
      </c>
      <c r="FG94" s="239">
        <v>0</v>
      </c>
      <c r="FH94" s="239">
        <v>-3751</v>
      </c>
      <c r="FI94" s="239">
        <v>-3751</v>
      </c>
      <c r="FJ94" s="239">
        <v>0</v>
      </c>
      <c r="FK94" s="239">
        <v>-3751</v>
      </c>
      <c r="FL94" s="239">
        <v>62302639</v>
      </c>
      <c r="FM94" s="239">
        <v>0</v>
      </c>
      <c r="FN94" s="239">
        <v>62302639</v>
      </c>
      <c r="FO94" s="239">
        <v>1319248</v>
      </c>
      <c r="FP94" s="239">
        <v>0</v>
      </c>
      <c r="FQ94" s="239">
        <v>1319248</v>
      </c>
      <c r="FR94" s="239">
        <v>-5038292</v>
      </c>
      <c r="FS94" s="239">
        <v>0</v>
      </c>
      <c r="FT94" s="239">
        <v>-5038292</v>
      </c>
      <c r="FU94" s="239">
        <v>-1665729</v>
      </c>
      <c r="FV94" s="239">
        <v>0</v>
      </c>
      <c r="FW94" s="239">
        <v>-1665729</v>
      </c>
      <c r="FX94" s="239">
        <v>-103191</v>
      </c>
      <c r="FY94" s="239">
        <v>0</v>
      </c>
      <c r="FZ94" s="239">
        <v>-103191</v>
      </c>
      <c r="GA94" s="239">
        <v>-414896</v>
      </c>
      <c r="GB94" s="239">
        <v>0</v>
      </c>
      <c r="GC94" s="239">
        <v>-414896</v>
      </c>
      <c r="GD94" s="239">
        <v>-3751</v>
      </c>
      <c r="GE94" s="239">
        <v>0</v>
      </c>
      <c r="GF94" s="239">
        <v>-3751</v>
      </c>
      <c r="GG94" s="239">
        <v>-5906611</v>
      </c>
      <c r="GH94" s="239">
        <v>0</v>
      </c>
      <c r="GI94" s="239">
        <v>-5906611</v>
      </c>
      <c r="GJ94" s="239">
        <v>56396028</v>
      </c>
      <c r="GK94" s="239">
        <v>0</v>
      </c>
      <c r="GL94" s="239">
        <v>56396028</v>
      </c>
      <c r="GM94" s="214" t="s">
        <v>1158</v>
      </c>
    </row>
    <row r="95" spans="1:195" s="214" customFormat="1" x14ac:dyDescent="0.2">
      <c r="B95" s="602" t="s">
        <v>273</v>
      </c>
      <c r="C95" s="602" t="s">
        <v>272</v>
      </c>
      <c r="D95" s="239">
        <v>-1429043</v>
      </c>
      <c r="E95" s="239">
        <v>0</v>
      </c>
      <c r="F95" s="239">
        <v>-1429043</v>
      </c>
      <c r="G95" s="239">
        <v>249029</v>
      </c>
      <c r="H95" s="239">
        <v>0</v>
      </c>
      <c r="I95" s="239">
        <v>249029</v>
      </c>
      <c r="J95" s="239">
        <v>622153</v>
      </c>
      <c r="K95" s="239">
        <v>0</v>
      </c>
      <c r="L95" s="239">
        <v>622153</v>
      </c>
      <c r="M95" s="239">
        <v>1609</v>
      </c>
      <c r="N95" s="239">
        <v>0</v>
      </c>
      <c r="O95" s="239">
        <v>1609</v>
      </c>
      <c r="P95" s="239">
        <v>-556252</v>
      </c>
      <c r="Q95" s="239">
        <v>0</v>
      </c>
      <c r="R95" s="239">
        <v>-556252</v>
      </c>
      <c r="S95" s="239">
        <v>-3143823</v>
      </c>
      <c r="T95" s="239">
        <v>0</v>
      </c>
      <c r="U95" s="239">
        <v>-3143823</v>
      </c>
      <c r="V95" s="239">
        <v>0</v>
      </c>
      <c r="W95" s="239">
        <v>0</v>
      </c>
      <c r="X95" s="239">
        <v>0</v>
      </c>
      <c r="Y95" s="239">
        <v>-43426</v>
      </c>
      <c r="Z95" s="239">
        <v>0</v>
      </c>
      <c r="AA95" s="239">
        <v>-43426</v>
      </c>
      <c r="AB95" s="239">
        <v>0</v>
      </c>
      <c r="AC95" s="239">
        <v>0</v>
      </c>
      <c r="AD95" s="239">
        <v>0</v>
      </c>
      <c r="AE95" s="239">
        <v>0</v>
      </c>
      <c r="AF95" s="239">
        <v>0</v>
      </c>
      <c r="AG95" s="239">
        <v>0</v>
      </c>
      <c r="AH95" s="239">
        <v>848683</v>
      </c>
      <c r="AI95" s="239">
        <v>0</v>
      </c>
      <c r="AJ95" s="239">
        <v>848683</v>
      </c>
      <c r="AK95" s="239">
        <v>-30015</v>
      </c>
      <c r="AL95" s="239">
        <v>0</v>
      </c>
      <c r="AM95" s="239">
        <v>-30015</v>
      </c>
      <c r="AN95" s="239">
        <v>-3482676</v>
      </c>
      <c r="AO95" s="239">
        <v>0</v>
      </c>
      <c r="AP95" s="239">
        <v>-3482676</v>
      </c>
      <c r="AQ95" s="239">
        <v>-98495</v>
      </c>
      <c r="AR95" s="239">
        <v>0</v>
      </c>
      <c r="AS95" s="239">
        <v>-98495</v>
      </c>
      <c r="AT95" s="239">
        <v>-117594</v>
      </c>
      <c r="AU95" s="239">
        <v>0</v>
      </c>
      <c r="AV95" s="239">
        <v>-117594</v>
      </c>
      <c r="AW95" s="239">
        <v>0</v>
      </c>
      <c r="AX95" s="239">
        <v>0</v>
      </c>
      <c r="AY95" s="239">
        <v>0</v>
      </c>
      <c r="AZ95" s="239">
        <v>0</v>
      </c>
      <c r="BA95" s="239">
        <v>0</v>
      </c>
      <c r="BB95" s="239">
        <v>0</v>
      </c>
      <c r="BC95" s="239">
        <v>0</v>
      </c>
      <c r="BD95" s="239">
        <v>0</v>
      </c>
      <c r="BE95" s="239">
        <v>0</v>
      </c>
      <c r="BF95" s="239">
        <v>-6067346</v>
      </c>
      <c r="BG95" s="239">
        <v>0</v>
      </c>
      <c r="BH95" s="239">
        <v>-6067346</v>
      </c>
      <c r="BI95" s="239">
        <v>0</v>
      </c>
      <c r="BJ95" s="239">
        <v>0</v>
      </c>
      <c r="BK95" s="239">
        <v>0</v>
      </c>
      <c r="BL95" s="239">
        <v>4358</v>
      </c>
      <c r="BM95" s="239">
        <v>0</v>
      </c>
      <c r="BN95" s="239">
        <v>4358</v>
      </c>
      <c r="BO95" s="239">
        <v>-617328</v>
      </c>
      <c r="BP95" s="239">
        <v>0</v>
      </c>
      <c r="BQ95" s="239">
        <v>-617328</v>
      </c>
      <c r="BR95" s="239">
        <v>-87052</v>
      </c>
      <c r="BS95" s="239">
        <v>0</v>
      </c>
      <c r="BT95" s="239">
        <v>-87052</v>
      </c>
      <c r="BU95" s="239">
        <v>-700022</v>
      </c>
      <c r="BV95" s="239">
        <v>0</v>
      </c>
      <c r="BW95" s="239">
        <v>-700022</v>
      </c>
      <c r="BX95" s="239">
        <v>-57054</v>
      </c>
      <c r="BY95" s="239">
        <v>0</v>
      </c>
      <c r="BZ95" s="239">
        <v>-57054</v>
      </c>
      <c r="CA95" s="239">
        <v>-12425</v>
      </c>
      <c r="CB95" s="239">
        <v>0</v>
      </c>
      <c r="CC95" s="239">
        <v>-12425</v>
      </c>
      <c r="CD95" s="239">
        <v>-52303</v>
      </c>
      <c r="CE95" s="239">
        <v>0</v>
      </c>
      <c r="CF95" s="239">
        <v>-52303</v>
      </c>
      <c r="CG95" s="239">
        <v>0</v>
      </c>
      <c r="CH95" s="239">
        <v>0</v>
      </c>
      <c r="CI95" s="239">
        <v>0</v>
      </c>
      <c r="CJ95" s="239">
        <v>0</v>
      </c>
      <c r="CK95" s="239">
        <v>0</v>
      </c>
      <c r="CL95" s="239">
        <v>0</v>
      </c>
      <c r="CM95" s="239">
        <v>0</v>
      </c>
      <c r="CN95" s="239">
        <v>0</v>
      </c>
      <c r="CO95" s="239">
        <v>0</v>
      </c>
      <c r="CP95" s="239">
        <v>0</v>
      </c>
      <c r="CQ95" s="239">
        <v>0</v>
      </c>
      <c r="CR95" s="239">
        <v>0</v>
      </c>
      <c r="CS95" s="239">
        <v>0</v>
      </c>
      <c r="CT95" s="239">
        <v>0</v>
      </c>
      <c r="CU95" s="239">
        <v>0</v>
      </c>
      <c r="CV95" s="239">
        <v>0</v>
      </c>
      <c r="CW95" s="239">
        <v>0</v>
      </c>
      <c r="CX95" s="239">
        <v>0</v>
      </c>
      <c r="CY95" s="239">
        <v>0</v>
      </c>
      <c r="CZ95" s="239">
        <v>0</v>
      </c>
      <c r="DA95" s="239">
        <v>0</v>
      </c>
      <c r="DB95" s="239">
        <v>0</v>
      </c>
      <c r="DC95" s="239">
        <v>0</v>
      </c>
      <c r="DD95" s="239">
        <v>0</v>
      </c>
      <c r="DE95" s="239">
        <v>0</v>
      </c>
      <c r="DF95" s="239">
        <v>0</v>
      </c>
      <c r="DG95" s="239">
        <v>0</v>
      </c>
      <c r="DH95" s="239">
        <v>0</v>
      </c>
      <c r="DI95" s="239">
        <v>0</v>
      </c>
      <c r="DJ95" s="239">
        <v>-121782</v>
      </c>
      <c r="DK95" s="239">
        <v>0</v>
      </c>
      <c r="DL95" s="239">
        <v>-121782</v>
      </c>
      <c r="DM95" s="239">
        <v>0</v>
      </c>
      <c r="DN95" s="239">
        <v>0</v>
      </c>
      <c r="DO95" s="239">
        <v>0</v>
      </c>
      <c r="DP95" s="239">
        <v>0</v>
      </c>
      <c r="DQ95" s="239">
        <v>0</v>
      </c>
      <c r="DR95" s="239">
        <v>0</v>
      </c>
      <c r="DS95" s="239">
        <v>-438</v>
      </c>
      <c r="DT95" s="239">
        <v>0</v>
      </c>
      <c r="DU95" s="239">
        <v>-438</v>
      </c>
      <c r="DV95" s="239">
        <v>-3236</v>
      </c>
      <c r="DW95" s="239">
        <v>0</v>
      </c>
      <c r="DX95" s="239">
        <v>-3236</v>
      </c>
      <c r="DY95" s="239">
        <v>4437</v>
      </c>
      <c r="DZ95" s="239">
        <v>0</v>
      </c>
      <c r="EA95" s="239">
        <v>4437</v>
      </c>
      <c r="EB95" s="239">
        <v>0</v>
      </c>
      <c r="EC95" s="239">
        <v>0</v>
      </c>
      <c r="ED95" s="239">
        <v>0</v>
      </c>
      <c r="EE95" s="239">
        <v>0</v>
      </c>
      <c r="EF95" s="239">
        <v>0</v>
      </c>
      <c r="EG95" s="239">
        <v>0</v>
      </c>
      <c r="EH95" s="239">
        <v>8662</v>
      </c>
      <c r="EI95" s="239">
        <v>0</v>
      </c>
      <c r="EJ95" s="239">
        <v>8662</v>
      </c>
      <c r="EK95" s="239">
        <v>0</v>
      </c>
      <c r="EL95" s="239">
        <v>0</v>
      </c>
      <c r="EM95" s="239">
        <v>0</v>
      </c>
      <c r="EN95" s="239">
        <v>0</v>
      </c>
      <c r="EO95" s="239">
        <v>0</v>
      </c>
      <c r="EP95" s="239">
        <v>0</v>
      </c>
      <c r="EQ95" s="239">
        <v>-51182</v>
      </c>
      <c r="ER95" s="239">
        <v>0</v>
      </c>
      <c r="ES95" s="239">
        <v>-51182</v>
      </c>
      <c r="ET95" s="239">
        <v>-195027</v>
      </c>
      <c r="EU95" s="239">
        <v>0</v>
      </c>
      <c r="EV95" s="239">
        <v>-195027</v>
      </c>
      <c r="EW95" s="239">
        <v>-27527</v>
      </c>
      <c r="EX95" s="239">
        <v>0</v>
      </c>
      <c r="EY95" s="239">
        <v>-27527</v>
      </c>
      <c r="EZ95" s="239">
        <v>-264311</v>
      </c>
      <c r="FA95" s="239">
        <v>0</v>
      </c>
      <c r="FB95" s="239">
        <v>-264311</v>
      </c>
      <c r="FC95" s="239">
        <v>-13561</v>
      </c>
      <c r="FD95" s="239">
        <v>0</v>
      </c>
      <c r="FE95" s="239">
        <v>-13561</v>
      </c>
      <c r="FF95" s="239">
        <v>-4231</v>
      </c>
      <c r="FG95" s="239">
        <v>0</v>
      </c>
      <c r="FH95" s="239">
        <v>-4231</v>
      </c>
      <c r="FI95" s="239">
        <v>-17792</v>
      </c>
      <c r="FJ95" s="239">
        <v>0</v>
      </c>
      <c r="FK95" s="239">
        <v>-17792</v>
      </c>
      <c r="FL95" s="239">
        <v>41048660</v>
      </c>
      <c r="FM95" s="239">
        <v>0</v>
      </c>
      <c r="FN95" s="239">
        <v>41048660</v>
      </c>
      <c r="FO95" s="239">
        <v>-556252</v>
      </c>
      <c r="FP95" s="239">
        <v>0</v>
      </c>
      <c r="FQ95" s="239">
        <v>-556252</v>
      </c>
      <c r="FR95" s="239">
        <v>-6067346</v>
      </c>
      <c r="FS95" s="239">
        <v>0</v>
      </c>
      <c r="FT95" s="239">
        <v>-6067346</v>
      </c>
      <c r="FU95" s="239">
        <v>-700022</v>
      </c>
      <c r="FV95" s="239">
        <v>0</v>
      </c>
      <c r="FW95" s="239">
        <v>-700022</v>
      </c>
      <c r="FX95" s="239">
        <v>-121782</v>
      </c>
      <c r="FY95" s="239">
        <v>0</v>
      </c>
      <c r="FZ95" s="239">
        <v>-121782</v>
      </c>
      <c r="GA95" s="239">
        <v>-264311</v>
      </c>
      <c r="GB95" s="239">
        <v>0</v>
      </c>
      <c r="GC95" s="239">
        <v>-264311</v>
      </c>
      <c r="GD95" s="239">
        <v>-17792</v>
      </c>
      <c r="GE95" s="239">
        <v>0</v>
      </c>
      <c r="GF95" s="239">
        <v>-17792</v>
      </c>
      <c r="GG95" s="239">
        <v>-7727505</v>
      </c>
      <c r="GH95" s="239">
        <v>0</v>
      </c>
      <c r="GI95" s="239">
        <v>-7727505</v>
      </c>
      <c r="GJ95" s="239">
        <v>33321155</v>
      </c>
      <c r="GK95" s="239">
        <v>0</v>
      </c>
      <c r="GL95" s="239">
        <v>33321155</v>
      </c>
      <c r="GM95" s="214" t="s">
        <v>1158</v>
      </c>
    </row>
    <row r="96" spans="1:195" s="214" customFormat="1" x14ac:dyDescent="0.2">
      <c r="A96" s="215"/>
      <c r="B96" s="602" t="s">
        <v>275</v>
      </c>
      <c r="C96" s="602" t="s">
        <v>274</v>
      </c>
      <c r="D96" s="239">
        <v>-1045490</v>
      </c>
      <c r="E96" s="239">
        <v>0</v>
      </c>
      <c r="F96" s="239">
        <v>-1045490</v>
      </c>
      <c r="G96" s="239">
        <v>2161</v>
      </c>
      <c r="H96" s="239">
        <v>0</v>
      </c>
      <c r="I96" s="239">
        <v>2161</v>
      </c>
      <c r="J96" s="239">
        <v>3171798</v>
      </c>
      <c r="K96" s="239">
        <v>0</v>
      </c>
      <c r="L96" s="239">
        <v>3171798</v>
      </c>
      <c r="M96" s="239">
        <v>3501</v>
      </c>
      <c r="N96" s="239">
        <v>0</v>
      </c>
      <c r="O96" s="239">
        <v>3501</v>
      </c>
      <c r="P96" s="239">
        <v>2131970</v>
      </c>
      <c r="Q96" s="239">
        <v>0</v>
      </c>
      <c r="R96" s="239">
        <v>2131970</v>
      </c>
      <c r="S96" s="239">
        <v>-2783896</v>
      </c>
      <c r="T96" s="239">
        <v>0</v>
      </c>
      <c r="U96" s="239">
        <v>-2783896</v>
      </c>
      <c r="V96" s="239">
        <v>-11344</v>
      </c>
      <c r="W96" s="239">
        <v>0</v>
      </c>
      <c r="X96" s="239">
        <v>-11344</v>
      </c>
      <c r="Y96" s="239">
        <v>-54342</v>
      </c>
      <c r="Z96" s="239">
        <v>0</v>
      </c>
      <c r="AA96" s="239">
        <v>-54342</v>
      </c>
      <c r="AB96" s="239">
        <v>-54342</v>
      </c>
      <c r="AC96" s="239">
        <v>0</v>
      </c>
      <c r="AD96" s="239">
        <v>-54342</v>
      </c>
      <c r="AE96" s="239">
        <v>0</v>
      </c>
      <c r="AF96" s="239">
        <v>0</v>
      </c>
      <c r="AG96" s="239">
        <v>0</v>
      </c>
      <c r="AH96" s="239">
        <v>1356142</v>
      </c>
      <c r="AI96" s="239">
        <v>0</v>
      </c>
      <c r="AJ96" s="239">
        <v>1356142</v>
      </c>
      <c r="AK96" s="239">
        <v>-20997</v>
      </c>
      <c r="AL96" s="239">
        <v>0</v>
      </c>
      <c r="AM96" s="239">
        <v>-20997</v>
      </c>
      <c r="AN96" s="239">
        <v>-2285613</v>
      </c>
      <c r="AO96" s="239">
        <v>0</v>
      </c>
      <c r="AP96" s="239">
        <v>-2285613</v>
      </c>
      <c r="AQ96" s="239">
        <v>-4569</v>
      </c>
      <c r="AR96" s="239">
        <v>0</v>
      </c>
      <c r="AS96" s="239">
        <v>-4569</v>
      </c>
      <c r="AT96" s="239">
        <v>0</v>
      </c>
      <c r="AU96" s="239">
        <v>0</v>
      </c>
      <c r="AV96" s="239">
        <v>0</v>
      </c>
      <c r="AW96" s="239">
        <v>0</v>
      </c>
      <c r="AX96" s="239">
        <v>0</v>
      </c>
      <c r="AY96" s="239">
        <v>0</v>
      </c>
      <c r="AZ96" s="239">
        <v>0</v>
      </c>
      <c r="BA96" s="239">
        <v>0</v>
      </c>
      <c r="BB96" s="239">
        <v>0</v>
      </c>
      <c r="BC96" s="239">
        <v>0</v>
      </c>
      <c r="BD96" s="239">
        <v>0</v>
      </c>
      <c r="BE96" s="239">
        <v>0</v>
      </c>
      <c r="BF96" s="239">
        <v>-3793275</v>
      </c>
      <c r="BG96" s="239">
        <v>0</v>
      </c>
      <c r="BH96" s="239">
        <v>-3793275</v>
      </c>
      <c r="BI96" s="239">
        <v>0</v>
      </c>
      <c r="BJ96" s="239">
        <v>0</v>
      </c>
      <c r="BK96" s="239">
        <v>0</v>
      </c>
      <c r="BL96" s="239">
        <v>9</v>
      </c>
      <c r="BM96" s="239">
        <v>0</v>
      </c>
      <c r="BN96" s="239">
        <v>9</v>
      </c>
      <c r="BO96" s="239">
        <v>-968412</v>
      </c>
      <c r="BP96" s="239">
        <v>0</v>
      </c>
      <c r="BQ96" s="239">
        <v>-968412</v>
      </c>
      <c r="BR96" s="239">
        <v>-45524</v>
      </c>
      <c r="BS96" s="239">
        <v>0</v>
      </c>
      <c r="BT96" s="239">
        <v>-45524</v>
      </c>
      <c r="BU96" s="239">
        <v>-1013927</v>
      </c>
      <c r="BV96" s="239">
        <v>0</v>
      </c>
      <c r="BW96" s="239">
        <v>-1013927</v>
      </c>
      <c r="BX96" s="239">
        <v>-45932</v>
      </c>
      <c r="BY96" s="239">
        <v>0</v>
      </c>
      <c r="BZ96" s="239">
        <v>-45932</v>
      </c>
      <c r="CA96" s="239">
        <v>-368</v>
      </c>
      <c r="CB96" s="239">
        <v>0</v>
      </c>
      <c r="CC96" s="239">
        <v>-368</v>
      </c>
      <c r="CD96" s="239">
        <v>-236215</v>
      </c>
      <c r="CE96" s="239">
        <v>0</v>
      </c>
      <c r="CF96" s="239">
        <v>-236215</v>
      </c>
      <c r="CG96" s="239">
        <v>0</v>
      </c>
      <c r="CH96" s="239">
        <v>0</v>
      </c>
      <c r="CI96" s="239">
        <v>0</v>
      </c>
      <c r="CJ96" s="239">
        <v>0</v>
      </c>
      <c r="CK96" s="239">
        <v>0</v>
      </c>
      <c r="CL96" s="239">
        <v>0</v>
      </c>
      <c r="CM96" s="239">
        <v>0</v>
      </c>
      <c r="CN96" s="239">
        <v>0</v>
      </c>
      <c r="CO96" s="239">
        <v>0</v>
      </c>
      <c r="CP96" s="239">
        <v>0</v>
      </c>
      <c r="CQ96" s="239">
        <v>0</v>
      </c>
      <c r="CR96" s="239">
        <v>0</v>
      </c>
      <c r="CS96" s="239">
        <v>0</v>
      </c>
      <c r="CT96" s="239">
        <v>0</v>
      </c>
      <c r="CU96" s="239">
        <v>0</v>
      </c>
      <c r="CV96" s="239">
        <v>0</v>
      </c>
      <c r="CW96" s="239">
        <v>0</v>
      </c>
      <c r="CX96" s="239">
        <v>0</v>
      </c>
      <c r="CY96" s="239">
        <v>0</v>
      </c>
      <c r="CZ96" s="239">
        <v>0</v>
      </c>
      <c r="DA96" s="239">
        <v>0</v>
      </c>
      <c r="DB96" s="239">
        <v>0</v>
      </c>
      <c r="DC96" s="239">
        <v>0</v>
      </c>
      <c r="DD96" s="239">
        <v>0</v>
      </c>
      <c r="DE96" s="239">
        <v>0</v>
      </c>
      <c r="DF96" s="239">
        <v>0</v>
      </c>
      <c r="DG96" s="239">
        <v>0</v>
      </c>
      <c r="DH96" s="239">
        <v>0</v>
      </c>
      <c r="DI96" s="239">
        <v>0</v>
      </c>
      <c r="DJ96" s="239">
        <v>-282515</v>
      </c>
      <c r="DK96" s="239">
        <v>0</v>
      </c>
      <c r="DL96" s="239">
        <v>-282515</v>
      </c>
      <c r="DM96" s="239">
        <v>0</v>
      </c>
      <c r="DN96" s="239">
        <v>0</v>
      </c>
      <c r="DO96" s="239">
        <v>0</v>
      </c>
      <c r="DP96" s="239">
        <v>0</v>
      </c>
      <c r="DQ96" s="239">
        <v>0</v>
      </c>
      <c r="DR96" s="239">
        <v>0</v>
      </c>
      <c r="DS96" s="239">
        <v>-301</v>
      </c>
      <c r="DT96" s="239">
        <v>0</v>
      </c>
      <c r="DU96" s="239">
        <v>-301</v>
      </c>
      <c r="DV96" s="239">
        <v>-345</v>
      </c>
      <c r="DW96" s="239">
        <v>0</v>
      </c>
      <c r="DX96" s="239">
        <v>-345</v>
      </c>
      <c r="DY96" s="239">
        <v>492</v>
      </c>
      <c r="DZ96" s="239">
        <v>0</v>
      </c>
      <c r="EA96" s="239">
        <v>492</v>
      </c>
      <c r="EB96" s="239">
        <v>0</v>
      </c>
      <c r="EC96" s="239">
        <v>0</v>
      </c>
      <c r="ED96" s="239">
        <v>0</v>
      </c>
      <c r="EE96" s="239">
        <v>0</v>
      </c>
      <c r="EF96" s="239">
        <v>0</v>
      </c>
      <c r="EG96" s="239">
        <v>0</v>
      </c>
      <c r="EH96" s="239">
        <v>0</v>
      </c>
      <c r="EI96" s="239">
        <v>0</v>
      </c>
      <c r="EJ96" s="239">
        <v>0</v>
      </c>
      <c r="EK96" s="239">
        <v>0</v>
      </c>
      <c r="EL96" s="239">
        <v>0</v>
      </c>
      <c r="EM96" s="239">
        <v>0</v>
      </c>
      <c r="EN96" s="239">
        <v>0</v>
      </c>
      <c r="EO96" s="239">
        <v>0</v>
      </c>
      <c r="EP96" s="239">
        <v>0</v>
      </c>
      <c r="EQ96" s="239">
        <v>-9863</v>
      </c>
      <c r="ER96" s="239">
        <v>0</v>
      </c>
      <c r="ES96" s="239">
        <v>-9863</v>
      </c>
      <c r="ET96" s="239">
        <v>-35134</v>
      </c>
      <c r="EU96" s="239">
        <v>0</v>
      </c>
      <c r="EV96" s="239">
        <v>-35134</v>
      </c>
      <c r="EW96" s="239">
        <v>-15416</v>
      </c>
      <c r="EX96" s="239">
        <v>0</v>
      </c>
      <c r="EY96" s="239">
        <v>-15416</v>
      </c>
      <c r="EZ96" s="239">
        <v>-60567</v>
      </c>
      <c r="FA96" s="239">
        <v>0</v>
      </c>
      <c r="FB96" s="239">
        <v>-60567</v>
      </c>
      <c r="FC96" s="239">
        <v>0</v>
      </c>
      <c r="FD96" s="239">
        <v>0</v>
      </c>
      <c r="FE96" s="239">
        <v>0</v>
      </c>
      <c r="FF96" s="239">
        <v>0</v>
      </c>
      <c r="FG96" s="239">
        <v>0</v>
      </c>
      <c r="FH96" s="239">
        <v>0</v>
      </c>
      <c r="FI96" s="239">
        <v>0</v>
      </c>
      <c r="FJ96" s="239">
        <v>0</v>
      </c>
      <c r="FK96" s="239">
        <v>0</v>
      </c>
      <c r="FL96" s="239">
        <v>63075457</v>
      </c>
      <c r="FM96" s="239">
        <v>0</v>
      </c>
      <c r="FN96" s="239">
        <v>63075457</v>
      </c>
      <c r="FO96" s="239">
        <v>2131970</v>
      </c>
      <c r="FP96" s="239">
        <v>0</v>
      </c>
      <c r="FQ96" s="239">
        <v>2131970</v>
      </c>
      <c r="FR96" s="239">
        <v>-3793275</v>
      </c>
      <c r="FS96" s="239">
        <v>0</v>
      </c>
      <c r="FT96" s="239">
        <v>-3793275</v>
      </c>
      <c r="FU96" s="239">
        <v>-1013927</v>
      </c>
      <c r="FV96" s="239">
        <v>0</v>
      </c>
      <c r="FW96" s="239">
        <v>-1013927</v>
      </c>
      <c r="FX96" s="239">
        <v>-282515</v>
      </c>
      <c r="FY96" s="239">
        <v>0</v>
      </c>
      <c r="FZ96" s="239">
        <v>-282515</v>
      </c>
      <c r="GA96" s="239">
        <v>-60567</v>
      </c>
      <c r="GB96" s="239">
        <v>0</v>
      </c>
      <c r="GC96" s="239">
        <v>-60567</v>
      </c>
      <c r="GD96" s="239">
        <v>0</v>
      </c>
      <c r="GE96" s="239">
        <v>0</v>
      </c>
      <c r="GF96" s="239">
        <v>0</v>
      </c>
      <c r="GG96" s="239">
        <v>-3018314</v>
      </c>
      <c r="GH96" s="239">
        <v>0</v>
      </c>
      <c r="GI96" s="239">
        <v>-3018314</v>
      </c>
      <c r="GJ96" s="239">
        <v>60057143</v>
      </c>
      <c r="GK96" s="239">
        <v>0</v>
      </c>
      <c r="GL96" s="239">
        <v>60057143</v>
      </c>
      <c r="GM96" s="214" t="s">
        <v>1158</v>
      </c>
    </row>
    <row r="97" spans="2:195" s="214" customFormat="1" x14ac:dyDescent="0.2">
      <c r="B97" s="602" t="s">
        <v>277</v>
      </c>
      <c r="C97" s="602" t="s">
        <v>276</v>
      </c>
      <c r="D97" s="239">
        <v>-987141</v>
      </c>
      <c r="E97" s="239">
        <v>0</v>
      </c>
      <c r="F97" s="239">
        <v>-987141</v>
      </c>
      <c r="G97" s="239">
        <v>10364</v>
      </c>
      <c r="H97" s="239">
        <v>0</v>
      </c>
      <c r="I97" s="239">
        <v>10364</v>
      </c>
      <c r="J97" s="239">
        <v>627446</v>
      </c>
      <c r="K97" s="239">
        <v>0</v>
      </c>
      <c r="L97" s="239">
        <v>627446</v>
      </c>
      <c r="M97" s="239">
        <v>53565</v>
      </c>
      <c r="N97" s="239">
        <v>0</v>
      </c>
      <c r="O97" s="239">
        <v>53565</v>
      </c>
      <c r="P97" s="239">
        <v>-295766</v>
      </c>
      <c r="Q97" s="239">
        <v>0</v>
      </c>
      <c r="R97" s="239">
        <v>-295766</v>
      </c>
      <c r="S97" s="239">
        <v>-3102361</v>
      </c>
      <c r="T97" s="239">
        <v>0</v>
      </c>
      <c r="U97" s="239">
        <v>-3102361</v>
      </c>
      <c r="V97" s="239">
        <v>0</v>
      </c>
      <c r="W97" s="239">
        <v>0</v>
      </c>
      <c r="X97" s="239">
        <v>0</v>
      </c>
      <c r="Y97" s="239">
        <v>-171738</v>
      </c>
      <c r="Z97" s="239">
        <v>0</v>
      </c>
      <c r="AA97" s="239">
        <v>-171738</v>
      </c>
      <c r="AB97" s="239">
        <v>-171738</v>
      </c>
      <c r="AC97" s="239">
        <v>0</v>
      </c>
      <c r="AD97" s="239">
        <v>-171738</v>
      </c>
      <c r="AE97" s="239">
        <v>0</v>
      </c>
      <c r="AF97" s="239">
        <v>0</v>
      </c>
      <c r="AG97" s="239">
        <v>0</v>
      </c>
      <c r="AH97" s="239">
        <v>467607</v>
      </c>
      <c r="AI97" s="239">
        <v>0</v>
      </c>
      <c r="AJ97" s="239">
        <v>467607</v>
      </c>
      <c r="AK97" s="239">
        <v>-15964</v>
      </c>
      <c r="AL97" s="239">
        <v>0</v>
      </c>
      <c r="AM97" s="239">
        <v>-15964</v>
      </c>
      <c r="AN97" s="239">
        <v>-1343197</v>
      </c>
      <c r="AO97" s="239">
        <v>0</v>
      </c>
      <c r="AP97" s="239">
        <v>-1343197</v>
      </c>
      <c r="AQ97" s="239">
        <v>-2838</v>
      </c>
      <c r="AR97" s="239">
        <v>0</v>
      </c>
      <c r="AS97" s="239">
        <v>-2838</v>
      </c>
      <c r="AT97" s="239">
        <v>-76450</v>
      </c>
      <c r="AU97" s="239">
        <v>0</v>
      </c>
      <c r="AV97" s="239">
        <v>-76450</v>
      </c>
      <c r="AW97" s="239">
        <v>0</v>
      </c>
      <c r="AX97" s="239">
        <v>0</v>
      </c>
      <c r="AY97" s="239">
        <v>0</v>
      </c>
      <c r="AZ97" s="239">
        <v>-58930</v>
      </c>
      <c r="BA97" s="239">
        <v>0</v>
      </c>
      <c r="BB97" s="239">
        <v>-58930</v>
      </c>
      <c r="BC97" s="239">
        <v>-251</v>
      </c>
      <c r="BD97" s="239">
        <v>0</v>
      </c>
      <c r="BE97" s="239">
        <v>-251</v>
      </c>
      <c r="BF97" s="239">
        <v>-4304122</v>
      </c>
      <c r="BG97" s="239">
        <v>0</v>
      </c>
      <c r="BH97" s="239">
        <v>-4304122</v>
      </c>
      <c r="BI97" s="239">
        <v>0</v>
      </c>
      <c r="BJ97" s="239">
        <v>0</v>
      </c>
      <c r="BK97" s="239">
        <v>0</v>
      </c>
      <c r="BL97" s="239">
        <v>-791</v>
      </c>
      <c r="BM97" s="239">
        <v>0</v>
      </c>
      <c r="BN97" s="239">
        <v>-791</v>
      </c>
      <c r="BO97" s="239">
        <v>-468060</v>
      </c>
      <c r="BP97" s="239">
        <v>0</v>
      </c>
      <c r="BQ97" s="239">
        <v>-468060</v>
      </c>
      <c r="BR97" s="239">
        <v>35148</v>
      </c>
      <c r="BS97" s="239">
        <v>0</v>
      </c>
      <c r="BT97" s="239">
        <v>35148</v>
      </c>
      <c r="BU97" s="239">
        <v>-433703</v>
      </c>
      <c r="BV97" s="239">
        <v>0</v>
      </c>
      <c r="BW97" s="239">
        <v>-433703</v>
      </c>
      <c r="BX97" s="239">
        <v>-49478</v>
      </c>
      <c r="BY97" s="239">
        <v>0</v>
      </c>
      <c r="BZ97" s="239">
        <v>-49478</v>
      </c>
      <c r="CA97" s="239">
        <v>-86</v>
      </c>
      <c r="CB97" s="239">
        <v>0</v>
      </c>
      <c r="CC97" s="239">
        <v>-86</v>
      </c>
      <c r="CD97" s="239">
        <v>-24408</v>
      </c>
      <c r="CE97" s="239">
        <v>0</v>
      </c>
      <c r="CF97" s="239">
        <v>-24408</v>
      </c>
      <c r="CG97" s="239">
        <v>-19</v>
      </c>
      <c r="CH97" s="239">
        <v>0</v>
      </c>
      <c r="CI97" s="239">
        <v>-19</v>
      </c>
      <c r="CJ97" s="239">
        <v>-1364</v>
      </c>
      <c r="CK97" s="239">
        <v>0</v>
      </c>
      <c r="CL97" s="239">
        <v>-1364</v>
      </c>
      <c r="CM97" s="239">
        <v>0</v>
      </c>
      <c r="CN97" s="239">
        <v>0</v>
      </c>
      <c r="CO97" s="239">
        <v>0</v>
      </c>
      <c r="CP97" s="239">
        <v>-58930</v>
      </c>
      <c r="CQ97" s="239">
        <v>0</v>
      </c>
      <c r="CR97" s="239">
        <v>-58930</v>
      </c>
      <c r="CS97" s="239">
        <v>-618</v>
      </c>
      <c r="CT97" s="239">
        <v>0</v>
      </c>
      <c r="CU97" s="239">
        <v>-618</v>
      </c>
      <c r="CV97" s="239">
        <v>-3098</v>
      </c>
      <c r="CW97" s="239">
        <v>0</v>
      </c>
      <c r="CX97" s="239">
        <v>-3098</v>
      </c>
      <c r="CY97" s="239">
        <v>0</v>
      </c>
      <c r="CZ97" s="239">
        <v>0</v>
      </c>
      <c r="DA97" s="239">
        <v>0</v>
      </c>
      <c r="DB97" s="239">
        <v>0</v>
      </c>
      <c r="DC97" s="239">
        <v>0</v>
      </c>
      <c r="DD97" s="239">
        <v>0</v>
      </c>
      <c r="DE97" s="239">
        <v>0</v>
      </c>
      <c r="DF97" s="239">
        <v>0</v>
      </c>
      <c r="DG97" s="239">
        <v>0</v>
      </c>
      <c r="DH97" s="239">
        <v>0</v>
      </c>
      <c r="DI97" s="239">
        <v>0</v>
      </c>
      <c r="DJ97" s="239">
        <v>-138001</v>
      </c>
      <c r="DK97" s="239">
        <v>0</v>
      </c>
      <c r="DL97" s="239">
        <v>-138001</v>
      </c>
      <c r="DM97" s="239">
        <v>0</v>
      </c>
      <c r="DN97" s="239">
        <v>0</v>
      </c>
      <c r="DO97" s="239">
        <v>0</v>
      </c>
      <c r="DP97" s="239">
        <v>0</v>
      </c>
      <c r="DQ97" s="239">
        <v>0</v>
      </c>
      <c r="DR97" s="239">
        <v>0</v>
      </c>
      <c r="DS97" s="239">
        <v>-117</v>
      </c>
      <c r="DT97" s="239">
        <v>0</v>
      </c>
      <c r="DU97" s="239">
        <v>-117</v>
      </c>
      <c r="DV97" s="239">
        <v>-1871</v>
      </c>
      <c r="DW97" s="239">
        <v>0</v>
      </c>
      <c r="DX97" s="239">
        <v>-1871</v>
      </c>
      <c r="DY97" s="239">
        <v>215</v>
      </c>
      <c r="DZ97" s="239">
        <v>0</v>
      </c>
      <c r="EA97" s="239">
        <v>215</v>
      </c>
      <c r="EB97" s="239">
        <v>-8759</v>
      </c>
      <c r="EC97" s="239">
        <v>0</v>
      </c>
      <c r="ED97" s="239">
        <v>-8759</v>
      </c>
      <c r="EE97" s="239">
        <v>3624</v>
      </c>
      <c r="EF97" s="239">
        <v>0</v>
      </c>
      <c r="EG97" s="239">
        <v>3624</v>
      </c>
      <c r="EH97" s="239">
        <v>299</v>
      </c>
      <c r="EI97" s="239">
        <v>0</v>
      </c>
      <c r="EJ97" s="239">
        <v>299</v>
      </c>
      <c r="EK97" s="239">
        <v>-63302</v>
      </c>
      <c r="EL97" s="239">
        <v>0</v>
      </c>
      <c r="EM97" s="239">
        <v>-63302</v>
      </c>
      <c r="EN97" s="239">
        <v>-1500</v>
      </c>
      <c r="EO97" s="239">
        <v>0</v>
      </c>
      <c r="EP97" s="239">
        <v>-1500</v>
      </c>
      <c r="EQ97" s="239">
        <v>0</v>
      </c>
      <c r="ER97" s="239">
        <v>0</v>
      </c>
      <c r="ES97" s="239">
        <v>0</v>
      </c>
      <c r="ET97" s="239">
        <v>-93996</v>
      </c>
      <c r="EU97" s="239">
        <v>0</v>
      </c>
      <c r="EV97" s="239">
        <v>-93996</v>
      </c>
      <c r="EW97" s="239">
        <v>-59439</v>
      </c>
      <c r="EX97" s="239">
        <v>0</v>
      </c>
      <c r="EY97" s="239">
        <v>-59439</v>
      </c>
      <c r="EZ97" s="239">
        <v>-224846</v>
      </c>
      <c r="FA97" s="239">
        <v>0</v>
      </c>
      <c r="FB97" s="239">
        <v>-224846</v>
      </c>
      <c r="FC97" s="239">
        <v>0</v>
      </c>
      <c r="FD97" s="239">
        <v>0</v>
      </c>
      <c r="FE97" s="239">
        <v>0</v>
      </c>
      <c r="FF97" s="239">
        <v>0</v>
      </c>
      <c r="FG97" s="239">
        <v>0</v>
      </c>
      <c r="FH97" s="239">
        <v>0</v>
      </c>
      <c r="FI97" s="239">
        <v>0</v>
      </c>
      <c r="FJ97" s="239">
        <v>0</v>
      </c>
      <c r="FK97" s="239">
        <v>0</v>
      </c>
      <c r="FL97" s="239">
        <v>25914205</v>
      </c>
      <c r="FM97" s="239">
        <v>0</v>
      </c>
      <c r="FN97" s="239">
        <v>25914205</v>
      </c>
      <c r="FO97" s="239">
        <v>-295766</v>
      </c>
      <c r="FP97" s="239">
        <v>0</v>
      </c>
      <c r="FQ97" s="239">
        <v>-295766</v>
      </c>
      <c r="FR97" s="239">
        <v>-4304122</v>
      </c>
      <c r="FS97" s="239">
        <v>0</v>
      </c>
      <c r="FT97" s="239">
        <v>-4304122</v>
      </c>
      <c r="FU97" s="239">
        <v>-433703</v>
      </c>
      <c r="FV97" s="239">
        <v>0</v>
      </c>
      <c r="FW97" s="239">
        <v>-433703</v>
      </c>
      <c r="FX97" s="239">
        <v>-138001</v>
      </c>
      <c r="FY97" s="239">
        <v>0</v>
      </c>
      <c r="FZ97" s="239">
        <v>-138001</v>
      </c>
      <c r="GA97" s="239">
        <v>-224846</v>
      </c>
      <c r="GB97" s="239">
        <v>0</v>
      </c>
      <c r="GC97" s="239">
        <v>-224846</v>
      </c>
      <c r="GD97" s="239">
        <v>0</v>
      </c>
      <c r="GE97" s="239">
        <v>0</v>
      </c>
      <c r="GF97" s="239">
        <v>0</v>
      </c>
      <c r="GG97" s="239">
        <v>-5396438</v>
      </c>
      <c r="GH97" s="239">
        <v>0</v>
      </c>
      <c r="GI97" s="239">
        <v>-5396438</v>
      </c>
      <c r="GJ97" s="239">
        <v>20517767</v>
      </c>
      <c r="GK97" s="239">
        <v>0</v>
      </c>
      <c r="GL97" s="239">
        <v>20517767</v>
      </c>
      <c r="GM97" s="214" t="s">
        <v>1158</v>
      </c>
    </row>
    <row r="98" spans="2:195" s="214" customFormat="1" x14ac:dyDescent="0.2">
      <c r="B98" s="602" t="s">
        <v>279</v>
      </c>
      <c r="C98" s="602" t="s">
        <v>278</v>
      </c>
      <c r="D98" s="239">
        <v>-5816599</v>
      </c>
      <c r="E98" s="239">
        <v>0</v>
      </c>
      <c r="F98" s="239">
        <v>-5816599</v>
      </c>
      <c r="G98" s="239">
        <v>55894</v>
      </c>
      <c r="H98" s="239">
        <v>0</v>
      </c>
      <c r="I98" s="239">
        <v>55894</v>
      </c>
      <c r="J98" s="239">
        <v>1239953</v>
      </c>
      <c r="K98" s="239">
        <v>0</v>
      </c>
      <c r="L98" s="239">
        <v>1239953</v>
      </c>
      <c r="M98" s="239">
        <v>29155</v>
      </c>
      <c r="N98" s="239">
        <v>0</v>
      </c>
      <c r="O98" s="239">
        <v>29155</v>
      </c>
      <c r="P98" s="239">
        <v>-4491597</v>
      </c>
      <c r="Q98" s="239">
        <v>0</v>
      </c>
      <c r="R98" s="239">
        <v>-4491597</v>
      </c>
      <c r="S98" s="239">
        <v>-2704146</v>
      </c>
      <c r="T98" s="239">
        <v>0</v>
      </c>
      <c r="U98" s="239">
        <v>-2704146</v>
      </c>
      <c r="V98" s="239">
        <v>-164</v>
      </c>
      <c r="W98" s="239">
        <v>0</v>
      </c>
      <c r="X98" s="239">
        <v>-164</v>
      </c>
      <c r="Y98" s="239">
        <v>-166226</v>
      </c>
      <c r="Z98" s="239">
        <v>0</v>
      </c>
      <c r="AA98" s="239">
        <v>-166226</v>
      </c>
      <c r="AB98" s="239">
        <v>-136090</v>
      </c>
      <c r="AC98" s="239">
        <v>0</v>
      </c>
      <c r="AD98" s="239">
        <v>-136090</v>
      </c>
      <c r="AE98" s="239">
        <v>0</v>
      </c>
      <c r="AF98" s="239">
        <v>0</v>
      </c>
      <c r="AG98" s="239">
        <v>0</v>
      </c>
      <c r="AH98" s="239">
        <v>1594605</v>
      </c>
      <c r="AI98" s="239">
        <v>0</v>
      </c>
      <c r="AJ98" s="239">
        <v>1594605</v>
      </c>
      <c r="AK98" s="239">
        <v>-50720</v>
      </c>
      <c r="AL98" s="239">
        <v>0</v>
      </c>
      <c r="AM98" s="239">
        <v>-50720</v>
      </c>
      <c r="AN98" s="239">
        <v>-4318806</v>
      </c>
      <c r="AO98" s="239">
        <v>0</v>
      </c>
      <c r="AP98" s="239">
        <v>-4318806</v>
      </c>
      <c r="AQ98" s="239">
        <v>-34991</v>
      </c>
      <c r="AR98" s="239">
        <v>0</v>
      </c>
      <c r="AS98" s="239">
        <v>-34991</v>
      </c>
      <c r="AT98" s="239">
        <v>-50585</v>
      </c>
      <c r="AU98" s="239">
        <v>0</v>
      </c>
      <c r="AV98" s="239">
        <v>-50585</v>
      </c>
      <c r="AW98" s="239">
        <v>0</v>
      </c>
      <c r="AX98" s="239">
        <v>0</v>
      </c>
      <c r="AY98" s="239">
        <v>0</v>
      </c>
      <c r="AZ98" s="239">
        <v>0</v>
      </c>
      <c r="BA98" s="239">
        <v>0</v>
      </c>
      <c r="BB98" s="239">
        <v>0</v>
      </c>
      <c r="BC98" s="239">
        <v>0</v>
      </c>
      <c r="BD98" s="239">
        <v>0</v>
      </c>
      <c r="BE98" s="239">
        <v>0</v>
      </c>
      <c r="BF98" s="239">
        <v>-5730869</v>
      </c>
      <c r="BG98" s="239">
        <v>0</v>
      </c>
      <c r="BH98" s="239">
        <v>-5730869</v>
      </c>
      <c r="BI98" s="239">
        <v>-8896</v>
      </c>
      <c r="BJ98" s="239">
        <v>0</v>
      </c>
      <c r="BK98" s="239">
        <v>-8896</v>
      </c>
      <c r="BL98" s="239">
        <v>0</v>
      </c>
      <c r="BM98" s="239">
        <v>0</v>
      </c>
      <c r="BN98" s="239">
        <v>0</v>
      </c>
      <c r="BO98" s="239">
        <v>-1722930</v>
      </c>
      <c r="BP98" s="239">
        <v>0</v>
      </c>
      <c r="BQ98" s="239">
        <v>-1722930</v>
      </c>
      <c r="BR98" s="239">
        <v>-34748</v>
      </c>
      <c r="BS98" s="239">
        <v>0</v>
      </c>
      <c r="BT98" s="239">
        <v>-34748</v>
      </c>
      <c r="BU98" s="239">
        <v>-1766574</v>
      </c>
      <c r="BV98" s="239">
        <v>0</v>
      </c>
      <c r="BW98" s="239">
        <v>-1766574</v>
      </c>
      <c r="BX98" s="239">
        <v>-133543</v>
      </c>
      <c r="BY98" s="239">
        <v>0</v>
      </c>
      <c r="BZ98" s="239">
        <v>-133543</v>
      </c>
      <c r="CA98" s="239">
        <v>88</v>
      </c>
      <c r="CB98" s="239">
        <v>0</v>
      </c>
      <c r="CC98" s="239">
        <v>88</v>
      </c>
      <c r="CD98" s="239">
        <v>-400824</v>
      </c>
      <c r="CE98" s="239">
        <v>0</v>
      </c>
      <c r="CF98" s="239">
        <v>-400824</v>
      </c>
      <c r="CG98" s="239">
        <v>0</v>
      </c>
      <c r="CH98" s="239">
        <v>0</v>
      </c>
      <c r="CI98" s="239">
        <v>0</v>
      </c>
      <c r="CJ98" s="239">
        <v>0</v>
      </c>
      <c r="CK98" s="239">
        <v>0</v>
      </c>
      <c r="CL98" s="239">
        <v>0</v>
      </c>
      <c r="CM98" s="239">
        <v>0</v>
      </c>
      <c r="CN98" s="239">
        <v>0</v>
      </c>
      <c r="CO98" s="239">
        <v>0</v>
      </c>
      <c r="CP98" s="239">
        <v>0</v>
      </c>
      <c r="CQ98" s="239">
        <v>0</v>
      </c>
      <c r="CR98" s="239">
        <v>0</v>
      </c>
      <c r="CS98" s="239">
        <v>0</v>
      </c>
      <c r="CT98" s="239">
        <v>0</v>
      </c>
      <c r="CU98" s="239">
        <v>0</v>
      </c>
      <c r="CV98" s="239">
        <v>0</v>
      </c>
      <c r="CW98" s="239">
        <v>0</v>
      </c>
      <c r="CX98" s="239">
        <v>0</v>
      </c>
      <c r="CY98" s="239">
        <v>0</v>
      </c>
      <c r="CZ98" s="239">
        <v>0</v>
      </c>
      <c r="DA98" s="239">
        <v>0</v>
      </c>
      <c r="DB98" s="239">
        <v>0</v>
      </c>
      <c r="DC98" s="239">
        <v>0</v>
      </c>
      <c r="DD98" s="239">
        <v>0</v>
      </c>
      <c r="DE98" s="239">
        <v>0</v>
      </c>
      <c r="DF98" s="239">
        <v>0</v>
      </c>
      <c r="DG98" s="239">
        <v>0</v>
      </c>
      <c r="DH98" s="239">
        <v>0</v>
      </c>
      <c r="DI98" s="239">
        <v>0</v>
      </c>
      <c r="DJ98" s="239">
        <v>-534279</v>
      </c>
      <c r="DK98" s="239">
        <v>0</v>
      </c>
      <c r="DL98" s="239">
        <v>-534279</v>
      </c>
      <c r="DM98" s="239">
        <v>-29417</v>
      </c>
      <c r="DN98" s="239">
        <v>0</v>
      </c>
      <c r="DO98" s="239">
        <v>-29417</v>
      </c>
      <c r="DP98" s="239">
        <v>-5261</v>
      </c>
      <c r="DQ98" s="239">
        <v>0</v>
      </c>
      <c r="DR98" s="239">
        <v>-5261</v>
      </c>
      <c r="DS98" s="239">
        <v>0</v>
      </c>
      <c r="DT98" s="239">
        <v>0</v>
      </c>
      <c r="DU98" s="239">
        <v>0</v>
      </c>
      <c r="DV98" s="239">
        <v>101</v>
      </c>
      <c r="DW98" s="239">
        <v>0</v>
      </c>
      <c r="DX98" s="239">
        <v>101</v>
      </c>
      <c r="DY98" s="239">
        <v>1953</v>
      </c>
      <c r="DZ98" s="239">
        <v>0</v>
      </c>
      <c r="EA98" s="239">
        <v>1953</v>
      </c>
      <c r="EB98" s="239">
        <v>0</v>
      </c>
      <c r="EC98" s="239">
        <v>0</v>
      </c>
      <c r="ED98" s="239">
        <v>0</v>
      </c>
      <c r="EE98" s="239">
        <v>0</v>
      </c>
      <c r="EF98" s="239">
        <v>0</v>
      </c>
      <c r="EG98" s="239">
        <v>0</v>
      </c>
      <c r="EH98" s="239">
        <v>15</v>
      </c>
      <c r="EI98" s="239">
        <v>0</v>
      </c>
      <c r="EJ98" s="239">
        <v>15</v>
      </c>
      <c r="EK98" s="239">
        <v>0</v>
      </c>
      <c r="EL98" s="239">
        <v>0</v>
      </c>
      <c r="EM98" s="239">
        <v>0</v>
      </c>
      <c r="EN98" s="239">
        <v>0</v>
      </c>
      <c r="EO98" s="239">
        <v>0</v>
      </c>
      <c r="EP98" s="239">
        <v>0</v>
      </c>
      <c r="EQ98" s="239">
        <v>-93404</v>
      </c>
      <c r="ER98" s="239">
        <v>0</v>
      </c>
      <c r="ES98" s="239">
        <v>-93404</v>
      </c>
      <c r="ET98" s="239">
        <v>-809816</v>
      </c>
      <c r="EU98" s="239">
        <v>0</v>
      </c>
      <c r="EV98" s="239">
        <v>-809816</v>
      </c>
      <c r="EW98" s="239">
        <v>-26014</v>
      </c>
      <c r="EX98" s="239">
        <v>0</v>
      </c>
      <c r="EY98" s="239">
        <v>-26014</v>
      </c>
      <c r="EZ98" s="239">
        <v>-961843</v>
      </c>
      <c r="FA98" s="239">
        <v>0</v>
      </c>
      <c r="FB98" s="239">
        <v>-961843</v>
      </c>
      <c r="FC98" s="239">
        <v>0</v>
      </c>
      <c r="FD98" s="239">
        <v>0</v>
      </c>
      <c r="FE98" s="239">
        <v>0</v>
      </c>
      <c r="FF98" s="239">
        <v>0</v>
      </c>
      <c r="FG98" s="239">
        <v>0</v>
      </c>
      <c r="FH98" s="239">
        <v>0</v>
      </c>
      <c r="FI98" s="239">
        <v>0</v>
      </c>
      <c r="FJ98" s="239">
        <v>0</v>
      </c>
      <c r="FK98" s="239">
        <v>0</v>
      </c>
      <c r="FL98" s="239">
        <v>73496865</v>
      </c>
      <c r="FM98" s="239">
        <v>0</v>
      </c>
      <c r="FN98" s="239">
        <v>73496865</v>
      </c>
      <c r="FO98" s="239">
        <v>-4491597</v>
      </c>
      <c r="FP98" s="239">
        <v>0</v>
      </c>
      <c r="FQ98" s="239">
        <v>-4491597</v>
      </c>
      <c r="FR98" s="239">
        <v>-5730869</v>
      </c>
      <c r="FS98" s="239">
        <v>0</v>
      </c>
      <c r="FT98" s="239">
        <v>-5730869</v>
      </c>
      <c r="FU98" s="239">
        <v>-1766574</v>
      </c>
      <c r="FV98" s="239">
        <v>0</v>
      </c>
      <c r="FW98" s="239">
        <v>-1766574</v>
      </c>
      <c r="FX98" s="239">
        <v>-534279</v>
      </c>
      <c r="FY98" s="239">
        <v>0</v>
      </c>
      <c r="FZ98" s="239">
        <v>-534279</v>
      </c>
      <c r="GA98" s="239">
        <v>-961843</v>
      </c>
      <c r="GB98" s="239">
        <v>0</v>
      </c>
      <c r="GC98" s="239">
        <v>-961843</v>
      </c>
      <c r="GD98" s="239">
        <v>0</v>
      </c>
      <c r="GE98" s="239">
        <v>0</v>
      </c>
      <c r="GF98" s="239">
        <v>0</v>
      </c>
      <c r="GG98" s="239">
        <v>-13485162</v>
      </c>
      <c r="GH98" s="239">
        <v>0</v>
      </c>
      <c r="GI98" s="239">
        <v>-13485162</v>
      </c>
      <c r="GJ98" s="239">
        <v>60011703</v>
      </c>
      <c r="GK98" s="239">
        <v>0</v>
      </c>
      <c r="GL98" s="239">
        <v>60011703</v>
      </c>
      <c r="GM98" s="214" t="s">
        <v>1158</v>
      </c>
    </row>
    <row r="99" spans="2:195" s="214" customFormat="1" x14ac:dyDescent="0.2">
      <c r="B99" s="602" t="s">
        <v>281</v>
      </c>
      <c r="C99" s="602" t="s">
        <v>280</v>
      </c>
      <c r="D99" s="239">
        <v>-4160854</v>
      </c>
      <c r="E99" s="239">
        <v>0</v>
      </c>
      <c r="F99" s="239">
        <v>-4160854</v>
      </c>
      <c r="G99" s="239">
        <v>1804608</v>
      </c>
      <c r="H99" s="239">
        <v>0</v>
      </c>
      <c r="I99" s="239">
        <v>1804608</v>
      </c>
      <c r="J99" s="239">
        <v>4026916</v>
      </c>
      <c r="K99" s="239">
        <v>0</v>
      </c>
      <c r="L99" s="239">
        <v>4026916</v>
      </c>
      <c r="M99" s="239">
        <v>-12760</v>
      </c>
      <c r="N99" s="239">
        <v>0</v>
      </c>
      <c r="O99" s="239">
        <v>-12760</v>
      </c>
      <c r="P99" s="239">
        <v>1657910</v>
      </c>
      <c r="Q99" s="239">
        <v>0</v>
      </c>
      <c r="R99" s="239">
        <v>1657910</v>
      </c>
      <c r="S99" s="239">
        <v>-6422312</v>
      </c>
      <c r="T99" s="239">
        <v>0</v>
      </c>
      <c r="U99" s="239">
        <v>-6422312</v>
      </c>
      <c r="V99" s="239">
        <v>0</v>
      </c>
      <c r="W99" s="239">
        <v>0</v>
      </c>
      <c r="X99" s="239">
        <v>0</v>
      </c>
      <c r="Y99" s="239">
        <v>-38296</v>
      </c>
      <c r="Z99" s="239">
        <v>0</v>
      </c>
      <c r="AA99" s="239">
        <v>-38296</v>
      </c>
      <c r="AB99" s="239">
        <v>-38296</v>
      </c>
      <c r="AC99" s="239">
        <v>0</v>
      </c>
      <c r="AD99" s="239">
        <v>-38296</v>
      </c>
      <c r="AE99" s="239">
        <v>0</v>
      </c>
      <c r="AF99" s="239">
        <v>0</v>
      </c>
      <c r="AG99" s="239">
        <v>0</v>
      </c>
      <c r="AH99" s="239">
        <v>2707107</v>
      </c>
      <c r="AI99" s="239">
        <v>0</v>
      </c>
      <c r="AJ99" s="239">
        <v>2707107</v>
      </c>
      <c r="AK99" s="239">
        <v>-158290</v>
      </c>
      <c r="AL99" s="239">
        <v>0</v>
      </c>
      <c r="AM99" s="239">
        <v>-158290</v>
      </c>
      <c r="AN99" s="239">
        <v>-6349593</v>
      </c>
      <c r="AO99" s="239">
        <v>0</v>
      </c>
      <c r="AP99" s="239">
        <v>-6349593</v>
      </c>
      <c r="AQ99" s="239">
        <v>-94556</v>
      </c>
      <c r="AR99" s="239">
        <v>0</v>
      </c>
      <c r="AS99" s="239">
        <v>-94556</v>
      </c>
      <c r="AT99" s="239">
        <v>-115481</v>
      </c>
      <c r="AU99" s="239">
        <v>0</v>
      </c>
      <c r="AV99" s="239">
        <v>-115481</v>
      </c>
      <c r="AW99" s="239">
        <v>0</v>
      </c>
      <c r="AX99" s="239">
        <v>0</v>
      </c>
      <c r="AY99" s="239">
        <v>0</v>
      </c>
      <c r="AZ99" s="239">
        <v>0</v>
      </c>
      <c r="BA99" s="239">
        <v>0</v>
      </c>
      <c r="BB99" s="239">
        <v>0</v>
      </c>
      <c r="BC99" s="239">
        <v>0</v>
      </c>
      <c r="BD99" s="239">
        <v>0</v>
      </c>
      <c r="BE99" s="239">
        <v>0</v>
      </c>
      <c r="BF99" s="239">
        <v>-10471421</v>
      </c>
      <c r="BG99" s="239">
        <v>0</v>
      </c>
      <c r="BH99" s="239">
        <v>-10471421</v>
      </c>
      <c r="BI99" s="239">
        <v>-24657</v>
      </c>
      <c r="BJ99" s="239">
        <v>0</v>
      </c>
      <c r="BK99" s="239">
        <v>-24657</v>
      </c>
      <c r="BL99" s="239">
        <v>-22441</v>
      </c>
      <c r="BM99" s="239">
        <v>0</v>
      </c>
      <c r="BN99" s="239">
        <v>-22441</v>
      </c>
      <c r="BO99" s="239">
        <v>-3137135</v>
      </c>
      <c r="BP99" s="239">
        <v>0</v>
      </c>
      <c r="BQ99" s="239">
        <v>-3137135</v>
      </c>
      <c r="BR99" s="239">
        <v>562396</v>
      </c>
      <c r="BS99" s="239">
        <v>0</v>
      </c>
      <c r="BT99" s="239">
        <v>562396</v>
      </c>
      <c r="BU99" s="239">
        <v>-2621837</v>
      </c>
      <c r="BV99" s="239">
        <v>0</v>
      </c>
      <c r="BW99" s="239">
        <v>-2621837</v>
      </c>
      <c r="BX99" s="239">
        <v>-195804</v>
      </c>
      <c r="BY99" s="239">
        <v>0</v>
      </c>
      <c r="BZ99" s="239">
        <v>-195804</v>
      </c>
      <c r="CA99" s="239">
        <v>18584</v>
      </c>
      <c r="CB99" s="239">
        <v>0</v>
      </c>
      <c r="CC99" s="239">
        <v>18584</v>
      </c>
      <c r="CD99" s="239">
        <v>-199284</v>
      </c>
      <c r="CE99" s="239">
        <v>0</v>
      </c>
      <c r="CF99" s="239">
        <v>-199284</v>
      </c>
      <c r="CG99" s="239">
        <v>1198.6400000000001</v>
      </c>
      <c r="CH99" s="239">
        <v>0</v>
      </c>
      <c r="CI99" s="239">
        <v>1198.6400000000001</v>
      </c>
      <c r="CJ99" s="239">
        <v>0</v>
      </c>
      <c r="CK99" s="239">
        <v>0</v>
      </c>
      <c r="CL99" s="239">
        <v>0</v>
      </c>
      <c r="CM99" s="239">
        <v>0</v>
      </c>
      <c r="CN99" s="239">
        <v>0</v>
      </c>
      <c r="CO99" s="239">
        <v>0</v>
      </c>
      <c r="CP99" s="239">
        <v>0</v>
      </c>
      <c r="CQ99" s="239">
        <v>0</v>
      </c>
      <c r="CR99" s="239">
        <v>0</v>
      </c>
      <c r="CS99" s="239">
        <v>0</v>
      </c>
      <c r="CT99" s="239">
        <v>0</v>
      </c>
      <c r="CU99" s="239">
        <v>0</v>
      </c>
      <c r="CV99" s="239">
        <v>0</v>
      </c>
      <c r="CW99" s="239">
        <v>0</v>
      </c>
      <c r="CX99" s="239">
        <v>0</v>
      </c>
      <c r="CY99" s="239">
        <v>0</v>
      </c>
      <c r="CZ99" s="239">
        <v>0</v>
      </c>
      <c r="DA99" s="239">
        <v>0</v>
      </c>
      <c r="DB99" s="239">
        <v>0</v>
      </c>
      <c r="DC99" s="239">
        <v>0</v>
      </c>
      <c r="DD99" s="239">
        <v>0</v>
      </c>
      <c r="DE99" s="239">
        <v>0</v>
      </c>
      <c r="DF99" s="239">
        <v>0</v>
      </c>
      <c r="DG99" s="239">
        <v>0</v>
      </c>
      <c r="DH99" s="239">
        <v>0</v>
      </c>
      <c r="DI99" s="239">
        <v>0</v>
      </c>
      <c r="DJ99" s="239">
        <v>-375305</v>
      </c>
      <c r="DK99" s="239">
        <v>0</v>
      </c>
      <c r="DL99" s="239">
        <v>-375305</v>
      </c>
      <c r="DM99" s="239">
        <v>0</v>
      </c>
      <c r="DN99" s="239">
        <v>0</v>
      </c>
      <c r="DO99" s="239">
        <v>0</v>
      </c>
      <c r="DP99" s="239">
        <v>0</v>
      </c>
      <c r="DQ99" s="239">
        <v>0</v>
      </c>
      <c r="DR99" s="239">
        <v>0</v>
      </c>
      <c r="DS99" s="239">
        <v>-3022</v>
      </c>
      <c r="DT99" s="239">
        <v>0</v>
      </c>
      <c r="DU99" s="239">
        <v>-3022</v>
      </c>
      <c r="DV99" s="239">
        <v>98</v>
      </c>
      <c r="DW99" s="239">
        <v>0</v>
      </c>
      <c r="DX99" s="239">
        <v>98</v>
      </c>
      <c r="DY99" s="239">
        <v>3116</v>
      </c>
      <c r="DZ99" s="239">
        <v>0</v>
      </c>
      <c r="EA99" s="239">
        <v>3116</v>
      </c>
      <c r="EB99" s="239">
        <v>0</v>
      </c>
      <c r="EC99" s="239">
        <v>0</v>
      </c>
      <c r="ED99" s="239">
        <v>0</v>
      </c>
      <c r="EE99" s="239">
        <v>0</v>
      </c>
      <c r="EF99" s="239">
        <v>0</v>
      </c>
      <c r="EG99" s="239">
        <v>0</v>
      </c>
      <c r="EH99" s="239">
        <v>0</v>
      </c>
      <c r="EI99" s="239">
        <v>0</v>
      </c>
      <c r="EJ99" s="239">
        <v>0</v>
      </c>
      <c r="EK99" s="239">
        <v>0</v>
      </c>
      <c r="EL99" s="239">
        <v>0</v>
      </c>
      <c r="EM99" s="239">
        <v>0</v>
      </c>
      <c r="EN99" s="239">
        <v>-2129</v>
      </c>
      <c r="EO99" s="239">
        <v>0</v>
      </c>
      <c r="EP99" s="239">
        <v>-2129</v>
      </c>
      <c r="EQ99" s="239">
        <v>-44235</v>
      </c>
      <c r="ER99" s="239">
        <v>0</v>
      </c>
      <c r="ES99" s="239">
        <v>-44235</v>
      </c>
      <c r="ET99" s="239">
        <v>-890523</v>
      </c>
      <c r="EU99" s="239">
        <v>0</v>
      </c>
      <c r="EV99" s="239">
        <v>-890523</v>
      </c>
      <c r="EW99" s="239">
        <v>-43441</v>
      </c>
      <c r="EX99" s="239">
        <v>0</v>
      </c>
      <c r="EY99" s="239">
        <v>-43441</v>
      </c>
      <c r="EZ99" s="239">
        <v>-980136</v>
      </c>
      <c r="FA99" s="239">
        <v>0</v>
      </c>
      <c r="FB99" s="239">
        <v>-980136</v>
      </c>
      <c r="FC99" s="239">
        <v>0</v>
      </c>
      <c r="FD99" s="239">
        <v>0</v>
      </c>
      <c r="FE99" s="239">
        <v>0</v>
      </c>
      <c r="FF99" s="239">
        <v>0</v>
      </c>
      <c r="FG99" s="239">
        <v>0</v>
      </c>
      <c r="FH99" s="239">
        <v>0</v>
      </c>
      <c r="FI99" s="239">
        <v>0</v>
      </c>
      <c r="FJ99" s="239">
        <v>0</v>
      </c>
      <c r="FK99" s="239">
        <v>0</v>
      </c>
      <c r="FL99" s="239">
        <v>123184661</v>
      </c>
      <c r="FM99" s="239">
        <v>0</v>
      </c>
      <c r="FN99" s="239">
        <v>123184661</v>
      </c>
      <c r="FO99" s="239">
        <v>1657910</v>
      </c>
      <c r="FP99" s="239">
        <v>0</v>
      </c>
      <c r="FQ99" s="239">
        <v>1657910</v>
      </c>
      <c r="FR99" s="239">
        <v>-10471421</v>
      </c>
      <c r="FS99" s="239">
        <v>0</v>
      </c>
      <c r="FT99" s="239">
        <v>-10471421</v>
      </c>
      <c r="FU99" s="239">
        <v>-2621837</v>
      </c>
      <c r="FV99" s="239">
        <v>0</v>
      </c>
      <c r="FW99" s="239">
        <v>-2621837</v>
      </c>
      <c r="FX99" s="239">
        <v>-375305</v>
      </c>
      <c r="FY99" s="239">
        <v>0</v>
      </c>
      <c r="FZ99" s="239">
        <v>-375305</v>
      </c>
      <c r="GA99" s="239">
        <v>-980136</v>
      </c>
      <c r="GB99" s="239">
        <v>0</v>
      </c>
      <c r="GC99" s="239">
        <v>-980136</v>
      </c>
      <c r="GD99" s="239">
        <v>0</v>
      </c>
      <c r="GE99" s="239">
        <v>0</v>
      </c>
      <c r="GF99" s="239">
        <v>0</v>
      </c>
      <c r="GG99" s="239">
        <v>-12790789</v>
      </c>
      <c r="GH99" s="239">
        <v>0</v>
      </c>
      <c r="GI99" s="239">
        <v>-12790789</v>
      </c>
      <c r="GJ99" s="239">
        <v>110393872</v>
      </c>
      <c r="GK99" s="239">
        <v>0</v>
      </c>
      <c r="GL99" s="239">
        <v>110393872</v>
      </c>
      <c r="GM99" s="214" t="s">
        <v>1159</v>
      </c>
    </row>
    <row r="100" spans="2:195" s="214" customFormat="1" x14ac:dyDescent="0.2">
      <c r="B100" s="602" t="s">
        <v>283</v>
      </c>
      <c r="C100" s="602" t="s">
        <v>282</v>
      </c>
      <c r="D100" s="239">
        <v>-1749256</v>
      </c>
      <c r="E100" s="239">
        <v>0</v>
      </c>
      <c r="F100" s="239">
        <v>-1749256</v>
      </c>
      <c r="G100" s="239">
        <v>20968</v>
      </c>
      <c r="H100" s="239">
        <v>0</v>
      </c>
      <c r="I100" s="239">
        <v>20968</v>
      </c>
      <c r="J100" s="239">
        <v>853464</v>
      </c>
      <c r="K100" s="239">
        <v>0</v>
      </c>
      <c r="L100" s="239">
        <v>853464</v>
      </c>
      <c r="M100" s="239">
        <v>-9320</v>
      </c>
      <c r="N100" s="239">
        <v>0</v>
      </c>
      <c r="O100" s="239">
        <v>-9320</v>
      </c>
      <c r="P100" s="239">
        <v>-884144</v>
      </c>
      <c r="Q100" s="239">
        <v>0</v>
      </c>
      <c r="R100" s="239">
        <v>-884144</v>
      </c>
      <c r="S100" s="239">
        <v>-4408226</v>
      </c>
      <c r="T100" s="239">
        <v>0</v>
      </c>
      <c r="U100" s="239">
        <v>-4408226</v>
      </c>
      <c r="V100" s="239">
        <v>-9496</v>
      </c>
      <c r="W100" s="239">
        <v>0</v>
      </c>
      <c r="X100" s="239">
        <v>-9496</v>
      </c>
      <c r="Y100" s="239">
        <v>-159755.18</v>
      </c>
      <c r="Z100" s="239">
        <v>0</v>
      </c>
      <c r="AA100" s="239">
        <v>-159755.18</v>
      </c>
      <c r="AB100" s="239">
        <v>142411.43</v>
      </c>
      <c r="AC100" s="239">
        <v>0</v>
      </c>
      <c r="AD100" s="239">
        <v>142411.43</v>
      </c>
      <c r="AE100" s="239">
        <v>7</v>
      </c>
      <c r="AF100" s="239">
        <v>0</v>
      </c>
      <c r="AG100" s="239">
        <v>7</v>
      </c>
      <c r="AH100" s="239">
        <v>696133</v>
      </c>
      <c r="AI100" s="239">
        <v>0</v>
      </c>
      <c r="AJ100" s="239">
        <v>696133</v>
      </c>
      <c r="AK100" s="239">
        <v>-19206</v>
      </c>
      <c r="AL100" s="239">
        <v>0</v>
      </c>
      <c r="AM100" s="239">
        <v>-19206</v>
      </c>
      <c r="AN100" s="239">
        <v>-2627989</v>
      </c>
      <c r="AO100" s="239">
        <v>0</v>
      </c>
      <c r="AP100" s="239">
        <v>-2627989</v>
      </c>
      <c r="AQ100" s="239">
        <v>-7458</v>
      </c>
      <c r="AR100" s="239">
        <v>0</v>
      </c>
      <c r="AS100" s="239">
        <v>-7458</v>
      </c>
      <c r="AT100" s="239">
        <v>-32687</v>
      </c>
      <c r="AU100" s="239">
        <v>0</v>
      </c>
      <c r="AV100" s="239">
        <v>-32687</v>
      </c>
      <c r="AW100" s="239">
        <v>0</v>
      </c>
      <c r="AX100" s="239">
        <v>0</v>
      </c>
      <c r="AY100" s="239">
        <v>0</v>
      </c>
      <c r="AZ100" s="239">
        <v>-5652</v>
      </c>
      <c r="BA100" s="239">
        <v>0</v>
      </c>
      <c r="BB100" s="239">
        <v>-5652</v>
      </c>
      <c r="BC100" s="239">
        <v>6</v>
      </c>
      <c r="BD100" s="239">
        <v>0</v>
      </c>
      <c r="BE100" s="239">
        <v>6</v>
      </c>
      <c r="BF100" s="239">
        <v>-6564834</v>
      </c>
      <c r="BG100" s="239">
        <v>0</v>
      </c>
      <c r="BH100" s="239">
        <v>-6564834</v>
      </c>
      <c r="BI100" s="239">
        <v>-1190</v>
      </c>
      <c r="BJ100" s="239">
        <v>0</v>
      </c>
      <c r="BK100" s="239">
        <v>-1190</v>
      </c>
      <c r="BL100" s="239">
        <v>0</v>
      </c>
      <c r="BM100" s="239">
        <v>0</v>
      </c>
      <c r="BN100" s="239">
        <v>0</v>
      </c>
      <c r="BO100" s="239">
        <v>-1070499</v>
      </c>
      <c r="BP100" s="239">
        <v>0</v>
      </c>
      <c r="BQ100" s="239">
        <v>-1070499</v>
      </c>
      <c r="BR100" s="239">
        <v>-10969</v>
      </c>
      <c r="BS100" s="239">
        <v>0</v>
      </c>
      <c r="BT100" s="239">
        <v>-10969</v>
      </c>
      <c r="BU100" s="239">
        <v>-1082658</v>
      </c>
      <c r="BV100" s="239">
        <v>0</v>
      </c>
      <c r="BW100" s="239">
        <v>-1082658</v>
      </c>
      <c r="BX100" s="239">
        <v>-21272</v>
      </c>
      <c r="BY100" s="239">
        <v>0</v>
      </c>
      <c r="BZ100" s="239">
        <v>-21272</v>
      </c>
      <c r="CA100" s="239">
        <v>0</v>
      </c>
      <c r="CB100" s="239">
        <v>0</v>
      </c>
      <c r="CC100" s="239">
        <v>0</v>
      </c>
      <c r="CD100" s="239">
        <v>-45916</v>
      </c>
      <c r="CE100" s="239">
        <v>0</v>
      </c>
      <c r="CF100" s="239">
        <v>-45916</v>
      </c>
      <c r="CG100" s="239">
        <v>118</v>
      </c>
      <c r="CH100" s="239">
        <v>0</v>
      </c>
      <c r="CI100" s="239">
        <v>118</v>
      </c>
      <c r="CJ100" s="239">
        <v>0</v>
      </c>
      <c r="CK100" s="239">
        <v>0</v>
      </c>
      <c r="CL100" s="239">
        <v>0</v>
      </c>
      <c r="CM100" s="239">
        <v>0</v>
      </c>
      <c r="CN100" s="239">
        <v>0</v>
      </c>
      <c r="CO100" s="239">
        <v>0</v>
      </c>
      <c r="CP100" s="239">
        <v>-5652</v>
      </c>
      <c r="CQ100" s="239">
        <v>0</v>
      </c>
      <c r="CR100" s="239">
        <v>-5652</v>
      </c>
      <c r="CS100" s="239">
        <v>3</v>
      </c>
      <c r="CT100" s="239">
        <v>0</v>
      </c>
      <c r="CU100" s="239">
        <v>3</v>
      </c>
      <c r="CV100" s="239">
        <v>-11667</v>
      </c>
      <c r="CW100" s="239">
        <v>0</v>
      </c>
      <c r="CX100" s="239">
        <v>-11667</v>
      </c>
      <c r="CY100" s="239">
        <v>0</v>
      </c>
      <c r="CZ100" s="239">
        <v>0</v>
      </c>
      <c r="DA100" s="239">
        <v>0</v>
      </c>
      <c r="DB100" s="239">
        <v>0</v>
      </c>
      <c r="DC100" s="239">
        <v>0</v>
      </c>
      <c r="DD100" s="239">
        <v>0</v>
      </c>
      <c r="DE100" s="239">
        <v>0</v>
      </c>
      <c r="DF100" s="239">
        <v>0</v>
      </c>
      <c r="DG100" s="239">
        <v>0</v>
      </c>
      <c r="DH100" s="239">
        <v>0</v>
      </c>
      <c r="DI100" s="239">
        <v>0</v>
      </c>
      <c r="DJ100" s="239">
        <v>-84386</v>
      </c>
      <c r="DK100" s="239">
        <v>0</v>
      </c>
      <c r="DL100" s="239">
        <v>-84386</v>
      </c>
      <c r="DM100" s="239">
        <v>0</v>
      </c>
      <c r="DN100" s="239">
        <v>0</v>
      </c>
      <c r="DO100" s="239">
        <v>0</v>
      </c>
      <c r="DP100" s="239">
        <v>0</v>
      </c>
      <c r="DQ100" s="239">
        <v>0</v>
      </c>
      <c r="DR100" s="239">
        <v>0</v>
      </c>
      <c r="DS100" s="239">
        <v>-1762</v>
      </c>
      <c r="DT100" s="239">
        <v>0</v>
      </c>
      <c r="DU100" s="239">
        <v>-1762</v>
      </c>
      <c r="DV100" s="239">
        <v>1561</v>
      </c>
      <c r="DW100" s="239">
        <v>0</v>
      </c>
      <c r="DX100" s="239">
        <v>1561</v>
      </c>
      <c r="DY100" s="239">
        <v>0</v>
      </c>
      <c r="DZ100" s="239">
        <v>0</v>
      </c>
      <c r="EA100" s="239">
        <v>0</v>
      </c>
      <c r="EB100" s="239">
        <v>0</v>
      </c>
      <c r="EC100" s="239">
        <v>0</v>
      </c>
      <c r="ED100" s="239">
        <v>0</v>
      </c>
      <c r="EE100" s="239">
        <v>0</v>
      </c>
      <c r="EF100" s="239">
        <v>0</v>
      </c>
      <c r="EG100" s="239">
        <v>0</v>
      </c>
      <c r="EH100" s="239">
        <v>0</v>
      </c>
      <c r="EI100" s="239">
        <v>0</v>
      </c>
      <c r="EJ100" s="239">
        <v>0</v>
      </c>
      <c r="EK100" s="239">
        <v>0</v>
      </c>
      <c r="EL100" s="239">
        <v>0</v>
      </c>
      <c r="EM100" s="239">
        <v>0</v>
      </c>
      <c r="EN100" s="239">
        <v>0</v>
      </c>
      <c r="EO100" s="239">
        <v>0</v>
      </c>
      <c r="EP100" s="239">
        <v>0</v>
      </c>
      <c r="EQ100" s="239">
        <v>-30458</v>
      </c>
      <c r="ER100" s="239">
        <v>0</v>
      </c>
      <c r="ES100" s="239">
        <v>-30458</v>
      </c>
      <c r="ET100" s="239">
        <v>-264083</v>
      </c>
      <c r="EU100" s="239">
        <v>0</v>
      </c>
      <c r="EV100" s="239">
        <v>-264083</v>
      </c>
      <c r="EW100" s="239">
        <v>-40967</v>
      </c>
      <c r="EX100" s="239">
        <v>0</v>
      </c>
      <c r="EY100" s="239">
        <v>-40967</v>
      </c>
      <c r="EZ100" s="239">
        <v>-335709</v>
      </c>
      <c r="FA100" s="239">
        <v>0</v>
      </c>
      <c r="FB100" s="239">
        <v>-335709</v>
      </c>
      <c r="FC100" s="239">
        <v>0</v>
      </c>
      <c r="FD100" s="239">
        <v>0</v>
      </c>
      <c r="FE100" s="239">
        <v>0</v>
      </c>
      <c r="FF100" s="239">
        <v>0</v>
      </c>
      <c r="FG100" s="239">
        <v>0</v>
      </c>
      <c r="FH100" s="239">
        <v>0</v>
      </c>
      <c r="FI100" s="239">
        <v>0</v>
      </c>
      <c r="FJ100" s="239">
        <v>0</v>
      </c>
      <c r="FK100" s="239">
        <v>0</v>
      </c>
      <c r="FL100" s="239">
        <v>43775030</v>
      </c>
      <c r="FM100" s="239">
        <v>0</v>
      </c>
      <c r="FN100" s="239">
        <v>43775030</v>
      </c>
      <c r="FO100" s="239">
        <v>-884144</v>
      </c>
      <c r="FP100" s="239">
        <v>0</v>
      </c>
      <c r="FQ100" s="239">
        <v>-884144</v>
      </c>
      <c r="FR100" s="239">
        <v>-6564834</v>
      </c>
      <c r="FS100" s="239">
        <v>0</v>
      </c>
      <c r="FT100" s="239">
        <v>-6564834</v>
      </c>
      <c r="FU100" s="239">
        <v>-1082658</v>
      </c>
      <c r="FV100" s="239">
        <v>0</v>
      </c>
      <c r="FW100" s="239">
        <v>-1082658</v>
      </c>
      <c r="FX100" s="239">
        <v>-84386</v>
      </c>
      <c r="FY100" s="239">
        <v>0</v>
      </c>
      <c r="FZ100" s="239">
        <v>-84386</v>
      </c>
      <c r="GA100" s="239">
        <v>-335709</v>
      </c>
      <c r="GB100" s="239">
        <v>0</v>
      </c>
      <c r="GC100" s="239">
        <v>-335709</v>
      </c>
      <c r="GD100" s="239">
        <v>0</v>
      </c>
      <c r="GE100" s="239">
        <v>0</v>
      </c>
      <c r="GF100" s="239">
        <v>0</v>
      </c>
      <c r="GG100" s="239">
        <v>-8951731</v>
      </c>
      <c r="GH100" s="239">
        <v>0</v>
      </c>
      <c r="GI100" s="239">
        <v>-8951731</v>
      </c>
      <c r="GJ100" s="239">
        <v>34823299</v>
      </c>
      <c r="GK100" s="239">
        <v>0</v>
      </c>
      <c r="GL100" s="239">
        <v>34823299</v>
      </c>
      <c r="GM100" s="214" t="s">
        <v>1158</v>
      </c>
    </row>
    <row r="101" spans="2:195" s="214" customFormat="1" x14ac:dyDescent="0.2">
      <c r="B101" s="602" t="s">
        <v>285</v>
      </c>
      <c r="C101" s="602" t="s">
        <v>284</v>
      </c>
      <c r="D101" s="239">
        <v>-1353838</v>
      </c>
      <c r="E101" s="239">
        <v>0</v>
      </c>
      <c r="F101" s="239">
        <v>-1353838</v>
      </c>
      <c r="G101" s="239">
        <v>-576</v>
      </c>
      <c r="H101" s="239">
        <v>0</v>
      </c>
      <c r="I101" s="239">
        <v>-576</v>
      </c>
      <c r="J101" s="239">
        <v>1221801</v>
      </c>
      <c r="K101" s="239">
        <v>0</v>
      </c>
      <c r="L101" s="239">
        <v>1221801</v>
      </c>
      <c r="M101" s="239">
        <v>35299</v>
      </c>
      <c r="N101" s="239">
        <v>0</v>
      </c>
      <c r="O101" s="239">
        <v>35299</v>
      </c>
      <c r="P101" s="239">
        <v>-97314</v>
      </c>
      <c r="Q101" s="239">
        <v>0</v>
      </c>
      <c r="R101" s="239">
        <v>-97314</v>
      </c>
      <c r="S101" s="239">
        <v>-1522101</v>
      </c>
      <c r="T101" s="239">
        <v>0</v>
      </c>
      <c r="U101" s="239">
        <v>-1522101</v>
      </c>
      <c r="V101" s="239">
        <v>0</v>
      </c>
      <c r="W101" s="239">
        <v>0</v>
      </c>
      <c r="X101" s="239">
        <v>0</v>
      </c>
      <c r="Y101" s="239">
        <v>-19927</v>
      </c>
      <c r="Z101" s="239">
        <v>0</v>
      </c>
      <c r="AA101" s="239">
        <v>-19927</v>
      </c>
      <c r="AB101" s="239">
        <v>0</v>
      </c>
      <c r="AC101" s="239">
        <v>0</v>
      </c>
      <c r="AD101" s="239">
        <v>0</v>
      </c>
      <c r="AE101" s="239">
        <v>0</v>
      </c>
      <c r="AF101" s="239">
        <v>0</v>
      </c>
      <c r="AG101" s="239">
        <v>0</v>
      </c>
      <c r="AH101" s="239">
        <v>623030</v>
      </c>
      <c r="AI101" s="239">
        <v>0</v>
      </c>
      <c r="AJ101" s="239">
        <v>623030</v>
      </c>
      <c r="AK101" s="239">
        <v>-8339</v>
      </c>
      <c r="AL101" s="239">
        <v>0</v>
      </c>
      <c r="AM101" s="239">
        <v>-8339</v>
      </c>
      <c r="AN101" s="239">
        <v>-3091897</v>
      </c>
      <c r="AO101" s="239">
        <v>0</v>
      </c>
      <c r="AP101" s="239">
        <v>-3091897</v>
      </c>
      <c r="AQ101" s="239">
        <v>6813</v>
      </c>
      <c r="AR101" s="239">
        <v>0</v>
      </c>
      <c r="AS101" s="239">
        <v>6813</v>
      </c>
      <c r="AT101" s="239">
        <v>-47006</v>
      </c>
      <c r="AU101" s="239">
        <v>0</v>
      </c>
      <c r="AV101" s="239">
        <v>-47006</v>
      </c>
      <c r="AW101" s="239">
        <v>0</v>
      </c>
      <c r="AX101" s="239">
        <v>0</v>
      </c>
      <c r="AY101" s="239">
        <v>0</v>
      </c>
      <c r="AZ101" s="239">
        <v>0</v>
      </c>
      <c r="BA101" s="239">
        <v>0</v>
      </c>
      <c r="BB101" s="239">
        <v>0</v>
      </c>
      <c r="BC101" s="239">
        <v>0</v>
      </c>
      <c r="BD101" s="239">
        <v>0</v>
      </c>
      <c r="BE101" s="239">
        <v>0</v>
      </c>
      <c r="BF101" s="239">
        <v>-4059427</v>
      </c>
      <c r="BG101" s="239">
        <v>0</v>
      </c>
      <c r="BH101" s="239">
        <v>-4059427</v>
      </c>
      <c r="BI101" s="239">
        <v>-51821</v>
      </c>
      <c r="BJ101" s="239">
        <v>0</v>
      </c>
      <c r="BK101" s="239">
        <v>-51821</v>
      </c>
      <c r="BL101" s="239">
        <v>0</v>
      </c>
      <c r="BM101" s="239">
        <v>0</v>
      </c>
      <c r="BN101" s="239">
        <v>0</v>
      </c>
      <c r="BO101" s="239">
        <v>-953982</v>
      </c>
      <c r="BP101" s="239">
        <v>0</v>
      </c>
      <c r="BQ101" s="239">
        <v>-953982</v>
      </c>
      <c r="BR101" s="239">
        <v>32620</v>
      </c>
      <c r="BS101" s="239">
        <v>0</v>
      </c>
      <c r="BT101" s="239">
        <v>32620</v>
      </c>
      <c r="BU101" s="239">
        <v>-973183</v>
      </c>
      <c r="BV101" s="239">
        <v>0</v>
      </c>
      <c r="BW101" s="239">
        <v>-973183</v>
      </c>
      <c r="BX101" s="239">
        <v>-76164</v>
      </c>
      <c r="BY101" s="239">
        <v>0</v>
      </c>
      <c r="BZ101" s="239">
        <v>-76164</v>
      </c>
      <c r="CA101" s="239">
        <v>4298</v>
      </c>
      <c r="CB101" s="239">
        <v>0</v>
      </c>
      <c r="CC101" s="239">
        <v>4298</v>
      </c>
      <c r="CD101" s="239">
        <v>-568</v>
      </c>
      <c r="CE101" s="239">
        <v>0</v>
      </c>
      <c r="CF101" s="239">
        <v>-568</v>
      </c>
      <c r="CG101" s="239">
        <v>0</v>
      </c>
      <c r="CH101" s="239">
        <v>0</v>
      </c>
      <c r="CI101" s="239">
        <v>0</v>
      </c>
      <c r="CJ101" s="239">
        <v>-8259</v>
      </c>
      <c r="CK101" s="239">
        <v>0</v>
      </c>
      <c r="CL101" s="239">
        <v>-8259</v>
      </c>
      <c r="CM101" s="239">
        <v>0</v>
      </c>
      <c r="CN101" s="239">
        <v>0</v>
      </c>
      <c r="CO101" s="239">
        <v>0</v>
      </c>
      <c r="CP101" s="239">
        <v>0</v>
      </c>
      <c r="CQ101" s="239">
        <v>0</v>
      </c>
      <c r="CR101" s="239">
        <v>0</v>
      </c>
      <c r="CS101" s="239">
        <v>0</v>
      </c>
      <c r="CT101" s="239">
        <v>0</v>
      </c>
      <c r="CU101" s="239">
        <v>0</v>
      </c>
      <c r="CV101" s="239">
        <v>0</v>
      </c>
      <c r="CW101" s="239">
        <v>0</v>
      </c>
      <c r="CX101" s="239">
        <v>0</v>
      </c>
      <c r="CY101" s="239">
        <v>0</v>
      </c>
      <c r="CZ101" s="239">
        <v>0</v>
      </c>
      <c r="DA101" s="239">
        <v>0</v>
      </c>
      <c r="DB101" s="239">
        <v>0</v>
      </c>
      <c r="DC101" s="239">
        <v>0</v>
      </c>
      <c r="DD101" s="239">
        <v>0</v>
      </c>
      <c r="DE101" s="239">
        <v>0</v>
      </c>
      <c r="DF101" s="239">
        <v>0</v>
      </c>
      <c r="DG101" s="239">
        <v>0</v>
      </c>
      <c r="DH101" s="239">
        <v>0</v>
      </c>
      <c r="DI101" s="239">
        <v>0</v>
      </c>
      <c r="DJ101" s="239">
        <v>-80693</v>
      </c>
      <c r="DK101" s="239">
        <v>0</v>
      </c>
      <c r="DL101" s="239">
        <v>-80693</v>
      </c>
      <c r="DM101" s="239">
        <v>0</v>
      </c>
      <c r="DN101" s="239">
        <v>0</v>
      </c>
      <c r="DO101" s="239">
        <v>0</v>
      </c>
      <c r="DP101" s="239">
        <v>0</v>
      </c>
      <c r="DQ101" s="239">
        <v>0</v>
      </c>
      <c r="DR101" s="239">
        <v>0</v>
      </c>
      <c r="DS101" s="239">
        <v>0</v>
      </c>
      <c r="DT101" s="239">
        <v>0</v>
      </c>
      <c r="DU101" s="239">
        <v>0</v>
      </c>
      <c r="DV101" s="239">
        <v>0</v>
      </c>
      <c r="DW101" s="239">
        <v>0</v>
      </c>
      <c r="DX101" s="239">
        <v>0</v>
      </c>
      <c r="DY101" s="239">
        <v>0</v>
      </c>
      <c r="DZ101" s="239">
        <v>0</v>
      </c>
      <c r="EA101" s="239">
        <v>0</v>
      </c>
      <c r="EB101" s="239">
        <v>0</v>
      </c>
      <c r="EC101" s="239">
        <v>0</v>
      </c>
      <c r="ED101" s="239">
        <v>0</v>
      </c>
      <c r="EE101" s="239">
        <v>0</v>
      </c>
      <c r="EF101" s="239">
        <v>0</v>
      </c>
      <c r="EG101" s="239">
        <v>0</v>
      </c>
      <c r="EH101" s="239">
        <v>0</v>
      </c>
      <c r="EI101" s="239">
        <v>0</v>
      </c>
      <c r="EJ101" s="239">
        <v>0</v>
      </c>
      <c r="EK101" s="239">
        <v>0</v>
      </c>
      <c r="EL101" s="239">
        <v>0</v>
      </c>
      <c r="EM101" s="239">
        <v>0</v>
      </c>
      <c r="EN101" s="239">
        <v>0</v>
      </c>
      <c r="EO101" s="239">
        <v>0</v>
      </c>
      <c r="EP101" s="239">
        <v>0</v>
      </c>
      <c r="EQ101" s="239">
        <v>-18863</v>
      </c>
      <c r="ER101" s="239">
        <v>0</v>
      </c>
      <c r="ES101" s="239">
        <v>-18863</v>
      </c>
      <c r="ET101" s="239">
        <v>-255600</v>
      </c>
      <c r="EU101" s="239">
        <v>0</v>
      </c>
      <c r="EV101" s="239">
        <v>-255600</v>
      </c>
      <c r="EW101" s="239">
        <v>-14200</v>
      </c>
      <c r="EX101" s="239">
        <v>0</v>
      </c>
      <c r="EY101" s="239">
        <v>-14200</v>
      </c>
      <c r="EZ101" s="239">
        <v>-288663</v>
      </c>
      <c r="FA101" s="239">
        <v>0</v>
      </c>
      <c r="FB101" s="239">
        <v>-288663</v>
      </c>
      <c r="FC101" s="239">
        <v>-2116</v>
      </c>
      <c r="FD101" s="239">
        <v>0</v>
      </c>
      <c r="FE101" s="239">
        <v>-2116</v>
      </c>
      <c r="FF101" s="239">
        <v>0</v>
      </c>
      <c r="FG101" s="239">
        <v>0</v>
      </c>
      <c r="FH101" s="239">
        <v>0</v>
      </c>
      <c r="FI101" s="239">
        <v>-2116</v>
      </c>
      <c r="FJ101" s="239">
        <v>0</v>
      </c>
      <c r="FK101" s="239">
        <v>-2116</v>
      </c>
      <c r="FL101" s="239">
        <v>29584522</v>
      </c>
      <c r="FM101" s="239">
        <v>0</v>
      </c>
      <c r="FN101" s="239">
        <v>29584522</v>
      </c>
      <c r="FO101" s="239">
        <v>-97314</v>
      </c>
      <c r="FP101" s="239">
        <v>0</v>
      </c>
      <c r="FQ101" s="239">
        <v>-97314</v>
      </c>
      <c r="FR101" s="239">
        <v>-4059427</v>
      </c>
      <c r="FS101" s="239">
        <v>0</v>
      </c>
      <c r="FT101" s="239">
        <v>-4059427</v>
      </c>
      <c r="FU101" s="239">
        <v>-973183</v>
      </c>
      <c r="FV101" s="239">
        <v>0</v>
      </c>
      <c r="FW101" s="239">
        <v>-973183</v>
      </c>
      <c r="FX101" s="239">
        <v>-80693</v>
      </c>
      <c r="FY101" s="239">
        <v>0</v>
      </c>
      <c r="FZ101" s="239">
        <v>-80693</v>
      </c>
      <c r="GA101" s="239">
        <v>-288663</v>
      </c>
      <c r="GB101" s="239">
        <v>0</v>
      </c>
      <c r="GC101" s="239">
        <v>-288663</v>
      </c>
      <c r="GD101" s="239">
        <v>-2116</v>
      </c>
      <c r="GE101" s="239">
        <v>0</v>
      </c>
      <c r="GF101" s="239">
        <v>-2116</v>
      </c>
      <c r="GG101" s="239">
        <v>-5501396</v>
      </c>
      <c r="GH101" s="239">
        <v>0</v>
      </c>
      <c r="GI101" s="239">
        <v>-5501396</v>
      </c>
      <c r="GJ101" s="239">
        <v>24083126</v>
      </c>
      <c r="GK101" s="239">
        <v>0</v>
      </c>
      <c r="GL101" s="239">
        <v>24083126</v>
      </c>
      <c r="GM101" s="214" t="s">
        <v>1158</v>
      </c>
    </row>
    <row r="102" spans="2:195" s="214" customFormat="1" x14ac:dyDescent="0.2">
      <c r="B102" s="602" t="s">
        <v>287</v>
      </c>
      <c r="C102" s="602" t="s">
        <v>286</v>
      </c>
      <c r="D102" s="239">
        <v>-1047137</v>
      </c>
      <c r="E102" s="239">
        <v>0</v>
      </c>
      <c r="F102" s="239">
        <v>-1047137</v>
      </c>
      <c r="G102" s="239">
        <v>81</v>
      </c>
      <c r="H102" s="239">
        <v>0</v>
      </c>
      <c r="I102" s="239">
        <v>81</v>
      </c>
      <c r="J102" s="239">
        <v>1096026</v>
      </c>
      <c r="K102" s="239">
        <v>0</v>
      </c>
      <c r="L102" s="239">
        <v>1096026</v>
      </c>
      <c r="M102" s="239">
        <v>50939</v>
      </c>
      <c r="N102" s="239">
        <v>0</v>
      </c>
      <c r="O102" s="239">
        <v>50939</v>
      </c>
      <c r="P102" s="239">
        <v>99909</v>
      </c>
      <c r="Q102" s="239">
        <v>0</v>
      </c>
      <c r="R102" s="239">
        <v>99909</v>
      </c>
      <c r="S102" s="239">
        <v>-3780320</v>
      </c>
      <c r="T102" s="239">
        <v>0</v>
      </c>
      <c r="U102" s="239">
        <v>-3780320</v>
      </c>
      <c r="V102" s="239">
        <v>-20831</v>
      </c>
      <c r="W102" s="239">
        <v>0</v>
      </c>
      <c r="X102" s="239">
        <v>-20831</v>
      </c>
      <c r="Y102" s="239">
        <v>-142375</v>
      </c>
      <c r="Z102" s="239">
        <v>0</v>
      </c>
      <c r="AA102" s="239">
        <v>-142375</v>
      </c>
      <c r="AB102" s="239">
        <v>-128347</v>
      </c>
      <c r="AC102" s="239">
        <v>0</v>
      </c>
      <c r="AD102" s="239">
        <v>-128347</v>
      </c>
      <c r="AE102" s="239">
        <v>-814</v>
      </c>
      <c r="AF102" s="239">
        <v>0</v>
      </c>
      <c r="AG102" s="239">
        <v>-814</v>
      </c>
      <c r="AH102" s="239">
        <v>496258</v>
      </c>
      <c r="AI102" s="239">
        <v>0</v>
      </c>
      <c r="AJ102" s="239">
        <v>496258</v>
      </c>
      <c r="AK102" s="239">
        <v>-25113</v>
      </c>
      <c r="AL102" s="239">
        <v>0</v>
      </c>
      <c r="AM102" s="239">
        <v>-25113</v>
      </c>
      <c r="AN102" s="239">
        <v>-1878093</v>
      </c>
      <c r="AO102" s="239">
        <v>0</v>
      </c>
      <c r="AP102" s="239">
        <v>-1878093</v>
      </c>
      <c r="AQ102" s="239">
        <v>-3571</v>
      </c>
      <c r="AR102" s="239">
        <v>0</v>
      </c>
      <c r="AS102" s="239">
        <v>-3571</v>
      </c>
      <c r="AT102" s="239">
        <v>-51546</v>
      </c>
      <c r="AU102" s="239">
        <v>0</v>
      </c>
      <c r="AV102" s="239">
        <v>-51546</v>
      </c>
      <c r="AW102" s="239">
        <v>0</v>
      </c>
      <c r="AX102" s="239">
        <v>0</v>
      </c>
      <c r="AY102" s="239">
        <v>0</v>
      </c>
      <c r="AZ102" s="239">
        <v>-1320</v>
      </c>
      <c r="BA102" s="239">
        <v>0</v>
      </c>
      <c r="BB102" s="239">
        <v>-1320</v>
      </c>
      <c r="BC102" s="239">
        <v>0</v>
      </c>
      <c r="BD102" s="239">
        <v>0</v>
      </c>
      <c r="BE102" s="239">
        <v>0</v>
      </c>
      <c r="BF102" s="239">
        <v>-5386080</v>
      </c>
      <c r="BG102" s="239">
        <v>0</v>
      </c>
      <c r="BH102" s="239">
        <v>-5386080</v>
      </c>
      <c r="BI102" s="239">
        <v>0</v>
      </c>
      <c r="BJ102" s="239">
        <v>0</v>
      </c>
      <c r="BK102" s="239">
        <v>0</v>
      </c>
      <c r="BL102" s="239">
        <v>0</v>
      </c>
      <c r="BM102" s="239">
        <v>0</v>
      </c>
      <c r="BN102" s="239">
        <v>0</v>
      </c>
      <c r="BO102" s="239">
        <v>-515036</v>
      </c>
      <c r="BP102" s="239">
        <v>0</v>
      </c>
      <c r="BQ102" s="239">
        <v>-515036</v>
      </c>
      <c r="BR102" s="239">
        <v>7049</v>
      </c>
      <c r="BS102" s="239">
        <v>0</v>
      </c>
      <c r="BT102" s="239">
        <v>7049</v>
      </c>
      <c r="BU102" s="239">
        <v>-507987</v>
      </c>
      <c r="BV102" s="239">
        <v>0</v>
      </c>
      <c r="BW102" s="239">
        <v>-507987</v>
      </c>
      <c r="BX102" s="239">
        <v>-16240</v>
      </c>
      <c r="BY102" s="239">
        <v>0</v>
      </c>
      <c r="BZ102" s="239">
        <v>-16240</v>
      </c>
      <c r="CA102" s="239">
        <v>3007</v>
      </c>
      <c r="CB102" s="239">
        <v>0</v>
      </c>
      <c r="CC102" s="239">
        <v>3007</v>
      </c>
      <c r="CD102" s="239">
        <v>-32669</v>
      </c>
      <c r="CE102" s="239">
        <v>0</v>
      </c>
      <c r="CF102" s="239">
        <v>-32669</v>
      </c>
      <c r="CG102" s="239">
        <v>4252</v>
      </c>
      <c r="CH102" s="239">
        <v>0</v>
      </c>
      <c r="CI102" s="239">
        <v>4252</v>
      </c>
      <c r="CJ102" s="239">
        <v>0</v>
      </c>
      <c r="CK102" s="239">
        <v>0</v>
      </c>
      <c r="CL102" s="239">
        <v>0</v>
      </c>
      <c r="CM102" s="239">
        <v>0</v>
      </c>
      <c r="CN102" s="239">
        <v>0</v>
      </c>
      <c r="CO102" s="239">
        <v>0</v>
      </c>
      <c r="CP102" s="239">
        <v>-1320</v>
      </c>
      <c r="CQ102" s="239">
        <v>0</v>
      </c>
      <c r="CR102" s="239">
        <v>-1320</v>
      </c>
      <c r="CS102" s="239">
        <v>0</v>
      </c>
      <c r="CT102" s="239">
        <v>0</v>
      </c>
      <c r="CU102" s="239">
        <v>0</v>
      </c>
      <c r="CV102" s="239">
        <v>0</v>
      </c>
      <c r="CW102" s="239">
        <v>0</v>
      </c>
      <c r="CX102" s="239">
        <v>0</v>
      </c>
      <c r="CY102" s="239">
        <v>0</v>
      </c>
      <c r="CZ102" s="239">
        <v>0</v>
      </c>
      <c r="DA102" s="239">
        <v>0</v>
      </c>
      <c r="DB102" s="239">
        <v>0</v>
      </c>
      <c r="DC102" s="239">
        <v>0</v>
      </c>
      <c r="DD102" s="239">
        <v>0</v>
      </c>
      <c r="DE102" s="239">
        <v>0</v>
      </c>
      <c r="DF102" s="239">
        <v>0</v>
      </c>
      <c r="DG102" s="239">
        <v>0</v>
      </c>
      <c r="DH102" s="239">
        <v>0</v>
      </c>
      <c r="DI102" s="239">
        <v>0</v>
      </c>
      <c r="DJ102" s="239">
        <v>-42970</v>
      </c>
      <c r="DK102" s="239">
        <v>0</v>
      </c>
      <c r="DL102" s="239">
        <v>-42970</v>
      </c>
      <c r="DM102" s="239">
        <v>0</v>
      </c>
      <c r="DN102" s="239">
        <v>0</v>
      </c>
      <c r="DO102" s="239">
        <v>0</v>
      </c>
      <c r="DP102" s="239">
        <v>0</v>
      </c>
      <c r="DQ102" s="239">
        <v>0</v>
      </c>
      <c r="DR102" s="239">
        <v>0</v>
      </c>
      <c r="DS102" s="239">
        <v>-110</v>
      </c>
      <c r="DT102" s="239">
        <v>0</v>
      </c>
      <c r="DU102" s="239">
        <v>-110</v>
      </c>
      <c r="DV102" s="239">
        <v>0</v>
      </c>
      <c r="DW102" s="239">
        <v>0</v>
      </c>
      <c r="DX102" s="239">
        <v>0</v>
      </c>
      <c r="DY102" s="239">
        <v>3067</v>
      </c>
      <c r="DZ102" s="239">
        <v>0</v>
      </c>
      <c r="EA102" s="239">
        <v>3067</v>
      </c>
      <c r="EB102" s="239">
        <v>0</v>
      </c>
      <c r="EC102" s="239">
        <v>0</v>
      </c>
      <c r="ED102" s="239">
        <v>0</v>
      </c>
      <c r="EE102" s="239">
        <v>0</v>
      </c>
      <c r="EF102" s="239">
        <v>0</v>
      </c>
      <c r="EG102" s="239">
        <v>0</v>
      </c>
      <c r="EH102" s="239">
        <v>0</v>
      </c>
      <c r="EI102" s="239">
        <v>0</v>
      </c>
      <c r="EJ102" s="239">
        <v>0</v>
      </c>
      <c r="EK102" s="239">
        <v>0</v>
      </c>
      <c r="EL102" s="239">
        <v>0</v>
      </c>
      <c r="EM102" s="239">
        <v>0</v>
      </c>
      <c r="EN102" s="239">
        <v>0</v>
      </c>
      <c r="EO102" s="239">
        <v>0</v>
      </c>
      <c r="EP102" s="239">
        <v>0</v>
      </c>
      <c r="EQ102" s="239">
        <v>-21676</v>
      </c>
      <c r="ER102" s="239">
        <v>0</v>
      </c>
      <c r="ES102" s="239">
        <v>-21676</v>
      </c>
      <c r="ET102" s="239">
        <v>-136135</v>
      </c>
      <c r="EU102" s="239">
        <v>0</v>
      </c>
      <c r="EV102" s="239">
        <v>-136135</v>
      </c>
      <c r="EW102" s="239">
        <v>-43731</v>
      </c>
      <c r="EX102" s="239">
        <v>0</v>
      </c>
      <c r="EY102" s="239">
        <v>-43731</v>
      </c>
      <c r="EZ102" s="239">
        <v>-198585</v>
      </c>
      <c r="FA102" s="239">
        <v>0</v>
      </c>
      <c r="FB102" s="239">
        <v>-198585</v>
      </c>
      <c r="FC102" s="239">
        <v>0</v>
      </c>
      <c r="FD102" s="239">
        <v>0</v>
      </c>
      <c r="FE102" s="239">
        <v>0</v>
      </c>
      <c r="FF102" s="239">
        <v>0</v>
      </c>
      <c r="FG102" s="239">
        <v>0</v>
      </c>
      <c r="FH102" s="239">
        <v>0</v>
      </c>
      <c r="FI102" s="239">
        <v>0</v>
      </c>
      <c r="FJ102" s="239">
        <v>0</v>
      </c>
      <c r="FK102" s="239">
        <v>0</v>
      </c>
      <c r="FL102" s="239">
        <v>29900330</v>
      </c>
      <c r="FM102" s="239">
        <v>0</v>
      </c>
      <c r="FN102" s="239">
        <v>29900330</v>
      </c>
      <c r="FO102" s="239">
        <v>99909</v>
      </c>
      <c r="FP102" s="239">
        <v>0</v>
      </c>
      <c r="FQ102" s="239">
        <v>99909</v>
      </c>
      <c r="FR102" s="239">
        <v>-5386080</v>
      </c>
      <c r="FS102" s="239">
        <v>0</v>
      </c>
      <c r="FT102" s="239">
        <v>-5386080</v>
      </c>
      <c r="FU102" s="239">
        <v>-507987</v>
      </c>
      <c r="FV102" s="239">
        <v>0</v>
      </c>
      <c r="FW102" s="239">
        <v>-507987</v>
      </c>
      <c r="FX102" s="239">
        <v>-42970</v>
      </c>
      <c r="FY102" s="239">
        <v>0</v>
      </c>
      <c r="FZ102" s="239">
        <v>-42970</v>
      </c>
      <c r="GA102" s="239">
        <v>-198585</v>
      </c>
      <c r="GB102" s="239">
        <v>0</v>
      </c>
      <c r="GC102" s="239">
        <v>-198585</v>
      </c>
      <c r="GD102" s="239">
        <v>0</v>
      </c>
      <c r="GE102" s="239">
        <v>0</v>
      </c>
      <c r="GF102" s="239">
        <v>0</v>
      </c>
      <c r="GG102" s="239">
        <v>-6035713</v>
      </c>
      <c r="GH102" s="239">
        <v>0</v>
      </c>
      <c r="GI102" s="239">
        <v>-6035713</v>
      </c>
      <c r="GJ102" s="239">
        <v>23864617</v>
      </c>
      <c r="GK102" s="239">
        <v>0</v>
      </c>
      <c r="GL102" s="239">
        <v>23864617</v>
      </c>
      <c r="GM102" s="214" t="s">
        <v>1158</v>
      </c>
    </row>
    <row r="103" spans="2:195" s="214" customFormat="1" x14ac:dyDescent="0.2">
      <c r="B103" s="602" t="s">
        <v>289</v>
      </c>
      <c r="C103" s="602" t="s">
        <v>288</v>
      </c>
      <c r="D103" s="239">
        <v>-2687944</v>
      </c>
      <c r="E103" s="239">
        <v>0</v>
      </c>
      <c r="F103" s="239">
        <v>-2687944</v>
      </c>
      <c r="G103" s="239">
        <v>99808</v>
      </c>
      <c r="H103" s="239">
        <v>0</v>
      </c>
      <c r="I103" s="239">
        <v>99808</v>
      </c>
      <c r="J103" s="239">
        <v>7499185</v>
      </c>
      <c r="K103" s="239">
        <v>0</v>
      </c>
      <c r="L103" s="239">
        <v>7499185</v>
      </c>
      <c r="M103" s="239">
        <v>49823</v>
      </c>
      <c r="N103" s="239">
        <v>0</v>
      </c>
      <c r="O103" s="239">
        <v>49823</v>
      </c>
      <c r="P103" s="239">
        <v>4960872</v>
      </c>
      <c r="Q103" s="239">
        <v>0</v>
      </c>
      <c r="R103" s="239">
        <v>4960872</v>
      </c>
      <c r="S103" s="239">
        <v>-3511861</v>
      </c>
      <c r="T103" s="239">
        <v>0</v>
      </c>
      <c r="U103" s="239">
        <v>-3511861</v>
      </c>
      <c r="V103" s="239">
        <v>-8815</v>
      </c>
      <c r="W103" s="239">
        <v>0</v>
      </c>
      <c r="X103" s="239">
        <v>-8815</v>
      </c>
      <c r="Y103" s="239">
        <v>-92383</v>
      </c>
      <c r="Z103" s="239">
        <v>0</v>
      </c>
      <c r="AA103" s="239">
        <v>-92383</v>
      </c>
      <c r="AB103" s="239">
        <v>-71645</v>
      </c>
      <c r="AC103" s="239">
        <v>0</v>
      </c>
      <c r="AD103" s="239">
        <v>-71645</v>
      </c>
      <c r="AE103" s="239">
        <v>0</v>
      </c>
      <c r="AF103" s="239">
        <v>0</v>
      </c>
      <c r="AG103" s="239">
        <v>0</v>
      </c>
      <c r="AH103" s="239">
        <v>1864322</v>
      </c>
      <c r="AI103" s="239">
        <v>0</v>
      </c>
      <c r="AJ103" s="239">
        <v>1864322</v>
      </c>
      <c r="AK103" s="239">
        <v>-43207</v>
      </c>
      <c r="AL103" s="239">
        <v>0</v>
      </c>
      <c r="AM103" s="239">
        <v>-43207</v>
      </c>
      <c r="AN103" s="239">
        <v>-7039800</v>
      </c>
      <c r="AO103" s="239">
        <v>0</v>
      </c>
      <c r="AP103" s="239">
        <v>-7039800</v>
      </c>
      <c r="AQ103" s="239">
        <v>57854</v>
      </c>
      <c r="AR103" s="239">
        <v>0</v>
      </c>
      <c r="AS103" s="239">
        <v>57854</v>
      </c>
      <c r="AT103" s="239">
        <v>-35210</v>
      </c>
      <c r="AU103" s="239">
        <v>0</v>
      </c>
      <c r="AV103" s="239">
        <v>-35210</v>
      </c>
      <c r="AW103" s="239">
        <v>0</v>
      </c>
      <c r="AX103" s="239">
        <v>0</v>
      </c>
      <c r="AY103" s="239">
        <v>0</v>
      </c>
      <c r="AZ103" s="239">
        <v>0</v>
      </c>
      <c r="BA103" s="239">
        <v>0</v>
      </c>
      <c r="BB103" s="239">
        <v>0</v>
      </c>
      <c r="BC103" s="239">
        <v>0</v>
      </c>
      <c r="BD103" s="239">
        <v>0</v>
      </c>
      <c r="BE103" s="239">
        <v>0</v>
      </c>
      <c r="BF103" s="239">
        <v>-8800285</v>
      </c>
      <c r="BG103" s="239">
        <v>0</v>
      </c>
      <c r="BH103" s="239">
        <v>-8800285</v>
      </c>
      <c r="BI103" s="239">
        <v>-14137</v>
      </c>
      <c r="BJ103" s="239">
        <v>0</v>
      </c>
      <c r="BK103" s="239">
        <v>-14137</v>
      </c>
      <c r="BL103" s="239">
        <v>-4161</v>
      </c>
      <c r="BM103" s="239">
        <v>0</v>
      </c>
      <c r="BN103" s="239">
        <v>-4161</v>
      </c>
      <c r="BO103" s="239">
        <v>-1655173</v>
      </c>
      <c r="BP103" s="239">
        <v>0</v>
      </c>
      <c r="BQ103" s="239">
        <v>-1655173</v>
      </c>
      <c r="BR103" s="239">
        <v>190901</v>
      </c>
      <c r="BS103" s="239">
        <v>0</v>
      </c>
      <c r="BT103" s="239">
        <v>190901</v>
      </c>
      <c r="BU103" s="239">
        <v>-1482570</v>
      </c>
      <c r="BV103" s="239">
        <v>0</v>
      </c>
      <c r="BW103" s="239">
        <v>-1482570</v>
      </c>
      <c r="BX103" s="239">
        <v>-229333</v>
      </c>
      <c r="BY103" s="239">
        <v>0</v>
      </c>
      <c r="BZ103" s="239">
        <v>-229333</v>
      </c>
      <c r="CA103" s="239">
        <v>-660</v>
      </c>
      <c r="CB103" s="239">
        <v>0</v>
      </c>
      <c r="CC103" s="239">
        <v>-660</v>
      </c>
      <c r="CD103" s="239">
        <v>-54867</v>
      </c>
      <c r="CE103" s="239">
        <v>0</v>
      </c>
      <c r="CF103" s="239">
        <v>-54867</v>
      </c>
      <c r="CG103" s="239">
        <v>0</v>
      </c>
      <c r="CH103" s="239">
        <v>0</v>
      </c>
      <c r="CI103" s="239">
        <v>0</v>
      </c>
      <c r="CJ103" s="239">
        <v>-3519</v>
      </c>
      <c r="CK103" s="239">
        <v>0</v>
      </c>
      <c r="CL103" s="239">
        <v>-3519</v>
      </c>
      <c r="CM103" s="239">
        <v>0</v>
      </c>
      <c r="CN103" s="239">
        <v>0</v>
      </c>
      <c r="CO103" s="239">
        <v>0</v>
      </c>
      <c r="CP103" s="239">
        <v>0</v>
      </c>
      <c r="CQ103" s="239">
        <v>0</v>
      </c>
      <c r="CR103" s="239">
        <v>0</v>
      </c>
      <c r="CS103" s="239">
        <v>0</v>
      </c>
      <c r="CT103" s="239">
        <v>0</v>
      </c>
      <c r="CU103" s="239">
        <v>0</v>
      </c>
      <c r="CV103" s="239">
        <v>0</v>
      </c>
      <c r="CW103" s="239">
        <v>0</v>
      </c>
      <c r="CX103" s="239">
        <v>0</v>
      </c>
      <c r="CY103" s="239">
        <v>0</v>
      </c>
      <c r="CZ103" s="239">
        <v>0</v>
      </c>
      <c r="DA103" s="239">
        <v>0</v>
      </c>
      <c r="DB103" s="239">
        <v>0</v>
      </c>
      <c r="DC103" s="239">
        <v>0</v>
      </c>
      <c r="DD103" s="239">
        <v>0</v>
      </c>
      <c r="DE103" s="239">
        <v>0</v>
      </c>
      <c r="DF103" s="239">
        <v>0</v>
      </c>
      <c r="DG103" s="239">
        <v>0</v>
      </c>
      <c r="DH103" s="239">
        <v>0</v>
      </c>
      <c r="DI103" s="239">
        <v>0</v>
      </c>
      <c r="DJ103" s="239">
        <v>-288379</v>
      </c>
      <c r="DK103" s="239">
        <v>0</v>
      </c>
      <c r="DL103" s="239">
        <v>-288379</v>
      </c>
      <c r="DM103" s="239">
        <v>0</v>
      </c>
      <c r="DN103" s="239">
        <v>0</v>
      </c>
      <c r="DO103" s="239">
        <v>0</v>
      </c>
      <c r="DP103" s="239">
        <v>501</v>
      </c>
      <c r="DQ103" s="239">
        <v>0</v>
      </c>
      <c r="DR103" s="239">
        <v>501</v>
      </c>
      <c r="DS103" s="239">
        <v>-160</v>
      </c>
      <c r="DT103" s="239">
        <v>0</v>
      </c>
      <c r="DU103" s="239">
        <v>-160</v>
      </c>
      <c r="DV103" s="239">
        <v>-71923</v>
      </c>
      <c r="DW103" s="239">
        <v>0</v>
      </c>
      <c r="DX103" s="239">
        <v>-71923</v>
      </c>
      <c r="DY103" s="239">
        <v>10325</v>
      </c>
      <c r="DZ103" s="239">
        <v>0</v>
      </c>
      <c r="EA103" s="239">
        <v>10325</v>
      </c>
      <c r="EB103" s="239">
        <v>0</v>
      </c>
      <c r="EC103" s="239">
        <v>0</v>
      </c>
      <c r="ED103" s="239">
        <v>0</v>
      </c>
      <c r="EE103" s="239">
        <v>0</v>
      </c>
      <c r="EF103" s="239">
        <v>0</v>
      </c>
      <c r="EG103" s="239">
        <v>0</v>
      </c>
      <c r="EH103" s="239">
        <v>4502</v>
      </c>
      <c r="EI103" s="239">
        <v>0</v>
      </c>
      <c r="EJ103" s="239">
        <v>4502</v>
      </c>
      <c r="EK103" s="239">
        <v>0</v>
      </c>
      <c r="EL103" s="239">
        <v>0</v>
      </c>
      <c r="EM103" s="239">
        <v>0</v>
      </c>
      <c r="EN103" s="239">
        <v>-1500</v>
      </c>
      <c r="EO103" s="239">
        <v>0</v>
      </c>
      <c r="EP103" s="239">
        <v>-1500</v>
      </c>
      <c r="EQ103" s="239">
        <v>-22232</v>
      </c>
      <c r="ER103" s="239">
        <v>0</v>
      </c>
      <c r="ES103" s="239">
        <v>-22232</v>
      </c>
      <c r="ET103" s="239">
        <v>-353300</v>
      </c>
      <c r="EU103" s="239">
        <v>0</v>
      </c>
      <c r="EV103" s="239">
        <v>-353300</v>
      </c>
      <c r="EW103" s="239">
        <v>-38055</v>
      </c>
      <c r="EX103" s="239">
        <v>0</v>
      </c>
      <c r="EY103" s="239">
        <v>-38055</v>
      </c>
      <c r="EZ103" s="239">
        <v>-471842</v>
      </c>
      <c r="FA103" s="239">
        <v>0</v>
      </c>
      <c r="FB103" s="239">
        <v>-471842</v>
      </c>
      <c r="FC103" s="239">
        <v>-3883</v>
      </c>
      <c r="FD103" s="239">
        <v>0</v>
      </c>
      <c r="FE103" s="239">
        <v>-3883</v>
      </c>
      <c r="FF103" s="239">
        <v>0</v>
      </c>
      <c r="FG103" s="239">
        <v>0</v>
      </c>
      <c r="FH103" s="239">
        <v>0</v>
      </c>
      <c r="FI103" s="239">
        <v>-3883</v>
      </c>
      <c r="FJ103" s="239">
        <v>0</v>
      </c>
      <c r="FK103" s="239">
        <v>-3883</v>
      </c>
      <c r="FL103" s="239">
        <v>85370699</v>
      </c>
      <c r="FM103" s="239">
        <v>0</v>
      </c>
      <c r="FN103" s="239">
        <v>85370699</v>
      </c>
      <c r="FO103" s="239">
        <v>4960872</v>
      </c>
      <c r="FP103" s="239">
        <v>0</v>
      </c>
      <c r="FQ103" s="239">
        <v>4960872</v>
      </c>
      <c r="FR103" s="239">
        <v>-8800285</v>
      </c>
      <c r="FS103" s="239">
        <v>0</v>
      </c>
      <c r="FT103" s="239">
        <v>-8800285</v>
      </c>
      <c r="FU103" s="239">
        <v>-1482570</v>
      </c>
      <c r="FV103" s="239">
        <v>0</v>
      </c>
      <c r="FW103" s="239">
        <v>-1482570</v>
      </c>
      <c r="FX103" s="239">
        <v>-288379</v>
      </c>
      <c r="FY103" s="239">
        <v>0</v>
      </c>
      <c r="FZ103" s="239">
        <v>-288379</v>
      </c>
      <c r="GA103" s="239">
        <v>-471842</v>
      </c>
      <c r="GB103" s="239">
        <v>0</v>
      </c>
      <c r="GC103" s="239">
        <v>-471842</v>
      </c>
      <c r="GD103" s="239">
        <v>-3883</v>
      </c>
      <c r="GE103" s="239">
        <v>0</v>
      </c>
      <c r="GF103" s="239">
        <v>-3883</v>
      </c>
      <c r="GG103" s="239">
        <v>-6086087</v>
      </c>
      <c r="GH103" s="239">
        <v>0</v>
      </c>
      <c r="GI103" s="239">
        <v>-6086087</v>
      </c>
      <c r="GJ103" s="239">
        <v>79284612</v>
      </c>
      <c r="GK103" s="239">
        <v>0</v>
      </c>
      <c r="GL103" s="239">
        <v>79284612</v>
      </c>
      <c r="GM103" s="214" t="s">
        <v>1158</v>
      </c>
    </row>
    <row r="104" spans="2:195" s="214" customFormat="1" x14ac:dyDescent="0.2">
      <c r="B104" s="602" t="s">
        <v>291</v>
      </c>
      <c r="C104" s="602" t="s">
        <v>290</v>
      </c>
      <c r="D104" s="239">
        <v>-1147952</v>
      </c>
      <c r="E104" s="239">
        <v>-70</v>
      </c>
      <c r="F104" s="239">
        <v>-1148022</v>
      </c>
      <c r="G104" s="239">
        <v>28294</v>
      </c>
      <c r="H104" s="239">
        <v>0</v>
      </c>
      <c r="I104" s="239">
        <v>28294</v>
      </c>
      <c r="J104" s="239">
        <v>2779036</v>
      </c>
      <c r="K104" s="239">
        <v>1687</v>
      </c>
      <c r="L104" s="239">
        <v>2780723</v>
      </c>
      <c r="M104" s="239">
        <v>69876</v>
      </c>
      <c r="N104" s="239">
        <v>0</v>
      </c>
      <c r="O104" s="239">
        <v>69876</v>
      </c>
      <c r="P104" s="239">
        <v>1729254</v>
      </c>
      <c r="Q104" s="239">
        <v>1617</v>
      </c>
      <c r="R104" s="239">
        <v>1730871</v>
      </c>
      <c r="S104" s="239">
        <v>-2948076</v>
      </c>
      <c r="T104" s="239">
        <v>-11840</v>
      </c>
      <c r="U104" s="239">
        <v>-2959916</v>
      </c>
      <c r="V104" s="239">
        <v>-9752</v>
      </c>
      <c r="W104" s="239">
        <v>0</v>
      </c>
      <c r="X104" s="239">
        <v>-9752</v>
      </c>
      <c r="Y104" s="239">
        <v>-45216</v>
      </c>
      <c r="Z104" s="239">
        <v>0</v>
      </c>
      <c r="AA104" s="239">
        <v>-45216</v>
      </c>
      <c r="AB104" s="239">
        <v>-31887</v>
      </c>
      <c r="AC104" s="239">
        <v>0</v>
      </c>
      <c r="AD104" s="239">
        <v>-31887</v>
      </c>
      <c r="AE104" s="239">
        <v>1134</v>
      </c>
      <c r="AF104" s="239">
        <v>0</v>
      </c>
      <c r="AG104" s="239">
        <v>1134</v>
      </c>
      <c r="AH104" s="239">
        <v>912636</v>
      </c>
      <c r="AI104" s="239">
        <v>10976</v>
      </c>
      <c r="AJ104" s="239">
        <v>923612</v>
      </c>
      <c r="AK104" s="239">
        <v>-33129</v>
      </c>
      <c r="AL104" s="239">
        <v>0</v>
      </c>
      <c r="AM104" s="239">
        <v>-33129</v>
      </c>
      <c r="AN104" s="239">
        <v>-2639577</v>
      </c>
      <c r="AO104" s="239">
        <v>-264697</v>
      </c>
      <c r="AP104" s="239">
        <v>-2904274</v>
      </c>
      <c r="AQ104" s="239">
        <v>-144890</v>
      </c>
      <c r="AR104" s="239">
        <v>0</v>
      </c>
      <c r="AS104" s="239">
        <v>-144890</v>
      </c>
      <c r="AT104" s="239">
        <v>0</v>
      </c>
      <c r="AU104" s="239">
        <v>0</v>
      </c>
      <c r="AV104" s="239">
        <v>0</v>
      </c>
      <c r="AW104" s="239">
        <v>0</v>
      </c>
      <c r="AX104" s="239">
        <v>0</v>
      </c>
      <c r="AY104" s="239">
        <v>0</v>
      </c>
      <c r="AZ104" s="239">
        <v>0</v>
      </c>
      <c r="BA104" s="239">
        <v>0</v>
      </c>
      <c r="BB104" s="239">
        <v>0</v>
      </c>
      <c r="BC104" s="239">
        <v>0</v>
      </c>
      <c r="BD104" s="239">
        <v>0</v>
      </c>
      <c r="BE104" s="239">
        <v>0</v>
      </c>
      <c r="BF104" s="239">
        <v>-4898252</v>
      </c>
      <c r="BG104" s="239">
        <v>-265561</v>
      </c>
      <c r="BH104" s="239">
        <v>-5163813</v>
      </c>
      <c r="BI104" s="239">
        <v>-5937</v>
      </c>
      <c r="BJ104" s="239">
        <v>0</v>
      </c>
      <c r="BK104" s="239">
        <v>-5937</v>
      </c>
      <c r="BL104" s="239">
        <v>-37680</v>
      </c>
      <c r="BM104" s="239">
        <v>0</v>
      </c>
      <c r="BN104" s="239">
        <v>-37680</v>
      </c>
      <c r="BO104" s="239">
        <v>-1144038</v>
      </c>
      <c r="BP104" s="239">
        <v>-9805</v>
      </c>
      <c r="BQ104" s="239">
        <v>-1153843</v>
      </c>
      <c r="BR104" s="239">
        <v>15301</v>
      </c>
      <c r="BS104" s="239">
        <v>0</v>
      </c>
      <c r="BT104" s="239">
        <v>15301</v>
      </c>
      <c r="BU104" s="239">
        <v>-1172354</v>
      </c>
      <c r="BV104" s="239">
        <v>-9805</v>
      </c>
      <c r="BW104" s="239">
        <v>-1182159</v>
      </c>
      <c r="BX104" s="239">
        <v>-136538</v>
      </c>
      <c r="BY104" s="239">
        <v>-4286</v>
      </c>
      <c r="BZ104" s="239">
        <v>-140824</v>
      </c>
      <c r="CA104" s="239">
        <v>1364</v>
      </c>
      <c r="CB104" s="239">
        <v>0</v>
      </c>
      <c r="CC104" s="239">
        <v>1364</v>
      </c>
      <c r="CD104" s="239">
        <v>-496772</v>
      </c>
      <c r="CE104" s="239">
        <v>-17475</v>
      </c>
      <c r="CF104" s="239">
        <v>-514247</v>
      </c>
      <c r="CG104" s="239">
        <v>-26777</v>
      </c>
      <c r="CH104" s="239">
        <v>0</v>
      </c>
      <c r="CI104" s="239">
        <v>-26777</v>
      </c>
      <c r="CJ104" s="239">
        <v>0</v>
      </c>
      <c r="CK104" s="239">
        <v>0</v>
      </c>
      <c r="CL104" s="239">
        <v>0</v>
      </c>
      <c r="CM104" s="239">
        <v>0</v>
      </c>
      <c r="CN104" s="239">
        <v>0</v>
      </c>
      <c r="CO104" s="239">
        <v>0</v>
      </c>
      <c r="CP104" s="239">
        <v>0</v>
      </c>
      <c r="CQ104" s="239">
        <v>0</v>
      </c>
      <c r="CR104" s="239">
        <v>0</v>
      </c>
      <c r="CS104" s="239">
        <v>0</v>
      </c>
      <c r="CT104" s="239">
        <v>0</v>
      </c>
      <c r="CU104" s="239">
        <v>0</v>
      </c>
      <c r="CV104" s="239">
        <v>0</v>
      </c>
      <c r="CW104" s="239">
        <v>0</v>
      </c>
      <c r="CX104" s="239">
        <v>0</v>
      </c>
      <c r="CY104" s="239">
        <v>0</v>
      </c>
      <c r="CZ104" s="239">
        <v>0</v>
      </c>
      <c r="DA104" s="239">
        <v>0</v>
      </c>
      <c r="DB104" s="239">
        <v>0</v>
      </c>
      <c r="DC104" s="239">
        <v>-343719</v>
      </c>
      <c r="DD104" s="239">
        <v>-343719</v>
      </c>
      <c r="DE104" s="239">
        <v>0</v>
      </c>
      <c r="DF104" s="239">
        <v>234686</v>
      </c>
      <c r="DG104" s="239">
        <v>234686</v>
      </c>
      <c r="DH104" s="239">
        <v>-109033</v>
      </c>
      <c r="DI104" s="239">
        <v>0</v>
      </c>
      <c r="DJ104" s="239">
        <v>-658723</v>
      </c>
      <c r="DK104" s="239">
        <v>-130794</v>
      </c>
      <c r="DL104" s="239">
        <v>-789517</v>
      </c>
      <c r="DM104" s="239">
        <v>0</v>
      </c>
      <c r="DN104" s="239">
        <v>0</v>
      </c>
      <c r="DO104" s="239">
        <v>0</v>
      </c>
      <c r="DP104" s="239">
        <v>0</v>
      </c>
      <c r="DQ104" s="239">
        <v>0</v>
      </c>
      <c r="DR104" s="239">
        <v>0</v>
      </c>
      <c r="DS104" s="239">
        <v>0</v>
      </c>
      <c r="DT104" s="239">
        <v>0</v>
      </c>
      <c r="DU104" s="239">
        <v>0</v>
      </c>
      <c r="DV104" s="239">
        <v>66</v>
      </c>
      <c r="DW104" s="239">
        <v>0</v>
      </c>
      <c r="DX104" s="239">
        <v>66</v>
      </c>
      <c r="DY104" s="239">
        <v>0</v>
      </c>
      <c r="DZ104" s="239">
        <v>0</v>
      </c>
      <c r="EA104" s="239">
        <v>0</v>
      </c>
      <c r="EB104" s="239">
        <v>0</v>
      </c>
      <c r="EC104" s="239">
        <v>0</v>
      </c>
      <c r="ED104" s="239">
        <v>0</v>
      </c>
      <c r="EE104" s="239">
        <v>0</v>
      </c>
      <c r="EF104" s="239">
        <v>0</v>
      </c>
      <c r="EG104" s="239">
        <v>0</v>
      </c>
      <c r="EH104" s="239">
        <v>0</v>
      </c>
      <c r="EI104" s="239">
        <v>0</v>
      </c>
      <c r="EJ104" s="239">
        <v>0</v>
      </c>
      <c r="EK104" s="239">
        <v>0</v>
      </c>
      <c r="EL104" s="239">
        <v>0</v>
      </c>
      <c r="EM104" s="239">
        <v>0</v>
      </c>
      <c r="EN104" s="239">
        <v>0</v>
      </c>
      <c r="EO104" s="239">
        <v>0</v>
      </c>
      <c r="EP104" s="239">
        <v>0</v>
      </c>
      <c r="EQ104" s="239">
        <v>-10315</v>
      </c>
      <c r="ER104" s="239">
        <v>0</v>
      </c>
      <c r="ES104" s="239">
        <v>-10315</v>
      </c>
      <c r="ET104" s="239">
        <v>-164890</v>
      </c>
      <c r="EU104" s="239">
        <v>0</v>
      </c>
      <c r="EV104" s="239">
        <v>-164890</v>
      </c>
      <c r="EW104" s="239">
        <v>-17019</v>
      </c>
      <c r="EX104" s="239">
        <v>0</v>
      </c>
      <c r="EY104" s="239">
        <v>-17019</v>
      </c>
      <c r="EZ104" s="239">
        <v>-192158</v>
      </c>
      <c r="FA104" s="239">
        <v>0</v>
      </c>
      <c r="FB104" s="239">
        <v>-192158</v>
      </c>
      <c r="FC104" s="239">
        <v>0</v>
      </c>
      <c r="FD104" s="239">
        <v>0</v>
      </c>
      <c r="FE104" s="239">
        <v>0</v>
      </c>
      <c r="FF104" s="239">
        <v>0</v>
      </c>
      <c r="FG104" s="239">
        <v>0</v>
      </c>
      <c r="FH104" s="239">
        <v>0</v>
      </c>
      <c r="FI104" s="239">
        <v>0</v>
      </c>
      <c r="FJ104" s="239">
        <v>0</v>
      </c>
      <c r="FK104" s="239">
        <v>0</v>
      </c>
      <c r="FL104" s="239">
        <v>44780325</v>
      </c>
      <c r="FM104" s="239">
        <v>555940</v>
      </c>
      <c r="FN104" s="239">
        <v>45336265</v>
      </c>
      <c r="FO104" s="239">
        <v>1729254</v>
      </c>
      <c r="FP104" s="239">
        <v>1617</v>
      </c>
      <c r="FQ104" s="239">
        <v>1730871</v>
      </c>
      <c r="FR104" s="239">
        <v>-4898252</v>
      </c>
      <c r="FS104" s="239">
        <v>-265561</v>
      </c>
      <c r="FT104" s="239">
        <v>-5163813</v>
      </c>
      <c r="FU104" s="239">
        <v>-1172354</v>
      </c>
      <c r="FV104" s="239">
        <v>-9805</v>
      </c>
      <c r="FW104" s="239">
        <v>-1182159</v>
      </c>
      <c r="FX104" s="239">
        <v>-658723</v>
      </c>
      <c r="FY104" s="239">
        <v>-130794</v>
      </c>
      <c r="FZ104" s="239">
        <v>-789517</v>
      </c>
      <c r="GA104" s="239">
        <v>-192158</v>
      </c>
      <c r="GB104" s="239">
        <v>0</v>
      </c>
      <c r="GC104" s="239">
        <v>-192158</v>
      </c>
      <c r="GD104" s="239">
        <v>0</v>
      </c>
      <c r="GE104" s="239">
        <v>0</v>
      </c>
      <c r="GF104" s="239">
        <v>0</v>
      </c>
      <c r="GG104" s="239">
        <v>-5192233</v>
      </c>
      <c r="GH104" s="239">
        <v>-404543</v>
      </c>
      <c r="GI104" s="239">
        <v>-5596776</v>
      </c>
      <c r="GJ104" s="239">
        <v>39588092</v>
      </c>
      <c r="GK104" s="239">
        <v>151397</v>
      </c>
      <c r="GL104" s="239">
        <v>39739489</v>
      </c>
      <c r="GM104" s="214" t="s">
        <v>1158</v>
      </c>
    </row>
    <row r="105" spans="2:195" s="214" customFormat="1" x14ac:dyDescent="0.2">
      <c r="B105" s="602" t="s">
        <v>293</v>
      </c>
      <c r="C105" s="602" t="s">
        <v>292</v>
      </c>
      <c r="D105" s="239">
        <v>-951607</v>
      </c>
      <c r="E105" s="239">
        <v>0</v>
      </c>
      <c r="F105" s="239">
        <v>-951607</v>
      </c>
      <c r="G105" s="239">
        <v>20385</v>
      </c>
      <c r="H105" s="239">
        <v>0</v>
      </c>
      <c r="I105" s="239">
        <v>20385</v>
      </c>
      <c r="J105" s="239">
        <v>1410298</v>
      </c>
      <c r="K105" s="239">
        <v>0</v>
      </c>
      <c r="L105" s="239">
        <v>1410298</v>
      </c>
      <c r="M105" s="239">
        <v>2225</v>
      </c>
      <c r="N105" s="239">
        <v>0</v>
      </c>
      <c r="O105" s="239">
        <v>2225</v>
      </c>
      <c r="P105" s="239">
        <v>481301</v>
      </c>
      <c r="Q105" s="239">
        <v>0</v>
      </c>
      <c r="R105" s="239">
        <v>481301</v>
      </c>
      <c r="S105" s="239">
        <v>-3437290</v>
      </c>
      <c r="T105" s="239">
        <v>0</v>
      </c>
      <c r="U105" s="239">
        <v>-3437290</v>
      </c>
      <c r="V105" s="239">
        <v>0</v>
      </c>
      <c r="W105" s="239">
        <v>0</v>
      </c>
      <c r="X105" s="239">
        <v>0</v>
      </c>
      <c r="Y105" s="239">
        <v>-93651</v>
      </c>
      <c r="Z105" s="239">
        <v>0</v>
      </c>
      <c r="AA105" s="239">
        <v>-93651</v>
      </c>
      <c r="AB105" s="239">
        <v>-86055</v>
      </c>
      <c r="AC105" s="239">
        <v>0</v>
      </c>
      <c r="AD105" s="239">
        <v>-86055</v>
      </c>
      <c r="AE105" s="239">
        <v>102</v>
      </c>
      <c r="AF105" s="239">
        <v>0</v>
      </c>
      <c r="AG105" s="239">
        <v>102</v>
      </c>
      <c r="AH105" s="239">
        <v>570183</v>
      </c>
      <c r="AI105" s="239">
        <v>0</v>
      </c>
      <c r="AJ105" s="239">
        <v>570183</v>
      </c>
      <c r="AK105" s="239">
        <v>-15833</v>
      </c>
      <c r="AL105" s="239">
        <v>0</v>
      </c>
      <c r="AM105" s="239">
        <v>-15833</v>
      </c>
      <c r="AN105" s="239">
        <v>-2159717</v>
      </c>
      <c r="AO105" s="239">
        <v>0</v>
      </c>
      <c r="AP105" s="239">
        <v>-2159717</v>
      </c>
      <c r="AQ105" s="239">
        <v>19436</v>
      </c>
      <c r="AR105" s="239">
        <v>0</v>
      </c>
      <c r="AS105" s="239">
        <v>19436</v>
      </c>
      <c r="AT105" s="239">
        <v>-36414</v>
      </c>
      <c r="AU105" s="239">
        <v>0</v>
      </c>
      <c r="AV105" s="239">
        <v>-36414</v>
      </c>
      <c r="AW105" s="239">
        <v>0</v>
      </c>
      <c r="AX105" s="239">
        <v>0</v>
      </c>
      <c r="AY105" s="239">
        <v>0</v>
      </c>
      <c r="AZ105" s="239">
        <v>-26351</v>
      </c>
      <c r="BA105" s="239">
        <v>0</v>
      </c>
      <c r="BB105" s="239">
        <v>-26351</v>
      </c>
      <c r="BC105" s="239">
        <v>0</v>
      </c>
      <c r="BD105" s="239">
        <v>0</v>
      </c>
      <c r="BE105" s="239">
        <v>0</v>
      </c>
      <c r="BF105" s="239">
        <v>-5179637</v>
      </c>
      <c r="BG105" s="239">
        <v>0</v>
      </c>
      <c r="BH105" s="239">
        <v>-5179637</v>
      </c>
      <c r="BI105" s="239">
        <v>0</v>
      </c>
      <c r="BJ105" s="239">
        <v>0</v>
      </c>
      <c r="BK105" s="239">
        <v>0</v>
      </c>
      <c r="BL105" s="239">
        <v>-19165</v>
      </c>
      <c r="BM105" s="239">
        <v>0</v>
      </c>
      <c r="BN105" s="239">
        <v>-19165</v>
      </c>
      <c r="BO105" s="239">
        <v>-494522</v>
      </c>
      <c r="BP105" s="239">
        <v>0</v>
      </c>
      <c r="BQ105" s="239">
        <v>-494522</v>
      </c>
      <c r="BR105" s="239">
        <v>-87586</v>
      </c>
      <c r="BS105" s="239">
        <v>0</v>
      </c>
      <c r="BT105" s="239">
        <v>-87586</v>
      </c>
      <c r="BU105" s="239">
        <v>-601273</v>
      </c>
      <c r="BV105" s="239">
        <v>0</v>
      </c>
      <c r="BW105" s="239">
        <v>-601273</v>
      </c>
      <c r="BX105" s="239">
        <v>-25106</v>
      </c>
      <c r="BY105" s="239">
        <v>0</v>
      </c>
      <c r="BZ105" s="239">
        <v>-25106</v>
      </c>
      <c r="CA105" s="239">
        <v>6523</v>
      </c>
      <c r="CB105" s="239">
        <v>0</v>
      </c>
      <c r="CC105" s="239">
        <v>6523</v>
      </c>
      <c r="CD105" s="239">
        <v>-61097</v>
      </c>
      <c r="CE105" s="239">
        <v>0</v>
      </c>
      <c r="CF105" s="239">
        <v>-61097</v>
      </c>
      <c r="CG105" s="239">
        <v>361</v>
      </c>
      <c r="CH105" s="239">
        <v>0</v>
      </c>
      <c r="CI105" s="239">
        <v>361</v>
      </c>
      <c r="CJ105" s="239">
        <v>-1030</v>
      </c>
      <c r="CK105" s="239">
        <v>0</v>
      </c>
      <c r="CL105" s="239">
        <v>-1030</v>
      </c>
      <c r="CM105" s="239">
        <v>0</v>
      </c>
      <c r="CN105" s="239">
        <v>0</v>
      </c>
      <c r="CO105" s="239">
        <v>0</v>
      </c>
      <c r="CP105" s="239">
        <v>-832</v>
      </c>
      <c r="CQ105" s="239">
        <v>0</v>
      </c>
      <c r="CR105" s="239">
        <v>-832</v>
      </c>
      <c r="CS105" s="239">
        <v>-1367</v>
      </c>
      <c r="CT105" s="239">
        <v>0</v>
      </c>
      <c r="CU105" s="239">
        <v>-1367</v>
      </c>
      <c r="CV105" s="239">
        <v>-4722</v>
      </c>
      <c r="CW105" s="239">
        <v>0</v>
      </c>
      <c r="CX105" s="239">
        <v>-4722</v>
      </c>
      <c r="CY105" s="239">
        <v>-2079</v>
      </c>
      <c r="CZ105" s="239">
        <v>0</v>
      </c>
      <c r="DA105" s="239">
        <v>-2079</v>
      </c>
      <c r="DB105" s="239">
        <v>0</v>
      </c>
      <c r="DC105" s="239">
        <v>0</v>
      </c>
      <c r="DD105" s="239">
        <v>0</v>
      </c>
      <c r="DE105" s="239">
        <v>0</v>
      </c>
      <c r="DF105" s="239">
        <v>0</v>
      </c>
      <c r="DG105" s="239">
        <v>0</v>
      </c>
      <c r="DH105" s="239">
        <v>0</v>
      </c>
      <c r="DI105" s="239">
        <v>0</v>
      </c>
      <c r="DJ105" s="239">
        <v>-89349</v>
      </c>
      <c r="DK105" s="239">
        <v>0</v>
      </c>
      <c r="DL105" s="239">
        <v>-89349</v>
      </c>
      <c r="DM105" s="239">
        <v>0</v>
      </c>
      <c r="DN105" s="239">
        <v>0</v>
      </c>
      <c r="DO105" s="239">
        <v>0</v>
      </c>
      <c r="DP105" s="239">
        <v>0</v>
      </c>
      <c r="DQ105" s="239">
        <v>0</v>
      </c>
      <c r="DR105" s="239">
        <v>0</v>
      </c>
      <c r="DS105" s="239">
        <v>0</v>
      </c>
      <c r="DT105" s="239">
        <v>0</v>
      </c>
      <c r="DU105" s="239">
        <v>0</v>
      </c>
      <c r="DV105" s="239">
        <v>0</v>
      </c>
      <c r="DW105" s="239">
        <v>0</v>
      </c>
      <c r="DX105" s="239">
        <v>0</v>
      </c>
      <c r="DY105" s="239">
        <v>2377</v>
      </c>
      <c r="DZ105" s="239">
        <v>0</v>
      </c>
      <c r="EA105" s="239">
        <v>2377</v>
      </c>
      <c r="EB105" s="239">
        <v>0</v>
      </c>
      <c r="EC105" s="239">
        <v>0</v>
      </c>
      <c r="ED105" s="239">
        <v>0</v>
      </c>
      <c r="EE105" s="239">
        <v>0</v>
      </c>
      <c r="EF105" s="239">
        <v>0</v>
      </c>
      <c r="EG105" s="239">
        <v>0</v>
      </c>
      <c r="EH105" s="239">
        <v>3376</v>
      </c>
      <c r="EI105" s="239">
        <v>0</v>
      </c>
      <c r="EJ105" s="239">
        <v>3376</v>
      </c>
      <c r="EK105" s="239">
        <v>-25519</v>
      </c>
      <c r="EL105" s="239">
        <v>0</v>
      </c>
      <c r="EM105" s="239">
        <v>-25519</v>
      </c>
      <c r="EN105" s="239">
        <v>0</v>
      </c>
      <c r="EO105" s="239">
        <v>0</v>
      </c>
      <c r="EP105" s="239">
        <v>0</v>
      </c>
      <c r="EQ105" s="239">
        <v>-25956</v>
      </c>
      <c r="ER105" s="239">
        <v>0</v>
      </c>
      <c r="ES105" s="239">
        <v>-25956</v>
      </c>
      <c r="ET105" s="239">
        <v>-21277</v>
      </c>
      <c r="EU105" s="239">
        <v>0</v>
      </c>
      <c r="EV105" s="239">
        <v>-21277</v>
      </c>
      <c r="EW105" s="239">
        <v>-18000</v>
      </c>
      <c r="EX105" s="239">
        <v>0</v>
      </c>
      <c r="EY105" s="239">
        <v>-18000</v>
      </c>
      <c r="EZ105" s="239">
        <v>-84999</v>
      </c>
      <c r="FA105" s="239">
        <v>0</v>
      </c>
      <c r="FB105" s="239">
        <v>-84999</v>
      </c>
      <c r="FC105" s="239">
        <v>0</v>
      </c>
      <c r="FD105" s="239">
        <v>0</v>
      </c>
      <c r="FE105" s="239">
        <v>0</v>
      </c>
      <c r="FF105" s="239">
        <v>0</v>
      </c>
      <c r="FG105" s="239">
        <v>0</v>
      </c>
      <c r="FH105" s="239">
        <v>0</v>
      </c>
      <c r="FI105" s="239">
        <v>0</v>
      </c>
      <c r="FJ105" s="239">
        <v>0</v>
      </c>
      <c r="FK105" s="239">
        <v>0</v>
      </c>
      <c r="FL105" s="239">
        <v>30722215</v>
      </c>
      <c r="FM105" s="239">
        <v>0</v>
      </c>
      <c r="FN105" s="239">
        <v>30722215</v>
      </c>
      <c r="FO105" s="239">
        <v>481301</v>
      </c>
      <c r="FP105" s="239">
        <v>0</v>
      </c>
      <c r="FQ105" s="239">
        <v>481301</v>
      </c>
      <c r="FR105" s="239">
        <v>-5179637</v>
      </c>
      <c r="FS105" s="239">
        <v>0</v>
      </c>
      <c r="FT105" s="239">
        <v>-5179637</v>
      </c>
      <c r="FU105" s="239">
        <v>-601273</v>
      </c>
      <c r="FV105" s="239">
        <v>0</v>
      </c>
      <c r="FW105" s="239">
        <v>-601273</v>
      </c>
      <c r="FX105" s="239">
        <v>-89349</v>
      </c>
      <c r="FY105" s="239">
        <v>0</v>
      </c>
      <c r="FZ105" s="239">
        <v>-89349</v>
      </c>
      <c r="GA105" s="239">
        <v>-84999</v>
      </c>
      <c r="GB105" s="239">
        <v>0</v>
      </c>
      <c r="GC105" s="239">
        <v>-84999</v>
      </c>
      <c r="GD105" s="239">
        <v>0</v>
      </c>
      <c r="GE105" s="239">
        <v>0</v>
      </c>
      <c r="GF105" s="239">
        <v>0</v>
      </c>
      <c r="GG105" s="239">
        <v>-5473957</v>
      </c>
      <c r="GH105" s="239">
        <v>0</v>
      </c>
      <c r="GI105" s="239">
        <v>-5473957</v>
      </c>
      <c r="GJ105" s="239">
        <v>25248258</v>
      </c>
      <c r="GK105" s="239">
        <v>0</v>
      </c>
      <c r="GL105" s="239">
        <v>25248258</v>
      </c>
      <c r="GM105" s="214" t="s">
        <v>1158</v>
      </c>
    </row>
    <row r="106" spans="2:195" s="214" customFormat="1" x14ac:dyDescent="0.2">
      <c r="B106" s="602" t="s">
        <v>295</v>
      </c>
      <c r="C106" s="602" t="s">
        <v>294</v>
      </c>
      <c r="D106" s="239">
        <v>-1492164</v>
      </c>
      <c r="E106" s="239">
        <v>0</v>
      </c>
      <c r="F106" s="239">
        <v>-1492164</v>
      </c>
      <c r="G106" s="239">
        <v>17646</v>
      </c>
      <c r="H106" s="239">
        <v>0</v>
      </c>
      <c r="I106" s="239">
        <v>17646</v>
      </c>
      <c r="J106" s="239">
        <v>742035</v>
      </c>
      <c r="K106" s="239">
        <v>0</v>
      </c>
      <c r="L106" s="239">
        <v>742035</v>
      </c>
      <c r="M106" s="239">
        <v>161</v>
      </c>
      <c r="N106" s="239">
        <v>0</v>
      </c>
      <c r="O106" s="239">
        <v>161</v>
      </c>
      <c r="P106" s="239">
        <v>-732322</v>
      </c>
      <c r="Q106" s="239">
        <v>0</v>
      </c>
      <c r="R106" s="239">
        <v>-732322</v>
      </c>
      <c r="S106" s="239">
        <v>-2053987</v>
      </c>
      <c r="T106" s="239">
        <v>0</v>
      </c>
      <c r="U106" s="239">
        <v>-2053987</v>
      </c>
      <c r="V106" s="239">
        <v>-2281</v>
      </c>
      <c r="W106" s="239">
        <v>0</v>
      </c>
      <c r="X106" s="239">
        <v>-2281</v>
      </c>
      <c r="Y106" s="239">
        <v>-9019</v>
      </c>
      <c r="Z106" s="239">
        <v>0</v>
      </c>
      <c r="AA106" s="239">
        <v>-9019</v>
      </c>
      <c r="AB106" s="239">
        <v>-9019</v>
      </c>
      <c r="AC106" s="239">
        <v>0</v>
      </c>
      <c r="AD106" s="239">
        <v>-9019</v>
      </c>
      <c r="AE106" s="239">
        <v>0</v>
      </c>
      <c r="AF106" s="239">
        <v>0</v>
      </c>
      <c r="AG106" s="239">
        <v>0</v>
      </c>
      <c r="AH106" s="239">
        <v>528273</v>
      </c>
      <c r="AI106" s="239">
        <v>0</v>
      </c>
      <c r="AJ106" s="239">
        <v>528273</v>
      </c>
      <c r="AK106" s="239">
        <v>-19125</v>
      </c>
      <c r="AL106" s="239">
        <v>0</v>
      </c>
      <c r="AM106" s="239">
        <v>-19125</v>
      </c>
      <c r="AN106" s="239">
        <v>-1356220</v>
      </c>
      <c r="AO106" s="239">
        <v>0</v>
      </c>
      <c r="AP106" s="239">
        <v>-1356220</v>
      </c>
      <c r="AQ106" s="239">
        <v>-37306</v>
      </c>
      <c r="AR106" s="239">
        <v>0</v>
      </c>
      <c r="AS106" s="239">
        <v>-37306</v>
      </c>
      <c r="AT106" s="239">
        <v>-12921</v>
      </c>
      <c r="AU106" s="239">
        <v>0</v>
      </c>
      <c r="AV106" s="239">
        <v>-12921</v>
      </c>
      <c r="AW106" s="239">
        <v>0</v>
      </c>
      <c r="AX106" s="239">
        <v>0</v>
      </c>
      <c r="AY106" s="239">
        <v>0</v>
      </c>
      <c r="AZ106" s="239">
        <v>-5717</v>
      </c>
      <c r="BA106" s="239">
        <v>0</v>
      </c>
      <c r="BB106" s="239">
        <v>-5717</v>
      </c>
      <c r="BC106" s="239">
        <v>0</v>
      </c>
      <c r="BD106" s="239">
        <v>0</v>
      </c>
      <c r="BE106" s="239">
        <v>0</v>
      </c>
      <c r="BF106" s="239">
        <v>-2966022</v>
      </c>
      <c r="BG106" s="239">
        <v>0</v>
      </c>
      <c r="BH106" s="239">
        <v>-2966022</v>
      </c>
      <c r="BI106" s="239">
        <v>-32778</v>
      </c>
      <c r="BJ106" s="239">
        <v>0</v>
      </c>
      <c r="BK106" s="239">
        <v>-32778</v>
      </c>
      <c r="BL106" s="239">
        <v>-1326</v>
      </c>
      <c r="BM106" s="239">
        <v>0</v>
      </c>
      <c r="BN106" s="239">
        <v>-1326</v>
      </c>
      <c r="BO106" s="239">
        <v>-422497</v>
      </c>
      <c r="BP106" s="239">
        <v>0</v>
      </c>
      <c r="BQ106" s="239">
        <v>-422497</v>
      </c>
      <c r="BR106" s="239">
        <v>-9813</v>
      </c>
      <c r="BS106" s="239">
        <v>0</v>
      </c>
      <c r="BT106" s="239">
        <v>-9813</v>
      </c>
      <c r="BU106" s="239">
        <v>-466414</v>
      </c>
      <c r="BV106" s="239">
        <v>0</v>
      </c>
      <c r="BW106" s="239">
        <v>-466414</v>
      </c>
      <c r="BX106" s="239">
        <v>-14969</v>
      </c>
      <c r="BY106" s="239">
        <v>0</v>
      </c>
      <c r="BZ106" s="239">
        <v>-14969</v>
      </c>
      <c r="CA106" s="239">
        <v>-178</v>
      </c>
      <c r="CB106" s="239">
        <v>0</v>
      </c>
      <c r="CC106" s="239">
        <v>-178</v>
      </c>
      <c r="CD106" s="239">
        <v>0</v>
      </c>
      <c r="CE106" s="239">
        <v>0</v>
      </c>
      <c r="CF106" s="239">
        <v>0</v>
      </c>
      <c r="CG106" s="239">
        <v>0</v>
      </c>
      <c r="CH106" s="239">
        <v>0</v>
      </c>
      <c r="CI106" s="239">
        <v>0</v>
      </c>
      <c r="CJ106" s="239">
        <v>-553</v>
      </c>
      <c r="CK106" s="239">
        <v>0</v>
      </c>
      <c r="CL106" s="239">
        <v>-553</v>
      </c>
      <c r="CM106" s="239">
        <v>0</v>
      </c>
      <c r="CN106" s="239">
        <v>0</v>
      </c>
      <c r="CO106" s="239">
        <v>0</v>
      </c>
      <c r="CP106" s="239">
        <v>0</v>
      </c>
      <c r="CQ106" s="239">
        <v>0</v>
      </c>
      <c r="CR106" s="239">
        <v>0</v>
      </c>
      <c r="CS106" s="239">
        <v>0</v>
      </c>
      <c r="CT106" s="239">
        <v>0</v>
      </c>
      <c r="CU106" s="239">
        <v>0</v>
      </c>
      <c r="CV106" s="239">
        <v>0</v>
      </c>
      <c r="CW106" s="239">
        <v>0</v>
      </c>
      <c r="CX106" s="239">
        <v>0</v>
      </c>
      <c r="CY106" s="239">
        <v>0</v>
      </c>
      <c r="CZ106" s="239">
        <v>0</v>
      </c>
      <c r="DA106" s="239">
        <v>0</v>
      </c>
      <c r="DB106" s="239">
        <v>0</v>
      </c>
      <c r="DC106" s="239">
        <v>0</v>
      </c>
      <c r="DD106" s="239">
        <v>0</v>
      </c>
      <c r="DE106" s="239">
        <v>0</v>
      </c>
      <c r="DF106" s="239">
        <v>0</v>
      </c>
      <c r="DG106" s="239">
        <v>0</v>
      </c>
      <c r="DH106" s="239">
        <v>0</v>
      </c>
      <c r="DI106" s="239">
        <v>0</v>
      </c>
      <c r="DJ106" s="239">
        <v>-15700</v>
      </c>
      <c r="DK106" s="239">
        <v>0</v>
      </c>
      <c r="DL106" s="239">
        <v>-15700</v>
      </c>
      <c r="DM106" s="239">
        <v>0</v>
      </c>
      <c r="DN106" s="239">
        <v>0</v>
      </c>
      <c r="DO106" s="239">
        <v>0</v>
      </c>
      <c r="DP106" s="239">
        <v>0</v>
      </c>
      <c r="DQ106" s="239">
        <v>0</v>
      </c>
      <c r="DR106" s="239">
        <v>0</v>
      </c>
      <c r="DS106" s="239">
        <v>-2308</v>
      </c>
      <c r="DT106" s="239">
        <v>0</v>
      </c>
      <c r="DU106" s="239">
        <v>-2308</v>
      </c>
      <c r="DV106" s="239">
        <v>0</v>
      </c>
      <c r="DW106" s="239">
        <v>0</v>
      </c>
      <c r="DX106" s="239">
        <v>0</v>
      </c>
      <c r="DY106" s="239">
        <v>0</v>
      </c>
      <c r="DZ106" s="239">
        <v>0</v>
      </c>
      <c r="EA106" s="239">
        <v>0</v>
      </c>
      <c r="EB106" s="239">
        <v>0</v>
      </c>
      <c r="EC106" s="239">
        <v>0</v>
      </c>
      <c r="ED106" s="239">
        <v>0</v>
      </c>
      <c r="EE106" s="239">
        <v>0</v>
      </c>
      <c r="EF106" s="239">
        <v>0</v>
      </c>
      <c r="EG106" s="239">
        <v>0</v>
      </c>
      <c r="EH106" s="239">
        <v>0</v>
      </c>
      <c r="EI106" s="239">
        <v>0</v>
      </c>
      <c r="EJ106" s="239">
        <v>0</v>
      </c>
      <c r="EK106" s="239">
        <v>-5717</v>
      </c>
      <c r="EL106" s="239">
        <v>0</v>
      </c>
      <c r="EM106" s="239">
        <v>-5717</v>
      </c>
      <c r="EN106" s="239">
        <v>0</v>
      </c>
      <c r="EO106" s="239">
        <v>0</v>
      </c>
      <c r="EP106" s="239">
        <v>0</v>
      </c>
      <c r="EQ106" s="239">
        <v>-22966</v>
      </c>
      <c r="ER106" s="239">
        <v>0</v>
      </c>
      <c r="ES106" s="239">
        <v>-22966</v>
      </c>
      <c r="ET106" s="239">
        <v>-124269</v>
      </c>
      <c r="EU106" s="239">
        <v>0</v>
      </c>
      <c r="EV106" s="239">
        <v>-124269</v>
      </c>
      <c r="EW106" s="239">
        <v>-19795</v>
      </c>
      <c r="EX106" s="239">
        <v>0</v>
      </c>
      <c r="EY106" s="239">
        <v>-19795</v>
      </c>
      <c r="EZ106" s="239">
        <v>-175055</v>
      </c>
      <c r="FA106" s="239">
        <v>0</v>
      </c>
      <c r="FB106" s="239">
        <v>-175055</v>
      </c>
      <c r="FC106" s="239">
        <v>0</v>
      </c>
      <c r="FD106" s="239">
        <v>0</v>
      </c>
      <c r="FE106" s="239">
        <v>0</v>
      </c>
      <c r="FF106" s="239">
        <v>0</v>
      </c>
      <c r="FG106" s="239">
        <v>0</v>
      </c>
      <c r="FH106" s="239">
        <v>0</v>
      </c>
      <c r="FI106" s="239">
        <v>0</v>
      </c>
      <c r="FJ106" s="239">
        <v>0</v>
      </c>
      <c r="FK106" s="239">
        <v>0</v>
      </c>
      <c r="FL106" s="239">
        <v>27822269</v>
      </c>
      <c r="FM106" s="239">
        <v>0</v>
      </c>
      <c r="FN106" s="239">
        <v>27822269</v>
      </c>
      <c r="FO106" s="239">
        <v>-732322</v>
      </c>
      <c r="FP106" s="239">
        <v>0</v>
      </c>
      <c r="FQ106" s="239">
        <v>-732322</v>
      </c>
      <c r="FR106" s="239">
        <v>-2966022</v>
      </c>
      <c r="FS106" s="239">
        <v>0</v>
      </c>
      <c r="FT106" s="239">
        <v>-2966022</v>
      </c>
      <c r="FU106" s="239">
        <v>-466414</v>
      </c>
      <c r="FV106" s="239">
        <v>0</v>
      </c>
      <c r="FW106" s="239">
        <v>-466414</v>
      </c>
      <c r="FX106" s="239">
        <v>-15700</v>
      </c>
      <c r="FY106" s="239">
        <v>0</v>
      </c>
      <c r="FZ106" s="239">
        <v>-15700</v>
      </c>
      <c r="GA106" s="239">
        <v>-175055</v>
      </c>
      <c r="GB106" s="239">
        <v>0</v>
      </c>
      <c r="GC106" s="239">
        <v>-175055</v>
      </c>
      <c r="GD106" s="239">
        <v>0</v>
      </c>
      <c r="GE106" s="239">
        <v>0</v>
      </c>
      <c r="GF106" s="239">
        <v>0</v>
      </c>
      <c r="GG106" s="239">
        <v>-4355513</v>
      </c>
      <c r="GH106" s="239">
        <v>0</v>
      </c>
      <c r="GI106" s="239">
        <v>-4355513</v>
      </c>
      <c r="GJ106" s="239">
        <v>23466756</v>
      </c>
      <c r="GK106" s="239">
        <v>0</v>
      </c>
      <c r="GL106" s="239">
        <v>23466756</v>
      </c>
      <c r="GM106" s="214" t="s">
        <v>1158</v>
      </c>
    </row>
    <row r="107" spans="2:195" s="214" customFormat="1" x14ac:dyDescent="0.2">
      <c r="B107" s="602" t="s">
        <v>297</v>
      </c>
      <c r="C107" s="602" t="s">
        <v>296</v>
      </c>
      <c r="D107" s="239">
        <v>-1218156</v>
      </c>
      <c r="E107" s="239">
        <v>0</v>
      </c>
      <c r="F107" s="239">
        <v>-1218156</v>
      </c>
      <c r="G107" s="239">
        <v>19417</v>
      </c>
      <c r="H107" s="239">
        <v>0</v>
      </c>
      <c r="I107" s="239">
        <v>19417</v>
      </c>
      <c r="J107" s="239">
        <v>391211</v>
      </c>
      <c r="K107" s="239">
        <v>0</v>
      </c>
      <c r="L107" s="239">
        <v>391211</v>
      </c>
      <c r="M107" s="239">
        <v>54854</v>
      </c>
      <c r="N107" s="239">
        <v>0</v>
      </c>
      <c r="O107" s="239">
        <v>54854</v>
      </c>
      <c r="P107" s="239">
        <v>-752674</v>
      </c>
      <c r="Q107" s="239">
        <v>0</v>
      </c>
      <c r="R107" s="239">
        <v>-752674</v>
      </c>
      <c r="S107" s="239">
        <v>-3183574</v>
      </c>
      <c r="T107" s="239">
        <v>0</v>
      </c>
      <c r="U107" s="239">
        <v>-3183574</v>
      </c>
      <c r="V107" s="239">
        <v>-91033</v>
      </c>
      <c r="W107" s="239">
        <v>0</v>
      </c>
      <c r="X107" s="239">
        <v>-91033</v>
      </c>
      <c r="Y107" s="239">
        <v>-65588</v>
      </c>
      <c r="Z107" s="239">
        <v>0</v>
      </c>
      <c r="AA107" s="239">
        <v>-65588</v>
      </c>
      <c r="AB107" s="239">
        <v>-72097</v>
      </c>
      <c r="AC107" s="239">
        <v>0</v>
      </c>
      <c r="AD107" s="239">
        <v>-72097</v>
      </c>
      <c r="AE107" s="239">
        <v>4619</v>
      </c>
      <c r="AF107" s="239">
        <v>0</v>
      </c>
      <c r="AG107" s="239">
        <v>4619</v>
      </c>
      <c r="AH107" s="239">
        <v>278533</v>
      </c>
      <c r="AI107" s="239">
        <v>0</v>
      </c>
      <c r="AJ107" s="239">
        <v>278533</v>
      </c>
      <c r="AK107" s="239">
        <v>-9373</v>
      </c>
      <c r="AL107" s="239">
        <v>0</v>
      </c>
      <c r="AM107" s="239">
        <v>-9373</v>
      </c>
      <c r="AN107" s="239">
        <v>-1793476</v>
      </c>
      <c r="AO107" s="239">
        <v>0</v>
      </c>
      <c r="AP107" s="239">
        <v>-1793476</v>
      </c>
      <c r="AQ107" s="239">
        <v>110110</v>
      </c>
      <c r="AR107" s="239">
        <v>0</v>
      </c>
      <c r="AS107" s="239">
        <v>110110</v>
      </c>
      <c r="AT107" s="239">
        <v>-6657</v>
      </c>
      <c r="AU107" s="239">
        <v>0</v>
      </c>
      <c r="AV107" s="239">
        <v>-6657</v>
      </c>
      <c r="AW107" s="239">
        <v>0</v>
      </c>
      <c r="AX107" s="239">
        <v>0</v>
      </c>
      <c r="AY107" s="239">
        <v>0</v>
      </c>
      <c r="AZ107" s="239">
        <v>-42993</v>
      </c>
      <c r="BA107" s="239">
        <v>0</v>
      </c>
      <c r="BB107" s="239">
        <v>-42993</v>
      </c>
      <c r="BC107" s="239">
        <v>188</v>
      </c>
      <c r="BD107" s="239">
        <v>0</v>
      </c>
      <c r="BE107" s="239">
        <v>188</v>
      </c>
      <c r="BF107" s="239">
        <v>-4712830</v>
      </c>
      <c r="BG107" s="239">
        <v>0</v>
      </c>
      <c r="BH107" s="239">
        <v>-4712830</v>
      </c>
      <c r="BI107" s="239">
        <v>-5006</v>
      </c>
      <c r="BJ107" s="239">
        <v>0</v>
      </c>
      <c r="BK107" s="239">
        <v>-5006</v>
      </c>
      <c r="BL107" s="239">
        <v>-7018</v>
      </c>
      <c r="BM107" s="239">
        <v>0</v>
      </c>
      <c r="BN107" s="239">
        <v>-7018</v>
      </c>
      <c r="BO107" s="239">
        <v>-390718</v>
      </c>
      <c r="BP107" s="239">
        <v>0</v>
      </c>
      <c r="BQ107" s="239">
        <v>-390718</v>
      </c>
      <c r="BR107" s="239">
        <v>-2649</v>
      </c>
      <c r="BS107" s="239">
        <v>0</v>
      </c>
      <c r="BT107" s="239">
        <v>-2649</v>
      </c>
      <c r="BU107" s="239">
        <v>-405391</v>
      </c>
      <c r="BV107" s="239">
        <v>0</v>
      </c>
      <c r="BW107" s="239">
        <v>-405391</v>
      </c>
      <c r="BX107" s="239">
        <v>-32292</v>
      </c>
      <c r="BY107" s="239">
        <v>0</v>
      </c>
      <c r="BZ107" s="239">
        <v>-32292</v>
      </c>
      <c r="CA107" s="239">
        <v>419</v>
      </c>
      <c r="CB107" s="239">
        <v>0</v>
      </c>
      <c r="CC107" s="239">
        <v>419</v>
      </c>
      <c r="CD107" s="239">
        <v>-7026</v>
      </c>
      <c r="CE107" s="239">
        <v>0</v>
      </c>
      <c r="CF107" s="239">
        <v>-7026</v>
      </c>
      <c r="CG107" s="239">
        <v>-268</v>
      </c>
      <c r="CH107" s="239">
        <v>0</v>
      </c>
      <c r="CI107" s="239">
        <v>-268</v>
      </c>
      <c r="CJ107" s="239">
        <v>0</v>
      </c>
      <c r="CK107" s="239">
        <v>0</v>
      </c>
      <c r="CL107" s="239">
        <v>0</v>
      </c>
      <c r="CM107" s="239">
        <v>0</v>
      </c>
      <c r="CN107" s="239">
        <v>0</v>
      </c>
      <c r="CO107" s="239">
        <v>0</v>
      </c>
      <c r="CP107" s="239">
        <v>0</v>
      </c>
      <c r="CQ107" s="239">
        <v>0</v>
      </c>
      <c r="CR107" s="239">
        <v>0</v>
      </c>
      <c r="CS107" s="239">
        <v>79</v>
      </c>
      <c r="CT107" s="239">
        <v>0</v>
      </c>
      <c r="CU107" s="239">
        <v>79</v>
      </c>
      <c r="CV107" s="239">
        <v>0</v>
      </c>
      <c r="CW107" s="239">
        <v>0</v>
      </c>
      <c r="CX107" s="239">
        <v>0</v>
      </c>
      <c r="CY107" s="239">
        <v>0</v>
      </c>
      <c r="CZ107" s="239">
        <v>0</v>
      </c>
      <c r="DA107" s="239">
        <v>0</v>
      </c>
      <c r="DB107" s="239">
        <v>0</v>
      </c>
      <c r="DC107" s="239">
        <v>0</v>
      </c>
      <c r="DD107" s="239">
        <v>0</v>
      </c>
      <c r="DE107" s="239">
        <v>0</v>
      </c>
      <c r="DF107" s="239">
        <v>0</v>
      </c>
      <c r="DG107" s="239">
        <v>0</v>
      </c>
      <c r="DH107" s="239">
        <v>0</v>
      </c>
      <c r="DI107" s="239">
        <v>0</v>
      </c>
      <c r="DJ107" s="239">
        <v>-39088</v>
      </c>
      <c r="DK107" s="239">
        <v>0</v>
      </c>
      <c r="DL107" s="239">
        <v>-39088</v>
      </c>
      <c r="DM107" s="239">
        <v>0</v>
      </c>
      <c r="DN107" s="239">
        <v>0</v>
      </c>
      <c r="DO107" s="239">
        <v>0</v>
      </c>
      <c r="DP107" s="239">
        <v>353</v>
      </c>
      <c r="DQ107" s="239">
        <v>0</v>
      </c>
      <c r="DR107" s="239">
        <v>353</v>
      </c>
      <c r="DS107" s="239">
        <v>0</v>
      </c>
      <c r="DT107" s="239">
        <v>0</v>
      </c>
      <c r="DU107" s="239">
        <v>0</v>
      </c>
      <c r="DV107" s="239">
        <v>0</v>
      </c>
      <c r="DW107" s="239">
        <v>0</v>
      </c>
      <c r="DX107" s="239">
        <v>0</v>
      </c>
      <c r="DY107" s="239">
        <v>-2094</v>
      </c>
      <c r="DZ107" s="239">
        <v>0</v>
      </c>
      <c r="EA107" s="239">
        <v>-2094</v>
      </c>
      <c r="EB107" s="239">
        <v>0</v>
      </c>
      <c r="EC107" s="239">
        <v>0</v>
      </c>
      <c r="ED107" s="239">
        <v>0</v>
      </c>
      <c r="EE107" s="239">
        <v>0</v>
      </c>
      <c r="EF107" s="239">
        <v>0</v>
      </c>
      <c r="EG107" s="239">
        <v>0</v>
      </c>
      <c r="EH107" s="239">
        <v>47</v>
      </c>
      <c r="EI107" s="239">
        <v>0</v>
      </c>
      <c r="EJ107" s="239">
        <v>47</v>
      </c>
      <c r="EK107" s="239">
        <v>-42993</v>
      </c>
      <c r="EL107" s="239">
        <v>0</v>
      </c>
      <c r="EM107" s="239">
        <v>-42993</v>
      </c>
      <c r="EN107" s="239">
        <v>-1500</v>
      </c>
      <c r="EO107" s="239">
        <v>0</v>
      </c>
      <c r="EP107" s="239">
        <v>-1500</v>
      </c>
      <c r="EQ107" s="239">
        <v>-24098</v>
      </c>
      <c r="ER107" s="239">
        <v>0</v>
      </c>
      <c r="ES107" s="239">
        <v>-24098</v>
      </c>
      <c r="ET107" s="239">
        <v>-154044</v>
      </c>
      <c r="EU107" s="239">
        <v>0</v>
      </c>
      <c r="EV107" s="239">
        <v>-154044</v>
      </c>
      <c r="EW107" s="239">
        <v>-35476</v>
      </c>
      <c r="EX107" s="239">
        <v>0</v>
      </c>
      <c r="EY107" s="239">
        <v>-35476</v>
      </c>
      <c r="EZ107" s="239">
        <v>-259805</v>
      </c>
      <c r="FA107" s="239">
        <v>0</v>
      </c>
      <c r="FB107" s="239">
        <v>-259805</v>
      </c>
      <c r="FC107" s="239">
        <v>0</v>
      </c>
      <c r="FD107" s="239">
        <v>0</v>
      </c>
      <c r="FE107" s="239">
        <v>0</v>
      </c>
      <c r="FF107" s="239">
        <v>0</v>
      </c>
      <c r="FG107" s="239">
        <v>0</v>
      </c>
      <c r="FH107" s="239">
        <v>0</v>
      </c>
      <c r="FI107" s="239">
        <v>0</v>
      </c>
      <c r="FJ107" s="239">
        <v>0</v>
      </c>
      <c r="FK107" s="239">
        <v>0</v>
      </c>
      <c r="FL107" s="239">
        <v>17978481</v>
      </c>
      <c r="FM107" s="239">
        <v>0</v>
      </c>
      <c r="FN107" s="239">
        <v>17978481</v>
      </c>
      <c r="FO107" s="239">
        <v>-752674</v>
      </c>
      <c r="FP107" s="239">
        <v>0</v>
      </c>
      <c r="FQ107" s="239">
        <v>-752674</v>
      </c>
      <c r="FR107" s="239">
        <v>-4712830</v>
      </c>
      <c r="FS107" s="239">
        <v>0</v>
      </c>
      <c r="FT107" s="239">
        <v>-4712830</v>
      </c>
      <c r="FU107" s="239">
        <v>-405391</v>
      </c>
      <c r="FV107" s="239">
        <v>0</v>
      </c>
      <c r="FW107" s="239">
        <v>-405391</v>
      </c>
      <c r="FX107" s="239">
        <v>-39088</v>
      </c>
      <c r="FY107" s="239">
        <v>0</v>
      </c>
      <c r="FZ107" s="239">
        <v>-39088</v>
      </c>
      <c r="GA107" s="239">
        <v>-259805</v>
      </c>
      <c r="GB107" s="239">
        <v>0</v>
      </c>
      <c r="GC107" s="239">
        <v>-259805</v>
      </c>
      <c r="GD107" s="239">
        <v>0</v>
      </c>
      <c r="GE107" s="239">
        <v>0</v>
      </c>
      <c r="GF107" s="239">
        <v>0</v>
      </c>
      <c r="GG107" s="239">
        <v>-6169788</v>
      </c>
      <c r="GH107" s="239">
        <v>0</v>
      </c>
      <c r="GI107" s="239">
        <v>-6169788</v>
      </c>
      <c r="GJ107" s="239">
        <v>11808693</v>
      </c>
      <c r="GK107" s="239">
        <v>0</v>
      </c>
      <c r="GL107" s="239">
        <v>11808693</v>
      </c>
      <c r="GM107" s="214" t="s">
        <v>1158</v>
      </c>
    </row>
    <row r="108" spans="2:195" s="214" customFormat="1" x14ac:dyDescent="0.2">
      <c r="B108" s="602" t="s">
        <v>299</v>
      </c>
      <c r="C108" s="602" t="s">
        <v>298</v>
      </c>
      <c r="D108" s="239">
        <v>-830635</v>
      </c>
      <c r="E108" s="239">
        <v>-1086</v>
      </c>
      <c r="F108" s="239">
        <v>-831721</v>
      </c>
      <c r="G108" s="239">
        <v>67909</v>
      </c>
      <c r="H108" s="239">
        <v>0</v>
      </c>
      <c r="I108" s="239">
        <v>67909</v>
      </c>
      <c r="J108" s="239">
        <v>1154633</v>
      </c>
      <c r="K108" s="239">
        <v>119234</v>
      </c>
      <c r="L108" s="239">
        <v>1273867</v>
      </c>
      <c r="M108" s="239">
        <v>1089</v>
      </c>
      <c r="N108" s="239">
        <v>74369</v>
      </c>
      <c r="O108" s="239">
        <v>75458</v>
      </c>
      <c r="P108" s="239">
        <v>392996</v>
      </c>
      <c r="Q108" s="239">
        <v>192517</v>
      </c>
      <c r="R108" s="239">
        <v>585513</v>
      </c>
      <c r="S108" s="239">
        <v>-3362287</v>
      </c>
      <c r="T108" s="239">
        <v>-29044</v>
      </c>
      <c r="U108" s="239">
        <v>-3391331</v>
      </c>
      <c r="V108" s="239">
        <v>-3402</v>
      </c>
      <c r="W108" s="239">
        <v>0</v>
      </c>
      <c r="X108" s="239">
        <v>-3402</v>
      </c>
      <c r="Y108" s="239">
        <v>-130220</v>
      </c>
      <c r="Z108" s="239">
        <v>-4199</v>
      </c>
      <c r="AA108" s="239">
        <v>-134419</v>
      </c>
      <c r="AB108" s="239">
        <v>-130220</v>
      </c>
      <c r="AC108" s="239">
        <v>-4199</v>
      </c>
      <c r="AD108" s="239">
        <v>-134419</v>
      </c>
      <c r="AE108" s="239">
        <v>0</v>
      </c>
      <c r="AF108" s="239">
        <v>0</v>
      </c>
      <c r="AG108" s="239">
        <v>0</v>
      </c>
      <c r="AH108" s="239">
        <v>509346</v>
      </c>
      <c r="AI108" s="239">
        <v>74305</v>
      </c>
      <c r="AJ108" s="239">
        <v>583651</v>
      </c>
      <c r="AK108" s="239">
        <v>-28485</v>
      </c>
      <c r="AL108" s="239">
        <v>-8504</v>
      </c>
      <c r="AM108" s="239">
        <v>-36989</v>
      </c>
      <c r="AN108" s="239">
        <v>-1266075</v>
      </c>
      <c r="AO108" s="239">
        <v>-42726</v>
      </c>
      <c r="AP108" s="239">
        <v>-1308801</v>
      </c>
      <c r="AQ108" s="239">
        <v>-57437</v>
      </c>
      <c r="AR108" s="239">
        <v>-4198</v>
      </c>
      <c r="AS108" s="239">
        <v>-61635</v>
      </c>
      <c r="AT108" s="239">
        <v>-7539</v>
      </c>
      <c r="AU108" s="239">
        <v>0</v>
      </c>
      <c r="AV108" s="239">
        <v>-7539</v>
      </c>
      <c r="AW108" s="239">
        <v>0</v>
      </c>
      <c r="AX108" s="239">
        <v>0</v>
      </c>
      <c r="AY108" s="239">
        <v>0</v>
      </c>
      <c r="AZ108" s="239">
        <v>-3743</v>
      </c>
      <c r="BA108" s="239">
        <v>0</v>
      </c>
      <c r="BB108" s="239">
        <v>-3743</v>
      </c>
      <c r="BC108" s="239">
        <v>0</v>
      </c>
      <c r="BD108" s="239">
        <v>0</v>
      </c>
      <c r="BE108" s="239">
        <v>0</v>
      </c>
      <c r="BF108" s="239">
        <v>-4346440</v>
      </c>
      <c r="BG108" s="239">
        <v>-14366</v>
      </c>
      <c r="BH108" s="239">
        <v>-4360806</v>
      </c>
      <c r="BI108" s="239">
        <v>0</v>
      </c>
      <c r="BJ108" s="239">
        <v>0</v>
      </c>
      <c r="BK108" s="239">
        <v>0</v>
      </c>
      <c r="BL108" s="239">
        <v>0</v>
      </c>
      <c r="BM108" s="239">
        <v>0</v>
      </c>
      <c r="BN108" s="239">
        <v>0</v>
      </c>
      <c r="BO108" s="239">
        <v>-544161</v>
      </c>
      <c r="BP108" s="239">
        <v>-21428</v>
      </c>
      <c r="BQ108" s="239">
        <v>-565589</v>
      </c>
      <c r="BR108" s="239">
        <v>3358</v>
      </c>
      <c r="BS108" s="239">
        <v>867</v>
      </c>
      <c r="BT108" s="239">
        <v>4225</v>
      </c>
      <c r="BU108" s="239">
        <v>-540803</v>
      </c>
      <c r="BV108" s="239">
        <v>-20561</v>
      </c>
      <c r="BW108" s="239">
        <v>-561364</v>
      </c>
      <c r="BX108" s="239">
        <v>-55054</v>
      </c>
      <c r="BY108" s="239">
        <v>-4585</v>
      </c>
      <c r="BZ108" s="239">
        <v>-59639</v>
      </c>
      <c r="CA108" s="239">
        <v>0</v>
      </c>
      <c r="CB108" s="239">
        <v>-1049</v>
      </c>
      <c r="CC108" s="239">
        <v>-1049</v>
      </c>
      <c r="CD108" s="239">
        <v>-18072</v>
      </c>
      <c r="CE108" s="239">
        <v>0</v>
      </c>
      <c r="CF108" s="239">
        <v>-18072</v>
      </c>
      <c r="CG108" s="239">
        <v>0</v>
      </c>
      <c r="CH108" s="239">
        <v>0</v>
      </c>
      <c r="CI108" s="239">
        <v>0</v>
      </c>
      <c r="CJ108" s="239">
        <v>-1041</v>
      </c>
      <c r="CK108" s="239">
        <v>0</v>
      </c>
      <c r="CL108" s="239">
        <v>-1041</v>
      </c>
      <c r="CM108" s="239">
        <v>0</v>
      </c>
      <c r="CN108" s="239">
        <v>0</v>
      </c>
      <c r="CO108" s="239">
        <v>0</v>
      </c>
      <c r="CP108" s="239">
        <v>0</v>
      </c>
      <c r="CQ108" s="239">
        <v>0</v>
      </c>
      <c r="CR108" s="239">
        <v>0</v>
      </c>
      <c r="CS108" s="239">
        <v>0</v>
      </c>
      <c r="CT108" s="239">
        <v>0</v>
      </c>
      <c r="CU108" s="239">
        <v>0</v>
      </c>
      <c r="CV108" s="239">
        <v>-4510</v>
      </c>
      <c r="CW108" s="239">
        <v>0</v>
      </c>
      <c r="CX108" s="239">
        <v>-4510</v>
      </c>
      <c r="CY108" s="239">
        <v>0</v>
      </c>
      <c r="CZ108" s="239">
        <v>0</v>
      </c>
      <c r="DA108" s="239">
        <v>0</v>
      </c>
      <c r="DB108" s="239">
        <v>0</v>
      </c>
      <c r="DC108" s="239">
        <v>-128185</v>
      </c>
      <c r="DD108" s="239">
        <v>-128185</v>
      </c>
      <c r="DE108" s="239">
        <v>0</v>
      </c>
      <c r="DF108" s="239">
        <v>-7113</v>
      </c>
      <c r="DG108" s="239">
        <v>-7113</v>
      </c>
      <c r="DH108" s="239">
        <v>-135298</v>
      </c>
      <c r="DI108" s="239">
        <v>0</v>
      </c>
      <c r="DJ108" s="239">
        <v>-78677</v>
      </c>
      <c r="DK108" s="239">
        <v>-140932</v>
      </c>
      <c r="DL108" s="239">
        <v>-219609</v>
      </c>
      <c r="DM108" s="239">
        <v>-35773</v>
      </c>
      <c r="DN108" s="239">
        <v>0</v>
      </c>
      <c r="DO108" s="239">
        <v>-35773</v>
      </c>
      <c r="DP108" s="239">
        <v>706</v>
      </c>
      <c r="DQ108" s="239">
        <v>0</v>
      </c>
      <c r="DR108" s="239">
        <v>706</v>
      </c>
      <c r="DS108" s="239">
        <v>-2882</v>
      </c>
      <c r="DT108" s="239">
        <v>0</v>
      </c>
      <c r="DU108" s="239">
        <v>-2882</v>
      </c>
      <c r="DV108" s="239">
        <v>0</v>
      </c>
      <c r="DW108" s="239">
        <v>0</v>
      </c>
      <c r="DX108" s="239">
        <v>0</v>
      </c>
      <c r="DY108" s="239">
        <v>4127</v>
      </c>
      <c r="DZ108" s="239">
        <v>0</v>
      </c>
      <c r="EA108" s="239">
        <v>4127</v>
      </c>
      <c r="EB108" s="239">
        <v>0</v>
      </c>
      <c r="EC108" s="239">
        <v>0</v>
      </c>
      <c r="ED108" s="239">
        <v>0</v>
      </c>
      <c r="EE108" s="239">
        <v>0</v>
      </c>
      <c r="EF108" s="239">
        <v>0</v>
      </c>
      <c r="EG108" s="239">
        <v>0</v>
      </c>
      <c r="EH108" s="239">
        <v>231</v>
      </c>
      <c r="EI108" s="239">
        <v>0</v>
      </c>
      <c r="EJ108" s="239">
        <v>231</v>
      </c>
      <c r="EK108" s="239">
        <v>-3743</v>
      </c>
      <c r="EL108" s="239">
        <v>0</v>
      </c>
      <c r="EM108" s="239">
        <v>-3743</v>
      </c>
      <c r="EN108" s="239">
        <v>0</v>
      </c>
      <c r="EO108" s="239">
        <v>-1500</v>
      </c>
      <c r="EP108" s="239">
        <v>-1500</v>
      </c>
      <c r="EQ108" s="239">
        <v>-10107</v>
      </c>
      <c r="ER108" s="239">
        <v>0</v>
      </c>
      <c r="ES108" s="239">
        <v>-10107</v>
      </c>
      <c r="ET108" s="239">
        <v>-113028</v>
      </c>
      <c r="EU108" s="239">
        <v>0</v>
      </c>
      <c r="EV108" s="239">
        <v>-113028</v>
      </c>
      <c r="EW108" s="239">
        <v>-13581</v>
      </c>
      <c r="EX108" s="239">
        <v>0</v>
      </c>
      <c r="EY108" s="239">
        <v>-13581</v>
      </c>
      <c r="EZ108" s="239">
        <v>-174050</v>
      </c>
      <c r="FA108" s="239">
        <v>-1500</v>
      </c>
      <c r="FB108" s="239">
        <v>-175550</v>
      </c>
      <c r="FC108" s="239">
        <v>0</v>
      </c>
      <c r="FD108" s="239">
        <v>0</v>
      </c>
      <c r="FE108" s="239">
        <v>0</v>
      </c>
      <c r="FF108" s="239">
        <v>0</v>
      </c>
      <c r="FG108" s="239">
        <v>0</v>
      </c>
      <c r="FH108" s="239">
        <v>0</v>
      </c>
      <c r="FI108" s="239">
        <v>0</v>
      </c>
      <c r="FJ108" s="239">
        <v>0</v>
      </c>
      <c r="FK108" s="239">
        <v>0</v>
      </c>
      <c r="FL108" s="239">
        <v>26652263</v>
      </c>
      <c r="FM108" s="239">
        <v>2621715</v>
      </c>
      <c r="FN108" s="239">
        <v>29273978</v>
      </c>
      <c r="FO108" s="239">
        <v>392996</v>
      </c>
      <c r="FP108" s="239">
        <v>192517</v>
      </c>
      <c r="FQ108" s="239">
        <v>585513</v>
      </c>
      <c r="FR108" s="239">
        <v>-4346440</v>
      </c>
      <c r="FS108" s="239">
        <v>-14366</v>
      </c>
      <c r="FT108" s="239">
        <v>-4360806</v>
      </c>
      <c r="FU108" s="239">
        <v>-540803</v>
      </c>
      <c r="FV108" s="239">
        <v>-20561</v>
      </c>
      <c r="FW108" s="239">
        <v>-561364</v>
      </c>
      <c r="FX108" s="239">
        <v>-78677</v>
      </c>
      <c r="FY108" s="239">
        <v>-140932</v>
      </c>
      <c r="FZ108" s="239">
        <v>-219609</v>
      </c>
      <c r="GA108" s="239">
        <v>-174050</v>
      </c>
      <c r="GB108" s="239">
        <v>-1500</v>
      </c>
      <c r="GC108" s="239">
        <v>-175550</v>
      </c>
      <c r="GD108" s="239">
        <v>0</v>
      </c>
      <c r="GE108" s="239">
        <v>0</v>
      </c>
      <c r="GF108" s="239">
        <v>0</v>
      </c>
      <c r="GG108" s="239">
        <v>-4746974</v>
      </c>
      <c r="GH108" s="239">
        <v>15158</v>
      </c>
      <c r="GI108" s="239">
        <v>-4731816</v>
      </c>
      <c r="GJ108" s="239">
        <v>21905289</v>
      </c>
      <c r="GK108" s="239">
        <v>2636873</v>
      </c>
      <c r="GL108" s="239">
        <v>24542162</v>
      </c>
      <c r="GM108" s="214" t="s">
        <v>1158</v>
      </c>
    </row>
    <row r="109" spans="2:195" s="214" customFormat="1" x14ac:dyDescent="0.2">
      <c r="B109" s="602" t="s">
        <v>301</v>
      </c>
      <c r="C109" s="602" t="s">
        <v>300</v>
      </c>
      <c r="D109" s="239">
        <v>-3510604</v>
      </c>
      <c r="E109" s="239">
        <v>-81328</v>
      </c>
      <c r="F109" s="239">
        <v>-3591932</v>
      </c>
      <c r="G109" s="239">
        <v>68525</v>
      </c>
      <c r="H109" s="239">
        <v>0</v>
      </c>
      <c r="I109" s="239">
        <v>68525</v>
      </c>
      <c r="J109" s="239">
        <v>7152483</v>
      </c>
      <c r="K109" s="239">
        <v>100742</v>
      </c>
      <c r="L109" s="239">
        <v>7253225</v>
      </c>
      <c r="M109" s="239">
        <v>105064</v>
      </c>
      <c r="N109" s="239">
        <v>0</v>
      </c>
      <c r="O109" s="239">
        <v>105064</v>
      </c>
      <c r="P109" s="239">
        <v>3815468</v>
      </c>
      <c r="Q109" s="239">
        <v>19414</v>
      </c>
      <c r="R109" s="239">
        <v>3834882</v>
      </c>
      <c r="S109" s="239">
        <v>-5714717</v>
      </c>
      <c r="T109" s="239">
        <v>-107413</v>
      </c>
      <c r="U109" s="239">
        <v>-5822130</v>
      </c>
      <c r="V109" s="239">
        <v>-4070</v>
      </c>
      <c r="W109" s="239">
        <v>0</v>
      </c>
      <c r="X109" s="239">
        <v>-4070</v>
      </c>
      <c r="Y109" s="239">
        <v>-183357</v>
      </c>
      <c r="Z109" s="239">
        <v>136</v>
      </c>
      <c r="AA109" s="239">
        <v>-183221</v>
      </c>
      <c r="AB109" s="239">
        <v>-154123</v>
      </c>
      <c r="AC109" s="239">
        <v>136</v>
      </c>
      <c r="AD109" s="239">
        <v>-153987</v>
      </c>
      <c r="AE109" s="239">
        <v>312</v>
      </c>
      <c r="AF109" s="239">
        <v>0</v>
      </c>
      <c r="AG109" s="239">
        <v>312</v>
      </c>
      <c r="AH109" s="239">
        <v>2121431</v>
      </c>
      <c r="AI109" s="239">
        <v>67677</v>
      </c>
      <c r="AJ109" s="239">
        <v>2189108</v>
      </c>
      <c r="AK109" s="239">
        <v>-157746</v>
      </c>
      <c r="AL109" s="239">
        <v>-1918</v>
      </c>
      <c r="AM109" s="239">
        <v>-159664</v>
      </c>
      <c r="AN109" s="239">
        <v>-3454485</v>
      </c>
      <c r="AO109" s="239">
        <v>-915988</v>
      </c>
      <c r="AP109" s="239">
        <v>-4370473</v>
      </c>
      <c r="AQ109" s="239">
        <v>-3220</v>
      </c>
      <c r="AR109" s="239">
        <v>5359</v>
      </c>
      <c r="AS109" s="239">
        <v>2139</v>
      </c>
      <c r="AT109" s="239">
        <v>-81216</v>
      </c>
      <c r="AU109" s="239">
        <v>0</v>
      </c>
      <c r="AV109" s="239">
        <v>-81216</v>
      </c>
      <c r="AW109" s="239">
        <v>0</v>
      </c>
      <c r="AX109" s="239">
        <v>0</v>
      </c>
      <c r="AY109" s="239">
        <v>0</v>
      </c>
      <c r="AZ109" s="239">
        <v>-6825</v>
      </c>
      <c r="BA109" s="239">
        <v>0</v>
      </c>
      <c r="BB109" s="239">
        <v>-6825</v>
      </c>
      <c r="BC109" s="239">
        <v>0</v>
      </c>
      <c r="BD109" s="239">
        <v>0</v>
      </c>
      <c r="BE109" s="239">
        <v>0</v>
      </c>
      <c r="BF109" s="239">
        <v>-7480135</v>
      </c>
      <c r="BG109" s="239">
        <v>-952147</v>
      </c>
      <c r="BH109" s="239">
        <v>-8432282</v>
      </c>
      <c r="BI109" s="239">
        <v>-50525</v>
      </c>
      <c r="BJ109" s="239">
        <v>0</v>
      </c>
      <c r="BK109" s="239">
        <v>-50525</v>
      </c>
      <c r="BL109" s="239">
        <v>-13128</v>
      </c>
      <c r="BM109" s="239">
        <v>0</v>
      </c>
      <c r="BN109" s="239">
        <v>-13128</v>
      </c>
      <c r="BO109" s="239">
        <v>-3704123</v>
      </c>
      <c r="BP109" s="239">
        <v>-61442</v>
      </c>
      <c r="BQ109" s="239">
        <v>-3765565</v>
      </c>
      <c r="BR109" s="239">
        <v>278339</v>
      </c>
      <c r="BS109" s="239">
        <v>-2811</v>
      </c>
      <c r="BT109" s="239">
        <v>275528</v>
      </c>
      <c r="BU109" s="239">
        <v>-3489437</v>
      </c>
      <c r="BV109" s="239">
        <v>-64253</v>
      </c>
      <c r="BW109" s="239">
        <v>-3553690</v>
      </c>
      <c r="BX109" s="239">
        <v>-79845</v>
      </c>
      <c r="BY109" s="239">
        <v>-632</v>
      </c>
      <c r="BZ109" s="239">
        <v>-80477</v>
      </c>
      <c r="CA109" s="239">
        <v>-2609</v>
      </c>
      <c r="CB109" s="239">
        <v>0</v>
      </c>
      <c r="CC109" s="239">
        <v>-2609</v>
      </c>
      <c r="CD109" s="239">
        <v>-736</v>
      </c>
      <c r="CE109" s="239">
        <v>0</v>
      </c>
      <c r="CF109" s="239">
        <v>-736</v>
      </c>
      <c r="CG109" s="239">
        <v>-1877</v>
      </c>
      <c r="CH109" s="239">
        <v>0</v>
      </c>
      <c r="CI109" s="239">
        <v>-1877</v>
      </c>
      <c r="CJ109" s="239">
        <v>-725</v>
      </c>
      <c r="CK109" s="239">
        <v>0</v>
      </c>
      <c r="CL109" s="239">
        <v>-725</v>
      </c>
      <c r="CM109" s="239">
        <v>0</v>
      </c>
      <c r="CN109" s="239">
        <v>0</v>
      </c>
      <c r="CO109" s="239">
        <v>0</v>
      </c>
      <c r="CP109" s="239">
        <v>0</v>
      </c>
      <c r="CQ109" s="239">
        <v>0</v>
      </c>
      <c r="CR109" s="239">
        <v>0</v>
      </c>
      <c r="CS109" s="239">
        <v>0</v>
      </c>
      <c r="CT109" s="239">
        <v>0</v>
      </c>
      <c r="CU109" s="239">
        <v>0</v>
      </c>
      <c r="CV109" s="239">
        <v>0</v>
      </c>
      <c r="CW109" s="239">
        <v>0</v>
      </c>
      <c r="CX109" s="239">
        <v>0</v>
      </c>
      <c r="CY109" s="239">
        <v>0</v>
      </c>
      <c r="CZ109" s="239">
        <v>0</v>
      </c>
      <c r="DA109" s="239">
        <v>0</v>
      </c>
      <c r="DB109" s="239">
        <v>-36418</v>
      </c>
      <c r="DC109" s="239">
        <v>-33299</v>
      </c>
      <c r="DD109" s="239">
        <v>-69717</v>
      </c>
      <c r="DE109" s="239">
        <v>0</v>
      </c>
      <c r="DF109" s="239">
        <v>0</v>
      </c>
      <c r="DG109" s="239">
        <v>0</v>
      </c>
      <c r="DH109" s="239">
        <v>0</v>
      </c>
      <c r="DI109" s="239">
        <v>0</v>
      </c>
      <c r="DJ109" s="239">
        <v>-122210</v>
      </c>
      <c r="DK109" s="239">
        <v>-33931</v>
      </c>
      <c r="DL109" s="239">
        <v>-156141</v>
      </c>
      <c r="DM109" s="239">
        <v>0</v>
      </c>
      <c r="DN109" s="239">
        <v>0</v>
      </c>
      <c r="DO109" s="239">
        <v>0</v>
      </c>
      <c r="DP109" s="239">
        <v>0</v>
      </c>
      <c r="DQ109" s="239">
        <v>0</v>
      </c>
      <c r="DR109" s="239">
        <v>0</v>
      </c>
      <c r="DS109" s="239">
        <v>-1267</v>
      </c>
      <c r="DT109" s="239">
        <v>0</v>
      </c>
      <c r="DU109" s="239">
        <v>-1267</v>
      </c>
      <c r="DV109" s="239">
        <v>3886</v>
      </c>
      <c r="DW109" s="239">
        <v>330</v>
      </c>
      <c r="DX109" s="239">
        <v>4216</v>
      </c>
      <c r="DY109" s="239">
        <v>0</v>
      </c>
      <c r="DZ109" s="239">
        <v>0</v>
      </c>
      <c r="EA109" s="239">
        <v>0</v>
      </c>
      <c r="EB109" s="239">
        <v>0</v>
      </c>
      <c r="EC109" s="239">
        <v>0</v>
      </c>
      <c r="ED109" s="239">
        <v>0</v>
      </c>
      <c r="EE109" s="239">
        <v>0</v>
      </c>
      <c r="EF109" s="239">
        <v>0</v>
      </c>
      <c r="EG109" s="239">
        <v>0</v>
      </c>
      <c r="EH109" s="239">
        <v>0</v>
      </c>
      <c r="EI109" s="239">
        <v>0</v>
      </c>
      <c r="EJ109" s="239">
        <v>0</v>
      </c>
      <c r="EK109" s="239">
        <v>-6825</v>
      </c>
      <c r="EL109" s="239">
        <v>0</v>
      </c>
      <c r="EM109" s="239">
        <v>-6825</v>
      </c>
      <c r="EN109" s="239">
        <v>0</v>
      </c>
      <c r="EO109" s="239">
        <v>0</v>
      </c>
      <c r="EP109" s="239">
        <v>0</v>
      </c>
      <c r="EQ109" s="239">
        <v>-51112</v>
      </c>
      <c r="ER109" s="239">
        <v>0</v>
      </c>
      <c r="ES109" s="239">
        <v>-51112</v>
      </c>
      <c r="ET109" s="239">
        <v>-362490</v>
      </c>
      <c r="EU109" s="239">
        <v>-18120</v>
      </c>
      <c r="EV109" s="239">
        <v>-380610</v>
      </c>
      <c r="EW109" s="239">
        <v>-67479</v>
      </c>
      <c r="EX109" s="239">
        <v>0</v>
      </c>
      <c r="EY109" s="239">
        <v>-67479</v>
      </c>
      <c r="EZ109" s="239">
        <v>-485287</v>
      </c>
      <c r="FA109" s="239">
        <v>-17790</v>
      </c>
      <c r="FB109" s="239">
        <v>-503077</v>
      </c>
      <c r="FC109" s="239">
        <v>0</v>
      </c>
      <c r="FD109" s="239">
        <v>0</v>
      </c>
      <c r="FE109" s="239">
        <v>0</v>
      </c>
      <c r="FF109" s="239">
        <v>0</v>
      </c>
      <c r="FG109" s="239">
        <v>0</v>
      </c>
      <c r="FH109" s="239">
        <v>0</v>
      </c>
      <c r="FI109" s="239">
        <v>0</v>
      </c>
      <c r="FJ109" s="239">
        <v>0</v>
      </c>
      <c r="FK109" s="239">
        <v>0</v>
      </c>
      <c r="FL109" s="239">
        <v>92988224</v>
      </c>
      <c r="FM109" s="239">
        <v>2838631</v>
      </c>
      <c r="FN109" s="239">
        <v>95826855</v>
      </c>
      <c r="FO109" s="239">
        <v>3815468</v>
      </c>
      <c r="FP109" s="239">
        <v>19414</v>
      </c>
      <c r="FQ109" s="239">
        <v>3834882</v>
      </c>
      <c r="FR109" s="239">
        <v>-7480135</v>
      </c>
      <c r="FS109" s="239">
        <v>-952147</v>
      </c>
      <c r="FT109" s="239">
        <v>-8432282</v>
      </c>
      <c r="FU109" s="239">
        <v>-3489437</v>
      </c>
      <c r="FV109" s="239">
        <v>-64253</v>
      </c>
      <c r="FW109" s="239">
        <v>-3553690</v>
      </c>
      <c r="FX109" s="239">
        <v>-122210</v>
      </c>
      <c r="FY109" s="239">
        <v>-33931</v>
      </c>
      <c r="FZ109" s="239">
        <v>-156141</v>
      </c>
      <c r="GA109" s="239">
        <v>-485287</v>
      </c>
      <c r="GB109" s="239">
        <v>-17790</v>
      </c>
      <c r="GC109" s="239">
        <v>-503077</v>
      </c>
      <c r="GD109" s="239">
        <v>0</v>
      </c>
      <c r="GE109" s="239">
        <v>0</v>
      </c>
      <c r="GF109" s="239">
        <v>0</v>
      </c>
      <c r="GG109" s="239">
        <v>-7761601</v>
      </c>
      <c r="GH109" s="239">
        <v>-1048707</v>
      </c>
      <c r="GI109" s="239">
        <v>-8810308</v>
      </c>
      <c r="GJ109" s="239">
        <v>85226623</v>
      </c>
      <c r="GK109" s="239">
        <v>1789924</v>
      </c>
      <c r="GL109" s="239">
        <v>87016547</v>
      </c>
      <c r="GM109" s="214" t="s">
        <v>1160</v>
      </c>
    </row>
    <row r="110" spans="2:195" s="214" customFormat="1" x14ac:dyDescent="0.2">
      <c r="B110" s="602" t="s">
        <v>303</v>
      </c>
      <c r="C110" s="602" t="s">
        <v>302</v>
      </c>
      <c r="D110" s="239">
        <v>-1298144.33</v>
      </c>
      <c r="E110" s="239">
        <v>0</v>
      </c>
      <c r="F110" s="239">
        <v>-1298144.33</v>
      </c>
      <c r="G110" s="239">
        <v>13304.68</v>
      </c>
      <c r="H110" s="239">
        <v>0</v>
      </c>
      <c r="I110" s="239">
        <v>13304.68</v>
      </c>
      <c r="J110" s="239">
        <v>740395.65</v>
      </c>
      <c r="K110" s="239">
        <v>0</v>
      </c>
      <c r="L110" s="239">
        <v>740395.65</v>
      </c>
      <c r="M110" s="239">
        <v>62580.2</v>
      </c>
      <c r="N110" s="239">
        <v>0</v>
      </c>
      <c r="O110" s="239">
        <v>62580.2</v>
      </c>
      <c r="P110" s="239">
        <v>-481864</v>
      </c>
      <c r="Q110" s="239">
        <v>0</v>
      </c>
      <c r="R110" s="239">
        <v>-481864</v>
      </c>
      <c r="S110" s="239">
        <v>-2356096.48</v>
      </c>
      <c r="T110" s="239">
        <v>0</v>
      </c>
      <c r="U110" s="239">
        <v>-2356096.48</v>
      </c>
      <c r="V110" s="239">
        <v>0</v>
      </c>
      <c r="W110" s="239">
        <v>0</v>
      </c>
      <c r="X110" s="239">
        <v>0</v>
      </c>
      <c r="Y110" s="239">
        <v>-7032.12</v>
      </c>
      <c r="Z110" s="239">
        <v>0</v>
      </c>
      <c r="AA110" s="239">
        <v>-7032.12</v>
      </c>
      <c r="AB110" s="239">
        <v>0</v>
      </c>
      <c r="AC110" s="239">
        <v>0</v>
      </c>
      <c r="AD110" s="239">
        <v>0</v>
      </c>
      <c r="AE110" s="239">
        <v>0</v>
      </c>
      <c r="AF110" s="239">
        <v>0</v>
      </c>
      <c r="AG110" s="239">
        <v>0</v>
      </c>
      <c r="AH110" s="239">
        <v>495664.05</v>
      </c>
      <c r="AI110" s="239">
        <v>0</v>
      </c>
      <c r="AJ110" s="239">
        <v>495664.05</v>
      </c>
      <c r="AK110" s="239">
        <v>-22158.47</v>
      </c>
      <c r="AL110" s="239">
        <v>0</v>
      </c>
      <c r="AM110" s="239">
        <v>-22158.47</v>
      </c>
      <c r="AN110" s="239">
        <v>-1536784.67</v>
      </c>
      <c r="AO110" s="239">
        <v>0</v>
      </c>
      <c r="AP110" s="239">
        <v>-1536784.67</v>
      </c>
      <c r="AQ110" s="239">
        <v>-5254.85</v>
      </c>
      <c r="AR110" s="239">
        <v>0</v>
      </c>
      <c r="AS110" s="239">
        <v>-5254.85</v>
      </c>
      <c r="AT110" s="239">
        <v>-46270.83</v>
      </c>
      <c r="AU110" s="239">
        <v>0</v>
      </c>
      <c r="AV110" s="239">
        <v>-46270.83</v>
      </c>
      <c r="AW110" s="239">
        <v>0</v>
      </c>
      <c r="AX110" s="239">
        <v>0</v>
      </c>
      <c r="AY110" s="239">
        <v>0</v>
      </c>
      <c r="AZ110" s="239">
        <v>0</v>
      </c>
      <c r="BA110" s="239">
        <v>0</v>
      </c>
      <c r="BB110" s="239">
        <v>0</v>
      </c>
      <c r="BC110" s="239">
        <v>0</v>
      </c>
      <c r="BD110" s="239">
        <v>0</v>
      </c>
      <c r="BE110" s="239">
        <v>0</v>
      </c>
      <c r="BF110" s="239">
        <v>-3477933</v>
      </c>
      <c r="BG110" s="239">
        <v>0</v>
      </c>
      <c r="BH110" s="239">
        <v>-3477933</v>
      </c>
      <c r="BI110" s="239">
        <v>-15373.38</v>
      </c>
      <c r="BJ110" s="239">
        <v>0</v>
      </c>
      <c r="BK110" s="239">
        <v>-15373.38</v>
      </c>
      <c r="BL110" s="239">
        <v>-34446.89</v>
      </c>
      <c r="BM110" s="239">
        <v>0</v>
      </c>
      <c r="BN110" s="239">
        <v>-34446.89</v>
      </c>
      <c r="BO110" s="239">
        <v>-465701.09</v>
      </c>
      <c r="BP110" s="239">
        <v>0</v>
      </c>
      <c r="BQ110" s="239">
        <v>-465701.09</v>
      </c>
      <c r="BR110" s="239">
        <v>-30137.69</v>
      </c>
      <c r="BS110" s="239">
        <v>0</v>
      </c>
      <c r="BT110" s="239">
        <v>-30137.69</v>
      </c>
      <c r="BU110" s="239">
        <v>-545659</v>
      </c>
      <c r="BV110" s="239">
        <v>0</v>
      </c>
      <c r="BW110" s="239">
        <v>-545659</v>
      </c>
      <c r="BX110" s="239">
        <v>-80653.87</v>
      </c>
      <c r="BY110" s="239">
        <v>0</v>
      </c>
      <c r="BZ110" s="239">
        <v>-80653.87</v>
      </c>
      <c r="CA110" s="239">
        <v>-1742.3</v>
      </c>
      <c r="CB110" s="239">
        <v>0</v>
      </c>
      <c r="CC110" s="239">
        <v>-1742.3</v>
      </c>
      <c r="CD110" s="239">
        <v>-44378.879999999997</v>
      </c>
      <c r="CE110" s="239">
        <v>0</v>
      </c>
      <c r="CF110" s="239">
        <v>-44378.879999999997</v>
      </c>
      <c r="CG110" s="239">
        <v>0</v>
      </c>
      <c r="CH110" s="239">
        <v>0</v>
      </c>
      <c r="CI110" s="239">
        <v>0</v>
      </c>
      <c r="CJ110" s="239">
        <v>-5628.25</v>
      </c>
      <c r="CK110" s="239">
        <v>0</v>
      </c>
      <c r="CL110" s="239">
        <v>-5628.25</v>
      </c>
      <c r="CM110" s="239">
        <v>0</v>
      </c>
      <c r="CN110" s="239">
        <v>0</v>
      </c>
      <c r="CO110" s="239">
        <v>0</v>
      </c>
      <c r="CP110" s="239">
        <v>-4893</v>
      </c>
      <c r="CQ110" s="239">
        <v>0</v>
      </c>
      <c r="CR110" s="239">
        <v>-4893</v>
      </c>
      <c r="CS110" s="239">
        <v>0</v>
      </c>
      <c r="CT110" s="239">
        <v>0</v>
      </c>
      <c r="CU110" s="239">
        <v>0</v>
      </c>
      <c r="CV110" s="239">
        <v>0</v>
      </c>
      <c r="CW110" s="239">
        <v>0</v>
      </c>
      <c r="CX110" s="239">
        <v>0</v>
      </c>
      <c r="CY110" s="239">
        <v>0</v>
      </c>
      <c r="CZ110" s="239">
        <v>0</v>
      </c>
      <c r="DA110" s="239">
        <v>0</v>
      </c>
      <c r="DB110" s="239">
        <v>0</v>
      </c>
      <c r="DC110" s="239">
        <v>0</v>
      </c>
      <c r="DD110" s="239">
        <v>0</v>
      </c>
      <c r="DE110" s="239">
        <v>0</v>
      </c>
      <c r="DF110" s="239">
        <v>0</v>
      </c>
      <c r="DG110" s="239">
        <v>0</v>
      </c>
      <c r="DH110" s="239">
        <v>0</v>
      </c>
      <c r="DI110" s="239">
        <v>0</v>
      </c>
      <c r="DJ110" s="239">
        <v>-137296</v>
      </c>
      <c r="DK110" s="239">
        <v>0</v>
      </c>
      <c r="DL110" s="239">
        <v>-137296</v>
      </c>
      <c r="DM110" s="239">
        <v>0</v>
      </c>
      <c r="DN110" s="239">
        <v>0</v>
      </c>
      <c r="DO110" s="239">
        <v>0</v>
      </c>
      <c r="DP110" s="239">
        <v>0</v>
      </c>
      <c r="DQ110" s="239">
        <v>0</v>
      </c>
      <c r="DR110" s="239">
        <v>0</v>
      </c>
      <c r="DS110" s="239">
        <v>0</v>
      </c>
      <c r="DT110" s="239">
        <v>0</v>
      </c>
      <c r="DU110" s="239">
        <v>0</v>
      </c>
      <c r="DV110" s="239">
        <v>0</v>
      </c>
      <c r="DW110" s="239">
        <v>0</v>
      </c>
      <c r="DX110" s="239">
        <v>0</v>
      </c>
      <c r="DY110" s="239">
        <v>-949.11</v>
      </c>
      <c r="DZ110" s="239">
        <v>0</v>
      </c>
      <c r="EA110" s="239">
        <v>-949.11</v>
      </c>
      <c r="EB110" s="239">
        <v>0</v>
      </c>
      <c r="EC110" s="239">
        <v>0</v>
      </c>
      <c r="ED110" s="239">
        <v>0</v>
      </c>
      <c r="EE110" s="239">
        <v>0</v>
      </c>
      <c r="EF110" s="239">
        <v>0</v>
      </c>
      <c r="EG110" s="239">
        <v>0</v>
      </c>
      <c r="EH110" s="239">
        <v>1838.82</v>
      </c>
      <c r="EI110" s="239">
        <v>0</v>
      </c>
      <c r="EJ110" s="239">
        <v>1838.82</v>
      </c>
      <c r="EK110" s="239">
        <v>0</v>
      </c>
      <c r="EL110" s="239">
        <v>0</v>
      </c>
      <c r="EM110" s="239">
        <v>0</v>
      </c>
      <c r="EN110" s="239">
        <v>0</v>
      </c>
      <c r="EO110" s="239">
        <v>0</v>
      </c>
      <c r="EP110" s="239">
        <v>0</v>
      </c>
      <c r="EQ110" s="239">
        <v>-19357.05</v>
      </c>
      <c r="ER110" s="239">
        <v>0</v>
      </c>
      <c r="ES110" s="239">
        <v>-19357.05</v>
      </c>
      <c r="ET110" s="239">
        <v>-192518.45</v>
      </c>
      <c r="EU110" s="239">
        <v>0</v>
      </c>
      <c r="EV110" s="239">
        <v>-192518.45</v>
      </c>
      <c r="EW110" s="239">
        <v>-35710.519999999997</v>
      </c>
      <c r="EX110" s="239">
        <v>0</v>
      </c>
      <c r="EY110" s="239">
        <v>-35710.519999999997</v>
      </c>
      <c r="EZ110" s="239">
        <v>-246696</v>
      </c>
      <c r="FA110" s="239">
        <v>0</v>
      </c>
      <c r="FB110" s="239">
        <v>-246696</v>
      </c>
      <c r="FC110" s="239">
        <v>0</v>
      </c>
      <c r="FD110" s="239">
        <v>0</v>
      </c>
      <c r="FE110" s="239">
        <v>0</v>
      </c>
      <c r="FF110" s="239">
        <v>0</v>
      </c>
      <c r="FG110" s="239">
        <v>0</v>
      </c>
      <c r="FH110" s="239">
        <v>0</v>
      </c>
      <c r="FI110" s="239">
        <v>0</v>
      </c>
      <c r="FJ110" s="239">
        <v>0</v>
      </c>
      <c r="FK110" s="239">
        <v>0</v>
      </c>
      <c r="FL110" s="239">
        <v>26441594</v>
      </c>
      <c r="FM110" s="239">
        <v>0</v>
      </c>
      <c r="FN110" s="239">
        <v>26441594</v>
      </c>
      <c r="FO110" s="239">
        <v>-481864</v>
      </c>
      <c r="FP110" s="239">
        <v>0</v>
      </c>
      <c r="FQ110" s="239">
        <v>-481864</v>
      </c>
      <c r="FR110" s="239">
        <v>-3477933</v>
      </c>
      <c r="FS110" s="239">
        <v>0</v>
      </c>
      <c r="FT110" s="239">
        <v>-3477933</v>
      </c>
      <c r="FU110" s="239">
        <v>-545659</v>
      </c>
      <c r="FV110" s="239">
        <v>0</v>
      </c>
      <c r="FW110" s="239">
        <v>-545659</v>
      </c>
      <c r="FX110" s="239">
        <v>-137296</v>
      </c>
      <c r="FY110" s="239">
        <v>0</v>
      </c>
      <c r="FZ110" s="239">
        <v>-137296</v>
      </c>
      <c r="GA110" s="239">
        <v>-246696</v>
      </c>
      <c r="GB110" s="239">
        <v>0</v>
      </c>
      <c r="GC110" s="239">
        <v>-246696</v>
      </c>
      <c r="GD110" s="239">
        <v>0</v>
      </c>
      <c r="GE110" s="239">
        <v>0</v>
      </c>
      <c r="GF110" s="239">
        <v>0</v>
      </c>
      <c r="GG110" s="239">
        <v>-4889448</v>
      </c>
      <c r="GH110" s="239">
        <v>0</v>
      </c>
      <c r="GI110" s="239">
        <v>-4889448</v>
      </c>
      <c r="GJ110" s="239">
        <v>21552146</v>
      </c>
      <c r="GK110" s="239">
        <v>0</v>
      </c>
      <c r="GL110" s="239">
        <v>21552146</v>
      </c>
      <c r="GM110" s="214" t="s">
        <v>1158</v>
      </c>
    </row>
    <row r="111" spans="2:195" s="214" customFormat="1" x14ac:dyDescent="0.2">
      <c r="B111" s="602" t="s">
        <v>305</v>
      </c>
      <c r="C111" s="602" t="s">
        <v>304</v>
      </c>
      <c r="D111" s="239">
        <v>-1179237</v>
      </c>
      <c r="E111" s="239">
        <v>0</v>
      </c>
      <c r="F111" s="239">
        <v>-1179237</v>
      </c>
      <c r="G111" s="239">
        <v>15585</v>
      </c>
      <c r="H111" s="239">
        <v>0</v>
      </c>
      <c r="I111" s="239">
        <v>15585</v>
      </c>
      <c r="J111" s="239">
        <v>3301902</v>
      </c>
      <c r="K111" s="239">
        <v>0</v>
      </c>
      <c r="L111" s="239">
        <v>3301902</v>
      </c>
      <c r="M111" s="239">
        <v>-8287</v>
      </c>
      <c r="N111" s="239">
        <v>0</v>
      </c>
      <c r="O111" s="239">
        <v>-8287</v>
      </c>
      <c r="P111" s="239">
        <v>2129963</v>
      </c>
      <c r="Q111" s="239">
        <v>0</v>
      </c>
      <c r="R111" s="239">
        <v>2129963</v>
      </c>
      <c r="S111" s="239">
        <v>-2912181</v>
      </c>
      <c r="T111" s="239">
        <v>0</v>
      </c>
      <c r="U111" s="239">
        <v>-2912181</v>
      </c>
      <c r="V111" s="239">
        <v>-1010</v>
      </c>
      <c r="W111" s="239">
        <v>0</v>
      </c>
      <c r="X111" s="239">
        <v>-1010</v>
      </c>
      <c r="Y111" s="239">
        <v>-59990</v>
      </c>
      <c r="Z111" s="239">
        <v>0</v>
      </c>
      <c r="AA111" s="239">
        <v>-59990</v>
      </c>
      <c r="AB111" s="239">
        <v>0</v>
      </c>
      <c r="AC111" s="239">
        <v>0</v>
      </c>
      <c r="AD111" s="239">
        <v>0</v>
      </c>
      <c r="AE111" s="239">
        <v>0</v>
      </c>
      <c r="AF111" s="239">
        <v>0</v>
      </c>
      <c r="AG111" s="239">
        <v>0</v>
      </c>
      <c r="AH111" s="239">
        <v>1280613</v>
      </c>
      <c r="AI111" s="239">
        <v>0</v>
      </c>
      <c r="AJ111" s="239">
        <v>1280613</v>
      </c>
      <c r="AK111" s="239">
        <v>-19831</v>
      </c>
      <c r="AL111" s="239">
        <v>0</v>
      </c>
      <c r="AM111" s="239">
        <v>-19831</v>
      </c>
      <c r="AN111" s="239">
        <v>-3530933</v>
      </c>
      <c r="AO111" s="239">
        <v>0</v>
      </c>
      <c r="AP111" s="239">
        <v>-3530933</v>
      </c>
      <c r="AQ111" s="239">
        <v>10542</v>
      </c>
      <c r="AR111" s="239">
        <v>0</v>
      </c>
      <c r="AS111" s="239">
        <v>10542</v>
      </c>
      <c r="AT111" s="239">
        <v>-38907</v>
      </c>
      <c r="AU111" s="239">
        <v>0</v>
      </c>
      <c r="AV111" s="239">
        <v>-38907</v>
      </c>
      <c r="AW111" s="239">
        <v>0</v>
      </c>
      <c r="AX111" s="239">
        <v>0</v>
      </c>
      <c r="AY111" s="239">
        <v>0</v>
      </c>
      <c r="AZ111" s="239">
        <v>0</v>
      </c>
      <c r="BA111" s="239">
        <v>0</v>
      </c>
      <c r="BB111" s="239">
        <v>0</v>
      </c>
      <c r="BC111" s="239">
        <v>0</v>
      </c>
      <c r="BD111" s="239">
        <v>0</v>
      </c>
      <c r="BE111" s="239">
        <v>0</v>
      </c>
      <c r="BF111" s="239">
        <v>-5270687</v>
      </c>
      <c r="BG111" s="239">
        <v>0</v>
      </c>
      <c r="BH111" s="239">
        <v>-5270687</v>
      </c>
      <c r="BI111" s="239">
        <v>-36313</v>
      </c>
      <c r="BJ111" s="239">
        <v>0</v>
      </c>
      <c r="BK111" s="239">
        <v>-36313</v>
      </c>
      <c r="BL111" s="239">
        <v>-3622</v>
      </c>
      <c r="BM111" s="239">
        <v>0</v>
      </c>
      <c r="BN111" s="239">
        <v>-3622</v>
      </c>
      <c r="BO111" s="239">
        <v>-1748375</v>
      </c>
      <c r="BP111" s="239">
        <v>0</v>
      </c>
      <c r="BQ111" s="239">
        <v>-1748375</v>
      </c>
      <c r="BR111" s="239">
        <v>-68148</v>
      </c>
      <c r="BS111" s="239">
        <v>0</v>
      </c>
      <c r="BT111" s="239">
        <v>-68148</v>
      </c>
      <c r="BU111" s="239">
        <v>-1856458</v>
      </c>
      <c r="BV111" s="239">
        <v>0</v>
      </c>
      <c r="BW111" s="239">
        <v>-1856458</v>
      </c>
      <c r="BX111" s="239">
        <v>-756</v>
      </c>
      <c r="BY111" s="239">
        <v>0</v>
      </c>
      <c r="BZ111" s="239">
        <v>-756</v>
      </c>
      <c r="CA111" s="239">
        <v>0</v>
      </c>
      <c r="CB111" s="239">
        <v>0</v>
      </c>
      <c r="CC111" s="239">
        <v>0</v>
      </c>
      <c r="CD111" s="239">
        <v>-90706</v>
      </c>
      <c r="CE111" s="239">
        <v>0</v>
      </c>
      <c r="CF111" s="239">
        <v>-90706</v>
      </c>
      <c r="CG111" s="239">
        <v>0</v>
      </c>
      <c r="CH111" s="239">
        <v>0</v>
      </c>
      <c r="CI111" s="239">
        <v>0</v>
      </c>
      <c r="CJ111" s="239">
        <v>0</v>
      </c>
      <c r="CK111" s="239">
        <v>0</v>
      </c>
      <c r="CL111" s="239">
        <v>0</v>
      </c>
      <c r="CM111" s="239">
        <v>0</v>
      </c>
      <c r="CN111" s="239">
        <v>0</v>
      </c>
      <c r="CO111" s="239">
        <v>0</v>
      </c>
      <c r="CP111" s="239">
        <v>0</v>
      </c>
      <c r="CQ111" s="239">
        <v>0</v>
      </c>
      <c r="CR111" s="239">
        <v>0</v>
      </c>
      <c r="CS111" s="239">
        <v>0</v>
      </c>
      <c r="CT111" s="239">
        <v>0</v>
      </c>
      <c r="CU111" s="239">
        <v>0</v>
      </c>
      <c r="CV111" s="239">
        <v>0</v>
      </c>
      <c r="CW111" s="239">
        <v>0</v>
      </c>
      <c r="CX111" s="239">
        <v>0</v>
      </c>
      <c r="CY111" s="239">
        <v>0</v>
      </c>
      <c r="CZ111" s="239">
        <v>0</v>
      </c>
      <c r="DA111" s="239">
        <v>0</v>
      </c>
      <c r="DB111" s="239">
        <v>0</v>
      </c>
      <c r="DC111" s="239">
        <v>0</v>
      </c>
      <c r="DD111" s="239">
        <v>0</v>
      </c>
      <c r="DE111" s="239">
        <v>0</v>
      </c>
      <c r="DF111" s="239">
        <v>0</v>
      </c>
      <c r="DG111" s="239">
        <v>0</v>
      </c>
      <c r="DH111" s="239">
        <v>0</v>
      </c>
      <c r="DI111" s="239">
        <v>0</v>
      </c>
      <c r="DJ111" s="239">
        <v>-91462</v>
      </c>
      <c r="DK111" s="239">
        <v>0</v>
      </c>
      <c r="DL111" s="239">
        <v>-91462</v>
      </c>
      <c r="DM111" s="239">
        <v>0</v>
      </c>
      <c r="DN111" s="239">
        <v>0</v>
      </c>
      <c r="DO111" s="239">
        <v>0</v>
      </c>
      <c r="DP111" s="239">
        <v>0</v>
      </c>
      <c r="DQ111" s="239">
        <v>0</v>
      </c>
      <c r="DR111" s="239">
        <v>0</v>
      </c>
      <c r="DS111" s="239">
        <v>-5186</v>
      </c>
      <c r="DT111" s="239">
        <v>0</v>
      </c>
      <c r="DU111" s="239">
        <v>-5186</v>
      </c>
      <c r="DV111" s="239">
        <v>-53189</v>
      </c>
      <c r="DW111" s="239">
        <v>0</v>
      </c>
      <c r="DX111" s="239">
        <v>-53189</v>
      </c>
      <c r="DY111" s="239">
        <v>0</v>
      </c>
      <c r="DZ111" s="239">
        <v>0</v>
      </c>
      <c r="EA111" s="239">
        <v>0</v>
      </c>
      <c r="EB111" s="239">
        <v>0</v>
      </c>
      <c r="EC111" s="239">
        <v>0</v>
      </c>
      <c r="ED111" s="239">
        <v>0</v>
      </c>
      <c r="EE111" s="239">
        <v>0</v>
      </c>
      <c r="EF111" s="239">
        <v>0</v>
      </c>
      <c r="EG111" s="239">
        <v>0</v>
      </c>
      <c r="EH111" s="239">
        <v>651</v>
      </c>
      <c r="EI111" s="239">
        <v>0</v>
      </c>
      <c r="EJ111" s="239">
        <v>651</v>
      </c>
      <c r="EK111" s="239">
        <v>0</v>
      </c>
      <c r="EL111" s="239">
        <v>0</v>
      </c>
      <c r="EM111" s="239">
        <v>0</v>
      </c>
      <c r="EN111" s="239">
        <v>0</v>
      </c>
      <c r="EO111" s="239">
        <v>0</v>
      </c>
      <c r="EP111" s="239">
        <v>0</v>
      </c>
      <c r="EQ111" s="239">
        <v>-8895</v>
      </c>
      <c r="ER111" s="239">
        <v>0</v>
      </c>
      <c r="ES111" s="239">
        <v>-8895</v>
      </c>
      <c r="ET111" s="239">
        <v>-101666</v>
      </c>
      <c r="EU111" s="239">
        <v>0</v>
      </c>
      <c r="EV111" s="239">
        <v>-101666</v>
      </c>
      <c r="EW111" s="239">
        <v>-39244</v>
      </c>
      <c r="EX111" s="239">
        <v>0</v>
      </c>
      <c r="EY111" s="239">
        <v>-39244</v>
      </c>
      <c r="EZ111" s="239">
        <v>-207529</v>
      </c>
      <c r="FA111" s="239">
        <v>0</v>
      </c>
      <c r="FB111" s="239">
        <v>-207529</v>
      </c>
      <c r="FC111" s="239">
        <v>0</v>
      </c>
      <c r="FD111" s="239">
        <v>0</v>
      </c>
      <c r="FE111" s="239">
        <v>0</v>
      </c>
      <c r="FF111" s="239">
        <v>0</v>
      </c>
      <c r="FG111" s="239">
        <v>0</v>
      </c>
      <c r="FH111" s="239">
        <v>0</v>
      </c>
      <c r="FI111" s="239">
        <v>0</v>
      </c>
      <c r="FJ111" s="239">
        <v>0</v>
      </c>
      <c r="FK111" s="239">
        <v>0</v>
      </c>
      <c r="FL111" s="239">
        <v>59391261</v>
      </c>
      <c r="FM111" s="239">
        <v>0</v>
      </c>
      <c r="FN111" s="239">
        <v>59391261</v>
      </c>
      <c r="FO111" s="239">
        <v>2129963</v>
      </c>
      <c r="FP111" s="239">
        <v>0</v>
      </c>
      <c r="FQ111" s="239">
        <v>2129963</v>
      </c>
      <c r="FR111" s="239">
        <v>-5270687</v>
      </c>
      <c r="FS111" s="239">
        <v>0</v>
      </c>
      <c r="FT111" s="239">
        <v>-5270687</v>
      </c>
      <c r="FU111" s="239">
        <v>-1856458</v>
      </c>
      <c r="FV111" s="239">
        <v>0</v>
      </c>
      <c r="FW111" s="239">
        <v>-1856458</v>
      </c>
      <c r="FX111" s="239">
        <v>-91462</v>
      </c>
      <c r="FY111" s="239">
        <v>0</v>
      </c>
      <c r="FZ111" s="239">
        <v>-91462</v>
      </c>
      <c r="GA111" s="239">
        <v>-207529</v>
      </c>
      <c r="GB111" s="239">
        <v>0</v>
      </c>
      <c r="GC111" s="239">
        <v>-207529</v>
      </c>
      <c r="GD111" s="239">
        <v>0</v>
      </c>
      <c r="GE111" s="239">
        <v>0</v>
      </c>
      <c r="GF111" s="239">
        <v>0</v>
      </c>
      <c r="GG111" s="239">
        <v>-5296173</v>
      </c>
      <c r="GH111" s="239">
        <v>0</v>
      </c>
      <c r="GI111" s="239">
        <v>-5296173</v>
      </c>
      <c r="GJ111" s="239">
        <v>54095088</v>
      </c>
      <c r="GK111" s="239">
        <v>0</v>
      </c>
      <c r="GL111" s="239">
        <v>54095088</v>
      </c>
      <c r="GM111" s="214" t="s">
        <v>1158</v>
      </c>
    </row>
    <row r="112" spans="2:195" s="214" customFormat="1" x14ac:dyDescent="0.2">
      <c r="B112" s="602" t="s">
        <v>307</v>
      </c>
      <c r="C112" s="602" t="s">
        <v>306</v>
      </c>
      <c r="D112" s="239">
        <v>-744115</v>
      </c>
      <c r="E112" s="239">
        <v>-2656</v>
      </c>
      <c r="F112" s="239">
        <v>-746771</v>
      </c>
      <c r="G112" s="239">
        <v>-171</v>
      </c>
      <c r="H112" s="239">
        <v>0</v>
      </c>
      <c r="I112" s="239">
        <v>-171</v>
      </c>
      <c r="J112" s="239">
        <v>940541</v>
      </c>
      <c r="K112" s="239">
        <v>39772</v>
      </c>
      <c r="L112" s="239">
        <v>980313</v>
      </c>
      <c r="M112" s="239">
        <v>559</v>
      </c>
      <c r="N112" s="239">
        <v>0</v>
      </c>
      <c r="O112" s="239">
        <v>559</v>
      </c>
      <c r="P112" s="239">
        <v>196814</v>
      </c>
      <c r="Q112" s="239">
        <v>37116</v>
      </c>
      <c r="R112" s="239">
        <v>233930</v>
      </c>
      <c r="S112" s="239">
        <v>-1984475</v>
      </c>
      <c r="T112" s="239">
        <v>-20406</v>
      </c>
      <c r="U112" s="239">
        <v>-2004881</v>
      </c>
      <c r="V112" s="239">
        <v>0</v>
      </c>
      <c r="W112" s="239">
        <v>0</v>
      </c>
      <c r="X112" s="239">
        <v>0</v>
      </c>
      <c r="Y112" s="239">
        <v>-22885</v>
      </c>
      <c r="Z112" s="239">
        <v>15482</v>
      </c>
      <c r="AA112" s="239">
        <v>-7403</v>
      </c>
      <c r="AB112" s="239">
        <v>-18095</v>
      </c>
      <c r="AC112" s="239">
        <v>15176</v>
      </c>
      <c r="AD112" s="239">
        <v>-2919</v>
      </c>
      <c r="AE112" s="239">
        <v>0</v>
      </c>
      <c r="AF112" s="239">
        <v>0</v>
      </c>
      <c r="AG112" s="239">
        <v>0</v>
      </c>
      <c r="AH112" s="239">
        <v>350386</v>
      </c>
      <c r="AI112" s="239">
        <v>11412</v>
      </c>
      <c r="AJ112" s="239">
        <v>361798</v>
      </c>
      <c r="AK112" s="239">
        <v>-17067</v>
      </c>
      <c r="AL112" s="239">
        <v>635</v>
      </c>
      <c r="AM112" s="239">
        <v>-16432</v>
      </c>
      <c r="AN112" s="239">
        <v>-1228799</v>
      </c>
      <c r="AO112" s="239">
        <v>-19792</v>
      </c>
      <c r="AP112" s="239">
        <v>-1248591</v>
      </c>
      <c r="AQ112" s="239">
        <v>-72703</v>
      </c>
      <c r="AR112" s="239">
        <v>0</v>
      </c>
      <c r="AS112" s="239">
        <v>-72703</v>
      </c>
      <c r="AT112" s="239">
        <v>-13501</v>
      </c>
      <c r="AU112" s="239">
        <v>0</v>
      </c>
      <c r="AV112" s="239">
        <v>-13501</v>
      </c>
      <c r="AW112" s="239">
        <v>0</v>
      </c>
      <c r="AX112" s="239">
        <v>0</v>
      </c>
      <c r="AY112" s="239">
        <v>0</v>
      </c>
      <c r="AZ112" s="239">
        <v>0</v>
      </c>
      <c r="BA112" s="239">
        <v>0</v>
      </c>
      <c r="BB112" s="239">
        <v>0</v>
      </c>
      <c r="BC112" s="239">
        <v>0</v>
      </c>
      <c r="BD112" s="239">
        <v>0</v>
      </c>
      <c r="BE112" s="239">
        <v>0</v>
      </c>
      <c r="BF112" s="239">
        <v>-2989044</v>
      </c>
      <c r="BG112" s="239">
        <v>-12669</v>
      </c>
      <c r="BH112" s="239">
        <v>-3001713</v>
      </c>
      <c r="BI112" s="239">
        <v>-6310</v>
      </c>
      <c r="BJ112" s="239">
        <v>0</v>
      </c>
      <c r="BK112" s="239">
        <v>-6310</v>
      </c>
      <c r="BL112" s="239">
        <v>-3191</v>
      </c>
      <c r="BM112" s="239">
        <v>0</v>
      </c>
      <c r="BN112" s="239">
        <v>-3191</v>
      </c>
      <c r="BO112" s="239">
        <v>-326886</v>
      </c>
      <c r="BP112" s="239">
        <v>-110874</v>
      </c>
      <c r="BQ112" s="239">
        <v>-437760</v>
      </c>
      <c r="BR112" s="239">
        <v>-26010</v>
      </c>
      <c r="BS112" s="239">
        <v>-22718</v>
      </c>
      <c r="BT112" s="239">
        <v>-48728</v>
      </c>
      <c r="BU112" s="239">
        <v>-362397</v>
      </c>
      <c r="BV112" s="239">
        <v>-133592</v>
      </c>
      <c r="BW112" s="239">
        <v>-495989</v>
      </c>
      <c r="BX112" s="239">
        <v>-125705</v>
      </c>
      <c r="BY112" s="239">
        <v>-4948</v>
      </c>
      <c r="BZ112" s="239">
        <v>-130653</v>
      </c>
      <c r="CA112" s="239">
        <v>-17111</v>
      </c>
      <c r="CB112" s="239">
        <v>0</v>
      </c>
      <c r="CC112" s="239">
        <v>-17111</v>
      </c>
      <c r="CD112" s="239">
        <v>-75621</v>
      </c>
      <c r="CE112" s="239">
        <v>0</v>
      </c>
      <c r="CF112" s="239">
        <v>-75621</v>
      </c>
      <c r="CG112" s="239">
        <v>0</v>
      </c>
      <c r="CH112" s="239">
        <v>0</v>
      </c>
      <c r="CI112" s="239">
        <v>0</v>
      </c>
      <c r="CJ112" s="239">
        <v>-1193</v>
      </c>
      <c r="CK112" s="239">
        <v>0</v>
      </c>
      <c r="CL112" s="239">
        <v>-1193</v>
      </c>
      <c r="CM112" s="239">
        <v>0</v>
      </c>
      <c r="CN112" s="239">
        <v>0</v>
      </c>
      <c r="CO112" s="239">
        <v>0</v>
      </c>
      <c r="CP112" s="239">
        <v>0</v>
      </c>
      <c r="CQ112" s="239">
        <v>0</v>
      </c>
      <c r="CR112" s="239">
        <v>0</v>
      </c>
      <c r="CS112" s="239">
        <v>0</v>
      </c>
      <c r="CT112" s="239">
        <v>0</v>
      </c>
      <c r="CU112" s="239">
        <v>0</v>
      </c>
      <c r="CV112" s="239">
        <v>0</v>
      </c>
      <c r="CW112" s="239">
        <v>0</v>
      </c>
      <c r="CX112" s="239">
        <v>0</v>
      </c>
      <c r="CY112" s="239">
        <v>0</v>
      </c>
      <c r="CZ112" s="239">
        <v>0</v>
      </c>
      <c r="DA112" s="239">
        <v>0</v>
      </c>
      <c r="DB112" s="239">
        <v>0</v>
      </c>
      <c r="DC112" s="239">
        <v>-273956</v>
      </c>
      <c r="DD112" s="239">
        <v>-273956</v>
      </c>
      <c r="DE112" s="239">
        <v>0</v>
      </c>
      <c r="DF112" s="239">
        <v>-23237</v>
      </c>
      <c r="DG112" s="239">
        <v>-23237</v>
      </c>
      <c r="DH112" s="239">
        <v>-276279</v>
      </c>
      <c r="DI112" s="239">
        <v>0</v>
      </c>
      <c r="DJ112" s="239">
        <v>-219630</v>
      </c>
      <c r="DK112" s="239">
        <v>-302141</v>
      </c>
      <c r="DL112" s="239">
        <v>-521771</v>
      </c>
      <c r="DM112" s="239">
        <v>0</v>
      </c>
      <c r="DN112" s="239">
        <v>0</v>
      </c>
      <c r="DO112" s="239">
        <v>0</v>
      </c>
      <c r="DP112" s="239">
        <v>0</v>
      </c>
      <c r="DQ112" s="239">
        <v>0</v>
      </c>
      <c r="DR112" s="239">
        <v>0</v>
      </c>
      <c r="DS112" s="239">
        <v>-58</v>
      </c>
      <c r="DT112" s="239">
        <v>0</v>
      </c>
      <c r="DU112" s="239">
        <v>-58</v>
      </c>
      <c r="DV112" s="239">
        <v>60</v>
      </c>
      <c r="DW112" s="239">
        <v>0</v>
      </c>
      <c r="DX112" s="239">
        <v>60</v>
      </c>
      <c r="DY112" s="239">
        <v>1500</v>
      </c>
      <c r="DZ112" s="239">
        <v>0</v>
      </c>
      <c r="EA112" s="239">
        <v>1500</v>
      </c>
      <c r="EB112" s="239">
        <v>0</v>
      </c>
      <c r="EC112" s="239">
        <v>0</v>
      </c>
      <c r="ED112" s="239">
        <v>0</v>
      </c>
      <c r="EE112" s="239">
        <v>0</v>
      </c>
      <c r="EF112" s="239">
        <v>0</v>
      </c>
      <c r="EG112" s="239">
        <v>0</v>
      </c>
      <c r="EH112" s="239">
        <v>0</v>
      </c>
      <c r="EI112" s="239">
        <v>0</v>
      </c>
      <c r="EJ112" s="239">
        <v>0</v>
      </c>
      <c r="EK112" s="239">
        <v>0</v>
      </c>
      <c r="EL112" s="239">
        <v>0</v>
      </c>
      <c r="EM112" s="239">
        <v>0</v>
      </c>
      <c r="EN112" s="239">
        <v>0</v>
      </c>
      <c r="EO112" s="239">
        <v>0</v>
      </c>
      <c r="EP112" s="239">
        <v>0</v>
      </c>
      <c r="EQ112" s="239">
        <v>-2780</v>
      </c>
      <c r="ER112" s="239">
        <v>0</v>
      </c>
      <c r="ES112" s="239">
        <v>-2780</v>
      </c>
      <c r="ET112" s="239">
        <v>-98914</v>
      </c>
      <c r="EU112" s="239">
        <v>-1158</v>
      </c>
      <c r="EV112" s="239">
        <v>-100072</v>
      </c>
      <c r="EW112" s="239">
        <v>-24508</v>
      </c>
      <c r="EX112" s="239">
        <v>0</v>
      </c>
      <c r="EY112" s="239">
        <v>-24508</v>
      </c>
      <c r="EZ112" s="239">
        <v>-124700</v>
      </c>
      <c r="FA112" s="239">
        <v>-1158</v>
      </c>
      <c r="FB112" s="239">
        <v>-125858</v>
      </c>
      <c r="FC112" s="239">
        <v>0</v>
      </c>
      <c r="FD112" s="239">
        <v>0</v>
      </c>
      <c r="FE112" s="239">
        <v>0</v>
      </c>
      <c r="FF112" s="239">
        <v>0</v>
      </c>
      <c r="FG112" s="239">
        <v>0</v>
      </c>
      <c r="FH112" s="239">
        <v>0</v>
      </c>
      <c r="FI112" s="239">
        <v>0</v>
      </c>
      <c r="FJ112" s="239">
        <v>0</v>
      </c>
      <c r="FK112" s="239">
        <v>0</v>
      </c>
      <c r="FL112" s="239">
        <v>18575801</v>
      </c>
      <c r="FM112" s="239">
        <v>729519</v>
      </c>
      <c r="FN112" s="239">
        <v>19305320</v>
      </c>
      <c r="FO112" s="239">
        <v>196814</v>
      </c>
      <c r="FP112" s="239">
        <v>37116</v>
      </c>
      <c r="FQ112" s="239">
        <v>233930</v>
      </c>
      <c r="FR112" s="239">
        <v>-2989044</v>
      </c>
      <c r="FS112" s="239">
        <v>-12669</v>
      </c>
      <c r="FT112" s="239">
        <v>-3001713</v>
      </c>
      <c r="FU112" s="239">
        <v>-362397</v>
      </c>
      <c r="FV112" s="239">
        <v>-133592</v>
      </c>
      <c r="FW112" s="239">
        <v>-495989</v>
      </c>
      <c r="FX112" s="239">
        <v>-219630</v>
      </c>
      <c r="FY112" s="239">
        <v>-302141</v>
      </c>
      <c r="FZ112" s="239">
        <v>-521771</v>
      </c>
      <c r="GA112" s="239">
        <v>-124700</v>
      </c>
      <c r="GB112" s="239">
        <v>-1158</v>
      </c>
      <c r="GC112" s="239">
        <v>-125858</v>
      </c>
      <c r="GD112" s="239">
        <v>0</v>
      </c>
      <c r="GE112" s="239">
        <v>0</v>
      </c>
      <c r="GF112" s="239">
        <v>0</v>
      </c>
      <c r="GG112" s="239">
        <v>-3498957</v>
      </c>
      <c r="GH112" s="239">
        <v>-412444</v>
      </c>
      <c r="GI112" s="239">
        <v>-3911401</v>
      </c>
      <c r="GJ112" s="239">
        <v>15076844</v>
      </c>
      <c r="GK112" s="239">
        <v>317075</v>
      </c>
      <c r="GL112" s="239">
        <v>15393919</v>
      </c>
      <c r="GM112" s="214" t="s">
        <v>1158</v>
      </c>
    </row>
    <row r="113" spans="1:195" s="214" customFormat="1" x14ac:dyDescent="0.2">
      <c r="B113" s="602" t="s">
        <v>309</v>
      </c>
      <c r="C113" s="602" t="s">
        <v>308</v>
      </c>
      <c r="D113" s="239">
        <v>-1204696</v>
      </c>
      <c r="E113" s="239">
        <v>0</v>
      </c>
      <c r="F113" s="239">
        <v>-1204696</v>
      </c>
      <c r="G113" s="239">
        <v>107750</v>
      </c>
      <c r="H113" s="239">
        <v>0</v>
      </c>
      <c r="I113" s="239">
        <v>107750</v>
      </c>
      <c r="J113" s="239">
        <v>1189204</v>
      </c>
      <c r="K113" s="239">
        <v>0</v>
      </c>
      <c r="L113" s="239">
        <v>1189204</v>
      </c>
      <c r="M113" s="239">
        <v>51321</v>
      </c>
      <c r="N113" s="239">
        <v>0</v>
      </c>
      <c r="O113" s="239">
        <v>51321</v>
      </c>
      <c r="P113" s="239">
        <v>143579</v>
      </c>
      <c r="Q113" s="239">
        <v>0</v>
      </c>
      <c r="R113" s="239">
        <v>143579</v>
      </c>
      <c r="S113" s="239">
        <v>-2480325</v>
      </c>
      <c r="T113" s="239">
        <v>0</v>
      </c>
      <c r="U113" s="239">
        <v>-2480325</v>
      </c>
      <c r="V113" s="239">
        <v>-2592</v>
      </c>
      <c r="W113" s="239">
        <v>0</v>
      </c>
      <c r="X113" s="239">
        <v>-2592</v>
      </c>
      <c r="Y113" s="239">
        <v>-65988</v>
      </c>
      <c r="Z113" s="239">
        <v>0</v>
      </c>
      <c r="AA113" s="239">
        <v>-65988</v>
      </c>
      <c r="AB113" s="239">
        <v>-68244</v>
      </c>
      <c r="AC113" s="239">
        <v>0</v>
      </c>
      <c r="AD113" s="239">
        <v>-68244</v>
      </c>
      <c r="AE113" s="239">
        <v>1128</v>
      </c>
      <c r="AF113" s="239">
        <v>0</v>
      </c>
      <c r="AG113" s="239">
        <v>1128</v>
      </c>
      <c r="AH113" s="239">
        <v>582779</v>
      </c>
      <c r="AI113" s="239">
        <v>0</v>
      </c>
      <c r="AJ113" s="239">
        <v>582779</v>
      </c>
      <c r="AK113" s="239">
        <v>144050</v>
      </c>
      <c r="AL113" s="239">
        <v>0</v>
      </c>
      <c r="AM113" s="239">
        <v>144050</v>
      </c>
      <c r="AN113" s="239">
        <v>-2609533</v>
      </c>
      <c r="AO113" s="239">
        <v>0</v>
      </c>
      <c r="AP113" s="239">
        <v>-2609533</v>
      </c>
      <c r="AQ113" s="239">
        <v>7608</v>
      </c>
      <c r="AR113" s="239">
        <v>0</v>
      </c>
      <c r="AS113" s="239">
        <v>7608</v>
      </c>
      <c r="AT113" s="239">
        <v>-40463</v>
      </c>
      <c r="AU113" s="239">
        <v>0</v>
      </c>
      <c r="AV113" s="239">
        <v>-40463</v>
      </c>
      <c r="AW113" s="239">
        <v>0</v>
      </c>
      <c r="AX113" s="239">
        <v>0</v>
      </c>
      <c r="AY113" s="239">
        <v>0</v>
      </c>
      <c r="AZ113" s="239">
        <v>-8683</v>
      </c>
      <c r="BA113" s="239">
        <v>0</v>
      </c>
      <c r="BB113" s="239">
        <v>-8683</v>
      </c>
      <c r="BC113" s="239">
        <v>0</v>
      </c>
      <c r="BD113" s="239">
        <v>0</v>
      </c>
      <c r="BE113" s="239">
        <v>0</v>
      </c>
      <c r="BF113" s="239">
        <v>-4470555</v>
      </c>
      <c r="BG113" s="239">
        <v>0</v>
      </c>
      <c r="BH113" s="239">
        <v>-4470555</v>
      </c>
      <c r="BI113" s="239">
        <v>0</v>
      </c>
      <c r="BJ113" s="239">
        <v>0</v>
      </c>
      <c r="BK113" s="239">
        <v>0</v>
      </c>
      <c r="BL113" s="239">
        <v>0</v>
      </c>
      <c r="BM113" s="239">
        <v>0</v>
      </c>
      <c r="BN113" s="239">
        <v>0</v>
      </c>
      <c r="BO113" s="239">
        <v>-914799</v>
      </c>
      <c r="BP113" s="239">
        <v>0</v>
      </c>
      <c r="BQ113" s="239">
        <v>-914799</v>
      </c>
      <c r="BR113" s="239">
        <v>152454</v>
      </c>
      <c r="BS113" s="239">
        <v>0</v>
      </c>
      <c r="BT113" s="239">
        <v>152454</v>
      </c>
      <c r="BU113" s="239">
        <v>-762345</v>
      </c>
      <c r="BV113" s="239">
        <v>0</v>
      </c>
      <c r="BW113" s="239">
        <v>-762345</v>
      </c>
      <c r="BX113" s="239">
        <v>-101464</v>
      </c>
      <c r="BY113" s="239">
        <v>0</v>
      </c>
      <c r="BZ113" s="239">
        <v>-101464</v>
      </c>
      <c r="CA113" s="239">
        <v>0</v>
      </c>
      <c r="CB113" s="239">
        <v>0</v>
      </c>
      <c r="CC113" s="239">
        <v>0</v>
      </c>
      <c r="CD113" s="239">
        <v>-25256</v>
      </c>
      <c r="CE113" s="239">
        <v>0</v>
      </c>
      <c r="CF113" s="239">
        <v>-25256</v>
      </c>
      <c r="CG113" s="239">
        <v>0</v>
      </c>
      <c r="CH113" s="239">
        <v>0</v>
      </c>
      <c r="CI113" s="239">
        <v>0</v>
      </c>
      <c r="CJ113" s="239">
        <v>-243</v>
      </c>
      <c r="CK113" s="239">
        <v>0</v>
      </c>
      <c r="CL113" s="239">
        <v>-243</v>
      </c>
      <c r="CM113" s="239">
        <v>0</v>
      </c>
      <c r="CN113" s="239">
        <v>0</v>
      </c>
      <c r="CO113" s="239">
        <v>0</v>
      </c>
      <c r="CP113" s="239">
        <v>-415</v>
      </c>
      <c r="CQ113" s="239">
        <v>0</v>
      </c>
      <c r="CR113" s="239">
        <v>-415</v>
      </c>
      <c r="CS113" s="239">
        <v>0</v>
      </c>
      <c r="CT113" s="239">
        <v>0</v>
      </c>
      <c r="CU113" s="239">
        <v>0</v>
      </c>
      <c r="CV113" s="239">
        <v>0</v>
      </c>
      <c r="CW113" s="239">
        <v>0</v>
      </c>
      <c r="CX113" s="239">
        <v>0</v>
      </c>
      <c r="CY113" s="239">
        <v>0</v>
      </c>
      <c r="CZ113" s="239">
        <v>0</v>
      </c>
      <c r="DA113" s="239">
        <v>0</v>
      </c>
      <c r="DB113" s="239">
        <v>0</v>
      </c>
      <c r="DC113" s="239">
        <v>0</v>
      </c>
      <c r="DD113" s="239">
        <v>0</v>
      </c>
      <c r="DE113" s="239">
        <v>0</v>
      </c>
      <c r="DF113" s="239">
        <v>0</v>
      </c>
      <c r="DG113" s="239">
        <v>0</v>
      </c>
      <c r="DH113" s="239">
        <v>0</v>
      </c>
      <c r="DI113" s="239">
        <v>0</v>
      </c>
      <c r="DJ113" s="239">
        <v>-127378</v>
      </c>
      <c r="DK113" s="239">
        <v>0</v>
      </c>
      <c r="DL113" s="239">
        <v>-127378</v>
      </c>
      <c r="DM113" s="239">
        <v>0</v>
      </c>
      <c r="DN113" s="239">
        <v>0</v>
      </c>
      <c r="DO113" s="239">
        <v>0</v>
      </c>
      <c r="DP113" s="239">
        <v>0</v>
      </c>
      <c r="DQ113" s="239">
        <v>0</v>
      </c>
      <c r="DR113" s="239">
        <v>0</v>
      </c>
      <c r="DS113" s="239">
        <v>0</v>
      </c>
      <c r="DT113" s="239">
        <v>0</v>
      </c>
      <c r="DU113" s="239">
        <v>0</v>
      </c>
      <c r="DV113" s="239">
        <v>1258</v>
      </c>
      <c r="DW113" s="239">
        <v>0</v>
      </c>
      <c r="DX113" s="239">
        <v>1258</v>
      </c>
      <c r="DY113" s="239">
        <v>2531</v>
      </c>
      <c r="DZ113" s="239">
        <v>0</v>
      </c>
      <c r="EA113" s="239">
        <v>2531</v>
      </c>
      <c r="EB113" s="239">
        <v>0</v>
      </c>
      <c r="EC113" s="239">
        <v>0</v>
      </c>
      <c r="ED113" s="239">
        <v>0</v>
      </c>
      <c r="EE113" s="239">
        <v>0</v>
      </c>
      <c r="EF113" s="239">
        <v>0</v>
      </c>
      <c r="EG113" s="239">
        <v>0</v>
      </c>
      <c r="EH113" s="239">
        <v>0</v>
      </c>
      <c r="EI113" s="239">
        <v>0</v>
      </c>
      <c r="EJ113" s="239">
        <v>0</v>
      </c>
      <c r="EK113" s="239">
        <v>-8683</v>
      </c>
      <c r="EL113" s="239">
        <v>0</v>
      </c>
      <c r="EM113" s="239">
        <v>-8683</v>
      </c>
      <c r="EN113" s="239">
        <v>-1500</v>
      </c>
      <c r="EO113" s="239">
        <v>0</v>
      </c>
      <c r="EP113" s="239">
        <v>-1500</v>
      </c>
      <c r="EQ113" s="239">
        <v>-30185</v>
      </c>
      <c r="ER113" s="239">
        <v>0</v>
      </c>
      <c r="ES113" s="239">
        <v>-30185</v>
      </c>
      <c r="ET113" s="239">
        <v>-140132</v>
      </c>
      <c r="EU113" s="239">
        <v>0</v>
      </c>
      <c r="EV113" s="239">
        <v>-140132</v>
      </c>
      <c r="EW113" s="239">
        <v>-43758</v>
      </c>
      <c r="EX113" s="239">
        <v>0</v>
      </c>
      <c r="EY113" s="239">
        <v>-43758</v>
      </c>
      <c r="EZ113" s="239">
        <v>-220469</v>
      </c>
      <c r="FA113" s="239">
        <v>0</v>
      </c>
      <c r="FB113" s="239">
        <v>-220469</v>
      </c>
      <c r="FC113" s="239">
        <v>0</v>
      </c>
      <c r="FD113" s="239">
        <v>0</v>
      </c>
      <c r="FE113" s="239">
        <v>0</v>
      </c>
      <c r="FF113" s="239">
        <v>0</v>
      </c>
      <c r="FG113" s="239">
        <v>0</v>
      </c>
      <c r="FH113" s="239">
        <v>0</v>
      </c>
      <c r="FI113" s="239">
        <v>0</v>
      </c>
      <c r="FJ113" s="239">
        <v>0</v>
      </c>
      <c r="FK113" s="239">
        <v>0</v>
      </c>
      <c r="FL113" s="239">
        <v>28459855</v>
      </c>
      <c r="FM113" s="239">
        <v>0</v>
      </c>
      <c r="FN113" s="239">
        <v>28459855</v>
      </c>
      <c r="FO113" s="239">
        <v>143579</v>
      </c>
      <c r="FP113" s="239">
        <v>0</v>
      </c>
      <c r="FQ113" s="239">
        <v>143579</v>
      </c>
      <c r="FR113" s="239">
        <v>-4470555</v>
      </c>
      <c r="FS113" s="239">
        <v>0</v>
      </c>
      <c r="FT113" s="239">
        <v>-4470555</v>
      </c>
      <c r="FU113" s="239">
        <v>-762345</v>
      </c>
      <c r="FV113" s="239">
        <v>0</v>
      </c>
      <c r="FW113" s="239">
        <v>-762345</v>
      </c>
      <c r="FX113" s="239">
        <v>-127378</v>
      </c>
      <c r="FY113" s="239">
        <v>0</v>
      </c>
      <c r="FZ113" s="239">
        <v>-127378</v>
      </c>
      <c r="GA113" s="239">
        <v>-220469</v>
      </c>
      <c r="GB113" s="239">
        <v>0</v>
      </c>
      <c r="GC113" s="239">
        <v>-220469</v>
      </c>
      <c r="GD113" s="239">
        <v>0</v>
      </c>
      <c r="GE113" s="239">
        <v>0</v>
      </c>
      <c r="GF113" s="239">
        <v>0</v>
      </c>
      <c r="GG113" s="239">
        <v>-5437168</v>
      </c>
      <c r="GH113" s="239">
        <v>0</v>
      </c>
      <c r="GI113" s="239">
        <v>-5437168</v>
      </c>
      <c r="GJ113" s="239">
        <v>23022687</v>
      </c>
      <c r="GK113" s="239">
        <v>0</v>
      </c>
      <c r="GL113" s="239">
        <v>23022687</v>
      </c>
      <c r="GM113" s="214" t="s">
        <v>1158</v>
      </c>
    </row>
    <row r="114" spans="1:195" s="214" customFormat="1" x14ac:dyDescent="0.2">
      <c r="A114" s="215"/>
      <c r="B114" s="602" t="s">
        <v>311</v>
      </c>
      <c r="C114" s="602" t="s">
        <v>310</v>
      </c>
      <c r="D114" s="239">
        <v>-1341489</v>
      </c>
      <c r="E114" s="239">
        <v>-162569</v>
      </c>
      <c r="F114" s="239">
        <v>-1504058</v>
      </c>
      <c r="G114" s="239">
        <v>226625</v>
      </c>
      <c r="H114" s="239">
        <v>0</v>
      </c>
      <c r="I114" s="239">
        <v>226625</v>
      </c>
      <c r="J114" s="239">
        <v>2543880</v>
      </c>
      <c r="K114" s="239">
        <v>25862</v>
      </c>
      <c r="L114" s="239">
        <v>2569742</v>
      </c>
      <c r="M114" s="239">
        <v>38459</v>
      </c>
      <c r="N114" s="239">
        <v>0</v>
      </c>
      <c r="O114" s="239">
        <v>38459</v>
      </c>
      <c r="P114" s="239">
        <v>1467475</v>
      </c>
      <c r="Q114" s="239">
        <v>-136707</v>
      </c>
      <c r="R114" s="239">
        <v>1330768</v>
      </c>
      <c r="S114" s="239">
        <v>-3652505</v>
      </c>
      <c r="T114" s="239">
        <v>-932</v>
      </c>
      <c r="U114" s="239">
        <v>-3653437</v>
      </c>
      <c r="V114" s="239">
        <v>-6182</v>
      </c>
      <c r="W114" s="239">
        <v>0</v>
      </c>
      <c r="X114" s="239">
        <v>-6182</v>
      </c>
      <c r="Y114" s="239">
        <v>-143041</v>
      </c>
      <c r="Z114" s="239">
        <v>-861</v>
      </c>
      <c r="AA114" s="239">
        <v>-143902</v>
      </c>
      <c r="AB114" s="239">
        <v>-129737</v>
      </c>
      <c r="AC114" s="239">
        <v>-861</v>
      </c>
      <c r="AD114" s="239">
        <v>-130598</v>
      </c>
      <c r="AE114" s="239">
        <v>0</v>
      </c>
      <c r="AF114" s="239">
        <v>0</v>
      </c>
      <c r="AG114" s="239">
        <v>0</v>
      </c>
      <c r="AH114" s="239">
        <v>627715</v>
      </c>
      <c r="AI114" s="239">
        <v>25121</v>
      </c>
      <c r="AJ114" s="239">
        <v>652836</v>
      </c>
      <c r="AK114" s="239">
        <v>-63339</v>
      </c>
      <c r="AL114" s="239">
        <v>81</v>
      </c>
      <c r="AM114" s="239">
        <v>-63258</v>
      </c>
      <c r="AN114" s="239">
        <v>-2045341</v>
      </c>
      <c r="AO114" s="239">
        <v>0</v>
      </c>
      <c r="AP114" s="239">
        <v>-2045341</v>
      </c>
      <c r="AQ114" s="239">
        <v>3804</v>
      </c>
      <c r="AR114" s="239">
        <v>0</v>
      </c>
      <c r="AS114" s="239">
        <v>3804</v>
      </c>
      <c r="AT114" s="239">
        <v>-17992</v>
      </c>
      <c r="AU114" s="239">
        <v>0</v>
      </c>
      <c r="AV114" s="239">
        <v>-17992</v>
      </c>
      <c r="AW114" s="239">
        <v>594</v>
      </c>
      <c r="AX114" s="239">
        <v>0</v>
      </c>
      <c r="AY114" s="239">
        <v>594</v>
      </c>
      <c r="AZ114" s="239">
        <v>-654</v>
      </c>
      <c r="BA114" s="239">
        <v>0</v>
      </c>
      <c r="BB114" s="239">
        <v>-654</v>
      </c>
      <c r="BC114" s="239">
        <v>0</v>
      </c>
      <c r="BD114" s="239">
        <v>0</v>
      </c>
      <c r="BE114" s="239">
        <v>0</v>
      </c>
      <c r="BF114" s="239">
        <v>-5290759</v>
      </c>
      <c r="BG114" s="239">
        <v>23409</v>
      </c>
      <c r="BH114" s="239">
        <v>-5267350</v>
      </c>
      <c r="BI114" s="239">
        <v>-4498</v>
      </c>
      <c r="BJ114" s="239">
        <v>0</v>
      </c>
      <c r="BK114" s="239">
        <v>-4498</v>
      </c>
      <c r="BL114" s="239">
        <v>0</v>
      </c>
      <c r="BM114" s="239">
        <v>0</v>
      </c>
      <c r="BN114" s="239">
        <v>0</v>
      </c>
      <c r="BO114" s="239">
        <v>-1086573</v>
      </c>
      <c r="BP114" s="239">
        <v>0</v>
      </c>
      <c r="BQ114" s="239">
        <v>-1086573</v>
      </c>
      <c r="BR114" s="239">
        <v>-55448</v>
      </c>
      <c r="BS114" s="239">
        <v>-914</v>
      </c>
      <c r="BT114" s="239">
        <v>-56362</v>
      </c>
      <c r="BU114" s="239">
        <v>-1146519</v>
      </c>
      <c r="BV114" s="239">
        <v>-914</v>
      </c>
      <c r="BW114" s="239">
        <v>-1147433</v>
      </c>
      <c r="BX114" s="239">
        <v>-123881</v>
      </c>
      <c r="BY114" s="239">
        <v>0</v>
      </c>
      <c r="BZ114" s="239">
        <v>-123881</v>
      </c>
      <c r="CA114" s="239">
        <v>484</v>
      </c>
      <c r="CB114" s="239">
        <v>0</v>
      </c>
      <c r="CC114" s="239">
        <v>484</v>
      </c>
      <c r="CD114" s="239">
        <v>-26788</v>
      </c>
      <c r="CE114" s="239">
        <v>0</v>
      </c>
      <c r="CF114" s="239">
        <v>-26788</v>
      </c>
      <c r="CG114" s="239">
        <v>-1561</v>
      </c>
      <c r="CH114" s="239">
        <v>0</v>
      </c>
      <c r="CI114" s="239">
        <v>-1561</v>
      </c>
      <c r="CJ114" s="239">
        <v>0</v>
      </c>
      <c r="CK114" s="239">
        <v>0</v>
      </c>
      <c r="CL114" s="239">
        <v>0</v>
      </c>
      <c r="CM114" s="239">
        <v>0</v>
      </c>
      <c r="CN114" s="239">
        <v>0</v>
      </c>
      <c r="CO114" s="239">
        <v>0</v>
      </c>
      <c r="CP114" s="239">
        <v>-654</v>
      </c>
      <c r="CQ114" s="239">
        <v>0</v>
      </c>
      <c r="CR114" s="239">
        <v>-654</v>
      </c>
      <c r="CS114" s="239">
        <v>0</v>
      </c>
      <c r="CT114" s="239">
        <v>0</v>
      </c>
      <c r="CU114" s="239">
        <v>0</v>
      </c>
      <c r="CV114" s="239">
        <v>0</v>
      </c>
      <c r="CW114" s="239">
        <v>0</v>
      </c>
      <c r="CX114" s="239">
        <v>0</v>
      </c>
      <c r="CY114" s="239">
        <v>0</v>
      </c>
      <c r="CZ114" s="239">
        <v>0</v>
      </c>
      <c r="DA114" s="239">
        <v>0</v>
      </c>
      <c r="DB114" s="239">
        <v>-1715</v>
      </c>
      <c r="DC114" s="239">
        <v>-452456</v>
      </c>
      <c r="DD114" s="239">
        <v>-454171</v>
      </c>
      <c r="DE114" s="239">
        <v>0</v>
      </c>
      <c r="DF114" s="239">
        <v>0</v>
      </c>
      <c r="DG114" s="239">
        <v>0</v>
      </c>
      <c r="DH114" s="239">
        <v>-452456</v>
      </c>
      <c r="DI114" s="239">
        <v>0</v>
      </c>
      <c r="DJ114" s="239">
        <v>-154115</v>
      </c>
      <c r="DK114" s="239">
        <v>-452456</v>
      </c>
      <c r="DL114" s="239">
        <v>-606571</v>
      </c>
      <c r="DM114" s="239">
        <v>0</v>
      </c>
      <c r="DN114" s="239">
        <v>0</v>
      </c>
      <c r="DO114" s="239">
        <v>0</v>
      </c>
      <c r="DP114" s="239">
        <v>24563</v>
      </c>
      <c r="DQ114" s="239">
        <v>0</v>
      </c>
      <c r="DR114" s="239">
        <v>24563</v>
      </c>
      <c r="DS114" s="239">
        <v>-1846</v>
      </c>
      <c r="DT114" s="239">
        <v>0</v>
      </c>
      <c r="DU114" s="239">
        <v>-1846</v>
      </c>
      <c r="DV114" s="239">
        <v>-11330</v>
      </c>
      <c r="DW114" s="239">
        <v>0</v>
      </c>
      <c r="DX114" s="239">
        <v>-11330</v>
      </c>
      <c r="DY114" s="239">
        <v>1464</v>
      </c>
      <c r="DZ114" s="239">
        <v>0</v>
      </c>
      <c r="EA114" s="239">
        <v>1464</v>
      </c>
      <c r="EB114" s="239">
        <v>0</v>
      </c>
      <c r="EC114" s="239">
        <v>0</v>
      </c>
      <c r="ED114" s="239">
        <v>0</v>
      </c>
      <c r="EE114" s="239">
        <v>0</v>
      </c>
      <c r="EF114" s="239">
        <v>0</v>
      </c>
      <c r="EG114" s="239">
        <v>0</v>
      </c>
      <c r="EH114" s="239">
        <v>-3</v>
      </c>
      <c r="EI114" s="239">
        <v>0</v>
      </c>
      <c r="EJ114" s="239">
        <v>-3</v>
      </c>
      <c r="EK114" s="239">
        <v>-654</v>
      </c>
      <c r="EL114" s="239">
        <v>0</v>
      </c>
      <c r="EM114" s="239">
        <v>-654</v>
      </c>
      <c r="EN114" s="239">
        <v>-2071</v>
      </c>
      <c r="EO114" s="239">
        <v>0</v>
      </c>
      <c r="EP114" s="239">
        <v>-2071</v>
      </c>
      <c r="EQ114" s="239">
        <v>-32310</v>
      </c>
      <c r="ER114" s="239">
        <v>0</v>
      </c>
      <c r="ES114" s="239">
        <v>-32310</v>
      </c>
      <c r="ET114" s="239">
        <v>-321955</v>
      </c>
      <c r="EU114" s="239">
        <v>0</v>
      </c>
      <c r="EV114" s="239">
        <v>-321955</v>
      </c>
      <c r="EW114" s="239">
        <v>-52669</v>
      </c>
      <c r="EX114" s="239">
        <v>0</v>
      </c>
      <c r="EY114" s="239">
        <v>-52669</v>
      </c>
      <c r="EZ114" s="239">
        <v>-396811</v>
      </c>
      <c r="FA114" s="239">
        <v>0</v>
      </c>
      <c r="FB114" s="239">
        <v>-396811</v>
      </c>
      <c r="FC114" s="239">
        <v>0</v>
      </c>
      <c r="FD114" s="239">
        <v>0</v>
      </c>
      <c r="FE114" s="239">
        <v>0</v>
      </c>
      <c r="FF114" s="239">
        <v>0</v>
      </c>
      <c r="FG114" s="239">
        <v>0</v>
      </c>
      <c r="FH114" s="239">
        <v>0</v>
      </c>
      <c r="FI114" s="239">
        <v>0</v>
      </c>
      <c r="FJ114" s="239">
        <v>0</v>
      </c>
      <c r="FK114" s="239">
        <v>0</v>
      </c>
      <c r="FL114" s="239">
        <v>32995595</v>
      </c>
      <c r="FM114" s="239">
        <v>1099905</v>
      </c>
      <c r="FN114" s="239">
        <v>34095500</v>
      </c>
      <c r="FO114" s="239">
        <v>1467475</v>
      </c>
      <c r="FP114" s="239">
        <v>-136707</v>
      </c>
      <c r="FQ114" s="239">
        <v>1330768</v>
      </c>
      <c r="FR114" s="239">
        <v>-5290759</v>
      </c>
      <c r="FS114" s="239">
        <v>23409</v>
      </c>
      <c r="FT114" s="239">
        <v>-5267350</v>
      </c>
      <c r="FU114" s="239">
        <v>-1146519</v>
      </c>
      <c r="FV114" s="239">
        <v>-914</v>
      </c>
      <c r="FW114" s="239">
        <v>-1147433</v>
      </c>
      <c r="FX114" s="239">
        <v>-154115</v>
      </c>
      <c r="FY114" s="239">
        <v>-452456</v>
      </c>
      <c r="FZ114" s="239">
        <v>-606571</v>
      </c>
      <c r="GA114" s="239">
        <v>-396811</v>
      </c>
      <c r="GB114" s="239">
        <v>0</v>
      </c>
      <c r="GC114" s="239">
        <v>-396811</v>
      </c>
      <c r="GD114" s="239">
        <v>0</v>
      </c>
      <c r="GE114" s="239">
        <v>0</v>
      </c>
      <c r="GF114" s="239">
        <v>0</v>
      </c>
      <c r="GG114" s="239">
        <v>-5520729</v>
      </c>
      <c r="GH114" s="239">
        <v>-566668</v>
      </c>
      <c r="GI114" s="239">
        <v>-6087397</v>
      </c>
      <c r="GJ114" s="239">
        <v>27474866</v>
      </c>
      <c r="GK114" s="239">
        <v>533237</v>
      </c>
      <c r="GL114" s="239">
        <v>28008103</v>
      </c>
      <c r="GM114" s="214" t="s">
        <v>1158</v>
      </c>
    </row>
    <row r="115" spans="1:195" s="214" customFormat="1" x14ac:dyDescent="0.2">
      <c r="B115" s="602" t="s">
        <v>313</v>
      </c>
      <c r="C115" s="602" t="s">
        <v>312</v>
      </c>
      <c r="D115" s="239">
        <v>-7118375</v>
      </c>
      <c r="E115" s="239">
        <v>0</v>
      </c>
      <c r="F115" s="239">
        <v>-7118375</v>
      </c>
      <c r="G115" s="239">
        <v>29411</v>
      </c>
      <c r="H115" s="239">
        <v>0</v>
      </c>
      <c r="I115" s="239">
        <v>29411</v>
      </c>
      <c r="J115" s="239">
        <v>2061001</v>
      </c>
      <c r="K115" s="239">
        <v>0</v>
      </c>
      <c r="L115" s="239">
        <v>2061001</v>
      </c>
      <c r="M115" s="239">
        <v>14925</v>
      </c>
      <c r="N115" s="239">
        <v>0</v>
      </c>
      <c r="O115" s="239">
        <v>14925</v>
      </c>
      <c r="P115" s="239">
        <v>-5013038</v>
      </c>
      <c r="Q115" s="239">
        <v>0</v>
      </c>
      <c r="R115" s="239">
        <v>-5013038</v>
      </c>
      <c r="S115" s="239">
        <v>-4752696</v>
      </c>
      <c r="T115" s="239">
        <v>0</v>
      </c>
      <c r="U115" s="239">
        <v>-4752696</v>
      </c>
      <c r="V115" s="239">
        <v>0</v>
      </c>
      <c r="W115" s="239">
        <v>0</v>
      </c>
      <c r="X115" s="239">
        <v>0</v>
      </c>
      <c r="Y115" s="239">
        <v>-221379</v>
      </c>
      <c r="Z115" s="239">
        <v>0</v>
      </c>
      <c r="AA115" s="239">
        <v>-221379</v>
      </c>
      <c r="AB115" s="239">
        <v>-193319</v>
      </c>
      <c r="AC115" s="239">
        <v>0</v>
      </c>
      <c r="AD115" s="239">
        <v>-193319</v>
      </c>
      <c r="AE115" s="239">
        <v>0</v>
      </c>
      <c r="AF115" s="239">
        <v>0</v>
      </c>
      <c r="AG115" s="239">
        <v>0</v>
      </c>
      <c r="AH115" s="239">
        <v>2389382</v>
      </c>
      <c r="AI115" s="239">
        <v>0</v>
      </c>
      <c r="AJ115" s="239">
        <v>2389382</v>
      </c>
      <c r="AK115" s="239">
        <v>-50247</v>
      </c>
      <c r="AL115" s="239">
        <v>0</v>
      </c>
      <c r="AM115" s="239">
        <v>-50247</v>
      </c>
      <c r="AN115" s="239">
        <v>-10353411</v>
      </c>
      <c r="AO115" s="239">
        <v>0</v>
      </c>
      <c r="AP115" s="239">
        <v>-10353411</v>
      </c>
      <c r="AQ115" s="239">
        <v>513063</v>
      </c>
      <c r="AR115" s="239">
        <v>0</v>
      </c>
      <c r="AS115" s="239">
        <v>513063</v>
      </c>
      <c r="AT115" s="239">
        <v>-122413</v>
      </c>
      <c r="AU115" s="239">
        <v>0</v>
      </c>
      <c r="AV115" s="239">
        <v>-122413</v>
      </c>
      <c r="AW115" s="239">
        <v>0</v>
      </c>
      <c r="AX115" s="239">
        <v>0</v>
      </c>
      <c r="AY115" s="239">
        <v>0</v>
      </c>
      <c r="AZ115" s="239">
        <v>0</v>
      </c>
      <c r="BA115" s="239">
        <v>0</v>
      </c>
      <c r="BB115" s="239">
        <v>0</v>
      </c>
      <c r="BC115" s="239">
        <v>0</v>
      </c>
      <c r="BD115" s="239">
        <v>0</v>
      </c>
      <c r="BE115" s="239">
        <v>0</v>
      </c>
      <c r="BF115" s="239">
        <v>-12597701</v>
      </c>
      <c r="BG115" s="239">
        <v>0</v>
      </c>
      <c r="BH115" s="239">
        <v>-12597701</v>
      </c>
      <c r="BI115" s="239">
        <v>-16777</v>
      </c>
      <c r="BJ115" s="239">
        <v>0</v>
      </c>
      <c r="BK115" s="239">
        <v>-16777</v>
      </c>
      <c r="BL115" s="239">
        <v>-5297</v>
      </c>
      <c r="BM115" s="239">
        <v>0</v>
      </c>
      <c r="BN115" s="239">
        <v>-5297</v>
      </c>
      <c r="BO115" s="239">
        <v>-2313932</v>
      </c>
      <c r="BP115" s="239">
        <v>0</v>
      </c>
      <c r="BQ115" s="239">
        <v>-2313932</v>
      </c>
      <c r="BR115" s="239">
        <v>-303779</v>
      </c>
      <c r="BS115" s="239">
        <v>0</v>
      </c>
      <c r="BT115" s="239">
        <v>-303779</v>
      </c>
      <c r="BU115" s="239">
        <v>-2639785</v>
      </c>
      <c r="BV115" s="239">
        <v>0</v>
      </c>
      <c r="BW115" s="239">
        <v>-2639785</v>
      </c>
      <c r="BX115" s="239">
        <v>-609133</v>
      </c>
      <c r="BY115" s="239">
        <v>0</v>
      </c>
      <c r="BZ115" s="239">
        <v>-609133</v>
      </c>
      <c r="CA115" s="239">
        <v>-8268</v>
      </c>
      <c r="CB115" s="239">
        <v>0</v>
      </c>
      <c r="CC115" s="239">
        <v>-8268</v>
      </c>
      <c r="CD115" s="239">
        <v>-54233</v>
      </c>
      <c r="CE115" s="239">
        <v>0</v>
      </c>
      <c r="CF115" s="239">
        <v>-54233</v>
      </c>
      <c r="CG115" s="239">
        <v>-24367</v>
      </c>
      <c r="CH115" s="239">
        <v>0</v>
      </c>
      <c r="CI115" s="239">
        <v>-24367</v>
      </c>
      <c r="CJ115" s="239">
        <v>0</v>
      </c>
      <c r="CK115" s="239">
        <v>0</v>
      </c>
      <c r="CL115" s="239">
        <v>0</v>
      </c>
      <c r="CM115" s="239">
        <v>0</v>
      </c>
      <c r="CN115" s="239">
        <v>0</v>
      </c>
      <c r="CO115" s="239">
        <v>0</v>
      </c>
      <c r="CP115" s="239">
        <v>0</v>
      </c>
      <c r="CQ115" s="239">
        <v>0</v>
      </c>
      <c r="CR115" s="239">
        <v>0</v>
      </c>
      <c r="CS115" s="239">
        <v>0</v>
      </c>
      <c r="CT115" s="239">
        <v>0</v>
      </c>
      <c r="CU115" s="239">
        <v>0</v>
      </c>
      <c r="CV115" s="239">
        <v>0</v>
      </c>
      <c r="CW115" s="239">
        <v>0</v>
      </c>
      <c r="CX115" s="239">
        <v>0</v>
      </c>
      <c r="CY115" s="239">
        <v>0</v>
      </c>
      <c r="CZ115" s="239">
        <v>0</v>
      </c>
      <c r="DA115" s="239">
        <v>0</v>
      </c>
      <c r="DB115" s="239">
        <v>0</v>
      </c>
      <c r="DC115" s="239">
        <v>0</v>
      </c>
      <c r="DD115" s="239">
        <v>0</v>
      </c>
      <c r="DE115" s="239">
        <v>0</v>
      </c>
      <c r="DF115" s="239">
        <v>0</v>
      </c>
      <c r="DG115" s="239">
        <v>0</v>
      </c>
      <c r="DH115" s="239">
        <v>0</v>
      </c>
      <c r="DI115" s="239">
        <v>0</v>
      </c>
      <c r="DJ115" s="239">
        <v>-696001</v>
      </c>
      <c r="DK115" s="239">
        <v>0</v>
      </c>
      <c r="DL115" s="239">
        <v>-696001</v>
      </c>
      <c r="DM115" s="239">
        <v>-107893</v>
      </c>
      <c r="DN115" s="239">
        <v>0</v>
      </c>
      <c r="DO115" s="239">
        <v>-107893</v>
      </c>
      <c r="DP115" s="239">
        <v>-59099</v>
      </c>
      <c r="DQ115" s="239">
        <v>0</v>
      </c>
      <c r="DR115" s="239">
        <v>-59099</v>
      </c>
      <c r="DS115" s="239">
        <v>-7396</v>
      </c>
      <c r="DT115" s="239">
        <v>0</v>
      </c>
      <c r="DU115" s="239">
        <v>-7396</v>
      </c>
      <c r="DV115" s="239">
        <v>6752</v>
      </c>
      <c r="DW115" s="239">
        <v>0</v>
      </c>
      <c r="DX115" s="239">
        <v>6752</v>
      </c>
      <c r="DY115" s="239">
        <v>13677</v>
      </c>
      <c r="DZ115" s="239">
        <v>0</v>
      </c>
      <c r="EA115" s="239">
        <v>13677</v>
      </c>
      <c r="EB115" s="239">
        <v>0</v>
      </c>
      <c r="EC115" s="239">
        <v>0</v>
      </c>
      <c r="ED115" s="239">
        <v>0</v>
      </c>
      <c r="EE115" s="239">
        <v>0</v>
      </c>
      <c r="EF115" s="239">
        <v>0</v>
      </c>
      <c r="EG115" s="239">
        <v>0</v>
      </c>
      <c r="EH115" s="239">
        <v>0</v>
      </c>
      <c r="EI115" s="239">
        <v>0</v>
      </c>
      <c r="EJ115" s="239">
        <v>0</v>
      </c>
      <c r="EK115" s="239">
        <v>0</v>
      </c>
      <c r="EL115" s="239">
        <v>0</v>
      </c>
      <c r="EM115" s="239">
        <v>0</v>
      </c>
      <c r="EN115" s="239">
        <v>0</v>
      </c>
      <c r="EO115" s="239">
        <v>0</v>
      </c>
      <c r="EP115" s="239">
        <v>0</v>
      </c>
      <c r="EQ115" s="239">
        <v>-73034</v>
      </c>
      <c r="ER115" s="239">
        <v>0</v>
      </c>
      <c r="ES115" s="239">
        <v>-73034</v>
      </c>
      <c r="ET115" s="239">
        <v>-925921</v>
      </c>
      <c r="EU115" s="239">
        <v>0</v>
      </c>
      <c r="EV115" s="239">
        <v>-925921</v>
      </c>
      <c r="EW115" s="239">
        <v>-71660</v>
      </c>
      <c r="EX115" s="239">
        <v>0</v>
      </c>
      <c r="EY115" s="239">
        <v>-71660</v>
      </c>
      <c r="EZ115" s="239">
        <v>-1224574</v>
      </c>
      <c r="FA115" s="239">
        <v>0</v>
      </c>
      <c r="FB115" s="239">
        <v>-1224574</v>
      </c>
      <c r="FC115" s="239">
        <v>0</v>
      </c>
      <c r="FD115" s="239">
        <v>0</v>
      </c>
      <c r="FE115" s="239">
        <v>0</v>
      </c>
      <c r="FF115" s="239">
        <v>-27</v>
      </c>
      <c r="FG115" s="239">
        <v>0</v>
      </c>
      <c r="FH115" s="239">
        <v>-27</v>
      </c>
      <c r="FI115" s="239">
        <v>-27</v>
      </c>
      <c r="FJ115" s="239">
        <v>0</v>
      </c>
      <c r="FK115" s="239">
        <v>-27</v>
      </c>
      <c r="FL115" s="239">
        <v>105506622</v>
      </c>
      <c r="FM115" s="239">
        <v>0</v>
      </c>
      <c r="FN115" s="239">
        <v>105506622</v>
      </c>
      <c r="FO115" s="239">
        <v>-5013038</v>
      </c>
      <c r="FP115" s="239">
        <v>0</v>
      </c>
      <c r="FQ115" s="239">
        <v>-5013038</v>
      </c>
      <c r="FR115" s="239">
        <v>-12597701</v>
      </c>
      <c r="FS115" s="239">
        <v>0</v>
      </c>
      <c r="FT115" s="239">
        <v>-12597701</v>
      </c>
      <c r="FU115" s="239">
        <v>-2639785</v>
      </c>
      <c r="FV115" s="239">
        <v>0</v>
      </c>
      <c r="FW115" s="239">
        <v>-2639785</v>
      </c>
      <c r="FX115" s="239">
        <v>-696001</v>
      </c>
      <c r="FY115" s="239">
        <v>0</v>
      </c>
      <c r="FZ115" s="239">
        <v>-696001</v>
      </c>
      <c r="GA115" s="239">
        <v>-1224574</v>
      </c>
      <c r="GB115" s="239">
        <v>0</v>
      </c>
      <c r="GC115" s="239">
        <v>-1224574</v>
      </c>
      <c r="GD115" s="239">
        <v>-27</v>
      </c>
      <c r="GE115" s="239">
        <v>0</v>
      </c>
      <c r="GF115" s="239">
        <v>-27</v>
      </c>
      <c r="GG115" s="239">
        <v>-22171126</v>
      </c>
      <c r="GH115" s="239">
        <v>0</v>
      </c>
      <c r="GI115" s="239">
        <v>-22171126</v>
      </c>
      <c r="GJ115" s="239">
        <v>83335496</v>
      </c>
      <c r="GK115" s="239">
        <v>0</v>
      </c>
      <c r="GL115" s="239">
        <v>83335496</v>
      </c>
      <c r="GM115" s="214" t="s">
        <v>1161</v>
      </c>
    </row>
    <row r="116" spans="1:195" s="214" customFormat="1" x14ac:dyDescent="0.2">
      <c r="B116" s="602" t="s">
        <v>315</v>
      </c>
      <c r="C116" s="602" t="s">
        <v>314</v>
      </c>
      <c r="D116" s="239">
        <v>-3625990</v>
      </c>
      <c r="E116" s="239">
        <v>0</v>
      </c>
      <c r="F116" s="239">
        <v>-3625990</v>
      </c>
      <c r="G116" s="239">
        <v>-1086</v>
      </c>
      <c r="H116" s="239">
        <v>0</v>
      </c>
      <c r="I116" s="239">
        <v>-1086</v>
      </c>
      <c r="J116" s="239">
        <v>2028754</v>
      </c>
      <c r="K116" s="239">
        <v>0</v>
      </c>
      <c r="L116" s="239">
        <v>2028754</v>
      </c>
      <c r="M116" s="239">
        <v>-59284</v>
      </c>
      <c r="N116" s="239">
        <v>0</v>
      </c>
      <c r="O116" s="239">
        <v>-59284</v>
      </c>
      <c r="P116" s="239">
        <v>-1657606</v>
      </c>
      <c r="Q116" s="239">
        <v>0</v>
      </c>
      <c r="R116" s="239">
        <v>-1657606</v>
      </c>
      <c r="S116" s="239">
        <v>-2888794</v>
      </c>
      <c r="T116" s="239">
        <v>0</v>
      </c>
      <c r="U116" s="239">
        <v>-2888794</v>
      </c>
      <c r="V116" s="239">
        <v>0</v>
      </c>
      <c r="W116" s="239">
        <v>0</v>
      </c>
      <c r="X116" s="239">
        <v>0</v>
      </c>
      <c r="Y116" s="239">
        <v>-112470</v>
      </c>
      <c r="Z116" s="239">
        <v>0</v>
      </c>
      <c r="AA116" s="239">
        <v>-112470</v>
      </c>
      <c r="AB116" s="239">
        <v>-91451</v>
      </c>
      <c r="AC116" s="239">
        <v>0</v>
      </c>
      <c r="AD116" s="239">
        <v>-91451</v>
      </c>
      <c r="AE116" s="239">
        <v>0</v>
      </c>
      <c r="AF116" s="239">
        <v>0</v>
      </c>
      <c r="AG116" s="239">
        <v>0</v>
      </c>
      <c r="AH116" s="239">
        <v>2380701</v>
      </c>
      <c r="AI116" s="239">
        <v>0</v>
      </c>
      <c r="AJ116" s="239">
        <v>2380701</v>
      </c>
      <c r="AK116" s="239">
        <v>-114838</v>
      </c>
      <c r="AL116" s="239">
        <v>0</v>
      </c>
      <c r="AM116" s="239">
        <v>-114838</v>
      </c>
      <c r="AN116" s="239">
        <v>-10438175</v>
      </c>
      <c r="AO116" s="239">
        <v>0</v>
      </c>
      <c r="AP116" s="239">
        <v>-10438175</v>
      </c>
      <c r="AQ116" s="239">
        <v>-59318</v>
      </c>
      <c r="AR116" s="239">
        <v>0</v>
      </c>
      <c r="AS116" s="239">
        <v>-59318</v>
      </c>
      <c r="AT116" s="239">
        <v>-35092</v>
      </c>
      <c r="AU116" s="239">
        <v>0</v>
      </c>
      <c r="AV116" s="239">
        <v>-35092</v>
      </c>
      <c r="AW116" s="239">
        <v>373</v>
      </c>
      <c r="AX116" s="239">
        <v>0</v>
      </c>
      <c r="AY116" s="239">
        <v>373</v>
      </c>
      <c r="AZ116" s="239">
        <v>-14341</v>
      </c>
      <c r="BA116" s="239">
        <v>0</v>
      </c>
      <c r="BB116" s="239">
        <v>-14341</v>
      </c>
      <c r="BC116" s="239">
        <v>0</v>
      </c>
      <c r="BD116" s="239">
        <v>0</v>
      </c>
      <c r="BE116" s="239">
        <v>0</v>
      </c>
      <c r="BF116" s="239">
        <v>-11281954</v>
      </c>
      <c r="BG116" s="239">
        <v>0</v>
      </c>
      <c r="BH116" s="239">
        <v>-11281954</v>
      </c>
      <c r="BI116" s="239">
        <v>-33229</v>
      </c>
      <c r="BJ116" s="239">
        <v>0</v>
      </c>
      <c r="BK116" s="239">
        <v>-33229</v>
      </c>
      <c r="BL116" s="239">
        <v>-40043</v>
      </c>
      <c r="BM116" s="239">
        <v>0</v>
      </c>
      <c r="BN116" s="239">
        <v>-40043</v>
      </c>
      <c r="BO116" s="239">
        <v>-2006638</v>
      </c>
      <c r="BP116" s="239">
        <v>0</v>
      </c>
      <c r="BQ116" s="239">
        <v>-2006638</v>
      </c>
      <c r="BR116" s="239">
        <v>482319</v>
      </c>
      <c r="BS116" s="239">
        <v>0</v>
      </c>
      <c r="BT116" s="239">
        <v>482319</v>
      </c>
      <c r="BU116" s="239">
        <v>-1597591</v>
      </c>
      <c r="BV116" s="239">
        <v>0</v>
      </c>
      <c r="BW116" s="239">
        <v>-1597591</v>
      </c>
      <c r="BX116" s="239">
        <v>-147947</v>
      </c>
      <c r="BY116" s="239">
        <v>0</v>
      </c>
      <c r="BZ116" s="239">
        <v>-147947</v>
      </c>
      <c r="CA116" s="239">
        <v>-1284</v>
      </c>
      <c r="CB116" s="239">
        <v>0</v>
      </c>
      <c r="CC116" s="239">
        <v>-1284</v>
      </c>
      <c r="CD116" s="239">
        <v>-3447</v>
      </c>
      <c r="CE116" s="239">
        <v>0</v>
      </c>
      <c r="CF116" s="239">
        <v>-3447</v>
      </c>
      <c r="CG116" s="239">
        <v>0</v>
      </c>
      <c r="CH116" s="239">
        <v>0</v>
      </c>
      <c r="CI116" s="239">
        <v>0</v>
      </c>
      <c r="CJ116" s="239">
        <v>0</v>
      </c>
      <c r="CK116" s="239">
        <v>0</v>
      </c>
      <c r="CL116" s="239">
        <v>0</v>
      </c>
      <c r="CM116" s="239">
        <v>0</v>
      </c>
      <c r="CN116" s="239">
        <v>0</v>
      </c>
      <c r="CO116" s="239">
        <v>0</v>
      </c>
      <c r="CP116" s="239">
        <v>0</v>
      </c>
      <c r="CQ116" s="239">
        <v>0</v>
      </c>
      <c r="CR116" s="239">
        <v>0</v>
      </c>
      <c r="CS116" s="239">
        <v>0</v>
      </c>
      <c r="CT116" s="239">
        <v>0</v>
      </c>
      <c r="CU116" s="239">
        <v>0</v>
      </c>
      <c r="CV116" s="239">
        <v>-20396</v>
      </c>
      <c r="CW116" s="239">
        <v>0</v>
      </c>
      <c r="CX116" s="239">
        <v>-20396</v>
      </c>
      <c r="CY116" s="239">
        <v>0</v>
      </c>
      <c r="CZ116" s="239">
        <v>0</v>
      </c>
      <c r="DA116" s="239">
        <v>0</v>
      </c>
      <c r="DB116" s="239">
        <v>0</v>
      </c>
      <c r="DC116" s="239">
        <v>0</v>
      </c>
      <c r="DD116" s="239">
        <v>0</v>
      </c>
      <c r="DE116" s="239">
        <v>0</v>
      </c>
      <c r="DF116" s="239">
        <v>0</v>
      </c>
      <c r="DG116" s="239">
        <v>0</v>
      </c>
      <c r="DH116" s="239">
        <v>0</v>
      </c>
      <c r="DI116" s="239">
        <v>0</v>
      </c>
      <c r="DJ116" s="239">
        <v>-173074</v>
      </c>
      <c r="DK116" s="239">
        <v>0</v>
      </c>
      <c r="DL116" s="239">
        <v>-173074</v>
      </c>
      <c r="DM116" s="239">
        <v>0</v>
      </c>
      <c r="DN116" s="239">
        <v>0</v>
      </c>
      <c r="DO116" s="239">
        <v>0</v>
      </c>
      <c r="DP116" s="239">
        <v>0</v>
      </c>
      <c r="DQ116" s="239">
        <v>0</v>
      </c>
      <c r="DR116" s="239">
        <v>0</v>
      </c>
      <c r="DS116" s="239">
        <v>-28414</v>
      </c>
      <c r="DT116" s="239">
        <v>0</v>
      </c>
      <c r="DU116" s="239">
        <v>-28414</v>
      </c>
      <c r="DV116" s="239">
        <v>-2697</v>
      </c>
      <c r="DW116" s="239">
        <v>0</v>
      </c>
      <c r="DX116" s="239">
        <v>-2697</v>
      </c>
      <c r="DY116" s="239">
        <v>4514</v>
      </c>
      <c r="DZ116" s="239">
        <v>0</v>
      </c>
      <c r="EA116" s="239">
        <v>4514</v>
      </c>
      <c r="EB116" s="239">
        <v>0</v>
      </c>
      <c r="EC116" s="239">
        <v>0</v>
      </c>
      <c r="ED116" s="239">
        <v>0</v>
      </c>
      <c r="EE116" s="239">
        <v>0</v>
      </c>
      <c r="EF116" s="239">
        <v>0</v>
      </c>
      <c r="EG116" s="239">
        <v>0</v>
      </c>
      <c r="EH116" s="239">
        <v>0</v>
      </c>
      <c r="EI116" s="239">
        <v>0</v>
      </c>
      <c r="EJ116" s="239">
        <v>0</v>
      </c>
      <c r="EK116" s="239">
        <v>-14341</v>
      </c>
      <c r="EL116" s="239">
        <v>0</v>
      </c>
      <c r="EM116" s="239">
        <v>-14341</v>
      </c>
      <c r="EN116" s="239">
        <v>-1500</v>
      </c>
      <c r="EO116" s="239">
        <v>0</v>
      </c>
      <c r="EP116" s="239">
        <v>-1500</v>
      </c>
      <c r="EQ116" s="239">
        <v>-32895</v>
      </c>
      <c r="ER116" s="239">
        <v>0</v>
      </c>
      <c r="ES116" s="239">
        <v>-32895</v>
      </c>
      <c r="ET116" s="239">
        <v>-533638</v>
      </c>
      <c r="EU116" s="239">
        <v>0</v>
      </c>
      <c r="EV116" s="239">
        <v>-533638</v>
      </c>
      <c r="EW116" s="239">
        <v>-62636</v>
      </c>
      <c r="EX116" s="239">
        <v>0</v>
      </c>
      <c r="EY116" s="239">
        <v>-62636</v>
      </c>
      <c r="EZ116" s="239">
        <v>-671607</v>
      </c>
      <c r="FA116" s="239">
        <v>0</v>
      </c>
      <c r="FB116" s="239">
        <v>-671607</v>
      </c>
      <c r="FC116" s="239">
        <v>0</v>
      </c>
      <c r="FD116" s="239">
        <v>0</v>
      </c>
      <c r="FE116" s="239">
        <v>0</v>
      </c>
      <c r="FF116" s="239">
        <v>0</v>
      </c>
      <c r="FG116" s="239">
        <v>0</v>
      </c>
      <c r="FH116" s="239">
        <v>0</v>
      </c>
      <c r="FI116" s="239">
        <v>0</v>
      </c>
      <c r="FJ116" s="239">
        <v>0</v>
      </c>
      <c r="FK116" s="239">
        <v>0</v>
      </c>
      <c r="FL116" s="239">
        <v>98328068</v>
      </c>
      <c r="FM116" s="239">
        <v>0</v>
      </c>
      <c r="FN116" s="239">
        <v>98328068</v>
      </c>
      <c r="FO116" s="239">
        <v>-1657606</v>
      </c>
      <c r="FP116" s="239">
        <v>0</v>
      </c>
      <c r="FQ116" s="239">
        <v>-1657606</v>
      </c>
      <c r="FR116" s="239">
        <v>-11281954</v>
      </c>
      <c r="FS116" s="239">
        <v>0</v>
      </c>
      <c r="FT116" s="239">
        <v>-11281954</v>
      </c>
      <c r="FU116" s="239">
        <v>-1597591</v>
      </c>
      <c r="FV116" s="239">
        <v>0</v>
      </c>
      <c r="FW116" s="239">
        <v>-1597591</v>
      </c>
      <c r="FX116" s="239">
        <v>-173074</v>
      </c>
      <c r="FY116" s="239">
        <v>0</v>
      </c>
      <c r="FZ116" s="239">
        <v>-173074</v>
      </c>
      <c r="GA116" s="239">
        <v>-671607</v>
      </c>
      <c r="GB116" s="239">
        <v>0</v>
      </c>
      <c r="GC116" s="239">
        <v>-671607</v>
      </c>
      <c r="GD116" s="239">
        <v>0</v>
      </c>
      <c r="GE116" s="239">
        <v>0</v>
      </c>
      <c r="GF116" s="239">
        <v>0</v>
      </c>
      <c r="GG116" s="239">
        <v>-15381832</v>
      </c>
      <c r="GH116" s="239">
        <v>0</v>
      </c>
      <c r="GI116" s="239">
        <v>-15381832</v>
      </c>
      <c r="GJ116" s="239">
        <v>82946236</v>
      </c>
      <c r="GK116" s="239">
        <v>0</v>
      </c>
      <c r="GL116" s="239">
        <v>82946236</v>
      </c>
      <c r="GM116" s="214" t="s">
        <v>1158</v>
      </c>
    </row>
    <row r="117" spans="1:195" s="214" customFormat="1" x14ac:dyDescent="0.2">
      <c r="B117" s="602" t="s">
        <v>317</v>
      </c>
      <c r="C117" s="602" t="s">
        <v>316</v>
      </c>
      <c r="D117" s="239">
        <v>-28163360</v>
      </c>
      <c r="E117" s="239">
        <v>0</v>
      </c>
      <c r="F117" s="239">
        <v>-28163360</v>
      </c>
      <c r="G117" s="239">
        <v>94297</v>
      </c>
      <c r="H117" s="239">
        <v>0</v>
      </c>
      <c r="I117" s="239">
        <v>94297</v>
      </c>
      <c r="J117" s="239">
        <v>1275790</v>
      </c>
      <c r="K117" s="239">
        <v>0</v>
      </c>
      <c r="L117" s="239">
        <v>1275790</v>
      </c>
      <c r="M117" s="239">
        <v>134496</v>
      </c>
      <c r="N117" s="239">
        <v>0</v>
      </c>
      <c r="O117" s="239">
        <v>134496</v>
      </c>
      <c r="P117" s="239">
        <v>-26658777</v>
      </c>
      <c r="Q117" s="239">
        <v>0</v>
      </c>
      <c r="R117" s="239">
        <v>-26658777</v>
      </c>
      <c r="S117" s="239">
        <v>-7061303</v>
      </c>
      <c r="T117" s="239">
        <v>0</v>
      </c>
      <c r="U117" s="239">
        <v>-7061303</v>
      </c>
      <c r="V117" s="239">
        <v>0</v>
      </c>
      <c r="W117" s="239">
        <v>0</v>
      </c>
      <c r="X117" s="239">
        <v>0</v>
      </c>
      <c r="Y117" s="239">
        <v>-313077</v>
      </c>
      <c r="Z117" s="239">
        <v>0</v>
      </c>
      <c r="AA117" s="239">
        <v>-313077</v>
      </c>
      <c r="AB117" s="239">
        <v>-313077</v>
      </c>
      <c r="AC117" s="239">
        <v>0</v>
      </c>
      <c r="AD117" s="239">
        <v>-313077</v>
      </c>
      <c r="AE117" s="239">
        <v>0</v>
      </c>
      <c r="AF117" s="239">
        <v>0</v>
      </c>
      <c r="AG117" s="239">
        <v>0</v>
      </c>
      <c r="AH117" s="239">
        <v>3169281</v>
      </c>
      <c r="AI117" s="239">
        <v>0</v>
      </c>
      <c r="AJ117" s="239">
        <v>3169281</v>
      </c>
      <c r="AK117" s="239">
        <v>-172395</v>
      </c>
      <c r="AL117" s="239">
        <v>0</v>
      </c>
      <c r="AM117" s="239">
        <v>-172395</v>
      </c>
      <c r="AN117" s="239">
        <v>-13930518</v>
      </c>
      <c r="AO117" s="239">
        <v>0</v>
      </c>
      <c r="AP117" s="239">
        <v>-13930518</v>
      </c>
      <c r="AQ117" s="239">
        <v>674679</v>
      </c>
      <c r="AR117" s="239">
        <v>0</v>
      </c>
      <c r="AS117" s="239">
        <v>674679</v>
      </c>
      <c r="AT117" s="239">
        <v>0</v>
      </c>
      <c r="AU117" s="239">
        <v>0</v>
      </c>
      <c r="AV117" s="239">
        <v>0</v>
      </c>
      <c r="AW117" s="239">
        <v>0</v>
      </c>
      <c r="AX117" s="239">
        <v>0</v>
      </c>
      <c r="AY117" s="239">
        <v>0</v>
      </c>
      <c r="AZ117" s="239">
        <v>0</v>
      </c>
      <c r="BA117" s="239">
        <v>0</v>
      </c>
      <c r="BB117" s="239">
        <v>0</v>
      </c>
      <c r="BC117" s="239">
        <v>0</v>
      </c>
      <c r="BD117" s="239">
        <v>0</v>
      </c>
      <c r="BE117" s="239">
        <v>0</v>
      </c>
      <c r="BF117" s="239">
        <v>-17633333</v>
      </c>
      <c r="BG117" s="239">
        <v>0</v>
      </c>
      <c r="BH117" s="239">
        <v>-17633333</v>
      </c>
      <c r="BI117" s="239">
        <v>0</v>
      </c>
      <c r="BJ117" s="239">
        <v>0</v>
      </c>
      <c r="BK117" s="239">
        <v>0</v>
      </c>
      <c r="BL117" s="239">
        <v>574</v>
      </c>
      <c r="BM117" s="239">
        <v>0</v>
      </c>
      <c r="BN117" s="239">
        <v>574</v>
      </c>
      <c r="BO117" s="239">
        <v>-2785309</v>
      </c>
      <c r="BP117" s="239">
        <v>0</v>
      </c>
      <c r="BQ117" s="239">
        <v>-2785309</v>
      </c>
      <c r="BR117" s="239">
        <v>271280</v>
      </c>
      <c r="BS117" s="239">
        <v>0</v>
      </c>
      <c r="BT117" s="239">
        <v>271280</v>
      </c>
      <c r="BU117" s="239">
        <v>-2513455</v>
      </c>
      <c r="BV117" s="239">
        <v>0</v>
      </c>
      <c r="BW117" s="239">
        <v>-2513455</v>
      </c>
      <c r="BX117" s="239">
        <v>-428745</v>
      </c>
      <c r="BY117" s="239">
        <v>0</v>
      </c>
      <c r="BZ117" s="239">
        <v>-428745</v>
      </c>
      <c r="CA117" s="239">
        <v>-205557</v>
      </c>
      <c r="CB117" s="239">
        <v>0</v>
      </c>
      <c r="CC117" s="239">
        <v>-205557</v>
      </c>
      <c r="CD117" s="239">
        <v>-20174</v>
      </c>
      <c r="CE117" s="239">
        <v>0</v>
      </c>
      <c r="CF117" s="239">
        <v>-20174</v>
      </c>
      <c r="CG117" s="239">
        <v>-24796</v>
      </c>
      <c r="CH117" s="239">
        <v>0</v>
      </c>
      <c r="CI117" s="239">
        <v>-24796</v>
      </c>
      <c r="CJ117" s="239">
        <v>0</v>
      </c>
      <c r="CK117" s="239">
        <v>0</v>
      </c>
      <c r="CL117" s="239">
        <v>0</v>
      </c>
      <c r="CM117" s="239">
        <v>0</v>
      </c>
      <c r="CN117" s="239">
        <v>0</v>
      </c>
      <c r="CO117" s="239">
        <v>0</v>
      </c>
      <c r="CP117" s="239">
        <v>0</v>
      </c>
      <c r="CQ117" s="239">
        <v>0</v>
      </c>
      <c r="CR117" s="239">
        <v>0</v>
      </c>
      <c r="CS117" s="239">
        <v>0</v>
      </c>
      <c r="CT117" s="239">
        <v>0</v>
      </c>
      <c r="CU117" s="239">
        <v>0</v>
      </c>
      <c r="CV117" s="239">
        <v>0</v>
      </c>
      <c r="CW117" s="239">
        <v>0</v>
      </c>
      <c r="CX117" s="239">
        <v>0</v>
      </c>
      <c r="CY117" s="239">
        <v>0</v>
      </c>
      <c r="CZ117" s="239">
        <v>0</v>
      </c>
      <c r="DA117" s="239">
        <v>0</v>
      </c>
      <c r="DB117" s="239">
        <v>0</v>
      </c>
      <c r="DC117" s="239">
        <v>0</v>
      </c>
      <c r="DD117" s="239">
        <v>0</v>
      </c>
      <c r="DE117" s="239">
        <v>0</v>
      </c>
      <c r="DF117" s="239">
        <v>0</v>
      </c>
      <c r="DG117" s="239">
        <v>0</v>
      </c>
      <c r="DH117" s="239">
        <v>0</v>
      </c>
      <c r="DI117" s="239">
        <v>0</v>
      </c>
      <c r="DJ117" s="239">
        <v>-679272</v>
      </c>
      <c r="DK117" s="239">
        <v>0</v>
      </c>
      <c r="DL117" s="239">
        <v>-679272</v>
      </c>
      <c r="DM117" s="239">
        <v>0</v>
      </c>
      <c r="DN117" s="239">
        <v>0</v>
      </c>
      <c r="DO117" s="239">
        <v>0</v>
      </c>
      <c r="DP117" s="239">
        <v>0</v>
      </c>
      <c r="DQ117" s="239">
        <v>0</v>
      </c>
      <c r="DR117" s="239">
        <v>0</v>
      </c>
      <c r="DS117" s="239">
        <v>0</v>
      </c>
      <c r="DT117" s="239">
        <v>0</v>
      </c>
      <c r="DU117" s="239">
        <v>0</v>
      </c>
      <c r="DV117" s="239">
        <v>-13318</v>
      </c>
      <c r="DW117" s="239">
        <v>0</v>
      </c>
      <c r="DX117" s="239">
        <v>-13318</v>
      </c>
      <c r="DY117" s="239">
        <v>0</v>
      </c>
      <c r="DZ117" s="239">
        <v>0</v>
      </c>
      <c r="EA117" s="239">
        <v>0</v>
      </c>
      <c r="EB117" s="239">
        <v>0</v>
      </c>
      <c r="EC117" s="239">
        <v>0</v>
      </c>
      <c r="ED117" s="239">
        <v>0</v>
      </c>
      <c r="EE117" s="239">
        <v>0</v>
      </c>
      <c r="EF117" s="239">
        <v>0</v>
      </c>
      <c r="EG117" s="239">
        <v>0</v>
      </c>
      <c r="EH117" s="239">
        <v>0</v>
      </c>
      <c r="EI117" s="239">
        <v>0</v>
      </c>
      <c r="EJ117" s="239">
        <v>0</v>
      </c>
      <c r="EK117" s="239">
        <v>0</v>
      </c>
      <c r="EL117" s="239">
        <v>0</v>
      </c>
      <c r="EM117" s="239">
        <v>0</v>
      </c>
      <c r="EN117" s="239">
        <v>0</v>
      </c>
      <c r="EO117" s="239">
        <v>0</v>
      </c>
      <c r="EP117" s="239">
        <v>0</v>
      </c>
      <c r="EQ117" s="239">
        <v>-688124</v>
      </c>
      <c r="ER117" s="239">
        <v>0</v>
      </c>
      <c r="ES117" s="239">
        <v>-688124</v>
      </c>
      <c r="ET117" s="239">
        <v>-4012527</v>
      </c>
      <c r="EU117" s="239">
        <v>0</v>
      </c>
      <c r="EV117" s="239">
        <v>-4012527</v>
      </c>
      <c r="EW117" s="239">
        <v>-27865</v>
      </c>
      <c r="EX117" s="239">
        <v>0</v>
      </c>
      <c r="EY117" s="239">
        <v>-27865</v>
      </c>
      <c r="EZ117" s="239">
        <v>-4741834</v>
      </c>
      <c r="FA117" s="239">
        <v>0</v>
      </c>
      <c r="FB117" s="239">
        <v>-4741834</v>
      </c>
      <c r="FC117" s="239">
        <v>0</v>
      </c>
      <c r="FD117" s="239">
        <v>0</v>
      </c>
      <c r="FE117" s="239">
        <v>0</v>
      </c>
      <c r="FF117" s="239">
        <v>-74154</v>
      </c>
      <c r="FG117" s="239">
        <v>0</v>
      </c>
      <c r="FH117" s="239">
        <v>-74154</v>
      </c>
      <c r="FI117" s="239">
        <v>-74154</v>
      </c>
      <c r="FJ117" s="239">
        <v>0</v>
      </c>
      <c r="FK117" s="239">
        <v>-74154</v>
      </c>
      <c r="FL117" s="239">
        <v>160455107</v>
      </c>
      <c r="FM117" s="239">
        <v>0</v>
      </c>
      <c r="FN117" s="239">
        <v>160455107</v>
      </c>
      <c r="FO117" s="239">
        <v>-26658777</v>
      </c>
      <c r="FP117" s="239">
        <v>0</v>
      </c>
      <c r="FQ117" s="239">
        <v>-26658777</v>
      </c>
      <c r="FR117" s="239">
        <v>-17633333</v>
      </c>
      <c r="FS117" s="239">
        <v>0</v>
      </c>
      <c r="FT117" s="239">
        <v>-17633333</v>
      </c>
      <c r="FU117" s="239">
        <v>-2513455</v>
      </c>
      <c r="FV117" s="239">
        <v>0</v>
      </c>
      <c r="FW117" s="239">
        <v>-2513455</v>
      </c>
      <c r="FX117" s="239">
        <v>-679272</v>
      </c>
      <c r="FY117" s="239">
        <v>0</v>
      </c>
      <c r="FZ117" s="239">
        <v>-679272</v>
      </c>
      <c r="GA117" s="239">
        <v>-4741834</v>
      </c>
      <c r="GB117" s="239">
        <v>0</v>
      </c>
      <c r="GC117" s="239">
        <v>-4741834</v>
      </c>
      <c r="GD117" s="239">
        <v>-74154</v>
      </c>
      <c r="GE117" s="239">
        <v>0</v>
      </c>
      <c r="GF117" s="239">
        <v>-74154</v>
      </c>
      <c r="GG117" s="239">
        <v>-52300825</v>
      </c>
      <c r="GH117" s="239">
        <v>0</v>
      </c>
      <c r="GI117" s="239">
        <v>-52300825</v>
      </c>
      <c r="GJ117" s="239">
        <v>108154282</v>
      </c>
      <c r="GK117" s="239">
        <v>0</v>
      </c>
      <c r="GL117" s="239">
        <v>108154282</v>
      </c>
      <c r="GM117" s="214" t="s">
        <v>1161</v>
      </c>
    </row>
    <row r="118" spans="1:195" s="214" customFormat="1" x14ac:dyDescent="0.2">
      <c r="B118" s="602" t="s">
        <v>319</v>
      </c>
      <c r="C118" s="602" t="s">
        <v>318</v>
      </c>
      <c r="D118" s="239">
        <v>-1006554</v>
      </c>
      <c r="E118" s="239">
        <v>0</v>
      </c>
      <c r="F118" s="239">
        <v>-1006554</v>
      </c>
      <c r="G118" s="239">
        <v>944396</v>
      </c>
      <c r="H118" s="239">
        <v>0</v>
      </c>
      <c r="I118" s="239">
        <v>944396</v>
      </c>
      <c r="J118" s="239">
        <v>5798735</v>
      </c>
      <c r="K118" s="239">
        <v>0</v>
      </c>
      <c r="L118" s="239">
        <v>5798735</v>
      </c>
      <c r="M118" s="239">
        <v>160379</v>
      </c>
      <c r="N118" s="239">
        <v>0</v>
      </c>
      <c r="O118" s="239">
        <v>160379</v>
      </c>
      <c r="P118" s="239">
        <v>5896956</v>
      </c>
      <c r="Q118" s="239">
        <v>0</v>
      </c>
      <c r="R118" s="239">
        <v>5896956</v>
      </c>
      <c r="S118" s="239">
        <v>-2939580</v>
      </c>
      <c r="T118" s="239">
        <v>-90</v>
      </c>
      <c r="U118" s="239">
        <v>-2939670</v>
      </c>
      <c r="V118" s="239">
        <v>-17865</v>
      </c>
      <c r="W118" s="239">
        <v>0</v>
      </c>
      <c r="X118" s="239">
        <v>-17865</v>
      </c>
      <c r="Y118" s="239">
        <v>-132265</v>
      </c>
      <c r="Z118" s="239">
        <v>0</v>
      </c>
      <c r="AA118" s="239">
        <v>-132265</v>
      </c>
      <c r="AB118" s="239">
        <v>-107519</v>
      </c>
      <c r="AC118" s="239">
        <v>0</v>
      </c>
      <c r="AD118" s="239">
        <v>-107519</v>
      </c>
      <c r="AE118" s="239">
        <v>-945</v>
      </c>
      <c r="AF118" s="239">
        <v>0</v>
      </c>
      <c r="AG118" s="239">
        <v>-945</v>
      </c>
      <c r="AH118" s="239">
        <v>1236884</v>
      </c>
      <c r="AI118" s="239">
        <v>0</v>
      </c>
      <c r="AJ118" s="239">
        <v>1236884</v>
      </c>
      <c r="AK118" s="239">
        <v>113991</v>
      </c>
      <c r="AL118" s="239">
        <v>0</v>
      </c>
      <c r="AM118" s="239">
        <v>113991</v>
      </c>
      <c r="AN118" s="239">
        <v>-2634982</v>
      </c>
      <c r="AO118" s="239">
        <v>0</v>
      </c>
      <c r="AP118" s="239">
        <v>-2634982</v>
      </c>
      <c r="AQ118" s="239">
        <v>11531.78</v>
      </c>
      <c r="AR118" s="239">
        <v>0</v>
      </c>
      <c r="AS118" s="239">
        <v>11531.78</v>
      </c>
      <c r="AT118" s="239">
        <v>-93118</v>
      </c>
      <c r="AU118" s="239">
        <v>0</v>
      </c>
      <c r="AV118" s="239">
        <v>-93118</v>
      </c>
      <c r="AW118" s="239">
        <v>-5373</v>
      </c>
      <c r="AX118" s="239">
        <v>0</v>
      </c>
      <c r="AY118" s="239">
        <v>-5373</v>
      </c>
      <c r="AZ118" s="239">
        <v>0</v>
      </c>
      <c r="BA118" s="239">
        <v>0</v>
      </c>
      <c r="BB118" s="239">
        <v>0</v>
      </c>
      <c r="BC118" s="239">
        <v>969</v>
      </c>
      <c r="BD118" s="239">
        <v>0</v>
      </c>
      <c r="BE118" s="239">
        <v>969</v>
      </c>
      <c r="BF118" s="239">
        <v>-4441942</v>
      </c>
      <c r="BG118" s="239">
        <v>-90</v>
      </c>
      <c r="BH118" s="239">
        <v>-4442032</v>
      </c>
      <c r="BI118" s="239">
        <v>0</v>
      </c>
      <c r="BJ118" s="239">
        <v>0</v>
      </c>
      <c r="BK118" s="239">
        <v>0</v>
      </c>
      <c r="BL118" s="239">
        <v>164</v>
      </c>
      <c r="BM118" s="239">
        <v>0</v>
      </c>
      <c r="BN118" s="239">
        <v>164</v>
      </c>
      <c r="BO118" s="239">
        <v>-1743134</v>
      </c>
      <c r="BP118" s="239">
        <v>-414</v>
      </c>
      <c r="BQ118" s="239">
        <v>-1743548</v>
      </c>
      <c r="BR118" s="239">
        <v>251069</v>
      </c>
      <c r="BS118" s="239">
        <v>0</v>
      </c>
      <c r="BT118" s="239">
        <v>251069</v>
      </c>
      <c r="BU118" s="239">
        <v>-1491901</v>
      </c>
      <c r="BV118" s="239">
        <v>-414</v>
      </c>
      <c r="BW118" s="239">
        <v>-1492315</v>
      </c>
      <c r="BX118" s="239">
        <v>-62642</v>
      </c>
      <c r="BY118" s="239">
        <v>0</v>
      </c>
      <c r="BZ118" s="239">
        <v>-62642</v>
      </c>
      <c r="CA118" s="239">
        <v>-710</v>
      </c>
      <c r="CB118" s="239">
        <v>0</v>
      </c>
      <c r="CC118" s="239">
        <v>-710</v>
      </c>
      <c r="CD118" s="239">
        <v>-60738</v>
      </c>
      <c r="CE118" s="239">
        <v>0</v>
      </c>
      <c r="CF118" s="239">
        <v>-60738</v>
      </c>
      <c r="CG118" s="239">
        <v>2066</v>
      </c>
      <c r="CH118" s="239">
        <v>0</v>
      </c>
      <c r="CI118" s="239">
        <v>2066</v>
      </c>
      <c r="CJ118" s="239">
        <v>-12717</v>
      </c>
      <c r="CK118" s="239">
        <v>0</v>
      </c>
      <c r="CL118" s="239">
        <v>-12717</v>
      </c>
      <c r="CM118" s="239">
        <v>0</v>
      </c>
      <c r="CN118" s="239">
        <v>0</v>
      </c>
      <c r="CO118" s="239">
        <v>0</v>
      </c>
      <c r="CP118" s="239">
        <v>0</v>
      </c>
      <c r="CQ118" s="239">
        <v>0</v>
      </c>
      <c r="CR118" s="239">
        <v>0</v>
      </c>
      <c r="CS118" s="239">
        <v>0</v>
      </c>
      <c r="CT118" s="239">
        <v>0</v>
      </c>
      <c r="CU118" s="239">
        <v>0</v>
      </c>
      <c r="CV118" s="239">
        <v>0</v>
      </c>
      <c r="CW118" s="239">
        <v>0</v>
      </c>
      <c r="CX118" s="239">
        <v>0</v>
      </c>
      <c r="CY118" s="239">
        <v>0</v>
      </c>
      <c r="CZ118" s="239">
        <v>0</v>
      </c>
      <c r="DA118" s="239">
        <v>0</v>
      </c>
      <c r="DB118" s="239">
        <v>-46647</v>
      </c>
      <c r="DC118" s="239">
        <v>-210054</v>
      </c>
      <c r="DD118" s="239">
        <v>-256701</v>
      </c>
      <c r="DE118" s="239">
        <v>0</v>
      </c>
      <c r="DF118" s="239">
        <v>0</v>
      </c>
      <c r="DG118" s="239">
        <v>0</v>
      </c>
      <c r="DH118" s="239">
        <v>-210054</v>
      </c>
      <c r="DI118" s="239">
        <v>-46647</v>
      </c>
      <c r="DJ118" s="239">
        <v>-181388</v>
      </c>
      <c r="DK118" s="239">
        <v>-210054</v>
      </c>
      <c r="DL118" s="239">
        <v>-391442</v>
      </c>
      <c r="DM118" s="239">
        <v>0</v>
      </c>
      <c r="DN118" s="239">
        <v>0</v>
      </c>
      <c r="DO118" s="239">
        <v>0</v>
      </c>
      <c r="DP118" s="239">
        <v>0</v>
      </c>
      <c r="DQ118" s="239">
        <v>0</v>
      </c>
      <c r="DR118" s="239">
        <v>0</v>
      </c>
      <c r="DS118" s="239">
        <v>0</v>
      </c>
      <c r="DT118" s="239">
        <v>0</v>
      </c>
      <c r="DU118" s="239">
        <v>0</v>
      </c>
      <c r="DV118" s="239">
        <v>1362</v>
      </c>
      <c r="DW118" s="239">
        <v>0</v>
      </c>
      <c r="DX118" s="239">
        <v>1362</v>
      </c>
      <c r="DY118" s="239">
        <v>21643</v>
      </c>
      <c r="DZ118" s="239">
        <v>0</v>
      </c>
      <c r="EA118" s="239">
        <v>21643</v>
      </c>
      <c r="EB118" s="239">
        <v>0</v>
      </c>
      <c r="EC118" s="239">
        <v>0</v>
      </c>
      <c r="ED118" s="239">
        <v>0</v>
      </c>
      <c r="EE118" s="239">
        <v>0</v>
      </c>
      <c r="EF118" s="239">
        <v>0</v>
      </c>
      <c r="EG118" s="239">
        <v>0</v>
      </c>
      <c r="EH118" s="239">
        <v>0</v>
      </c>
      <c r="EI118" s="239">
        <v>0</v>
      </c>
      <c r="EJ118" s="239">
        <v>0</v>
      </c>
      <c r="EK118" s="239">
        <v>0</v>
      </c>
      <c r="EL118" s="239">
        <v>0</v>
      </c>
      <c r="EM118" s="239">
        <v>0</v>
      </c>
      <c r="EN118" s="239">
        <v>0</v>
      </c>
      <c r="EO118" s="239">
        <v>0</v>
      </c>
      <c r="EP118" s="239">
        <v>0</v>
      </c>
      <c r="EQ118" s="239">
        <v>-14541</v>
      </c>
      <c r="ER118" s="239">
        <v>0</v>
      </c>
      <c r="ES118" s="239">
        <v>-14541</v>
      </c>
      <c r="ET118" s="239">
        <v>-165906</v>
      </c>
      <c r="EU118" s="239">
        <v>0</v>
      </c>
      <c r="EV118" s="239">
        <v>-165906</v>
      </c>
      <c r="EW118" s="239">
        <v>-13427</v>
      </c>
      <c r="EX118" s="239">
        <v>0</v>
      </c>
      <c r="EY118" s="239">
        <v>-13427</v>
      </c>
      <c r="EZ118" s="239">
        <v>-170869</v>
      </c>
      <c r="FA118" s="239">
        <v>0</v>
      </c>
      <c r="FB118" s="239">
        <v>-170869</v>
      </c>
      <c r="FC118" s="239">
        <v>0</v>
      </c>
      <c r="FD118" s="239">
        <v>0</v>
      </c>
      <c r="FE118" s="239">
        <v>0</v>
      </c>
      <c r="FF118" s="239">
        <v>0</v>
      </c>
      <c r="FG118" s="239">
        <v>0</v>
      </c>
      <c r="FH118" s="239">
        <v>0</v>
      </c>
      <c r="FI118" s="239">
        <v>0</v>
      </c>
      <c r="FJ118" s="239">
        <v>0</v>
      </c>
      <c r="FK118" s="239">
        <v>0</v>
      </c>
      <c r="FL118" s="239">
        <v>53657017</v>
      </c>
      <c r="FM118" s="239">
        <v>238422</v>
      </c>
      <c r="FN118" s="239">
        <v>53895439</v>
      </c>
      <c r="FO118" s="239">
        <v>5896956</v>
      </c>
      <c r="FP118" s="239">
        <v>0</v>
      </c>
      <c r="FQ118" s="239">
        <v>5896956</v>
      </c>
      <c r="FR118" s="239">
        <v>-4441942</v>
      </c>
      <c r="FS118" s="239">
        <v>-90</v>
      </c>
      <c r="FT118" s="239">
        <v>-4442032</v>
      </c>
      <c r="FU118" s="239">
        <v>-1491901</v>
      </c>
      <c r="FV118" s="239">
        <v>-414</v>
      </c>
      <c r="FW118" s="239">
        <v>-1492315</v>
      </c>
      <c r="FX118" s="239">
        <v>-181388</v>
      </c>
      <c r="FY118" s="239">
        <v>-210054</v>
      </c>
      <c r="FZ118" s="239">
        <v>-391442</v>
      </c>
      <c r="GA118" s="239">
        <v>-170869</v>
      </c>
      <c r="GB118" s="239">
        <v>0</v>
      </c>
      <c r="GC118" s="239">
        <v>-170869</v>
      </c>
      <c r="GD118" s="239">
        <v>0</v>
      </c>
      <c r="GE118" s="239">
        <v>0</v>
      </c>
      <c r="GF118" s="239">
        <v>0</v>
      </c>
      <c r="GG118" s="239">
        <v>-389144</v>
      </c>
      <c r="GH118" s="239">
        <v>-210558</v>
      </c>
      <c r="GI118" s="239">
        <v>-599702</v>
      </c>
      <c r="GJ118" s="239">
        <v>53267873</v>
      </c>
      <c r="GK118" s="239">
        <v>27864</v>
      </c>
      <c r="GL118" s="239">
        <v>53295737</v>
      </c>
      <c r="GM118" s="214" t="s">
        <v>746</v>
      </c>
    </row>
    <row r="119" spans="1:195" s="214" customFormat="1" x14ac:dyDescent="0.2">
      <c r="B119" s="602" t="s">
        <v>321</v>
      </c>
      <c r="C119" s="602" t="s">
        <v>320</v>
      </c>
      <c r="D119" s="239">
        <v>-1273536</v>
      </c>
      <c r="E119" s="239">
        <v>0</v>
      </c>
      <c r="F119" s="239">
        <v>-1273536</v>
      </c>
      <c r="G119" s="239">
        <v>28576</v>
      </c>
      <c r="H119" s="239">
        <v>0</v>
      </c>
      <c r="I119" s="239">
        <v>28576</v>
      </c>
      <c r="J119" s="239">
        <v>1087944</v>
      </c>
      <c r="K119" s="239">
        <v>0</v>
      </c>
      <c r="L119" s="239">
        <v>1087944</v>
      </c>
      <c r="M119" s="239">
        <v>4127</v>
      </c>
      <c r="N119" s="239">
        <v>0</v>
      </c>
      <c r="O119" s="239">
        <v>4127</v>
      </c>
      <c r="P119" s="239">
        <v>-152889</v>
      </c>
      <c r="Q119" s="239">
        <v>0</v>
      </c>
      <c r="R119" s="239">
        <v>-152889</v>
      </c>
      <c r="S119" s="239">
        <v>-4179127</v>
      </c>
      <c r="T119" s="239">
        <v>0</v>
      </c>
      <c r="U119" s="239">
        <v>-4179127</v>
      </c>
      <c r="V119" s="239">
        <v>-33117</v>
      </c>
      <c r="W119" s="239">
        <v>0</v>
      </c>
      <c r="X119" s="239">
        <v>-33117</v>
      </c>
      <c r="Y119" s="239">
        <v>-155317</v>
      </c>
      <c r="Z119" s="239">
        <v>0</v>
      </c>
      <c r="AA119" s="239">
        <v>-155317</v>
      </c>
      <c r="AB119" s="239">
        <v>-134105</v>
      </c>
      <c r="AC119" s="239">
        <v>0</v>
      </c>
      <c r="AD119" s="239">
        <v>-134105</v>
      </c>
      <c r="AE119" s="239">
        <v>-2077</v>
      </c>
      <c r="AF119" s="239">
        <v>0</v>
      </c>
      <c r="AG119" s="239">
        <v>-2077</v>
      </c>
      <c r="AH119" s="239">
        <v>538234</v>
      </c>
      <c r="AI119" s="239">
        <v>0</v>
      </c>
      <c r="AJ119" s="239">
        <v>538234</v>
      </c>
      <c r="AK119" s="239">
        <v>242444</v>
      </c>
      <c r="AL119" s="239">
        <v>0</v>
      </c>
      <c r="AM119" s="239">
        <v>242444</v>
      </c>
      <c r="AN119" s="239">
        <v>-1030366</v>
      </c>
      <c r="AO119" s="239">
        <v>0</v>
      </c>
      <c r="AP119" s="239">
        <v>-1030366</v>
      </c>
      <c r="AQ119" s="239">
        <v>-18913</v>
      </c>
      <c r="AR119" s="239">
        <v>0</v>
      </c>
      <c r="AS119" s="239">
        <v>-18913</v>
      </c>
      <c r="AT119" s="239">
        <v>-99753</v>
      </c>
      <c r="AU119" s="239">
        <v>0</v>
      </c>
      <c r="AV119" s="239">
        <v>-99753</v>
      </c>
      <c r="AW119" s="239">
        <v>0</v>
      </c>
      <c r="AX119" s="239">
        <v>0</v>
      </c>
      <c r="AY119" s="239">
        <v>0</v>
      </c>
      <c r="AZ119" s="239">
        <v>-58623</v>
      </c>
      <c r="BA119" s="239">
        <v>0</v>
      </c>
      <c r="BB119" s="239">
        <v>-58623</v>
      </c>
      <c r="BC119" s="239">
        <v>-78</v>
      </c>
      <c r="BD119" s="239">
        <v>0</v>
      </c>
      <c r="BE119" s="239">
        <v>-78</v>
      </c>
      <c r="BF119" s="239">
        <v>-4761499</v>
      </c>
      <c r="BG119" s="239">
        <v>0</v>
      </c>
      <c r="BH119" s="239">
        <v>-4761499</v>
      </c>
      <c r="BI119" s="239">
        <v>0</v>
      </c>
      <c r="BJ119" s="239">
        <v>0</v>
      </c>
      <c r="BK119" s="239">
        <v>0</v>
      </c>
      <c r="BL119" s="239">
        <v>0</v>
      </c>
      <c r="BM119" s="239">
        <v>0</v>
      </c>
      <c r="BN119" s="239">
        <v>0</v>
      </c>
      <c r="BO119" s="239">
        <v>-730061</v>
      </c>
      <c r="BP119" s="239">
        <v>0</v>
      </c>
      <c r="BQ119" s="239">
        <v>-730061</v>
      </c>
      <c r="BR119" s="239">
        <v>-28570</v>
      </c>
      <c r="BS119" s="239">
        <v>0</v>
      </c>
      <c r="BT119" s="239">
        <v>-28570</v>
      </c>
      <c r="BU119" s="239">
        <v>-758631</v>
      </c>
      <c r="BV119" s="239">
        <v>0</v>
      </c>
      <c r="BW119" s="239">
        <v>-758631</v>
      </c>
      <c r="BX119" s="239">
        <v>-53652</v>
      </c>
      <c r="BY119" s="239">
        <v>0</v>
      </c>
      <c r="BZ119" s="239">
        <v>-53652</v>
      </c>
      <c r="CA119" s="239">
        <v>-1786</v>
      </c>
      <c r="CB119" s="239">
        <v>0</v>
      </c>
      <c r="CC119" s="239">
        <v>-1786</v>
      </c>
      <c r="CD119" s="239">
        <v>-12910</v>
      </c>
      <c r="CE119" s="239">
        <v>0</v>
      </c>
      <c r="CF119" s="239">
        <v>-12910</v>
      </c>
      <c r="CG119" s="239">
        <v>0</v>
      </c>
      <c r="CH119" s="239">
        <v>0</v>
      </c>
      <c r="CI119" s="239">
        <v>0</v>
      </c>
      <c r="CJ119" s="239">
        <v>-948</v>
      </c>
      <c r="CK119" s="239">
        <v>0</v>
      </c>
      <c r="CL119" s="239">
        <v>-948</v>
      </c>
      <c r="CM119" s="239">
        <v>0</v>
      </c>
      <c r="CN119" s="239">
        <v>0</v>
      </c>
      <c r="CO119" s="239">
        <v>0</v>
      </c>
      <c r="CP119" s="239">
        <v>0</v>
      </c>
      <c r="CQ119" s="239">
        <v>0</v>
      </c>
      <c r="CR119" s="239">
        <v>0</v>
      </c>
      <c r="CS119" s="239">
        <v>0</v>
      </c>
      <c r="CT119" s="239">
        <v>0</v>
      </c>
      <c r="CU119" s="239">
        <v>0</v>
      </c>
      <c r="CV119" s="239">
        <v>0</v>
      </c>
      <c r="CW119" s="239">
        <v>0</v>
      </c>
      <c r="CX119" s="239">
        <v>0</v>
      </c>
      <c r="CY119" s="239">
        <v>0</v>
      </c>
      <c r="CZ119" s="239">
        <v>0</v>
      </c>
      <c r="DA119" s="239">
        <v>0</v>
      </c>
      <c r="DB119" s="239">
        <v>0</v>
      </c>
      <c r="DC119" s="239">
        <v>0</v>
      </c>
      <c r="DD119" s="239">
        <v>0</v>
      </c>
      <c r="DE119" s="239">
        <v>0</v>
      </c>
      <c r="DF119" s="239">
        <v>0</v>
      </c>
      <c r="DG119" s="239">
        <v>0</v>
      </c>
      <c r="DH119" s="239">
        <v>0</v>
      </c>
      <c r="DI119" s="239">
        <v>0</v>
      </c>
      <c r="DJ119" s="239">
        <v>-69296</v>
      </c>
      <c r="DK119" s="239">
        <v>0</v>
      </c>
      <c r="DL119" s="239">
        <v>-69296</v>
      </c>
      <c r="DM119" s="239">
        <v>0</v>
      </c>
      <c r="DN119" s="239">
        <v>0</v>
      </c>
      <c r="DO119" s="239">
        <v>0</v>
      </c>
      <c r="DP119" s="239">
        <v>0</v>
      </c>
      <c r="DQ119" s="239">
        <v>0</v>
      </c>
      <c r="DR119" s="239">
        <v>0</v>
      </c>
      <c r="DS119" s="239">
        <v>0</v>
      </c>
      <c r="DT119" s="239">
        <v>0</v>
      </c>
      <c r="DU119" s="239">
        <v>0</v>
      </c>
      <c r="DV119" s="239">
        <v>0</v>
      </c>
      <c r="DW119" s="239">
        <v>0</v>
      </c>
      <c r="DX119" s="239">
        <v>0</v>
      </c>
      <c r="DY119" s="239">
        <v>-3022</v>
      </c>
      <c r="DZ119" s="239">
        <v>0</v>
      </c>
      <c r="EA119" s="239">
        <v>-3022</v>
      </c>
      <c r="EB119" s="239">
        <v>0</v>
      </c>
      <c r="EC119" s="239">
        <v>0</v>
      </c>
      <c r="ED119" s="239">
        <v>0</v>
      </c>
      <c r="EE119" s="239">
        <v>0</v>
      </c>
      <c r="EF119" s="239">
        <v>0</v>
      </c>
      <c r="EG119" s="239">
        <v>0</v>
      </c>
      <c r="EH119" s="239">
        <v>0</v>
      </c>
      <c r="EI119" s="239">
        <v>0</v>
      </c>
      <c r="EJ119" s="239">
        <v>0</v>
      </c>
      <c r="EK119" s="239">
        <v>-58800</v>
      </c>
      <c r="EL119" s="239">
        <v>0</v>
      </c>
      <c r="EM119" s="239">
        <v>-58800</v>
      </c>
      <c r="EN119" s="239">
        <v>0</v>
      </c>
      <c r="EO119" s="239">
        <v>0</v>
      </c>
      <c r="EP119" s="239">
        <v>0</v>
      </c>
      <c r="EQ119" s="239">
        <v>-36693</v>
      </c>
      <c r="ER119" s="239">
        <v>0</v>
      </c>
      <c r="ES119" s="239">
        <v>-36693</v>
      </c>
      <c r="ET119" s="239">
        <v>-194014</v>
      </c>
      <c r="EU119" s="239">
        <v>0</v>
      </c>
      <c r="EV119" s="239">
        <v>-194014</v>
      </c>
      <c r="EW119" s="239">
        <v>-80722</v>
      </c>
      <c r="EX119" s="239">
        <v>0</v>
      </c>
      <c r="EY119" s="239">
        <v>-80722</v>
      </c>
      <c r="EZ119" s="239">
        <v>-373251</v>
      </c>
      <c r="FA119" s="239">
        <v>0</v>
      </c>
      <c r="FB119" s="239">
        <v>-373251</v>
      </c>
      <c r="FC119" s="239">
        <v>0</v>
      </c>
      <c r="FD119" s="239">
        <v>0</v>
      </c>
      <c r="FE119" s="239">
        <v>0</v>
      </c>
      <c r="FF119" s="239">
        <v>0</v>
      </c>
      <c r="FG119" s="239">
        <v>0</v>
      </c>
      <c r="FH119" s="239">
        <v>0</v>
      </c>
      <c r="FI119" s="239">
        <v>0</v>
      </c>
      <c r="FJ119" s="239">
        <v>0</v>
      </c>
      <c r="FK119" s="239">
        <v>0</v>
      </c>
      <c r="FL119" s="239">
        <v>33319580</v>
      </c>
      <c r="FM119" s="239">
        <v>0</v>
      </c>
      <c r="FN119" s="239">
        <v>33319580</v>
      </c>
      <c r="FO119" s="239">
        <v>-152889</v>
      </c>
      <c r="FP119" s="239">
        <v>0</v>
      </c>
      <c r="FQ119" s="239">
        <v>-152889</v>
      </c>
      <c r="FR119" s="239">
        <v>-4761499</v>
      </c>
      <c r="FS119" s="239">
        <v>0</v>
      </c>
      <c r="FT119" s="239">
        <v>-4761499</v>
      </c>
      <c r="FU119" s="239">
        <v>-758631</v>
      </c>
      <c r="FV119" s="239">
        <v>0</v>
      </c>
      <c r="FW119" s="239">
        <v>-758631</v>
      </c>
      <c r="FX119" s="239">
        <v>-69296</v>
      </c>
      <c r="FY119" s="239">
        <v>0</v>
      </c>
      <c r="FZ119" s="239">
        <v>-69296</v>
      </c>
      <c r="GA119" s="239">
        <v>-373251</v>
      </c>
      <c r="GB119" s="239">
        <v>0</v>
      </c>
      <c r="GC119" s="239">
        <v>-373251</v>
      </c>
      <c r="GD119" s="239">
        <v>0</v>
      </c>
      <c r="GE119" s="239">
        <v>0</v>
      </c>
      <c r="GF119" s="239">
        <v>0</v>
      </c>
      <c r="GG119" s="239">
        <v>-6115566</v>
      </c>
      <c r="GH119" s="239">
        <v>0</v>
      </c>
      <c r="GI119" s="239">
        <v>-6115566</v>
      </c>
      <c r="GJ119" s="239">
        <v>27204014</v>
      </c>
      <c r="GK119" s="239">
        <v>0</v>
      </c>
      <c r="GL119" s="239">
        <v>27204014</v>
      </c>
      <c r="GM119" s="214" t="s">
        <v>1158</v>
      </c>
    </row>
    <row r="120" spans="1:195" s="214" customFormat="1" x14ac:dyDescent="0.2">
      <c r="B120" s="602" t="s">
        <v>323</v>
      </c>
      <c r="C120" s="602" t="s">
        <v>322</v>
      </c>
      <c r="D120" s="239">
        <v>-26807894</v>
      </c>
      <c r="E120" s="239">
        <v>0</v>
      </c>
      <c r="F120" s="239">
        <v>-26807894</v>
      </c>
      <c r="G120" s="239">
        <v>1161151</v>
      </c>
      <c r="H120" s="239">
        <v>0</v>
      </c>
      <c r="I120" s="239">
        <v>1161151</v>
      </c>
      <c r="J120" s="239">
        <v>1831324</v>
      </c>
      <c r="K120" s="239">
        <v>0</v>
      </c>
      <c r="L120" s="239">
        <v>1831324</v>
      </c>
      <c r="M120" s="239">
        <v>-6175</v>
      </c>
      <c r="N120" s="239">
        <v>0</v>
      </c>
      <c r="O120" s="239">
        <v>-6175</v>
      </c>
      <c r="P120" s="239">
        <v>-23821594</v>
      </c>
      <c r="Q120" s="239">
        <v>0</v>
      </c>
      <c r="R120" s="239">
        <v>-23821594</v>
      </c>
      <c r="S120" s="239">
        <v>-4401118</v>
      </c>
      <c r="T120" s="239">
        <v>0</v>
      </c>
      <c r="U120" s="239">
        <v>-4401118</v>
      </c>
      <c r="V120" s="239">
        <v>-2373</v>
      </c>
      <c r="W120" s="239">
        <v>0</v>
      </c>
      <c r="X120" s="239">
        <v>-2373</v>
      </c>
      <c r="Y120" s="239">
        <v>-374914</v>
      </c>
      <c r="Z120" s="239">
        <v>0</v>
      </c>
      <c r="AA120" s="239">
        <v>-374914</v>
      </c>
      <c r="AB120" s="239">
        <v>-298789</v>
      </c>
      <c r="AC120" s="239">
        <v>0</v>
      </c>
      <c r="AD120" s="239">
        <v>-298789</v>
      </c>
      <c r="AE120" s="239">
        <v>-1087</v>
      </c>
      <c r="AF120" s="239">
        <v>0</v>
      </c>
      <c r="AG120" s="239">
        <v>-1087</v>
      </c>
      <c r="AH120" s="239">
        <v>6263117</v>
      </c>
      <c r="AI120" s="239">
        <v>0</v>
      </c>
      <c r="AJ120" s="239">
        <v>6263117</v>
      </c>
      <c r="AK120" s="239">
        <v>-490649</v>
      </c>
      <c r="AL120" s="239">
        <v>0</v>
      </c>
      <c r="AM120" s="239">
        <v>-490649</v>
      </c>
      <c r="AN120" s="239">
        <v>-11161843</v>
      </c>
      <c r="AO120" s="239">
        <v>0</v>
      </c>
      <c r="AP120" s="239">
        <v>-11161843</v>
      </c>
      <c r="AQ120" s="239">
        <v>251682</v>
      </c>
      <c r="AR120" s="239">
        <v>0</v>
      </c>
      <c r="AS120" s="239">
        <v>251682</v>
      </c>
      <c r="AT120" s="239">
        <v>0</v>
      </c>
      <c r="AU120" s="239">
        <v>0</v>
      </c>
      <c r="AV120" s="239">
        <v>0</v>
      </c>
      <c r="AW120" s="239">
        <v>0</v>
      </c>
      <c r="AX120" s="239">
        <v>0</v>
      </c>
      <c r="AY120" s="239">
        <v>0</v>
      </c>
      <c r="AZ120" s="239">
        <v>0</v>
      </c>
      <c r="BA120" s="239">
        <v>0</v>
      </c>
      <c r="BB120" s="239">
        <v>0</v>
      </c>
      <c r="BC120" s="239">
        <v>0</v>
      </c>
      <c r="BD120" s="239">
        <v>0</v>
      </c>
      <c r="BE120" s="239">
        <v>0</v>
      </c>
      <c r="BF120" s="239">
        <v>-9913725</v>
      </c>
      <c r="BG120" s="239">
        <v>0</v>
      </c>
      <c r="BH120" s="239">
        <v>-9913725</v>
      </c>
      <c r="BI120" s="239">
        <v>-127702</v>
      </c>
      <c r="BJ120" s="239">
        <v>0</v>
      </c>
      <c r="BK120" s="239">
        <v>-127702</v>
      </c>
      <c r="BL120" s="239">
        <v>-121375</v>
      </c>
      <c r="BM120" s="239">
        <v>0</v>
      </c>
      <c r="BN120" s="239">
        <v>-121375</v>
      </c>
      <c r="BO120" s="239">
        <v>-5854712</v>
      </c>
      <c r="BP120" s="239">
        <v>0</v>
      </c>
      <c r="BQ120" s="239">
        <v>-5854712</v>
      </c>
      <c r="BR120" s="239">
        <v>593954</v>
      </c>
      <c r="BS120" s="239">
        <v>0</v>
      </c>
      <c r="BT120" s="239">
        <v>593954</v>
      </c>
      <c r="BU120" s="239">
        <v>-5509835</v>
      </c>
      <c r="BV120" s="239">
        <v>0</v>
      </c>
      <c r="BW120" s="239">
        <v>-5509835</v>
      </c>
      <c r="BX120" s="239">
        <v>-68903</v>
      </c>
      <c r="BY120" s="239">
        <v>0</v>
      </c>
      <c r="BZ120" s="239">
        <v>-68903</v>
      </c>
      <c r="CA120" s="239">
        <v>4010</v>
      </c>
      <c r="CB120" s="239">
        <v>0</v>
      </c>
      <c r="CC120" s="239">
        <v>4010</v>
      </c>
      <c r="CD120" s="239">
        <v>-79713</v>
      </c>
      <c r="CE120" s="239">
        <v>0</v>
      </c>
      <c r="CF120" s="239">
        <v>-79713</v>
      </c>
      <c r="CG120" s="239">
        <v>0</v>
      </c>
      <c r="CH120" s="239">
        <v>0</v>
      </c>
      <c r="CI120" s="239">
        <v>0</v>
      </c>
      <c r="CJ120" s="239">
        <v>0</v>
      </c>
      <c r="CK120" s="239">
        <v>0</v>
      </c>
      <c r="CL120" s="239">
        <v>0</v>
      </c>
      <c r="CM120" s="239">
        <v>0</v>
      </c>
      <c r="CN120" s="239">
        <v>0</v>
      </c>
      <c r="CO120" s="239">
        <v>0</v>
      </c>
      <c r="CP120" s="239">
        <v>0</v>
      </c>
      <c r="CQ120" s="239">
        <v>0</v>
      </c>
      <c r="CR120" s="239">
        <v>0</v>
      </c>
      <c r="CS120" s="239">
        <v>0</v>
      </c>
      <c r="CT120" s="239">
        <v>0</v>
      </c>
      <c r="CU120" s="239">
        <v>0</v>
      </c>
      <c r="CV120" s="239">
        <v>0</v>
      </c>
      <c r="CW120" s="239">
        <v>0</v>
      </c>
      <c r="CX120" s="239">
        <v>0</v>
      </c>
      <c r="CY120" s="239">
        <v>0</v>
      </c>
      <c r="CZ120" s="239">
        <v>0</v>
      </c>
      <c r="DA120" s="239">
        <v>0</v>
      </c>
      <c r="DB120" s="239">
        <v>0</v>
      </c>
      <c r="DC120" s="239">
        <v>0</v>
      </c>
      <c r="DD120" s="239">
        <v>0</v>
      </c>
      <c r="DE120" s="239">
        <v>0</v>
      </c>
      <c r="DF120" s="239">
        <v>0</v>
      </c>
      <c r="DG120" s="239">
        <v>0</v>
      </c>
      <c r="DH120" s="239">
        <v>0</v>
      </c>
      <c r="DI120" s="239">
        <v>0</v>
      </c>
      <c r="DJ120" s="239">
        <v>-144606</v>
      </c>
      <c r="DK120" s="239">
        <v>0</v>
      </c>
      <c r="DL120" s="239">
        <v>-144606</v>
      </c>
      <c r="DM120" s="239">
        <v>0</v>
      </c>
      <c r="DN120" s="239">
        <v>0</v>
      </c>
      <c r="DO120" s="239">
        <v>0</v>
      </c>
      <c r="DP120" s="239">
        <v>-15332</v>
      </c>
      <c r="DQ120" s="239">
        <v>0</v>
      </c>
      <c r="DR120" s="239">
        <v>-15332</v>
      </c>
      <c r="DS120" s="239">
        <v>-10344</v>
      </c>
      <c r="DT120" s="239">
        <v>0</v>
      </c>
      <c r="DU120" s="239">
        <v>-10344</v>
      </c>
      <c r="DV120" s="239">
        <v>-74098</v>
      </c>
      <c r="DW120" s="239">
        <v>0</v>
      </c>
      <c r="DX120" s="239">
        <v>-74098</v>
      </c>
      <c r="DY120" s="239">
        <v>5998</v>
      </c>
      <c r="DZ120" s="239">
        <v>0</v>
      </c>
      <c r="EA120" s="239">
        <v>5998</v>
      </c>
      <c r="EB120" s="239">
        <v>0</v>
      </c>
      <c r="EC120" s="239">
        <v>0</v>
      </c>
      <c r="ED120" s="239">
        <v>0</v>
      </c>
      <c r="EE120" s="239">
        <v>0</v>
      </c>
      <c r="EF120" s="239">
        <v>0</v>
      </c>
      <c r="EG120" s="239">
        <v>0</v>
      </c>
      <c r="EH120" s="239">
        <v>0</v>
      </c>
      <c r="EI120" s="239">
        <v>0</v>
      </c>
      <c r="EJ120" s="239">
        <v>0</v>
      </c>
      <c r="EK120" s="239">
        <v>0</v>
      </c>
      <c r="EL120" s="239">
        <v>0</v>
      </c>
      <c r="EM120" s="239">
        <v>0</v>
      </c>
      <c r="EN120" s="239">
        <v>0</v>
      </c>
      <c r="EO120" s="239">
        <v>0</v>
      </c>
      <c r="EP120" s="239">
        <v>0</v>
      </c>
      <c r="EQ120" s="239">
        <v>-53303</v>
      </c>
      <c r="ER120" s="239">
        <v>0</v>
      </c>
      <c r="ES120" s="239">
        <v>-53303</v>
      </c>
      <c r="ET120" s="239">
        <v>-2184329</v>
      </c>
      <c r="EU120" s="239">
        <v>0</v>
      </c>
      <c r="EV120" s="239">
        <v>-2184329</v>
      </c>
      <c r="EW120" s="239">
        <v>-28063</v>
      </c>
      <c r="EX120" s="239">
        <v>0</v>
      </c>
      <c r="EY120" s="239">
        <v>-28063</v>
      </c>
      <c r="EZ120" s="239">
        <v>-2359471</v>
      </c>
      <c r="FA120" s="239">
        <v>0</v>
      </c>
      <c r="FB120" s="239">
        <v>-2359471</v>
      </c>
      <c r="FC120" s="239">
        <v>0</v>
      </c>
      <c r="FD120" s="239">
        <v>0</v>
      </c>
      <c r="FE120" s="239">
        <v>0</v>
      </c>
      <c r="FF120" s="239">
        <v>0</v>
      </c>
      <c r="FG120" s="239">
        <v>0</v>
      </c>
      <c r="FH120" s="239">
        <v>0</v>
      </c>
      <c r="FI120" s="239">
        <v>0</v>
      </c>
      <c r="FJ120" s="239">
        <v>0</v>
      </c>
      <c r="FK120" s="239">
        <v>0</v>
      </c>
      <c r="FL120" s="239">
        <v>244086236</v>
      </c>
      <c r="FM120" s="239">
        <v>0</v>
      </c>
      <c r="FN120" s="239">
        <v>244086236</v>
      </c>
      <c r="FO120" s="239">
        <v>-23821594</v>
      </c>
      <c r="FP120" s="239">
        <v>0</v>
      </c>
      <c r="FQ120" s="239">
        <v>-23821594</v>
      </c>
      <c r="FR120" s="239">
        <v>-9913725</v>
      </c>
      <c r="FS120" s="239">
        <v>0</v>
      </c>
      <c r="FT120" s="239">
        <v>-9913725</v>
      </c>
      <c r="FU120" s="239">
        <v>-5509835</v>
      </c>
      <c r="FV120" s="239">
        <v>0</v>
      </c>
      <c r="FW120" s="239">
        <v>-5509835</v>
      </c>
      <c r="FX120" s="239">
        <v>-144606</v>
      </c>
      <c r="FY120" s="239">
        <v>0</v>
      </c>
      <c r="FZ120" s="239">
        <v>-144606</v>
      </c>
      <c r="GA120" s="239">
        <v>-2359471</v>
      </c>
      <c r="GB120" s="239">
        <v>0</v>
      </c>
      <c r="GC120" s="239">
        <v>-2359471</v>
      </c>
      <c r="GD120" s="239">
        <v>0</v>
      </c>
      <c r="GE120" s="239">
        <v>0</v>
      </c>
      <c r="GF120" s="239">
        <v>0</v>
      </c>
      <c r="GG120" s="239">
        <v>-41749231</v>
      </c>
      <c r="GH120" s="239">
        <v>0</v>
      </c>
      <c r="GI120" s="239">
        <v>-41749231</v>
      </c>
      <c r="GJ120" s="239">
        <v>202337005</v>
      </c>
      <c r="GK120" s="239">
        <v>0</v>
      </c>
      <c r="GL120" s="239">
        <v>202337005</v>
      </c>
      <c r="GM120" s="214" t="s">
        <v>1161</v>
      </c>
    </row>
    <row r="121" spans="1:195" s="214" customFormat="1" x14ac:dyDescent="0.2">
      <c r="B121" s="602" t="s">
        <v>325</v>
      </c>
      <c r="C121" s="602" t="s">
        <v>324</v>
      </c>
      <c r="D121" s="239">
        <v>-2264713</v>
      </c>
      <c r="E121" s="239">
        <v>0</v>
      </c>
      <c r="F121" s="239">
        <v>-2264713</v>
      </c>
      <c r="G121" s="239">
        <v>45842</v>
      </c>
      <c r="H121" s="239">
        <v>0</v>
      </c>
      <c r="I121" s="239">
        <v>45842</v>
      </c>
      <c r="J121" s="239">
        <v>337055</v>
      </c>
      <c r="K121" s="239">
        <v>0</v>
      </c>
      <c r="L121" s="239">
        <v>337055</v>
      </c>
      <c r="M121" s="239">
        <v>-13002</v>
      </c>
      <c r="N121" s="239">
        <v>0</v>
      </c>
      <c r="O121" s="239">
        <v>-13002</v>
      </c>
      <c r="P121" s="239">
        <v>-1894818</v>
      </c>
      <c r="Q121" s="239">
        <v>0</v>
      </c>
      <c r="R121" s="239">
        <v>-1894818</v>
      </c>
      <c r="S121" s="239">
        <v>-2580046</v>
      </c>
      <c r="T121" s="239">
        <v>0</v>
      </c>
      <c r="U121" s="239">
        <v>-2580046</v>
      </c>
      <c r="V121" s="239">
        <v>-2741</v>
      </c>
      <c r="W121" s="239">
        <v>0</v>
      </c>
      <c r="X121" s="239">
        <v>-2741</v>
      </c>
      <c r="Y121" s="239">
        <v>-79094</v>
      </c>
      <c r="Z121" s="239">
        <v>0</v>
      </c>
      <c r="AA121" s="239">
        <v>-79094</v>
      </c>
      <c r="AB121" s="239">
        <v>-76779</v>
      </c>
      <c r="AC121" s="239">
        <v>0</v>
      </c>
      <c r="AD121" s="239">
        <v>-76779</v>
      </c>
      <c r="AE121" s="239">
        <v>-2315</v>
      </c>
      <c r="AF121" s="239">
        <v>0</v>
      </c>
      <c r="AG121" s="239">
        <v>-2315</v>
      </c>
      <c r="AH121" s="239">
        <v>1004874</v>
      </c>
      <c r="AI121" s="239">
        <v>0</v>
      </c>
      <c r="AJ121" s="239">
        <v>1004874</v>
      </c>
      <c r="AK121" s="239">
        <v>-30463</v>
      </c>
      <c r="AL121" s="239">
        <v>0</v>
      </c>
      <c r="AM121" s="239">
        <v>-30463</v>
      </c>
      <c r="AN121" s="239">
        <v>-1976324</v>
      </c>
      <c r="AO121" s="239">
        <v>0</v>
      </c>
      <c r="AP121" s="239">
        <v>-1976324</v>
      </c>
      <c r="AQ121" s="239">
        <v>-25044</v>
      </c>
      <c r="AR121" s="239">
        <v>0</v>
      </c>
      <c r="AS121" s="239">
        <v>-25044</v>
      </c>
      <c r="AT121" s="239">
        <v>-41877</v>
      </c>
      <c r="AU121" s="239">
        <v>0</v>
      </c>
      <c r="AV121" s="239">
        <v>-41877</v>
      </c>
      <c r="AW121" s="239">
        <v>0</v>
      </c>
      <c r="AX121" s="239">
        <v>0</v>
      </c>
      <c r="AY121" s="239">
        <v>0</v>
      </c>
      <c r="AZ121" s="239">
        <v>-21192</v>
      </c>
      <c r="BA121" s="239">
        <v>0</v>
      </c>
      <c r="BB121" s="239">
        <v>-21192</v>
      </c>
      <c r="BC121" s="239">
        <v>-796</v>
      </c>
      <c r="BD121" s="239">
        <v>0</v>
      </c>
      <c r="BE121" s="239">
        <v>-796</v>
      </c>
      <c r="BF121" s="239">
        <v>-3749962</v>
      </c>
      <c r="BG121" s="239">
        <v>0</v>
      </c>
      <c r="BH121" s="239">
        <v>-3749962</v>
      </c>
      <c r="BI121" s="239">
        <v>0</v>
      </c>
      <c r="BJ121" s="239">
        <v>0</v>
      </c>
      <c r="BK121" s="239">
        <v>0</v>
      </c>
      <c r="BL121" s="239">
        <v>0</v>
      </c>
      <c r="BM121" s="239">
        <v>0</v>
      </c>
      <c r="BN121" s="239">
        <v>0</v>
      </c>
      <c r="BO121" s="239">
        <v>-1200239</v>
      </c>
      <c r="BP121" s="239">
        <v>0</v>
      </c>
      <c r="BQ121" s="239">
        <v>-1200239</v>
      </c>
      <c r="BR121" s="239">
        <v>-156570</v>
      </c>
      <c r="BS121" s="239">
        <v>0</v>
      </c>
      <c r="BT121" s="239">
        <v>-156570</v>
      </c>
      <c r="BU121" s="239">
        <v>-1356809</v>
      </c>
      <c r="BV121" s="239">
        <v>0</v>
      </c>
      <c r="BW121" s="239">
        <v>-1356809</v>
      </c>
      <c r="BX121" s="239">
        <v>-26841</v>
      </c>
      <c r="BY121" s="239">
        <v>0</v>
      </c>
      <c r="BZ121" s="239">
        <v>-26841</v>
      </c>
      <c r="CA121" s="239">
        <v>-2414</v>
      </c>
      <c r="CB121" s="239">
        <v>0</v>
      </c>
      <c r="CC121" s="239">
        <v>-2414</v>
      </c>
      <c r="CD121" s="239">
        <v>-33303</v>
      </c>
      <c r="CE121" s="239">
        <v>0</v>
      </c>
      <c r="CF121" s="239">
        <v>-33303</v>
      </c>
      <c r="CG121" s="239">
        <v>9448</v>
      </c>
      <c r="CH121" s="239">
        <v>0</v>
      </c>
      <c r="CI121" s="239">
        <v>9448</v>
      </c>
      <c r="CJ121" s="239">
        <v>-10469</v>
      </c>
      <c r="CK121" s="239">
        <v>0</v>
      </c>
      <c r="CL121" s="239">
        <v>-10469</v>
      </c>
      <c r="CM121" s="239">
        <v>0</v>
      </c>
      <c r="CN121" s="239">
        <v>0</v>
      </c>
      <c r="CO121" s="239">
        <v>0</v>
      </c>
      <c r="CP121" s="239">
        <v>0</v>
      </c>
      <c r="CQ121" s="239">
        <v>0</v>
      </c>
      <c r="CR121" s="239">
        <v>0</v>
      </c>
      <c r="CS121" s="239">
        <v>2243</v>
      </c>
      <c r="CT121" s="239">
        <v>0</v>
      </c>
      <c r="CU121" s="239">
        <v>2243</v>
      </c>
      <c r="CV121" s="239">
        <v>-3110</v>
      </c>
      <c r="CW121" s="239">
        <v>0</v>
      </c>
      <c r="CX121" s="239">
        <v>-3110</v>
      </c>
      <c r="CY121" s="239">
        <v>0</v>
      </c>
      <c r="CZ121" s="239">
        <v>0</v>
      </c>
      <c r="DA121" s="239">
        <v>0</v>
      </c>
      <c r="DB121" s="239">
        <v>0</v>
      </c>
      <c r="DC121" s="239">
        <v>0</v>
      </c>
      <c r="DD121" s="239">
        <v>0</v>
      </c>
      <c r="DE121" s="239">
        <v>0</v>
      </c>
      <c r="DF121" s="239">
        <v>0</v>
      </c>
      <c r="DG121" s="239">
        <v>0</v>
      </c>
      <c r="DH121" s="239">
        <v>0</v>
      </c>
      <c r="DI121" s="239">
        <v>0</v>
      </c>
      <c r="DJ121" s="239">
        <v>-64446</v>
      </c>
      <c r="DK121" s="239">
        <v>0</v>
      </c>
      <c r="DL121" s="239">
        <v>-64446</v>
      </c>
      <c r="DM121" s="239">
        <v>0</v>
      </c>
      <c r="DN121" s="239">
        <v>0</v>
      </c>
      <c r="DO121" s="239">
        <v>0</v>
      </c>
      <c r="DP121" s="239">
        <v>0</v>
      </c>
      <c r="DQ121" s="239">
        <v>0</v>
      </c>
      <c r="DR121" s="239">
        <v>0</v>
      </c>
      <c r="DS121" s="239">
        <v>0</v>
      </c>
      <c r="DT121" s="239">
        <v>0</v>
      </c>
      <c r="DU121" s="239">
        <v>0</v>
      </c>
      <c r="DV121" s="239">
        <v>0</v>
      </c>
      <c r="DW121" s="239">
        <v>0</v>
      </c>
      <c r="DX121" s="239">
        <v>0</v>
      </c>
      <c r="DY121" s="239">
        <v>1419</v>
      </c>
      <c r="DZ121" s="239">
        <v>0</v>
      </c>
      <c r="EA121" s="239">
        <v>1419</v>
      </c>
      <c r="EB121" s="239">
        <v>0</v>
      </c>
      <c r="EC121" s="239">
        <v>0</v>
      </c>
      <c r="ED121" s="239">
        <v>0</v>
      </c>
      <c r="EE121" s="239">
        <v>0</v>
      </c>
      <c r="EF121" s="239">
        <v>0</v>
      </c>
      <c r="EG121" s="239">
        <v>0</v>
      </c>
      <c r="EH121" s="239">
        <v>30</v>
      </c>
      <c r="EI121" s="239">
        <v>0</v>
      </c>
      <c r="EJ121" s="239">
        <v>30</v>
      </c>
      <c r="EK121" s="239">
        <v>-21192</v>
      </c>
      <c r="EL121" s="239">
        <v>0</v>
      </c>
      <c r="EM121" s="239">
        <v>-21192</v>
      </c>
      <c r="EN121" s="239">
        <v>0</v>
      </c>
      <c r="EO121" s="239">
        <v>0</v>
      </c>
      <c r="EP121" s="239">
        <v>0</v>
      </c>
      <c r="EQ121" s="239">
        <v>-50891</v>
      </c>
      <c r="ER121" s="239">
        <v>0</v>
      </c>
      <c r="ES121" s="239">
        <v>-50891</v>
      </c>
      <c r="ET121" s="239">
        <v>-328191</v>
      </c>
      <c r="EU121" s="239">
        <v>0</v>
      </c>
      <c r="EV121" s="239">
        <v>-328191</v>
      </c>
      <c r="EW121" s="239">
        <v>-38825</v>
      </c>
      <c r="EX121" s="239">
        <v>0</v>
      </c>
      <c r="EY121" s="239">
        <v>-38825</v>
      </c>
      <c r="EZ121" s="239">
        <v>-437650</v>
      </c>
      <c r="FA121" s="239">
        <v>0</v>
      </c>
      <c r="FB121" s="239">
        <v>-437650</v>
      </c>
      <c r="FC121" s="239">
        <v>0</v>
      </c>
      <c r="FD121" s="239">
        <v>0</v>
      </c>
      <c r="FE121" s="239">
        <v>0</v>
      </c>
      <c r="FF121" s="239">
        <v>0</v>
      </c>
      <c r="FG121" s="239">
        <v>0</v>
      </c>
      <c r="FH121" s="239">
        <v>0</v>
      </c>
      <c r="FI121" s="239">
        <v>0</v>
      </c>
      <c r="FJ121" s="239">
        <v>0</v>
      </c>
      <c r="FK121" s="239">
        <v>0</v>
      </c>
      <c r="FL121" s="239">
        <v>47367977</v>
      </c>
      <c r="FM121" s="239">
        <v>0</v>
      </c>
      <c r="FN121" s="239">
        <v>47367977</v>
      </c>
      <c r="FO121" s="239">
        <v>-1894818</v>
      </c>
      <c r="FP121" s="239">
        <v>0</v>
      </c>
      <c r="FQ121" s="239">
        <v>-1894818</v>
      </c>
      <c r="FR121" s="239">
        <v>-3749962</v>
      </c>
      <c r="FS121" s="239">
        <v>0</v>
      </c>
      <c r="FT121" s="239">
        <v>-3749962</v>
      </c>
      <c r="FU121" s="239">
        <v>-1356809</v>
      </c>
      <c r="FV121" s="239">
        <v>0</v>
      </c>
      <c r="FW121" s="239">
        <v>-1356809</v>
      </c>
      <c r="FX121" s="239">
        <v>-64446</v>
      </c>
      <c r="FY121" s="239">
        <v>0</v>
      </c>
      <c r="FZ121" s="239">
        <v>-64446</v>
      </c>
      <c r="GA121" s="239">
        <v>-437650</v>
      </c>
      <c r="GB121" s="239">
        <v>0</v>
      </c>
      <c r="GC121" s="239">
        <v>-437650</v>
      </c>
      <c r="GD121" s="239">
        <v>0</v>
      </c>
      <c r="GE121" s="239">
        <v>0</v>
      </c>
      <c r="GF121" s="239">
        <v>0</v>
      </c>
      <c r="GG121" s="239">
        <v>-7503685</v>
      </c>
      <c r="GH121" s="239">
        <v>0</v>
      </c>
      <c r="GI121" s="239">
        <v>-7503685</v>
      </c>
      <c r="GJ121" s="239">
        <v>39864292</v>
      </c>
      <c r="GK121" s="239">
        <v>0</v>
      </c>
      <c r="GL121" s="239">
        <v>39864292</v>
      </c>
      <c r="GM121" s="214" t="s">
        <v>1158</v>
      </c>
    </row>
    <row r="122" spans="1:195" s="214" customFormat="1" x14ac:dyDescent="0.2">
      <c r="B122" s="602" t="s">
        <v>327</v>
      </c>
      <c r="C122" s="602" t="s">
        <v>326</v>
      </c>
      <c r="D122" s="239">
        <v>-8159533</v>
      </c>
      <c r="E122" s="239">
        <v>0</v>
      </c>
      <c r="F122" s="239">
        <v>-8159533</v>
      </c>
      <c r="G122" s="239">
        <v>108779</v>
      </c>
      <c r="H122" s="239">
        <v>0</v>
      </c>
      <c r="I122" s="239">
        <v>108779</v>
      </c>
      <c r="J122" s="239">
        <v>1393991</v>
      </c>
      <c r="K122" s="239">
        <v>0</v>
      </c>
      <c r="L122" s="239">
        <v>1393991</v>
      </c>
      <c r="M122" s="239">
        <v>115458</v>
      </c>
      <c r="N122" s="239">
        <v>0</v>
      </c>
      <c r="O122" s="239">
        <v>115458</v>
      </c>
      <c r="P122" s="239">
        <v>-6541305</v>
      </c>
      <c r="Q122" s="239">
        <v>0</v>
      </c>
      <c r="R122" s="239">
        <v>-6541305</v>
      </c>
      <c r="S122" s="239">
        <v>-7446463</v>
      </c>
      <c r="T122" s="239">
        <v>0</v>
      </c>
      <c r="U122" s="239">
        <v>-7446463</v>
      </c>
      <c r="V122" s="239">
        <v>0</v>
      </c>
      <c r="W122" s="239">
        <v>0</v>
      </c>
      <c r="X122" s="239">
        <v>0</v>
      </c>
      <c r="Y122" s="239">
        <v>-219639</v>
      </c>
      <c r="Z122" s="239">
        <v>0</v>
      </c>
      <c r="AA122" s="239">
        <v>-219639</v>
      </c>
      <c r="AB122" s="239">
        <v>-8274</v>
      </c>
      <c r="AC122" s="239">
        <v>0</v>
      </c>
      <c r="AD122" s="239">
        <v>-8274</v>
      </c>
      <c r="AE122" s="239">
        <v>0</v>
      </c>
      <c r="AF122" s="239">
        <v>0</v>
      </c>
      <c r="AG122" s="239">
        <v>0</v>
      </c>
      <c r="AH122" s="239">
        <v>1567673</v>
      </c>
      <c r="AI122" s="239">
        <v>0</v>
      </c>
      <c r="AJ122" s="239">
        <v>1567673</v>
      </c>
      <c r="AK122" s="239">
        <v>627665</v>
      </c>
      <c r="AL122" s="239">
        <v>0</v>
      </c>
      <c r="AM122" s="239">
        <v>627665</v>
      </c>
      <c r="AN122" s="239">
        <v>-6291879</v>
      </c>
      <c r="AO122" s="239">
        <v>0</v>
      </c>
      <c r="AP122" s="239">
        <v>-6291879</v>
      </c>
      <c r="AQ122" s="239">
        <v>432174</v>
      </c>
      <c r="AR122" s="239">
        <v>0</v>
      </c>
      <c r="AS122" s="239">
        <v>432174</v>
      </c>
      <c r="AT122" s="239">
        <v>-32336</v>
      </c>
      <c r="AU122" s="239">
        <v>0</v>
      </c>
      <c r="AV122" s="239">
        <v>-32336</v>
      </c>
      <c r="AW122" s="239">
        <v>-9716</v>
      </c>
      <c r="AX122" s="239">
        <v>0</v>
      </c>
      <c r="AY122" s="239">
        <v>-9716</v>
      </c>
      <c r="AZ122" s="239">
        <v>0</v>
      </c>
      <c r="BA122" s="239">
        <v>0</v>
      </c>
      <c r="BB122" s="239">
        <v>0</v>
      </c>
      <c r="BC122" s="239">
        <v>0</v>
      </c>
      <c r="BD122" s="239">
        <v>0</v>
      </c>
      <c r="BE122" s="239">
        <v>0</v>
      </c>
      <c r="BF122" s="239">
        <v>-11372521</v>
      </c>
      <c r="BG122" s="239">
        <v>0</v>
      </c>
      <c r="BH122" s="239">
        <v>-11372521</v>
      </c>
      <c r="BI122" s="239">
        <v>-657</v>
      </c>
      <c r="BJ122" s="239">
        <v>0</v>
      </c>
      <c r="BK122" s="239">
        <v>-657</v>
      </c>
      <c r="BL122" s="239">
        <v>21101</v>
      </c>
      <c r="BM122" s="239">
        <v>0</v>
      </c>
      <c r="BN122" s="239">
        <v>21101</v>
      </c>
      <c r="BO122" s="239">
        <v>-1239555</v>
      </c>
      <c r="BP122" s="239">
        <v>0</v>
      </c>
      <c r="BQ122" s="239">
        <v>-1239555</v>
      </c>
      <c r="BR122" s="239">
        <v>-13517</v>
      </c>
      <c r="BS122" s="239">
        <v>0</v>
      </c>
      <c r="BT122" s="239">
        <v>-13517</v>
      </c>
      <c r="BU122" s="239">
        <v>-1232628</v>
      </c>
      <c r="BV122" s="239">
        <v>0</v>
      </c>
      <c r="BW122" s="239">
        <v>-1232628</v>
      </c>
      <c r="BX122" s="239">
        <v>-346035</v>
      </c>
      <c r="BY122" s="239">
        <v>0</v>
      </c>
      <c r="BZ122" s="239">
        <v>-346035</v>
      </c>
      <c r="CA122" s="239">
        <v>34563</v>
      </c>
      <c r="CB122" s="239">
        <v>0</v>
      </c>
      <c r="CC122" s="239">
        <v>34563</v>
      </c>
      <c r="CD122" s="239">
        <v>-211453</v>
      </c>
      <c r="CE122" s="239">
        <v>0</v>
      </c>
      <c r="CF122" s="239">
        <v>-211453</v>
      </c>
      <c r="CG122" s="239">
        <v>5383</v>
      </c>
      <c r="CH122" s="239">
        <v>0</v>
      </c>
      <c r="CI122" s="239">
        <v>5383</v>
      </c>
      <c r="CJ122" s="239">
        <v>0</v>
      </c>
      <c r="CK122" s="239">
        <v>0</v>
      </c>
      <c r="CL122" s="239">
        <v>0</v>
      </c>
      <c r="CM122" s="239">
        <v>0</v>
      </c>
      <c r="CN122" s="239">
        <v>0</v>
      </c>
      <c r="CO122" s="239">
        <v>0</v>
      </c>
      <c r="CP122" s="239">
        <v>0</v>
      </c>
      <c r="CQ122" s="239">
        <v>0</v>
      </c>
      <c r="CR122" s="239">
        <v>0</v>
      </c>
      <c r="CS122" s="239">
        <v>0</v>
      </c>
      <c r="CT122" s="239">
        <v>0</v>
      </c>
      <c r="CU122" s="239">
        <v>0</v>
      </c>
      <c r="CV122" s="239">
        <v>0</v>
      </c>
      <c r="CW122" s="239">
        <v>0</v>
      </c>
      <c r="CX122" s="239">
        <v>0</v>
      </c>
      <c r="CY122" s="239">
        <v>0</v>
      </c>
      <c r="CZ122" s="239">
        <v>0</v>
      </c>
      <c r="DA122" s="239">
        <v>0</v>
      </c>
      <c r="DB122" s="239">
        <v>0</v>
      </c>
      <c r="DC122" s="239">
        <v>0</v>
      </c>
      <c r="DD122" s="239">
        <v>0</v>
      </c>
      <c r="DE122" s="239">
        <v>0</v>
      </c>
      <c r="DF122" s="239">
        <v>0</v>
      </c>
      <c r="DG122" s="239">
        <v>0</v>
      </c>
      <c r="DH122" s="239">
        <v>0</v>
      </c>
      <c r="DI122" s="239">
        <v>0</v>
      </c>
      <c r="DJ122" s="239">
        <v>-517542</v>
      </c>
      <c r="DK122" s="239">
        <v>0</v>
      </c>
      <c r="DL122" s="239">
        <v>-517542</v>
      </c>
      <c r="DM122" s="239">
        <v>-5807</v>
      </c>
      <c r="DN122" s="239">
        <v>0</v>
      </c>
      <c r="DO122" s="239">
        <v>-5807</v>
      </c>
      <c r="DP122" s="239">
        <v>82388</v>
      </c>
      <c r="DQ122" s="239">
        <v>0</v>
      </c>
      <c r="DR122" s="239">
        <v>82388</v>
      </c>
      <c r="DS122" s="239">
        <v>-3772</v>
      </c>
      <c r="DT122" s="239">
        <v>0</v>
      </c>
      <c r="DU122" s="239">
        <v>-3772</v>
      </c>
      <c r="DV122" s="239">
        <v>153</v>
      </c>
      <c r="DW122" s="239">
        <v>0</v>
      </c>
      <c r="DX122" s="239">
        <v>153</v>
      </c>
      <c r="DY122" s="239">
        <v>8067</v>
      </c>
      <c r="DZ122" s="239">
        <v>0</v>
      </c>
      <c r="EA122" s="239">
        <v>8067</v>
      </c>
      <c r="EB122" s="239">
        <v>0</v>
      </c>
      <c r="EC122" s="239">
        <v>0</v>
      </c>
      <c r="ED122" s="239">
        <v>0</v>
      </c>
      <c r="EE122" s="239">
        <v>0</v>
      </c>
      <c r="EF122" s="239">
        <v>0</v>
      </c>
      <c r="EG122" s="239">
        <v>0</v>
      </c>
      <c r="EH122" s="239">
        <v>0</v>
      </c>
      <c r="EI122" s="239">
        <v>0</v>
      </c>
      <c r="EJ122" s="239">
        <v>0</v>
      </c>
      <c r="EK122" s="239">
        <v>0</v>
      </c>
      <c r="EL122" s="239">
        <v>0</v>
      </c>
      <c r="EM122" s="239">
        <v>0</v>
      </c>
      <c r="EN122" s="239">
        <v>0</v>
      </c>
      <c r="EO122" s="239">
        <v>0</v>
      </c>
      <c r="EP122" s="239">
        <v>0</v>
      </c>
      <c r="EQ122" s="239">
        <v>-90914</v>
      </c>
      <c r="ER122" s="239">
        <v>0</v>
      </c>
      <c r="ES122" s="239">
        <v>-90914</v>
      </c>
      <c r="ET122" s="239">
        <v>-1190218</v>
      </c>
      <c r="EU122" s="239">
        <v>0</v>
      </c>
      <c r="EV122" s="239">
        <v>-1190218</v>
      </c>
      <c r="EW122" s="239">
        <v>-36369</v>
      </c>
      <c r="EX122" s="239">
        <v>0</v>
      </c>
      <c r="EY122" s="239">
        <v>-36369</v>
      </c>
      <c r="EZ122" s="239">
        <v>-1236472</v>
      </c>
      <c r="FA122" s="239">
        <v>0</v>
      </c>
      <c r="FB122" s="239">
        <v>-1236472</v>
      </c>
      <c r="FC122" s="239">
        <v>0</v>
      </c>
      <c r="FD122" s="239">
        <v>0</v>
      </c>
      <c r="FE122" s="239">
        <v>0</v>
      </c>
      <c r="FF122" s="239">
        <v>0</v>
      </c>
      <c r="FG122" s="239">
        <v>0</v>
      </c>
      <c r="FH122" s="239">
        <v>0</v>
      </c>
      <c r="FI122" s="239">
        <v>0</v>
      </c>
      <c r="FJ122" s="239">
        <v>0</v>
      </c>
      <c r="FK122" s="239">
        <v>0</v>
      </c>
      <c r="FL122" s="239">
        <v>86742266</v>
      </c>
      <c r="FM122" s="239">
        <v>0</v>
      </c>
      <c r="FN122" s="239">
        <v>86742266</v>
      </c>
      <c r="FO122" s="239">
        <v>-6541305</v>
      </c>
      <c r="FP122" s="239">
        <v>0</v>
      </c>
      <c r="FQ122" s="239">
        <v>-6541305</v>
      </c>
      <c r="FR122" s="239">
        <v>-11372521</v>
      </c>
      <c r="FS122" s="239">
        <v>0</v>
      </c>
      <c r="FT122" s="239">
        <v>-11372521</v>
      </c>
      <c r="FU122" s="239">
        <v>-1232628</v>
      </c>
      <c r="FV122" s="239">
        <v>0</v>
      </c>
      <c r="FW122" s="239">
        <v>-1232628</v>
      </c>
      <c r="FX122" s="239">
        <v>-517542</v>
      </c>
      <c r="FY122" s="239">
        <v>0</v>
      </c>
      <c r="FZ122" s="239">
        <v>-517542</v>
      </c>
      <c r="GA122" s="239">
        <v>-1236472</v>
      </c>
      <c r="GB122" s="239">
        <v>0</v>
      </c>
      <c r="GC122" s="239">
        <v>-1236472</v>
      </c>
      <c r="GD122" s="239">
        <v>0</v>
      </c>
      <c r="GE122" s="239">
        <v>0</v>
      </c>
      <c r="GF122" s="239">
        <v>0</v>
      </c>
      <c r="GG122" s="239">
        <v>-20900468</v>
      </c>
      <c r="GH122" s="239">
        <v>0</v>
      </c>
      <c r="GI122" s="239">
        <v>-20900468</v>
      </c>
      <c r="GJ122" s="239">
        <v>65841798</v>
      </c>
      <c r="GK122" s="239">
        <v>0</v>
      </c>
      <c r="GL122" s="239">
        <v>65841798</v>
      </c>
      <c r="GM122" s="214" t="s">
        <v>1159</v>
      </c>
    </row>
    <row r="123" spans="1:195" s="214" customFormat="1" x14ac:dyDescent="0.2">
      <c r="B123" s="602" t="s">
        <v>329</v>
      </c>
      <c r="C123" s="602" t="s">
        <v>328</v>
      </c>
      <c r="D123" s="239">
        <v>-767832</v>
      </c>
      <c r="E123" s="239">
        <v>-5124</v>
      </c>
      <c r="F123" s="239">
        <v>-772956</v>
      </c>
      <c r="G123" s="239">
        <v>53688</v>
      </c>
      <c r="H123" s="239">
        <v>0</v>
      </c>
      <c r="I123" s="239">
        <v>53688</v>
      </c>
      <c r="J123" s="239">
        <v>1897321</v>
      </c>
      <c r="K123" s="239">
        <v>3905</v>
      </c>
      <c r="L123" s="239">
        <v>1901226</v>
      </c>
      <c r="M123" s="239">
        <v>19194</v>
      </c>
      <c r="N123" s="239">
        <v>735</v>
      </c>
      <c r="O123" s="239">
        <v>19929</v>
      </c>
      <c r="P123" s="239">
        <v>1202371</v>
      </c>
      <c r="Q123" s="239">
        <v>-484</v>
      </c>
      <c r="R123" s="239">
        <v>1201887</v>
      </c>
      <c r="S123" s="239">
        <v>-1588848</v>
      </c>
      <c r="T123" s="239">
        <v>-83935</v>
      </c>
      <c r="U123" s="239">
        <v>-1672783</v>
      </c>
      <c r="V123" s="239">
        <v>0</v>
      </c>
      <c r="W123" s="239">
        <v>0</v>
      </c>
      <c r="X123" s="239">
        <v>0</v>
      </c>
      <c r="Y123" s="239">
        <v>-81956</v>
      </c>
      <c r="Z123" s="239">
        <v>0</v>
      </c>
      <c r="AA123" s="239">
        <v>-81956</v>
      </c>
      <c r="AB123" s="239">
        <v>0</v>
      </c>
      <c r="AC123" s="239">
        <v>0</v>
      </c>
      <c r="AD123" s="239">
        <v>0</v>
      </c>
      <c r="AE123" s="239">
        <v>0</v>
      </c>
      <c r="AF123" s="239">
        <v>0</v>
      </c>
      <c r="AG123" s="239">
        <v>0</v>
      </c>
      <c r="AH123" s="239">
        <v>1056671</v>
      </c>
      <c r="AI123" s="239">
        <v>86495</v>
      </c>
      <c r="AJ123" s="239">
        <v>1143166</v>
      </c>
      <c r="AK123" s="239">
        <v>-31550</v>
      </c>
      <c r="AL123" s="239">
        <v>-14907</v>
      </c>
      <c r="AM123" s="239">
        <v>-46457</v>
      </c>
      <c r="AN123" s="239">
        <v>-2687410</v>
      </c>
      <c r="AO123" s="239">
        <v>0</v>
      </c>
      <c r="AP123" s="239">
        <v>-2687410</v>
      </c>
      <c r="AQ123" s="239">
        <v>-21434</v>
      </c>
      <c r="AR123" s="239">
        <v>0</v>
      </c>
      <c r="AS123" s="239">
        <v>-21434</v>
      </c>
      <c r="AT123" s="239">
        <v>-51872</v>
      </c>
      <c r="AU123" s="239">
        <v>0</v>
      </c>
      <c r="AV123" s="239">
        <v>-51872</v>
      </c>
      <c r="AW123" s="239">
        <v>0</v>
      </c>
      <c r="AX123" s="239">
        <v>0</v>
      </c>
      <c r="AY123" s="239">
        <v>0</v>
      </c>
      <c r="AZ123" s="239">
        <v>0</v>
      </c>
      <c r="BA123" s="239">
        <v>0</v>
      </c>
      <c r="BB123" s="239">
        <v>0</v>
      </c>
      <c r="BC123" s="239">
        <v>0</v>
      </c>
      <c r="BD123" s="239">
        <v>0</v>
      </c>
      <c r="BE123" s="239">
        <v>0</v>
      </c>
      <c r="BF123" s="239">
        <v>-3406399</v>
      </c>
      <c r="BG123" s="239">
        <v>-12347</v>
      </c>
      <c r="BH123" s="239">
        <v>-3418746</v>
      </c>
      <c r="BI123" s="239">
        <v>-107477</v>
      </c>
      <c r="BJ123" s="239">
        <v>0</v>
      </c>
      <c r="BK123" s="239">
        <v>-107477</v>
      </c>
      <c r="BL123" s="239">
        <v>20079</v>
      </c>
      <c r="BM123" s="239">
        <v>0</v>
      </c>
      <c r="BN123" s="239">
        <v>20079</v>
      </c>
      <c r="BO123" s="239">
        <v>-992291</v>
      </c>
      <c r="BP123" s="239">
        <v>0</v>
      </c>
      <c r="BQ123" s="239">
        <v>-992291</v>
      </c>
      <c r="BR123" s="239">
        <v>68902</v>
      </c>
      <c r="BS123" s="239">
        <v>1985667</v>
      </c>
      <c r="BT123" s="239">
        <v>2054569</v>
      </c>
      <c r="BU123" s="239">
        <v>-1010787</v>
      </c>
      <c r="BV123" s="239">
        <v>1985667</v>
      </c>
      <c r="BW123" s="239">
        <v>974880</v>
      </c>
      <c r="BX123" s="239">
        <v>-30021</v>
      </c>
      <c r="BY123" s="239">
        <v>0</v>
      </c>
      <c r="BZ123" s="239">
        <v>-30021</v>
      </c>
      <c r="CA123" s="239">
        <v>1</v>
      </c>
      <c r="CB123" s="239">
        <v>0</v>
      </c>
      <c r="CC123" s="239">
        <v>1</v>
      </c>
      <c r="CD123" s="239">
        <v>0</v>
      </c>
      <c r="CE123" s="239">
        <v>0</v>
      </c>
      <c r="CF123" s="239">
        <v>0</v>
      </c>
      <c r="CG123" s="239">
        <v>0</v>
      </c>
      <c r="CH123" s="239">
        <v>0</v>
      </c>
      <c r="CI123" s="239">
        <v>0</v>
      </c>
      <c r="CJ123" s="239">
        <v>0</v>
      </c>
      <c r="CK123" s="239">
        <v>0</v>
      </c>
      <c r="CL123" s="239">
        <v>0</v>
      </c>
      <c r="CM123" s="239">
        <v>0</v>
      </c>
      <c r="CN123" s="239">
        <v>0</v>
      </c>
      <c r="CO123" s="239">
        <v>0</v>
      </c>
      <c r="CP123" s="239">
        <v>0</v>
      </c>
      <c r="CQ123" s="239">
        <v>0</v>
      </c>
      <c r="CR123" s="239">
        <v>0</v>
      </c>
      <c r="CS123" s="239">
        <v>0</v>
      </c>
      <c r="CT123" s="239">
        <v>0</v>
      </c>
      <c r="CU123" s="239">
        <v>0</v>
      </c>
      <c r="CV123" s="239">
        <v>0</v>
      </c>
      <c r="CW123" s="239">
        <v>0</v>
      </c>
      <c r="CX123" s="239">
        <v>0</v>
      </c>
      <c r="CY123" s="239">
        <v>0</v>
      </c>
      <c r="CZ123" s="239">
        <v>0</v>
      </c>
      <c r="DA123" s="239">
        <v>0</v>
      </c>
      <c r="DB123" s="239">
        <v>0</v>
      </c>
      <c r="DC123" s="239">
        <v>-93964</v>
      </c>
      <c r="DD123" s="239">
        <v>-93964</v>
      </c>
      <c r="DE123" s="239">
        <v>0</v>
      </c>
      <c r="DF123" s="239">
        <v>0</v>
      </c>
      <c r="DG123" s="239">
        <v>0</v>
      </c>
      <c r="DH123" s="239">
        <v>0</v>
      </c>
      <c r="DI123" s="239">
        <v>0</v>
      </c>
      <c r="DJ123" s="239">
        <v>-30020</v>
      </c>
      <c r="DK123" s="239">
        <v>-93964</v>
      </c>
      <c r="DL123" s="239">
        <v>-123984</v>
      </c>
      <c r="DM123" s="239">
        <v>-48577</v>
      </c>
      <c r="DN123" s="239">
        <v>0</v>
      </c>
      <c r="DO123" s="239">
        <v>-48577</v>
      </c>
      <c r="DP123" s="239">
        <v>-45036</v>
      </c>
      <c r="DQ123" s="239">
        <v>0</v>
      </c>
      <c r="DR123" s="239">
        <v>-45036</v>
      </c>
      <c r="DS123" s="239">
        <v>0</v>
      </c>
      <c r="DT123" s="239">
        <v>0</v>
      </c>
      <c r="DU123" s="239">
        <v>0</v>
      </c>
      <c r="DV123" s="239">
        <v>0</v>
      </c>
      <c r="DW123" s="239">
        <v>0</v>
      </c>
      <c r="DX123" s="239">
        <v>0</v>
      </c>
      <c r="DY123" s="239">
        <v>2639</v>
      </c>
      <c r="DZ123" s="239">
        <v>0</v>
      </c>
      <c r="EA123" s="239">
        <v>2639</v>
      </c>
      <c r="EB123" s="239">
        <v>0</v>
      </c>
      <c r="EC123" s="239">
        <v>0</v>
      </c>
      <c r="ED123" s="239">
        <v>0</v>
      </c>
      <c r="EE123" s="239">
        <v>0</v>
      </c>
      <c r="EF123" s="239">
        <v>0</v>
      </c>
      <c r="EG123" s="239">
        <v>0</v>
      </c>
      <c r="EH123" s="239">
        <v>0</v>
      </c>
      <c r="EI123" s="239">
        <v>0</v>
      </c>
      <c r="EJ123" s="239">
        <v>0</v>
      </c>
      <c r="EK123" s="239">
        <v>0</v>
      </c>
      <c r="EL123" s="239">
        <v>0</v>
      </c>
      <c r="EM123" s="239">
        <v>0</v>
      </c>
      <c r="EN123" s="239">
        <v>0</v>
      </c>
      <c r="EO123" s="239">
        <v>0</v>
      </c>
      <c r="EP123" s="239">
        <v>0</v>
      </c>
      <c r="EQ123" s="239">
        <v>-7147.94</v>
      </c>
      <c r="ER123" s="239">
        <v>-1849</v>
      </c>
      <c r="ES123" s="239">
        <v>-8996.9399999999987</v>
      </c>
      <c r="ET123" s="239">
        <v>-90740</v>
      </c>
      <c r="EU123" s="239">
        <v>0</v>
      </c>
      <c r="EV123" s="239">
        <v>-90740</v>
      </c>
      <c r="EW123" s="239">
        <v>-11950.68</v>
      </c>
      <c r="EX123" s="239">
        <v>0</v>
      </c>
      <c r="EY123" s="239">
        <v>-11950.68</v>
      </c>
      <c r="EZ123" s="239">
        <v>-200813</v>
      </c>
      <c r="FA123" s="239">
        <v>-1849</v>
      </c>
      <c r="FB123" s="239">
        <v>-202662</v>
      </c>
      <c r="FC123" s="239">
        <v>-78317</v>
      </c>
      <c r="FD123" s="239">
        <v>0</v>
      </c>
      <c r="FE123" s="239">
        <v>-78317</v>
      </c>
      <c r="FF123" s="239">
        <v>0</v>
      </c>
      <c r="FG123" s="239">
        <v>0</v>
      </c>
      <c r="FH123" s="239">
        <v>0</v>
      </c>
      <c r="FI123" s="239">
        <v>-78317</v>
      </c>
      <c r="FJ123" s="239">
        <v>0</v>
      </c>
      <c r="FK123" s="239">
        <v>-78317</v>
      </c>
      <c r="FL123" s="239">
        <v>46296411</v>
      </c>
      <c r="FM123" s="239">
        <v>3148356</v>
      </c>
      <c r="FN123" s="239">
        <v>49444767</v>
      </c>
      <c r="FO123" s="239">
        <v>1202371</v>
      </c>
      <c r="FP123" s="239">
        <v>-484</v>
      </c>
      <c r="FQ123" s="239">
        <v>1201887</v>
      </c>
      <c r="FR123" s="239">
        <v>-3406399</v>
      </c>
      <c r="FS123" s="239">
        <v>-12347</v>
      </c>
      <c r="FT123" s="239">
        <v>-3418746</v>
      </c>
      <c r="FU123" s="239">
        <v>-1010787</v>
      </c>
      <c r="FV123" s="239">
        <v>1985667</v>
      </c>
      <c r="FW123" s="239">
        <v>974880</v>
      </c>
      <c r="FX123" s="239">
        <v>-30020</v>
      </c>
      <c r="FY123" s="239">
        <v>-93964</v>
      </c>
      <c r="FZ123" s="239">
        <v>-123984</v>
      </c>
      <c r="GA123" s="239">
        <v>-200813</v>
      </c>
      <c r="GB123" s="239">
        <v>-1849</v>
      </c>
      <c r="GC123" s="239">
        <v>-202662</v>
      </c>
      <c r="GD123" s="239">
        <v>-78317</v>
      </c>
      <c r="GE123" s="239">
        <v>0</v>
      </c>
      <c r="GF123" s="239">
        <v>-78317</v>
      </c>
      <c r="GG123" s="239">
        <v>-3523965</v>
      </c>
      <c r="GH123" s="239">
        <v>1877023</v>
      </c>
      <c r="GI123" s="239">
        <v>-1646942</v>
      </c>
      <c r="GJ123" s="239">
        <v>42772446</v>
      </c>
      <c r="GK123" s="239">
        <v>5025379</v>
      </c>
      <c r="GL123" s="239">
        <v>47797825</v>
      </c>
      <c r="GM123" s="214" t="s">
        <v>1158</v>
      </c>
    </row>
    <row r="124" spans="1:195" s="214" customFormat="1" x14ac:dyDescent="0.2">
      <c r="B124" s="602" t="s">
        <v>331</v>
      </c>
      <c r="C124" s="602" t="s">
        <v>330</v>
      </c>
      <c r="D124" s="239">
        <v>-2470168</v>
      </c>
      <c r="E124" s="239">
        <v>0</v>
      </c>
      <c r="F124" s="239">
        <v>-2470168</v>
      </c>
      <c r="G124" s="239">
        <v>10999</v>
      </c>
      <c r="H124" s="239">
        <v>0</v>
      </c>
      <c r="I124" s="239">
        <v>10999</v>
      </c>
      <c r="J124" s="239">
        <v>2326159</v>
      </c>
      <c r="K124" s="239">
        <v>0</v>
      </c>
      <c r="L124" s="239">
        <v>2326159</v>
      </c>
      <c r="M124" s="239">
        <v>99761</v>
      </c>
      <c r="N124" s="239">
        <v>0</v>
      </c>
      <c r="O124" s="239">
        <v>99761</v>
      </c>
      <c r="P124" s="239">
        <v>-33249</v>
      </c>
      <c r="Q124" s="239">
        <v>0</v>
      </c>
      <c r="R124" s="239">
        <v>-33249</v>
      </c>
      <c r="S124" s="239">
        <v>-7201870</v>
      </c>
      <c r="T124" s="239">
        <v>0</v>
      </c>
      <c r="U124" s="239">
        <v>-7201870</v>
      </c>
      <c r="V124" s="239">
        <v>-9046</v>
      </c>
      <c r="W124" s="239">
        <v>0</v>
      </c>
      <c r="X124" s="239">
        <v>-9046</v>
      </c>
      <c r="Y124" s="239">
        <v>-185369</v>
      </c>
      <c r="Z124" s="239">
        <v>0</v>
      </c>
      <c r="AA124" s="239">
        <v>-185369</v>
      </c>
      <c r="AB124" s="239">
        <v>-156492</v>
      </c>
      <c r="AC124" s="239">
        <v>0</v>
      </c>
      <c r="AD124" s="239">
        <v>-156492</v>
      </c>
      <c r="AE124" s="239">
        <v>0</v>
      </c>
      <c r="AF124" s="239">
        <v>0</v>
      </c>
      <c r="AG124" s="239">
        <v>0</v>
      </c>
      <c r="AH124" s="239">
        <v>1379969</v>
      </c>
      <c r="AI124" s="239">
        <v>0</v>
      </c>
      <c r="AJ124" s="239">
        <v>1379969</v>
      </c>
      <c r="AK124" s="239">
        <v>570023</v>
      </c>
      <c r="AL124" s="239">
        <v>0</v>
      </c>
      <c r="AM124" s="239">
        <v>570023</v>
      </c>
      <c r="AN124" s="239">
        <v>-3467850</v>
      </c>
      <c r="AO124" s="239">
        <v>0</v>
      </c>
      <c r="AP124" s="239">
        <v>-3467850</v>
      </c>
      <c r="AQ124" s="239">
        <v>-57716</v>
      </c>
      <c r="AR124" s="239">
        <v>0</v>
      </c>
      <c r="AS124" s="239">
        <v>-57716</v>
      </c>
      <c r="AT124" s="239">
        <v>-112203</v>
      </c>
      <c r="AU124" s="239">
        <v>0</v>
      </c>
      <c r="AV124" s="239">
        <v>-112203</v>
      </c>
      <c r="AW124" s="239">
        <v>0</v>
      </c>
      <c r="AX124" s="239">
        <v>0</v>
      </c>
      <c r="AY124" s="239">
        <v>0</v>
      </c>
      <c r="AZ124" s="239">
        <v>-50881</v>
      </c>
      <c r="BA124" s="239">
        <v>0</v>
      </c>
      <c r="BB124" s="239">
        <v>-50881</v>
      </c>
      <c r="BC124" s="239">
        <v>-221</v>
      </c>
      <c r="BD124" s="239">
        <v>0</v>
      </c>
      <c r="BE124" s="239">
        <v>-221</v>
      </c>
      <c r="BF124" s="239">
        <v>-9126118</v>
      </c>
      <c r="BG124" s="239">
        <v>0</v>
      </c>
      <c r="BH124" s="239">
        <v>-9126118</v>
      </c>
      <c r="BI124" s="239">
        <v>-9296</v>
      </c>
      <c r="BJ124" s="239">
        <v>0</v>
      </c>
      <c r="BK124" s="239">
        <v>-9296</v>
      </c>
      <c r="BL124" s="239">
        <v>-38147</v>
      </c>
      <c r="BM124" s="239">
        <v>0</v>
      </c>
      <c r="BN124" s="239">
        <v>-38147</v>
      </c>
      <c r="BO124" s="239">
        <v>-1762920</v>
      </c>
      <c r="BP124" s="239">
        <v>0</v>
      </c>
      <c r="BQ124" s="239">
        <v>-1762920</v>
      </c>
      <c r="BR124" s="239">
        <v>-37931</v>
      </c>
      <c r="BS124" s="239">
        <v>0</v>
      </c>
      <c r="BT124" s="239">
        <v>-37931</v>
      </c>
      <c r="BU124" s="239">
        <v>-1848294</v>
      </c>
      <c r="BV124" s="239">
        <v>0</v>
      </c>
      <c r="BW124" s="239">
        <v>-1848294</v>
      </c>
      <c r="BX124" s="239">
        <v>-34894</v>
      </c>
      <c r="BY124" s="239">
        <v>0</v>
      </c>
      <c r="BZ124" s="239">
        <v>-34894</v>
      </c>
      <c r="CA124" s="239">
        <v>295</v>
      </c>
      <c r="CB124" s="239">
        <v>0</v>
      </c>
      <c r="CC124" s="239">
        <v>295</v>
      </c>
      <c r="CD124" s="239">
        <v>-48994</v>
      </c>
      <c r="CE124" s="239">
        <v>0</v>
      </c>
      <c r="CF124" s="239">
        <v>-48994</v>
      </c>
      <c r="CG124" s="239">
        <v>12662</v>
      </c>
      <c r="CH124" s="239">
        <v>0</v>
      </c>
      <c r="CI124" s="239">
        <v>12662</v>
      </c>
      <c r="CJ124" s="239">
        <v>0</v>
      </c>
      <c r="CK124" s="239">
        <v>0</v>
      </c>
      <c r="CL124" s="239">
        <v>0</v>
      </c>
      <c r="CM124" s="239">
        <v>0</v>
      </c>
      <c r="CN124" s="239">
        <v>0</v>
      </c>
      <c r="CO124" s="239">
        <v>0</v>
      </c>
      <c r="CP124" s="239">
        <v>0</v>
      </c>
      <c r="CQ124" s="239">
        <v>0</v>
      </c>
      <c r="CR124" s="239">
        <v>0</v>
      </c>
      <c r="CS124" s="239">
        <v>0</v>
      </c>
      <c r="CT124" s="239">
        <v>0</v>
      </c>
      <c r="CU124" s="239">
        <v>0</v>
      </c>
      <c r="CV124" s="239">
        <v>0</v>
      </c>
      <c r="CW124" s="239">
        <v>0</v>
      </c>
      <c r="CX124" s="239">
        <v>0</v>
      </c>
      <c r="CY124" s="239">
        <v>-120</v>
      </c>
      <c r="CZ124" s="239">
        <v>0</v>
      </c>
      <c r="DA124" s="239">
        <v>-120</v>
      </c>
      <c r="DB124" s="239">
        <v>0</v>
      </c>
      <c r="DC124" s="239">
        <v>0</v>
      </c>
      <c r="DD124" s="239">
        <v>0</v>
      </c>
      <c r="DE124" s="239">
        <v>0</v>
      </c>
      <c r="DF124" s="239">
        <v>0</v>
      </c>
      <c r="DG124" s="239">
        <v>0</v>
      </c>
      <c r="DH124" s="239">
        <v>0</v>
      </c>
      <c r="DI124" s="239">
        <v>0</v>
      </c>
      <c r="DJ124" s="239">
        <v>-71051</v>
      </c>
      <c r="DK124" s="239">
        <v>0</v>
      </c>
      <c r="DL124" s="239">
        <v>-71051</v>
      </c>
      <c r="DM124" s="239">
        <v>0</v>
      </c>
      <c r="DN124" s="239">
        <v>0</v>
      </c>
      <c r="DO124" s="239">
        <v>0</v>
      </c>
      <c r="DP124" s="239">
        <v>4748</v>
      </c>
      <c r="DQ124" s="239">
        <v>0</v>
      </c>
      <c r="DR124" s="239">
        <v>4748</v>
      </c>
      <c r="DS124" s="239">
        <v>-4464</v>
      </c>
      <c r="DT124" s="239">
        <v>0</v>
      </c>
      <c r="DU124" s="239">
        <v>-4464</v>
      </c>
      <c r="DV124" s="239">
        <v>277</v>
      </c>
      <c r="DW124" s="239">
        <v>0</v>
      </c>
      <c r="DX124" s="239">
        <v>277</v>
      </c>
      <c r="DY124" s="239">
        <v>986</v>
      </c>
      <c r="DZ124" s="239">
        <v>0</v>
      </c>
      <c r="EA124" s="239">
        <v>986</v>
      </c>
      <c r="EB124" s="239">
        <v>0</v>
      </c>
      <c r="EC124" s="239">
        <v>0</v>
      </c>
      <c r="ED124" s="239">
        <v>0</v>
      </c>
      <c r="EE124" s="239">
        <v>838</v>
      </c>
      <c r="EF124" s="239">
        <v>0</v>
      </c>
      <c r="EG124" s="239">
        <v>838</v>
      </c>
      <c r="EH124" s="239">
        <v>0</v>
      </c>
      <c r="EI124" s="239">
        <v>0</v>
      </c>
      <c r="EJ124" s="239">
        <v>0</v>
      </c>
      <c r="EK124" s="239">
        <v>-45289</v>
      </c>
      <c r="EL124" s="239">
        <v>0</v>
      </c>
      <c r="EM124" s="239">
        <v>-45289</v>
      </c>
      <c r="EN124" s="239">
        <v>0</v>
      </c>
      <c r="EO124" s="239">
        <v>0</v>
      </c>
      <c r="EP124" s="239">
        <v>0</v>
      </c>
      <c r="EQ124" s="239">
        <v>-45711</v>
      </c>
      <c r="ER124" s="239">
        <v>0</v>
      </c>
      <c r="ES124" s="239">
        <v>-45711</v>
      </c>
      <c r="ET124" s="239">
        <v>-390706</v>
      </c>
      <c r="EU124" s="239">
        <v>0</v>
      </c>
      <c r="EV124" s="239">
        <v>-390706</v>
      </c>
      <c r="EW124" s="239">
        <v>-98340</v>
      </c>
      <c r="EX124" s="239">
        <v>0</v>
      </c>
      <c r="EY124" s="239">
        <v>-98340</v>
      </c>
      <c r="EZ124" s="239">
        <v>-577661</v>
      </c>
      <c r="FA124" s="239">
        <v>0</v>
      </c>
      <c r="FB124" s="239">
        <v>-577661</v>
      </c>
      <c r="FC124" s="239">
        <v>-682</v>
      </c>
      <c r="FD124" s="239">
        <v>0</v>
      </c>
      <c r="FE124" s="239">
        <v>-682</v>
      </c>
      <c r="FF124" s="239">
        <v>-1494</v>
      </c>
      <c r="FG124" s="239">
        <v>0</v>
      </c>
      <c r="FH124" s="239">
        <v>-1494</v>
      </c>
      <c r="FI124" s="239">
        <v>-2176</v>
      </c>
      <c r="FJ124" s="239">
        <v>0</v>
      </c>
      <c r="FK124" s="239">
        <v>-2176</v>
      </c>
      <c r="FL124" s="239">
        <v>73257322</v>
      </c>
      <c r="FM124" s="239">
        <v>0</v>
      </c>
      <c r="FN124" s="239">
        <v>73257322</v>
      </c>
      <c r="FO124" s="239">
        <v>-33249</v>
      </c>
      <c r="FP124" s="239">
        <v>0</v>
      </c>
      <c r="FQ124" s="239">
        <v>-33249</v>
      </c>
      <c r="FR124" s="239">
        <v>-9126118</v>
      </c>
      <c r="FS124" s="239">
        <v>0</v>
      </c>
      <c r="FT124" s="239">
        <v>-9126118</v>
      </c>
      <c r="FU124" s="239">
        <v>-1848294</v>
      </c>
      <c r="FV124" s="239">
        <v>0</v>
      </c>
      <c r="FW124" s="239">
        <v>-1848294</v>
      </c>
      <c r="FX124" s="239">
        <v>-71051</v>
      </c>
      <c r="FY124" s="239">
        <v>0</v>
      </c>
      <c r="FZ124" s="239">
        <v>-71051</v>
      </c>
      <c r="GA124" s="239">
        <v>-577661</v>
      </c>
      <c r="GB124" s="239">
        <v>0</v>
      </c>
      <c r="GC124" s="239">
        <v>-577661</v>
      </c>
      <c r="GD124" s="239">
        <v>-2176</v>
      </c>
      <c r="GE124" s="239">
        <v>0</v>
      </c>
      <c r="GF124" s="239">
        <v>-2176</v>
      </c>
      <c r="GG124" s="239">
        <v>-11658549</v>
      </c>
      <c r="GH124" s="239">
        <v>0</v>
      </c>
      <c r="GI124" s="239">
        <v>-11658549</v>
      </c>
      <c r="GJ124" s="239">
        <v>61598773</v>
      </c>
      <c r="GK124" s="239">
        <v>0</v>
      </c>
      <c r="GL124" s="239">
        <v>61598773</v>
      </c>
      <c r="GM124" s="214" t="s">
        <v>1158</v>
      </c>
    </row>
    <row r="125" spans="1:195" s="214" customFormat="1" x14ac:dyDescent="0.2">
      <c r="B125" s="602" t="s">
        <v>333</v>
      </c>
      <c r="C125" s="602" t="s">
        <v>332</v>
      </c>
      <c r="D125" s="239">
        <v>-4033352</v>
      </c>
      <c r="E125" s="239">
        <v>0</v>
      </c>
      <c r="F125" s="239">
        <v>-4033352</v>
      </c>
      <c r="G125" s="239">
        <v>44869</v>
      </c>
      <c r="H125" s="239">
        <v>0</v>
      </c>
      <c r="I125" s="239">
        <v>44869</v>
      </c>
      <c r="J125" s="239">
        <v>1531333</v>
      </c>
      <c r="K125" s="239">
        <v>0</v>
      </c>
      <c r="L125" s="239">
        <v>1531333</v>
      </c>
      <c r="M125" s="239">
        <v>57191</v>
      </c>
      <c r="N125" s="239">
        <v>0</v>
      </c>
      <c r="O125" s="239">
        <v>57191</v>
      </c>
      <c r="P125" s="239">
        <v>-2399959</v>
      </c>
      <c r="Q125" s="239">
        <v>0</v>
      </c>
      <c r="R125" s="239">
        <v>-2399959</v>
      </c>
      <c r="S125" s="239">
        <v>-4866706</v>
      </c>
      <c r="T125" s="239">
        <v>0</v>
      </c>
      <c r="U125" s="239">
        <v>-4866706</v>
      </c>
      <c r="V125" s="239">
        <v>-2322</v>
      </c>
      <c r="W125" s="239">
        <v>0</v>
      </c>
      <c r="X125" s="239">
        <v>-2322</v>
      </c>
      <c r="Y125" s="239">
        <v>-412127</v>
      </c>
      <c r="Z125" s="239">
        <v>0</v>
      </c>
      <c r="AA125" s="239">
        <v>-412127</v>
      </c>
      <c r="AB125" s="239">
        <v>-370358</v>
      </c>
      <c r="AC125" s="239">
        <v>0</v>
      </c>
      <c r="AD125" s="239">
        <v>-370358</v>
      </c>
      <c r="AE125" s="239">
        <v>-1828</v>
      </c>
      <c r="AF125" s="239">
        <v>0</v>
      </c>
      <c r="AG125" s="239">
        <v>-1828</v>
      </c>
      <c r="AH125" s="239">
        <v>1081948</v>
      </c>
      <c r="AI125" s="239">
        <v>0</v>
      </c>
      <c r="AJ125" s="239">
        <v>1081948</v>
      </c>
      <c r="AK125" s="239">
        <v>310938</v>
      </c>
      <c r="AL125" s="239">
        <v>0</v>
      </c>
      <c r="AM125" s="239">
        <v>310938</v>
      </c>
      <c r="AN125" s="239">
        <v>-5017590</v>
      </c>
      <c r="AO125" s="239">
        <v>0</v>
      </c>
      <c r="AP125" s="239">
        <v>-5017590</v>
      </c>
      <c r="AQ125" s="239">
        <v>92662</v>
      </c>
      <c r="AR125" s="239">
        <v>0</v>
      </c>
      <c r="AS125" s="239">
        <v>92662</v>
      </c>
      <c r="AT125" s="239">
        <v>-113789</v>
      </c>
      <c r="AU125" s="239">
        <v>0</v>
      </c>
      <c r="AV125" s="239">
        <v>-113789</v>
      </c>
      <c r="AW125" s="239">
        <v>71148</v>
      </c>
      <c r="AX125" s="239">
        <v>0</v>
      </c>
      <c r="AY125" s="239">
        <v>71148</v>
      </c>
      <c r="AZ125" s="239">
        <v>0</v>
      </c>
      <c r="BA125" s="239">
        <v>0</v>
      </c>
      <c r="BB125" s="239">
        <v>0</v>
      </c>
      <c r="BC125" s="239">
        <v>0</v>
      </c>
      <c r="BD125" s="239">
        <v>0</v>
      </c>
      <c r="BE125" s="239">
        <v>0</v>
      </c>
      <c r="BF125" s="239">
        <v>-8853516</v>
      </c>
      <c r="BG125" s="239">
        <v>0</v>
      </c>
      <c r="BH125" s="239">
        <v>-8853516</v>
      </c>
      <c r="BI125" s="239">
        <v>-47012</v>
      </c>
      <c r="BJ125" s="239">
        <v>0</v>
      </c>
      <c r="BK125" s="239">
        <v>-47012</v>
      </c>
      <c r="BL125" s="239">
        <v>0</v>
      </c>
      <c r="BM125" s="239">
        <v>0</v>
      </c>
      <c r="BN125" s="239">
        <v>0</v>
      </c>
      <c r="BO125" s="239">
        <v>-1553607</v>
      </c>
      <c r="BP125" s="239">
        <v>0</v>
      </c>
      <c r="BQ125" s="239">
        <v>-1553607</v>
      </c>
      <c r="BR125" s="239">
        <v>56953</v>
      </c>
      <c r="BS125" s="239">
        <v>0</v>
      </c>
      <c r="BT125" s="239">
        <v>56953</v>
      </c>
      <c r="BU125" s="239">
        <v>-1543666</v>
      </c>
      <c r="BV125" s="239">
        <v>0</v>
      </c>
      <c r="BW125" s="239">
        <v>-1543666</v>
      </c>
      <c r="BX125" s="239">
        <v>-29389</v>
      </c>
      <c r="BY125" s="239">
        <v>0</v>
      </c>
      <c r="BZ125" s="239">
        <v>-29389</v>
      </c>
      <c r="CA125" s="239">
        <v>2758</v>
      </c>
      <c r="CB125" s="239">
        <v>0</v>
      </c>
      <c r="CC125" s="239">
        <v>2758</v>
      </c>
      <c r="CD125" s="239">
        <v>-11030</v>
      </c>
      <c r="CE125" s="239">
        <v>0</v>
      </c>
      <c r="CF125" s="239">
        <v>-11030</v>
      </c>
      <c r="CG125" s="239">
        <v>0</v>
      </c>
      <c r="CH125" s="239">
        <v>0</v>
      </c>
      <c r="CI125" s="239">
        <v>0</v>
      </c>
      <c r="CJ125" s="239">
        <v>0</v>
      </c>
      <c r="CK125" s="239">
        <v>0</v>
      </c>
      <c r="CL125" s="239">
        <v>0</v>
      </c>
      <c r="CM125" s="239">
        <v>2149</v>
      </c>
      <c r="CN125" s="239">
        <v>0</v>
      </c>
      <c r="CO125" s="239">
        <v>2149</v>
      </c>
      <c r="CP125" s="239">
        <v>0</v>
      </c>
      <c r="CQ125" s="239">
        <v>0</v>
      </c>
      <c r="CR125" s="239">
        <v>0</v>
      </c>
      <c r="CS125" s="239">
        <v>0</v>
      </c>
      <c r="CT125" s="239">
        <v>0</v>
      </c>
      <c r="CU125" s="239">
        <v>0</v>
      </c>
      <c r="CV125" s="239">
        <v>0</v>
      </c>
      <c r="CW125" s="239">
        <v>0</v>
      </c>
      <c r="CX125" s="239">
        <v>0</v>
      </c>
      <c r="CY125" s="239">
        <v>0</v>
      </c>
      <c r="CZ125" s="239">
        <v>0</v>
      </c>
      <c r="DA125" s="239">
        <v>0</v>
      </c>
      <c r="DB125" s="239">
        <v>0</v>
      </c>
      <c r="DC125" s="239">
        <v>0</v>
      </c>
      <c r="DD125" s="239">
        <v>0</v>
      </c>
      <c r="DE125" s="239">
        <v>0</v>
      </c>
      <c r="DF125" s="239">
        <v>0</v>
      </c>
      <c r="DG125" s="239">
        <v>0</v>
      </c>
      <c r="DH125" s="239">
        <v>0</v>
      </c>
      <c r="DI125" s="239">
        <v>0</v>
      </c>
      <c r="DJ125" s="239">
        <v>-35512</v>
      </c>
      <c r="DK125" s="239">
        <v>0</v>
      </c>
      <c r="DL125" s="239">
        <v>-35512</v>
      </c>
      <c r="DM125" s="239">
        <v>0</v>
      </c>
      <c r="DN125" s="239">
        <v>0</v>
      </c>
      <c r="DO125" s="239">
        <v>0</v>
      </c>
      <c r="DP125" s="239">
        <v>0</v>
      </c>
      <c r="DQ125" s="239">
        <v>0</v>
      </c>
      <c r="DR125" s="239">
        <v>0</v>
      </c>
      <c r="DS125" s="239">
        <v>0</v>
      </c>
      <c r="DT125" s="239">
        <v>0</v>
      </c>
      <c r="DU125" s="239">
        <v>0</v>
      </c>
      <c r="DV125" s="239">
        <v>-118</v>
      </c>
      <c r="DW125" s="239">
        <v>0</v>
      </c>
      <c r="DX125" s="239">
        <v>-118</v>
      </c>
      <c r="DY125" s="239">
        <v>9328</v>
      </c>
      <c r="DZ125" s="239">
        <v>0</v>
      </c>
      <c r="EA125" s="239">
        <v>9328</v>
      </c>
      <c r="EB125" s="239">
        <v>0</v>
      </c>
      <c r="EC125" s="239">
        <v>0</v>
      </c>
      <c r="ED125" s="239">
        <v>0</v>
      </c>
      <c r="EE125" s="239">
        <v>0</v>
      </c>
      <c r="EF125" s="239">
        <v>0</v>
      </c>
      <c r="EG125" s="239">
        <v>0</v>
      </c>
      <c r="EH125" s="239">
        <v>0</v>
      </c>
      <c r="EI125" s="239">
        <v>0</v>
      </c>
      <c r="EJ125" s="239">
        <v>0</v>
      </c>
      <c r="EK125" s="239">
        <v>0</v>
      </c>
      <c r="EL125" s="239">
        <v>0</v>
      </c>
      <c r="EM125" s="239">
        <v>0</v>
      </c>
      <c r="EN125" s="239">
        <v>0</v>
      </c>
      <c r="EO125" s="239">
        <v>0</v>
      </c>
      <c r="EP125" s="239">
        <v>0</v>
      </c>
      <c r="EQ125" s="239">
        <v>-123267</v>
      </c>
      <c r="ER125" s="239">
        <v>0</v>
      </c>
      <c r="ES125" s="239">
        <v>-123267</v>
      </c>
      <c r="ET125" s="239">
        <v>-328352</v>
      </c>
      <c r="EU125" s="239">
        <v>0</v>
      </c>
      <c r="EV125" s="239">
        <v>-328352</v>
      </c>
      <c r="EW125" s="239">
        <v>-38997</v>
      </c>
      <c r="EX125" s="239">
        <v>0</v>
      </c>
      <c r="EY125" s="239">
        <v>-38997</v>
      </c>
      <c r="EZ125" s="239">
        <v>-481406</v>
      </c>
      <c r="FA125" s="239">
        <v>0</v>
      </c>
      <c r="FB125" s="239">
        <v>-481406</v>
      </c>
      <c r="FC125" s="239">
        <v>0</v>
      </c>
      <c r="FD125" s="239">
        <v>0</v>
      </c>
      <c r="FE125" s="239">
        <v>0</v>
      </c>
      <c r="FF125" s="239">
        <v>0</v>
      </c>
      <c r="FG125" s="239">
        <v>0</v>
      </c>
      <c r="FH125" s="239">
        <v>0</v>
      </c>
      <c r="FI125" s="239">
        <v>0</v>
      </c>
      <c r="FJ125" s="239">
        <v>0</v>
      </c>
      <c r="FK125" s="239">
        <v>0</v>
      </c>
      <c r="FL125" s="239">
        <v>64594214</v>
      </c>
      <c r="FM125" s="239">
        <v>0</v>
      </c>
      <c r="FN125" s="239">
        <v>64594214</v>
      </c>
      <c r="FO125" s="239">
        <v>-2399959</v>
      </c>
      <c r="FP125" s="239">
        <v>0</v>
      </c>
      <c r="FQ125" s="239">
        <v>-2399959</v>
      </c>
      <c r="FR125" s="239">
        <v>-8853516</v>
      </c>
      <c r="FS125" s="239">
        <v>0</v>
      </c>
      <c r="FT125" s="239">
        <v>-8853516</v>
      </c>
      <c r="FU125" s="239">
        <v>-1543666</v>
      </c>
      <c r="FV125" s="239">
        <v>0</v>
      </c>
      <c r="FW125" s="239">
        <v>-1543666</v>
      </c>
      <c r="FX125" s="239">
        <v>-35512</v>
      </c>
      <c r="FY125" s="239">
        <v>0</v>
      </c>
      <c r="FZ125" s="239">
        <v>-35512</v>
      </c>
      <c r="GA125" s="239">
        <v>-481406</v>
      </c>
      <c r="GB125" s="239">
        <v>0</v>
      </c>
      <c r="GC125" s="239">
        <v>-481406</v>
      </c>
      <c r="GD125" s="239">
        <v>0</v>
      </c>
      <c r="GE125" s="239">
        <v>0</v>
      </c>
      <c r="GF125" s="239">
        <v>0</v>
      </c>
      <c r="GG125" s="239">
        <v>-13314059</v>
      </c>
      <c r="GH125" s="239">
        <v>0</v>
      </c>
      <c r="GI125" s="239">
        <v>-13314059</v>
      </c>
      <c r="GJ125" s="239">
        <v>51280155</v>
      </c>
      <c r="GK125" s="239">
        <v>0</v>
      </c>
      <c r="GL125" s="239">
        <v>51280155</v>
      </c>
      <c r="GM125" s="214" t="s">
        <v>1159</v>
      </c>
    </row>
    <row r="126" spans="1:195" s="214" customFormat="1" x14ac:dyDescent="0.2">
      <c r="B126" s="602" t="s">
        <v>335</v>
      </c>
      <c r="C126" s="602" t="s">
        <v>334</v>
      </c>
      <c r="D126" s="239">
        <v>-1143672</v>
      </c>
      <c r="E126" s="239">
        <v>0</v>
      </c>
      <c r="F126" s="239">
        <v>-1143672</v>
      </c>
      <c r="G126" s="239">
        <v>178</v>
      </c>
      <c r="H126" s="239">
        <v>0</v>
      </c>
      <c r="I126" s="239">
        <v>178</v>
      </c>
      <c r="J126" s="239">
        <v>724543</v>
      </c>
      <c r="K126" s="239">
        <v>0</v>
      </c>
      <c r="L126" s="239">
        <v>724543</v>
      </c>
      <c r="M126" s="239">
        <v>-378449</v>
      </c>
      <c r="N126" s="239">
        <v>0</v>
      </c>
      <c r="O126" s="239">
        <v>-378449</v>
      </c>
      <c r="P126" s="239">
        <v>-797400</v>
      </c>
      <c r="Q126" s="239">
        <v>0</v>
      </c>
      <c r="R126" s="239">
        <v>-797400</v>
      </c>
      <c r="S126" s="239">
        <v>-2043328</v>
      </c>
      <c r="T126" s="239">
        <v>0</v>
      </c>
      <c r="U126" s="239">
        <v>-2043328</v>
      </c>
      <c r="V126" s="239">
        <v>0</v>
      </c>
      <c r="W126" s="239">
        <v>0</v>
      </c>
      <c r="X126" s="239">
        <v>0</v>
      </c>
      <c r="Y126" s="239">
        <v>-140592</v>
      </c>
      <c r="Z126" s="239">
        <v>0</v>
      </c>
      <c r="AA126" s="239">
        <v>-140592</v>
      </c>
      <c r="AB126" s="239">
        <v>-120398</v>
      </c>
      <c r="AC126" s="239">
        <v>0</v>
      </c>
      <c r="AD126" s="239">
        <v>-120398</v>
      </c>
      <c r="AE126" s="239">
        <v>0</v>
      </c>
      <c r="AF126" s="239">
        <v>0</v>
      </c>
      <c r="AG126" s="239">
        <v>0</v>
      </c>
      <c r="AH126" s="239">
        <v>742695</v>
      </c>
      <c r="AI126" s="239">
        <v>0</v>
      </c>
      <c r="AJ126" s="239">
        <v>742695</v>
      </c>
      <c r="AK126" s="239">
        <v>-13011</v>
      </c>
      <c r="AL126" s="239">
        <v>0</v>
      </c>
      <c r="AM126" s="239">
        <v>-13011</v>
      </c>
      <c r="AN126" s="239">
        <v>-1847065</v>
      </c>
      <c r="AO126" s="239">
        <v>0</v>
      </c>
      <c r="AP126" s="239">
        <v>-1847065</v>
      </c>
      <c r="AQ126" s="239">
        <v>-326271</v>
      </c>
      <c r="AR126" s="239">
        <v>0</v>
      </c>
      <c r="AS126" s="239">
        <v>-326271</v>
      </c>
      <c r="AT126" s="239">
        <v>-5480</v>
      </c>
      <c r="AU126" s="239">
        <v>0</v>
      </c>
      <c r="AV126" s="239">
        <v>-5480</v>
      </c>
      <c r="AW126" s="239">
        <v>4930</v>
      </c>
      <c r="AX126" s="239">
        <v>0</v>
      </c>
      <c r="AY126" s="239">
        <v>4930</v>
      </c>
      <c r="AZ126" s="239">
        <v>-1851</v>
      </c>
      <c r="BA126" s="239">
        <v>0</v>
      </c>
      <c r="BB126" s="239">
        <v>-1851</v>
      </c>
      <c r="BC126" s="239">
        <v>0</v>
      </c>
      <c r="BD126" s="239">
        <v>0</v>
      </c>
      <c r="BE126" s="239">
        <v>0</v>
      </c>
      <c r="BF126" s="239">
        <v>-3629973</v>
      </c>
      <c r="BG126" s="239">
        <v>0</v>
      </c>
      <c r="BH126" s="239">
        <v>-3629973</v>
      </c>
      <c r="BI126" s="239">
        <v>0</v>
      </c>
      <c r="BJ126" s="239">
        <v>0</v>
      </c>
      <c r="BK126" s="239">
        <v>0</v>
      </c>
      <c r="BL126" s="239">
        <v>36909</v>
      </c>
      <c r="BM126" s="239">
        <v>0</v>
      </c>
      <c r="BN126" s="239">
        <v>36909</v>
      </c>
      <c r="BO126" s="239">
        <v>-2410510</v>
      </c>
      <c r="BP126" s="239">
        <v>0</v>
      </c>
      <c r="BQ126" s="239">
        <v>-2410510</v>
      </c>
      <c r="BR126" s="239">
        <v>615056</v>
      </c>
      <c r="BS126" s="239">
        <v>0</v>
      </c>
      <c r="BT126" s="239">
        <v>615056</v>
      </c>
      <c r="BU126" s="239">
        <v>-1758545</v>
      </c>
      <c r="BV126" s="239">
        <v>0</v>
      </c>
      <c r="BW126" s="239">
        <v>-1758545</v>
      </c>
      <c r="BX126" s="239">
        <v>-125178</v>
      </c>
      <c r="BY126" s="239">
        <v>0</v>
      </c>
      <c r="BZ126" s="239">
        <v>-125178</v>
      </c>
      <c r="CA126" s="239">
        <v>-1023</v>
      </c>
      <c r="CB126" s="239">
        <v>0</v>
      </c>
      <c r="CC126" s="239">
        <v>-1023</v>
      </c>
      <c r="CD126" s="239">
        <v>-20954</v>
      </c>
      <c r="CE126" s="239">
        <v>0</v>
      </c>
      <c r="CF126" s="239">
        <v>-20954</v>
      </c>
      <c r="CG126" s="239">
        <v>11805</v>
      </c>
      <c r="CH126" s="239">
        <v>0</v>
      </c>
      <c r="CI126" s="239">
        <v>11805</v>
      </c>
      <c r="CJ126" s="239">
        <v>0</v>
      </c>
      <c r="CK126" s="239">
        <v>0</v>
      </c>
      <c r="CL126" s="239">
        <v>0</v>
      </c>
      <c r="CM126" s="239">
        <v>0</v>
      </c>
      <c r="CN126" s="239">
        <v>0</v>
      </c>
      <c r="CO126" s="239">
        <v>0</v>
      </c>
      <c r="CP126" s="239">
        <v>0</v>
      </c>
      <c r="CQ126" s="239">
        <v>0</v>
      </c>
      <c r="CR126" s="239">
        <v>0</v>
      </c>
      <c r="CS126" s="239">
        <v>0</v>
      </c>
      <c r="CT126" s="239">
        <v>0</v>
      </c>
      <c r="CU126" s="239">
        <v>0</v>
      </c>
      <c r="CV126" s="239">
        <v>0</v>
      </c>
      <c r="CW126" s="239">
        <v>0</v>
      </c>
      <c r="CX126" s="239">
        <v>0</v>
      </c>
      <c r="CY126" s="239">
        <v>0</v>
      </c>
      <c r="CZ126" s="239">
        <v>0</v>
      </c>
      <c r="DA126" s="239">
        <v>0</v>
      </c>
      <c r="DB126" s="239">
        <v>0</v>
      </c>
      <c r="DC126" s="239">
        <v>0</v>
      </c>
      <c r="DD126" s="239">
        <v>0</v>
      </c>
      <c r="DE126" s="239">
        <v>0</v>
      </c>
      <c r="DF126" s="239">
        <v>0</v>
      </c>
      <c r="DG126" s="239">
        <v>0</v>
      </c>
      <c r="DH126" s="239">
        <v>0</v>
      </c>
      <c r="DI126" s="239">
        <v>0</v>
      </c>
      <c r="DJ126" s="239">
        <v>-135350</v>
      </c>
      <c r="DK126" s="239">
        <v>0</v>
      </c>
      <c r="DL126" s="239">
        <v>-135350</v>
      </c>
      <c r="DM126" s="239">
        <v>0</v>
      </c>
      <c r="DN126" s="239">
        <v>0</v>
      </c>
      <c r="DO126" s="239">
        <v>0</v>
      </c>
      <c r="DP126" s="239">
        <v>0</v>
      </c>
      <c r="DQ126" s="239">
        <v>0</v>
      </c>
      <c r="DR126" s="239">
        <v>0</v>
      </c>
      <c r="DS126" s="239">
        <v>0</v>
      </c>
      <c r="DT126" s="239">
        <v>0</v>
      </c>
      <c r="DU126" s="239">
        <v>0</v>
      </c>
      <c r="DV126" s="239">
        <v>-9766</v>
      </c>
      <c r="DW126" s="239">
        <v>0</v>
      </c>
      <c r="DX126" s="239">
        <v>-9766</v>
      </c>
      <c r="DY126" s="239">
        <v>1944</v>
      </c>
      <c r="DZ126" s="239">
        <v>0</v>
      </c>
      <c r="EA126" s="239">
        <v>1944</v>
      </c>
      <c r="EB126" s="239">
        <v>0</v>
      </c>
      <c r="EC126" s="239">
        <v>0</v>
      </c>
      <c r="ED126" s="239">
        <v>0</v>
      </c>
      <c r="EE126" s="239">
        <v>0</v>
      </c>
      <c r="EF126" s="239">
        <v>0</v>
      </c>
      <c r="EG126" s="239">
        <v>0</v>
      </c>
      <c r="EH126" s="239">
        <v>0</v>
      </c>
      <c r="EI126" s="239">
        <v>0</v>
      </c>
      <c r="EJ126" s="239">
        <v>0</v>
      </c>
      <c r="EK126" s="239">
        <v>-1851</v>
      </c>
      <c r="EL126" s="239">
        <v>0</v>
      </c>
      <c r="EM126" s="239">
        <v>-1851</v>
      </c>
      <c r="EN126" s="239">
        <v>0</v>
      </c>
      <c r="EO126" s="239">
        <v>0</v>
      </c>
      <c r="EP126" s="239">
        <v>0</v>
      </c>
      <c r="EQ126" s="239">
        <v>-24875</v>
      </c>
      <c r="ER126" s="239">
        <v>0</v>
      </c>
      <c r="ES126" s="239">
        <v>-24875</v>
      </c>
      <c r="ET126" s="239">
        <v>-88533</v>
      </c>
      <c r="EU126" s="239">
        <v>0</v>
      </c>
      <c r="EV126" s="239">
        <v>-88533</v>
      </c>
      <c r="EW126" s="239">
        <v>-18526</v>
      </c>
      <c r="EX126" s="239">
        <v>0</v>
      </c>
      <c r="EY126" s="239">
        <v>-18526</v>
      </c>
      <c r="EZ126" s="239">
        <v>-141607</v>
      </c>
      <c r="FA126" s="239">
        <v>0</v>
      </c>
      <c r="FB126" s="239">
        <v>-141607</v>
      </c>
      <c r="FC126" s="239">
        <v>0</v>
      </c>
      <c r="FD126" s="239">
        <v>0</v>
      </c>
      <c r="FE126" s="239">
        <v>0</v>
      </c>
      <c r="FF126" s="239">
        <v>0</v>
      </c>
      <c r="FG126" s="239">
        <v>0</v>
      </c>
      <c r="FH126" s="239">
        <v>0</v>
      </c>
      <c r="FI126" s="239">
        <v>0</v>
      </c>
      <c r="FJ126" s="239">
        <v>0</v>
      </c>
      <c r="FK126" s="239">
        <v>0</v>
      </c>
      <c r="FL126" s="239">
        <v>35795436</v>
      </c>
      <c r="FM126" s="239">
        <v>0</v>
      </c>
      <c r="FN126" s="239">
        <v>35795436</v>
      </c>
      <c r="FO126" s="239">
        <v>-797400</v>
      </c>
      <c r="FP126" s="239">
        <v>0</v>
      </c>
      <c r="FQ126" s="239">
        <v>-797400</v>
      </c>
      <c r="FR126" s="239">
        <v>-3629973</v>
      </c>
      <c r="FS126" s="239">
        <v>0</v>
      </c>
      <c r="FT126" s="239">
        <v>-3629973</v>
      </c>
      <c r="FU126" s="239">
        <v>-1758545</v>
      </c>
      <c r="FV126" s="239">
        <v>0</v>
      </c>
      <c r="FW126" s="239">
        <v>-1758545</v>
      </c>
      <c r="FX126" s="239">
        <v>-135350</v>
      </c>
      <c r="FY126" s="239">
        <v>0</v>
      </c>
      <c r="FZ126" s="239">
        <v>-135350</v>
      </c>
      <c r="GA126" s="239">
        <v>-141607</v>
      </c>
      <c r="GB126" s="239">
        <v>0</v>
      </c>
      <c r="GC126" s="239">
        <v>-141607</v>
      </c>
      <c r="GD126" s="239">
        <v>0</v>
      </c>
      <c r="GE126" s="239">
        <v>0</v>
      </c>
      <c r="GF126" s="239">
        <v>0</v>
      </c>
      <c r="GG126" s="239">
        <v>-6462875</v>
      </c>
      <c r="GH126" s="239">
        <v>0</v>
      </c>
      <c r="GI126" s="239">
        <v>-6462875</v>
      </c>
      <c r="GJ126" s="239">
        <v>29332561</v>
      </c>
      <c r="GK126" s="239">
        <v>0</v>
      </c>
      <c r="GL126" s="239">
        <v>29332561</v>
      </c>
      <c r="GM126" s="214" t="s">
        <v>1158</v>
      </c>
    </row>
    <row r="127" spans="1:195" s="214" customFormat="1" x14ac:dyDescent="0.2">
      <c r="B127" s="602" t="s">
        <v>337</v>
      </c>
      <c r="C127" s="602" t="s">
        <v>336</v>
      </c>
      <c r="D127" s="239">
        <v>-864154</v>
      </c>
      <c r="E127" s="239">
        <v>-2062</v>
      </c>
      <c r="F127" s="239">
        <v>-866216</v>
      </c>
      <c r="G127" s="239">
        <v>2053</v>
      </c>
      <c r="H127" s="239">
        <v>0</v>
      </c>
      <c r="I127" s="239">
        <v>2053</v>
      </c>
      <c r="J127" s="239">
        <v>3110401</v>
      </c>
      <c r="K127" s="239">
        <v>0</v>
      </c>
      <c r="L127" s="239">
        <v>3110401</v>
      </c>
      <c r="M127" s="239">
        <v>19318</v>
      </c>
      <c r="N127" s="239">
        <v>0</v>
      </c>
      <c r="O127" s="239">
        <v>19318</v>
      </c>
      <c r="P127" s="239">
        <v>2267618</v>
      </c>
      <c r="Q127" s="239">
        <v>-2062</v>
      </c>
      <c r="R127" s="239">
        <v>2265556</v>
      </c>
      <c r="S127" s="239">
        <v>-2778453</v>
      </c>
      <c r="T127" s="239">
        <v>0</v>
      </c>
      <c r="U127" s="239">
        <v>-2778453</v>
      </c>
      <c r="V127" s="239">
        <v>0</v>
      </c>
      <c r="W127" s="239">
        <v>0</v>
      </c>
      <c r="X127" s="239">
        <v>0</v>
      </c>
      <c r="Y127" s="239">
        <v>-39889</v>
      </c>
      <c r="Z127" s="239">
        <v>0</v>
      </c>
      <c r="AA127" s="239">
        <v>-39889</v>
      </c>
      <c r="AB127" s="239">
        <v>-39889</v>
      </c>
      <c r="AC127" s="239">
        <v>0</v>
      </c>
      <c r="AD127" s="239">
        <v>-39889</v>
      </c>
      <c r="AE127" s="239">
        <v>0</v>
      </c>
      <c r="AF127" s="239">
        <v>0</v>
      </c>
      <c r="AG127" s="239">
        <v>0</v>
      </c>
      <c r="AH127" s="239">
        <v>763761</v>
      </c>
      <c r="AI127" s="239">
        <v>1905</v>
      </c>
      <c r="AJ127" s="239">
        <v>765666</v>
      </c>
      <c r="AK127" s="239">
        <v>83552</v>
      </c>
      <c r="AL127" s="239">
        <v>0</v>
      </c>
      <c r="AM127" s="239">
        <v>83552</v>
      </c>
      <c r="AN127" s="239">
        <v>-2259428</v>
      </c>
      <c r="AO127" s="239">
        <v>0</v>
      </c>
      <c r="AP127" s="239">
        <v>-2259428</v>
      </c>
      <c r="AQ127" s="239">
        <v>-9082</v>
      </c>
      <c r="AR127" s="239">
        <v>0</v>
      </c>
      <c r="AS127" s="239">
        <v>-9082</v>
      </c>
      <c r="AT127" s="239">
        <v>-29137</v>
      </c>
      <c r="AU127" s="239">
        <v>0</v>
      </c>
      <c r="AV127" s="239">
        <v>-29137</v>
      </c>
      <c r="AW127" s="239">
        <v>0</v>
      </c>
      <c r="AX127" s="239">
        <v>0</v>
      </c>
      <c r="AY127" s="239">
        <v>0</v>
      </c>
      <c r="AZ127" s="239">
        <v>0</v>
      </c>
      <c r="BA127" s="239">
        <v>0</v>
      </c>
      <c r="BB127" s="239">
        <v>0</v>
      </c>
      <c r="BC127" s="239">
        <v>0</v>
      </c>
      <c r="BD127" s="239">
        <v>0</v>
      </c>
      <c r="BE127" s="239">
        <v>0</v>
      </c>
      <c r="BF127" s="239">
        <v>-4268676</v>
      </c>
      <c r="BG127" s="239">
        <v>1905</v>
      </c>
      <c r="BH127" s="239">
        <v>-4266771</v>
      </c>
      <c r="BI127" s="239">
        <v>-63918</v>
      </c>
      <c r="BJ127" s="239">
        <v>0</v>
      </c>
      <c r="BK127" s="239">
        <v>-63918</v>
      </c>
      <c r="BL127" s="239">
        <v>16608</v>
      </c>
      <c r="BM127" s="239">
        <v>0</v>
      </c>
      <c r="BN127" s="239">
        <v>16608</v>
      </c>
      <c r="BO127" s="239">
        <v>-832073</v>
      </c>
      <c r="BP127" s="239">
        <v>0</v>
      </c>
      <c r="BQ127" s="239">
        <v>-832073</v>
      </c>
      <c r="BR127" s="239">
        <v>-85852</v>
      </c>
      <c r="BS127" s="239">
        <v>0</v>
      </c>
      <c r="BT127" s="239">
        <v>-85852</v>
      </c>
      <c r="BU127" s="239">
        <v>-965235</v>
      </c>
      <c r="BV127" s="239">
        <v>0</v>
      </c>
      <c r="BW127" s="239">
        <v>-965235</v>
      </c>
      <c r="BX127" s="239">
        <v>-121110</v>
      </c>
      <c r="BY127" s="239">
        <v>0</v>
      </c>
      <c r="BZ127" s="239">
        <v>-121110</v>
      </c>
      <c r="CA127" s="239">
        <v>805</v>
      </c>
      <c r="CB127" s="239">
        <v>0</v>
      </c>
      <c r="CC127" s="239">
        <v>805</v>
      </c>
      <c r="CD127" s="239">
        <v>-28407</v>
      </c>
      <c r="CE127" s="239">
        <v>0</v>
      </c>
      <c r="CF127" s="239">
        <v>-28407</v>
      </c>
      <c r="CG127" s="239">
        <v>0</v>
      </c>
      <c r="CH127" s="239">
        <v>0</v>
      </c>
      <c r="CI127" s="239">
        <v>0</v>
      </c>
      <c r="CJ127" s="239">
        <v>-2984</v>
      </c>
      <c r="CK127" s="239">
        <v>0</v>
      </c>
      <c r="CL127" s="239">
        <v>-2984</v>
      </c>
      <c r="CM127" s="239">
        <v>0</v>
      </c>
      <c r="CN127" s="239">
        <v>0</v>
      </c>
      <c r="CO127" s="239">
        <v>0</v>
      </c>
      <c r="CP127" s="239">
        <v>0</v>
      </c>
      <c r="CQ127" s="239">
        <v>0</v>
      </c>
      <c r="CR127" s="239">
        <v>0</v>
      </c>
      <c r="CS127" s="239">
        <v>0</v>
      </c>
      <c r="CT127" s="239">
        <v>0</v>
      </c>
      <c r="CU127" s="239">
        <v>0</v>
      </c>
      <c r="CV127" s="239">
        <v>0</v>
      </c>
      <c r="CW127" s="239">
        <v>0</v>
      </c>
      <c r="CX127" s="239">
        <v>0</v>
      </c>
      <c r="CY127" s="239">
        <v>0</v>
      </c>
      <c r="CZ127" s="239">
        <v>0</v>
      </c>
      <c r="DA127" s="239">
        <v>0</v>
      </c>
      <c r="DB127" s="239">
        <v>0</v>
      </c>
      <c r="DC127" s="239">
        <v>-79373</v>
      </c>
      <c r="DD127" s="239">
        <v>-79373</v>
      </c>
      <c r="DE127" s="239">
        <v>0</v>
      </c>
      <c r="DF127" s="239">
        <v>0</v>
      </c>
      <c r="DG127" s="239">
        <v>0</v>
      </c>
      <c r="DH127" s="239">
        <v>-79373</v>
      </c>
      <c r="DI127" s="239">
        <v>0</v>
      </c>
      <c r="DJ127" s="239">
        <v>-151696</v>
      </c>
      <c r="DK127" s="239">
        <v>-79373</v>
      </c>
      <c r="DL127" s="239">
        <v>-231069</v>
      </c>
      <c r="DM127" s="239">
        <v>0</v>
      </c>
      <c r="DN127" s="239">
        <v>0</v>
      </c>
      <c r="DO127" s="239">
        <v>0</v>
      </c>
      <c r="DP127" s="239">
        <v>0</v>
      </c>
      <c r="DQ127" s="239">
        <v>0</v>
      </c>
      <c r="DR127" s="239">
        <v>0</v>
      </c>
      <c r="DS127" s="239">
        <v>-3486</v>
      </c>
      <c r="DT127" s="239">
        <v>0</v>
      </c>
      <c r="DU127" s="239">
        <v>-3486</v>
      </c>
      <c r="DV127" s="239">
        <v>-72760</v>
      </c>
      <c r="DW127" s="239">
        <v>0</v>
      </c>
      <c r="DX127" s="239">
        <v>-72760</v>
      </c>
      <c r="DY127" s="239">
        <v>1250</v>
      </c>
      <c r="DZ127" s="239">
        <v>0</v>
      </c>
      <c r="EA127" s="239">
        <v>1250</v>
      </c>
      <c r="EB127" s="239">
        <v>0</v>
      </c>
      <c r="EC127" s="239">
        <v>0</v>
      </c>
      <c r="ED127" s="239">
        <v>0</v>
      </c>
      <c r="EE127" s="239">
        <v>0</v>
      </c>
      <c r="EF127" s="239">
        <v>0</v>
      </c>
      <c r="EG127" s="239">
        <v>0</v>
      </c>
      <c r="EH127" s="239">
        <v>0</v>
      </c>
      <c r="EI127" s="239">
        <v>0</v>
      </c>
      <c r="EJ127" s="239">
        <v>0</v>
      </c>
      <c r="EK127" s="239">
        <v>0</v>
      </c>
      <c r="EL127" s="239">
        <v>0</v>
      </c>
      <c r="EM127" s="239">
        <v>0</v>
      </c>
      <c r="EN127" s="239">
        <v>0</v>
      </c>
      <c r="EO127" s="239">
        <v>0</v>
      </c>
      <c r="EP127" s="239">
        <v>0</v>
      </c>
      <c r="EQ127" s="239">
        <v>-35122</v>
      </c>
      <c r="ER127" s="239">
        <v>0</v>
      </c>
      <c r="ES127" s="239">
        <v>-35122</v>
      </c>
      <c r="ET127" s="239">
        <v>-109979</v>
      </c>
      <c r="EU127" s="239">
        <v>-15582</v>
      </c>
      <c r="EV127" s="239">
        <v>-125561</v>
      </c>
      <c r="EW127" s="239">
        <v>-24281</v>
      </c>
      <c r="EX127" s="239">
        <v>0</v>
      </c>
      <c r="EY127" s="239">
        <v>-24281</v>
      </c>
      <c r="EZ127" s="239">
        <v>-244378</v>
      </c>
      <c r="FA127" s="239">
        <v>-15582</v>
      </c>
      <c r="FB127" s="239">
        <v>-259960</v>
      </c>
      <c r="FC127" s="239">
        <v>0</v>
      </c>
      <c r="FD127" s="239">
        <v>0</v>
      </c>
      <c r="FE127" s="239">
        <v>0</v>
      </c>
      <c r="FF127" s="239">
        <v>0</v>
      </c>
      <c r="FG127" s="239">
        <v>0</v>
      </c>
      <c r="FH127" s="239">
        <v>0</v>
      </c>
      <c r="FI127" s="239">
        <v>0</v>
      </c>
      <c r="FJ127" s="239">
        <v>0</v>
      </c>
      <c r="FK127" s="239">
        <v>0</v>
      </c>
      <c r="FL127" s="239">
        <v>35597397</v>
      </c>
      <c r="FM127" s="239">
        <v>123985</v>
      </c>
      <c r="FN127" s="239">
        <v>35721382</v>
      </c>
      <c r="FO127" s="239">
        <v>2267618</v>
      </c>
      <c r="FP127" s="239">
        <v>-2062</v>
      </c>
      <c r="FQ127" s="239">
        <v>2265556</v>
      </c>
      <c r="FR127" s="239">
        <v>-4268676</v>
      </c>
      <c r="FS127" s="239">
        <v>1905</v>
      </c>
      <c r="FT127" s="239">
        <v>-4266771</v>
      </c>
      <c r="FU127" s="239">
        <v>-965235</v>
      </c>
      <c r="FV127" s="239">
        <v>0</v>
      </c>
      <c r="FW127" s="239">
        <v>-965235</v>
      </c>
      <c r="FX127" s="239">
        <v>-151696</v>
      </c>
      <c r="FY127" s="239">
        <v>-79373</v>
      </c>
      <c r="FZ127" s="239">
        <v>-231069</v>
      </c>
      <c r="GA127" s="239">
        <v>-244378</v>
      </c>
      <c r="GB127" s="239">
        <v>-15582</v>
      </c>
      <c r="GC127" s="239">
        <v>-259960</v>
      </c>
      <c r="GD127" s="239">
        <v>0</v>
      </c>
      <c r="GE127" s="239">
        <v>0</v>
      </c>
      <c r="GF127" s="239">
        <v>0</v>
      </c>
      <c r="GG127" s="239">
        <v>-3362367</v>
      </c>
      <c r="GH127" s="239">
        <v>-95112</v>
      </c>
      <c r="GI127" s="239">
        <v>-3457479</v>
      </c>
      <c r="GJ127" s="239">
        <v>32235030</v>
      </c>
      <c r="GK127" s="239">
        <v>28873</v>
      </c>
      <c r="GL127" s="239">
        <v>32263903</v>
      </c>
      <c r="GM127" s="214" t="s">
        <v>746</v>
      </c>
    </row>
    <row r="128" spans="1:195" s="214" customFormat="1" x14ac:dyDescent="0.2">
      <c r="B128" s="602" t="s">
        <v>339</v>
      </c>
      <c r="C128" s="602" t="s">
        <v>338</v>
      </c>
      <c r="D128" s="239">
        <v>-1122058</v>
      </c>
      <c r="E128" s="239">
        <v>0</v>
      </c>
      <c r="F128" s="239">
        <v>-1122058</v>
      </c>
      <c r="G128" s="239">
        <v>17237</v>
      </c>
      <c r="H128" s="239">
        <v>0</v>
      </c>
      <c r="I128" s="239">
        <v>17237</v>
      </c>
      <c r="J128" s="239">
        <v>1181272</v>
      </c>
      <c r="K128" s="239">
        <v>0</v>
      </c>
      <c r="L128" s="239">
        <v>1181272</v>
      </c>
      <c r="M128" s="239">
        <v>14402</v>
      </c>
      <c r="N128" s="239">
        <v>0</v>
      </c>
      <c r="O128" s="239">
        <v>14402</v>
      </c>
      <c r="P128" s="239">
        <v>90853</v>
      </c>
      <c r="Q128" s="239">
        <v>0</v>
      </c>
      <c r="R128" s="239">
        <v>90853</v>
      </c>
      <c r="S128" s="239">
        <v>-3286026</v>
      </c>
      <c r="T128" s="239">
        <v>0</v>
      </c>
      <c r="U128" s="239">
        <v>-3286026</v>
      </c>
      <c r="V128" s="239">
        <v>0</v>
      </c>
      <c r="W128" s="239">
        <v>0</v>
      </c>
      <c r="X128" s="239">
        <v>0</v>
      </c>
      <c r="Y128" s="239">
        <v>-8545</v>
      </c>
      <c r="Z128" s="239">
        <v>0</v>
      </c>
      <c r="AA128" s="239">
        <v>-8545</v>
      </c>
      <c r="AB128" s="239">
        <v>7443</v>
      </c>
      <c r="AC128" s="239">
        <v>0</v>
      </c>
      <c r="AD128" s="239">
        <v>7443</v>
      </c>
      <c r="AE128" s="239">
        <v>0</v>
      </c>
      <c r="AF128" s="239">
        <v>0</v>
      </c>
      <c r="AG128" s="239">
        <v>0</v>
      </c>
      <c r="AH128" s="239">
        <v>519330</v>
      </c>
      <c r="AI128" s="239">
        <v>0</v>
      </c>
      <c r="AJ128" s="239">
        <v>519330</v>
      </c>
      <c r="AK128" s="239">
        <v>-386704</v>
      </c>
      <c r="AL128" s="239">
        <v>0</v>
      </c>
      <c r="AM128" s="239">
        <v>-386704</v>
      </c>
      <c r="AN128" s="239">
        <v>-3156737</v>
      </c>
      <c r="AO128" s="239">
        <v>0</v>
      </c>
      <c r="AP128" s="239">
        <v>-3156737</v>
      </c>
      <c r="AQ128" s="239">
        <v>-100708</v>
      </c>
      <c r="AR128" s="239">
        <v>0</v>
      </c>
      <c r="AS128" s="239">
        <v>-100708</v>
      </c>
      <c r="AT128" s="239">
        <v>-34431</v>
      </c>
      <c r="AU128" s="239">
        <v>0</v>
      </c>
      <c r="AV128" s="239">
        <v>-34431</v>
      </c>
      <c r="AW128" s="239">
        <v>-4801</v>
      </c>
      <c r="AX128" s="239">
        <v>0</v>
      </c>
      <c r="AY128" s="239">
        <v>-4801</v>
      </c>
      <c r="AZ128" s="239">
        <v>0</v>
      </c>
      <c r="BA128" s="239">
        <v>0</v>
      </c>
      <c r="BB128" s="239">
        <v>0</v>
      </c>
      <c r="BC128" s="239">
        <v>0</v>
      </c>
      <c r="BD128" s="239">
        <v>0</v>
      </c>
      <c r="BE128" s="239">
        <v>0</v>
      </c>
      <c r="BF128" s="239">
        <v>-6458622</v>
      </c>
      <c r="BG128" s="239">
        <v>0</v>
      </c>
      <c r="BH128" s="239">
        <v>-6458622</v>
      </c>
      <c r="BI128" s="239">
        <v>-1578</v>
      </c>
      <c r="BJ128" s="239">
        <v>0</v>
      </c>
      <c r="BK128" s="239">
        <v>-1578</v>
      </c>
      <c r="BL128" s="239">
        <v>-80</v>
      </c>
      <c r="BM128" s="239">
        <v>0</v>
      </c>
      <c r="BN128" s="239">
        <v>-80</v>
      </c>
      <c r="BO128" s="239">
        <v>-664412</v>
      </c>
      <c r="BP128" s="239">
        <v>0</v>
      </c>
      <c r="BQ128" s="239">
        <v>-664412</v>
      </c>
      <c r="BR128" s="239">
        <v>105713</v>
      </c>
      <c r="BS128" s="239">
        <v>0</v>
      </c>
      <c r="BT128" s="239">
        <v>105713</v>
      </c>
      <c r="BU128" s="239">
        <v>-560357</v>
      </c>
      <c r="BV128" s="239">
        <v>0</v>
      </c>
      <c r="BW128" s="239">
        <v>-560357</v>
      </c>
      <c r="BX128" s="239">
        <v>-101484</v>
      </c>
      <c r="BY128" s="239">
        <v>0</v>
      </c>
      <c r="BZ128" s="239">
        <v>-101484</v>
      </c>
      <c r="CA128" s="239">
        <v>-4684</v>
      </c>
      <c r="CB128" s="239">
        <v>0</v>
      </c>
      <c r="CC128" s="239">
        <v>-4684</v>
      </c>
      <c r="CD128" s="239">
        <v>-45989</v>
      </c>
      <c r="CE128" s="239">
        <v>0</v>
      </c>
      <c r="CF128" s="239">
        <v>-45989</v>
      </c>
      <c r="CG128" s="239">
        <v>20588</v>
      </c>
      <c r="CH128" s="239">
        <v>0</v>
      </c>
      <c r="CI128" s="239">
        <v>20588</v>
      </c>
      <c r="CJ128" s="239">
        <v>-1198</v>
      </c>
      <c r="CK128" s="239">
        <v>0</v>
      </c>
      <c r="CL128" s="239">
        <v>-1198</v>
      </c>
      <c r="CM128" s="239">
        <v>-600</v>
      </c>
      <c r="CN128" s="239">
        <v>0</v>
      </c>
      <c r="CO128" s="239">
        <v>-600</v>
      </c>
      <c r="CP128" s="239">
        <v>0</v>
      </c>
      <c r="CQ128" s="239">
        <v>0</v>
      </c>
      <c r="CR128" s="239">
        <v>0</v>
      </c>
      <c r="CS128" s="239">
        <v>0</v>
      </c>
      <c r="CT128" s="239">
        <v>0</v>
      </c>
      <c r="CU128" s="239">
        <v>0</v>
      </c>
      <c r="CV128" s="239">
        <v>0</v>
      </c>
      <c r="CW128" s="239">
        <v>0</v>
      </c>
      <c r="CX128" s="239">
        <v>0</v>
      </c>
      <c r="CY128" s="239">
        <v>0</v>
      </c>
      <c r="CZ128" s="239">
        <v>0</v>
      </c>
      <c r="DA128" s="239">
        <v>0</v>
      </c>
      <c r="DB128" s="239">
        <v>0</v>
      </c>
      <c r="DC128" s="239">
        <v>0</v>
      </c>
      <c r="DD128" s="239">
        <v>0</v>
      </c>
      <c r="DE128" s="239">
        <v>0</v>
      </c>
      <c r="DF128" s="239">
        <v>0</v>
      </c>
      <c r="DG128" s="239">
        <v>0</v>
      </c>
      <c r="DH128" s="239">
        <v>0</v>
      </c>
      <c r="DI128" s="239">
        <v>0</v>
      </c>
      <c r="DJ128" s="239">
        <v>-133367</v>
      </c>
      <c r="DK128" s="239">
        <v>0</v>
      </c>
      <c r="DL128" s="239">
        <v>-133367</v>
      </c>
      <c r="DM128" s="239">
        <v>0</v>
      </c>
      <c r="DN128" s="239">
        <v>0</v>
      </c>
      <c r="DO128" s="239">
        <v>0</v>
      </c>
      <c r="DP128" s="239">
        <v>115967</v>
      </c>
      <c r="DQ128" s="239">
        <v>0</v>
      </c>
      <c r="DR128" s="239">
        <v>115967</v>
      </c>
      <c r="DS128" s="239">
        <v>-596</v>
      </c>
      <c r="DT128" s="239">
        <v>0</v>
      </c>
      <c r="DU128" s="239">
        <v>-596</v>
      </c>
      <c r="DV128" s="239">
        <v>0</v>
      </c>
      <c r="DW128" s="239">
        <v>0</v>
      </c>
      <c r="DX128" s="239">
        <v>0</v>
      </c>
      <c r="DY128" s="239">
        <v>4000</v>
      </c>
      <c r="DZ128" s="239">
        <v>0</v>
      </c>
      <c r="EA128" s="239">
        <v>4000</v>
      </c>
      <c r="EB128" s="239">
        <v>0</v>
      </c>
      <c r="EC128" s="239">
        <v>0</v>
      </c>
      <c r="ED128" s="239">
        <v>0</v>
      </c>
      <c r="EE128" s="239">
        <v>0</v>
      </c>
      <c r="EF128" s="239">
        <v>0</v>
      </c>
      <c r="EG128" s="239">
        <v>0</v>
      </c>
      <c r="EH128" s="239">
        <v>0</v>
      </c>
      <c r="EI128" s="239">
        <v>0</v>
      </c>
      <c r="EJ128" s="239">
        <v>0</v>
      </c>
      <c r="EK128" s="239">
        <v>0</v>
      </c>
      <c r="EL128" s="239">
        <v>0</v>
      </c>
      <c r="EM128" s="239">
        <v>0</v>
      </c>
      <c r="EN128" s="239">
        <v>0</v>
      </c>
      <c r="EO128" s="239">
        <v>0</v>
      </c>
      <c r="EP128" s="239">
        <v>0</v>
      </c>
      <c r="EQ128" s="239">
        <v>-40821</v>
      </c>
      <c r="ER128" s="239">
        <v>0</v>
      </c>
      <c r="ES128" s="239">
        <v>-40821</v>
      </c>
      <c r="ET128" s="239">
        <v>-230000</v>
      </c>
      <c r="EU128" s="239">
        <v>0</v>
      </c>
      <c r="EV128" s="239">
        <v>-230000</v>
      </c>
      <c r="EW128" s="239">
        <v>-33930</v>
      </c>
      <c r="EX128" s="239">
        <v>0</v>
      </c>
      <c r="EY128" s="239">
        <v>-33930</v>
      </c>
      <c r="EZ128" s="239">
        <v>-185380</v>
      </c>
      <c r="FA128" s="239">
        <v>0</v>
      </c>
      <c r="FB128" s="239">
        <v>-185380</v>
      </c>
      <c r="FC128" s="239">
        <v>0</v>
      </c>
      <c r="FD128" s="239">
        <v>0</v>
      </c>
      <c r="FE128" s="239">
        <v>0</v>
      </c>
      <c r="FF128" s="239">
        <v>0</v>
      </c>
      <c r="FG128" s="239">
        <v>0</v>
      </c>
      <c r="FH128" s="239">
        <v>0</v>
      </c>
      <c r="FI128" s="239">
        <v>0</v>
      </c>
      <c r="FJ128" s="239">
        <v>0</v>
      </c>
      <c r="FK128" s="239">
        <v>0</v>
      </c>
      <c r="FL128" s="239">
        <v>28736036</v>
      </c>
      <c r="FM128" s="239">
        <v>0</v>
      </c>
      <c r="FN128" s="239">
        <v>28736036</v>
      </c>
      <c r="FO128" s="239">
        <v>90853</v>
      </c>
      <c r="FP128" s="239">
        <v>0</v>
      </c>
      <c r="FQ128" s="239">
        <v>90853</v>
      </c>
      <c r="FR128" s="239">
        <v>-6458622</v>
      </c>
      <c r="FS128" s="239">
        <v>0</v>
      </c>
      <c r="FT128" s="239">
        <v>-6458622</v>
      </c>
      <c r="FU128" s="239">
        <v>-560357</v>
      </c>
      <c r="FV128" s="239">
        <v>0</v>
      </c>
      <c r="FW128" s="239">
        <v>-560357</v>
      </c>
      <c r="FX128" s="239">
        <v>-133367</v>
      </c>
      <c r="FY128" s="239">
        <v>0</v>
      </c>
      <c r="FZ128" s="239">
        <v>-133367</v>
      </c>
      <c r="GA128" s="239">
        <v>-185380</v>
      </c>
      <c r="GB128" s="239">
        <v>0</v>
      </c>
      <c r="GC128" s="239">
        <v>-185380</v>
      </c>
      <c r="GD128" s="239">
        <v>0</v>
      </c>
      <c r="GE128" s="239">
        <v>0</v>
      </c>
      <c r="GF128" s="239">
        <v>0</v>
      </c>
      <c r="GG128" s="239">
        <v>-7246873</v>
      </c>
      <c r="GH128" s="239">
        <v>0</v>
      </c>
      <c r="GI128" s="239">
        <v>-7246873</v>
      </c>
      <c r="GJ128" s="239">
        <v>21489163</v>
      </c>
      <c r="GK128" s="239">
        <v>0</v>
      </c>
      <c r="GL128" s="239">
        <v>21489163</v>
      </c>
      <c r="GM128" s="214" t="s">
        <v>1158</v>
      </c>
    </row>
    <row r="129" spans="2:195" s="214" customFormat="1" x14ac:dyDescent="0.2">
      <c r="B129" s="602" t="s">
        <v>341</v>
      </c>
      <c r="C129" s="602" t="s">
        <v>340</v>
      </c>
      <c r="D129" s="239">
        <v>-1218242</v>
      </c>
      <c r="E129" s="239">
        <v>0</v>
      </c>
      <c r="F129" s="239">
        <v>-1218242</v>
      </c>
      <c r="G129" s="239">
        <v>-268</v>
      </c>
      <c r="H129" s="239">
        <v>0</v>
      </c>
      <c r="I129" s="239">
        <v>-268</v>
      </c>
      <c r="J129" s="239">
        <v>2274408</v>
      </c>
      <c r="K129" s="239">
        <v>0</v>
      </c>
      <c r="L129" s="239">
        <v>2274408</v>
      </c>
      <c r="M129" s="239">
        <v>291</v>
      </c>
      <c r="N129" s="239">
        <v>0</v>
      </c>
      <c r="O129" s="239">
        <v>291</v>
      </c>
      <c r="P129" s="239">
        <v>1056189</v>
      </c>
      <c r="Q129" s="239">
        <v>0</v>
      </c>
      <c r="R129" s="239">
        <v>1056189</v>
      </c>
      <c r="S129" s="239">
        <v>-3189003</v>
      </c>
      <c r="T129" s="239">
        <v>0</v>
      </c>
      <c r="U129" s="239">
        <v>-3189003</v>
      </c>
      <c r="V129" s="239">
        <v>-4054</v>
      </c>
      <c r="W129" s="239">
        <v>0</v>
      </c>
      <c r="X129" s="239">
        <v>-4054</v>
      </c>
      <c r="Y129" s="239">
        <v>-9607</v>
      </c>
      <c r="Z129" s="239">
        <v>0</v>
      </c>
      <c r="AA129" s="239">
        <v>-9607</v>
      </c>
      <c r="AB129" s="239">
        <v>-8475</v>
      </c>
      <c r="AC129" s="239">
        <v>0</v>
      </c>
      <c r="AD129" s="239">
        <v>-8475</v>
      </c>
      <c r="AE129" s="239">
        <v>195</v>
      </c>
      <c r="AF129" s="239">
        <v>0</v>
      </c>
      <c r="AG129" s="239">
        <v>195</v>
      </c>
      <c r="AH129" s="239">
        <v>762747</v>
      </c>
      <c r="AI129" s="239">
        <v>0</v>
      </c>
      <c r="AJ129" s="239">
        <v>762747</v>
      </c>
      <c r="AK129" s="239">
        <v>-8533</v>
      </c>
      <c r="AL129" s="239">
        <v>0</v>
      </c>
      <c r="AM129" s="239">
        <v>-8533</v>
      </c>
      <c r="AN129" s="239">
        <v>-2121750</v>
      </c>
      <c r="AO129" s="239">
        <v>0</v>
      </c>
      <c r="AP129" s="239">
        <v>-2121750</v>
      </c>
      <c r="AQ129" s="239">
        <v>31575</v>
      </c>
      <c r="AR129" s="239">
        <v>0</v>
      </c>
      <c r="AS129" s="239">
        <v>31575</v>
      </c>
      <c r="AT129" s="239">
        <v>-12331</v>
      </c>
      <c r="AU129" s="239">
        <v>0</v>
      </c>
      <c r="AV129" s="239">
        <v>-12331</v>
      </c>
      <c r="AW129" s="239">
        <v>-364</v>
      </c>
      <c r="AX129" s="239">
        <v>0</v>
      </c>
      <c r="AY129" s="239">
        <v>-364</v>
      </c>
      <c r="AZ129" s="239">
        <v>-2136</v>
      </c>
      <c r="BA129" s="239">
        <v>0</v>
      </c>
      <c r="BB129" s="239">
        <v>-2136</v>
      </c>
      <c r="BC129" s="239">
        <v>0</v>
      </c>
      <c r="BD129" s="239">
        <v>0</v>
      </c>
      <c r="BE129" s="239">
        <v>0</v>
      </c>
      <c r="BF129" s="239">
        <v>-4549402</v>
      </c>
      <c r="BG129" s="239">
        <v>0</v>
      </c>
      <c r="BH129" s="239">
        <v>-4549402</v>
      </c>
      <c r="BI129" s="239">
        <v>0</v>
      </c>
      <c r="BJ129" s="239">
        <v>0</v>
      </c>
      <c r="BK129" s="239">
        <v>0</v>
      </c>
      <c r="BL129" s="239">
        <v>17712</v>
      </c>
      <c r="BM129" s="239">
        <v>0</v>
      </c>
      <c r="BN129" s="239">
        <v>17712</v>
      </c>
      <c r="BO129" s="239">
        <v>-821732</v>
      </c>
      <c r="BP129" s="239">
        <v>0</v>
      </c>
      <c r="BQ129" s="239">
        <v>-821732</v>
      </c>
      <c r="BR129" s="239">
        <v>-15660</v>
      </c>
      <c r="BS129" s="239">
        <v>0</v>
      </c>
      <c r="BT129" s="239">
        <v>-15660</v>
      </c>
      <c r="BU129" s="239">
        <v>-819680</v>
      </c>
      <c r="BV129" s="239">
        <v>0</v>
      </c>
      <c r="BW129" s="239">
        <v>-819680</v>
      </c>
      <c r="BX129" s="239">
        <v>-117035</v>
      </c>
      <c r="BY129" s="239">
        <v>0</v>
      </c>
      <c r="BZ129" s="239">
        <v>-117035</v>
      </c>
      <c r="CA129" s="239">
        <v>-358</v>
      </c>
      <c r="CB129" s="239">
        <v>0</v>
      </c>
      <c r="CC129" s="239">
        <v>-358</v>
      </c>
      <c r="CD129" s="239">
        <v>-68811</v>
      </c>
      <c r="CE129" s="239">
        <v>0</v>
      </c>
      <c r="CF129" s="239">
        <v>-68811</v>
      </c>
      <c r="CG129" s="239">
        <v>5293</v>
      </c>
      <c r="CH129" s="239">
        <v>0</v>
      </c>
      <c r="CI129" s="239">
        <v>5293</v>
      </c>
      <c r="CJ129" s="239">
        <v>-1106</v>
      </c>
      <c r="CK129" s="239">
        <v>0</v>
      </c>
      <c r="CL129" s="239">
        <v>-1106</v>
      </c>
      <c r="CM129" s="239">
        <v>-91</v>
      </c>
      <c r="CN129" s="239">
        <v>0</v>
      </c>
      <c r="CO129" s="239">
        <v>-91</v>
      </c>
      <c r="CP129" s="239">
        <v>0</v>
      </c>
      <c r="CQ129" s="239">
        <v>0</v>
      </c>
      <c r="CR129" s="239">
        <v>0</v>
      </c>
      <c r="CS129" s="239">
        <v>0</v>
      </c>
      <c r="CT129" s="239">
        <v>0</v>
      </c>
      <c r="CU129" s="239">
        <v>0</v>
      </c>
      <c r="CV129" s="239">
        <v>0</v>
      </c>
      <c r="CW129" s="239">
        <v>0</v>
      </c>
      <c r="CX129" s="239">
        <v>0</v>
      </c>
      <c r="CY129" s="239">
        <v>0</v>
      </c>
      <c r="CZ129" s="239">
        <v>0</v>
      </c>
      <c r="DA129" s="239">
        <v>0</v>
      </c>
      <c r="DB129" s="239">
        <v>0</v>
      </c>
      <c r="DC129" s="239">
        <v>0</v>
      </c>
      <c r="DD129" s="239">
        <v>0</v>
      </c>
      <c r="DE129" s="239">
        <v>0</v>
      </c>
      <c r="DF129" s="239">
        <v>0</v>
      </c>
      <c r="DG129" s="239">
        <v>0</v>
      </c>
      <c r="DH129" s="239">
        <v>0</v>
      </c>
      <c r="DI129" s="239">
        <v>0</v>
      </c>
      <c r="DJ129" s="239">
        <v>-182108</v>
      </c>
      <c r="DK129" s="239">
        <v>0</v>
      </c>
      <c r="DL129" s="239">
        <v>-182108</v>
      </c>
      <c r="DM129" s="239">
        <v>0</v>
      </c>
      <c r="DN129" s="239">
        <v>0</v>
      </c>
      <c r="DO129" s="239">
        <v>0</v>
      </c>
      <c r="DP129" s="239">
        <v>0</v>
      </c>
      <c r="DQ129" s="239">
        <v>0</v>
      </c>
      <c r="DR129" s="239">
        <v>0</v>
      </c>
      <c r="DS129" s="239">
        <v>0</v>
      </c>
      <c r="DT129" s="239">
        <v>0</v>
      </c>
      <c r="DU129" s="239">
        <v>0</v>
      </c>
      <c r="DV129" s="239">
        <v>0</v>
      </c>
      <c r="DW129" s="239">
        <v>0</v>
      </c>
      <c r="DX129" s="239">
        <v>0</v>
      </c>
      <c r="DY129" s="239">
        <v>2500</v>
      </c>
      <c r="DZ129" s="239">
        <v>0</v>
      </c>
      <c r="EA129" s="239">
        <v>2500</v>
      </c>
      <c r="EB129" s="239">
        <v>0</v>
      </c>
      <c r="EC129" s="239">
        <v>0</v>
      </c>
      <c r="ED129" s="239">
        <v>0</v>
      </c>
      <c r="EE129" s="239">
        <v>0</v>
      </c>
      <c r="EF129" s="239">
        <v>0</v>
      </c>
      <c r="EG129" s="239">
        <v>0</v>
      </c>
      <c r="EH129" s="239">
        <v>0</v>
      </c>
      <c r="EI129" s="239">
        <v>0</v>
      </c>
      <c r="EJ129" s="239">
        <v>0</v>
      </c>
      <c r="EK129" s="239">
        <v>-2136</v>
      </c>
      <c r="EL129" s="239">
        <v>0</v>
      </c>
      <c r="EM129" s="239">
        <v>-2136</v>
      </c>
      <c r="EN129" s="239">
        <v>0</v>
      </c>
      <c r="EO129" s="239">
        <v>0</v>
      </c>
      <c r="EP129" s="239">
        <v>0</v>
      </c>
      <c r="EQ129" s="239">
        <v>-3920</v>
      </c>
      <c r="ER129" s="239">
        <v>0</v>
      </c>
      <c r="ES129" s="239">
        <v>-3920</v>
      </c>
      <c r="ET129" s="239">
        <v>-166204</v>
      </c>
      <c r="EU129" s="239">
        <v>0</v>
      </c>
      <c r="EV129" s="239">
        <v>-166204</v>
      </c>
      <c r="EW129" s="239">
        <v>-16496</v>
      </c>
      <c r="EX129" s="239">
        <v>0</v>
      </c>
      <c r="EY129" s="239">
        <v>-16496</v>
      </c>
      <c r="EZ129" s="239">
        <v>-186256</v>
      </c>
      <c r="FA129" s="239">
        <v>0</v>
      </c>
      <c r="FB129" s="239">
        <v>-186256</v>
      </c>
      <c r="FC129" s="239">
        <v>0</v>
      </c>
      <c r="FD129" s="239">
        <v>0</v>
      </c>
      <c r="FE129" s="239">
        <v>0</v>
      </c>
      <c r="FF129" s="239">
        <v>0</v>
      </c>
      <c r="FG129" s="239">
        <v>0</v>
      </c>
      <c r="FH129" s="239">
        <v>0</v>
      </c>
      <c r="FI129" s="239">
        <v>0</v>
      </c>
      <c r="FJ129" s="239">
        <v>0</v>
      </c>
      <c r="FK129" s="239">
        <v>0</v>
      </c>
      <c r="FL129" s="239">
        <v>39299491</v>
      </c>
      <c r="FM129" s="239">
        <v>0</v>
      </c>
      <c r="FN129" s="239">
        <v>39299491</v>
      </c>
      <c r="FO129" s="239">
        <v>1056189</v>
      </c>
      <c r="FP129" s="239">
        <v>0</v>
      </c>
      <c r="FQ129" s="239">
        <v>1056189</v>
      </c>
      <c r="FR129" s="239">
        <v>-4549402</v>
      </c>
      <c r="FS129" s="239">
        <v>0</v>
      </c>
      <c r="FT129" s="239">
        <v>-4549402</v>
      </c>
      <c r="FU129" s="239">
        <v>-819680</v>
      </c>
      <c r="FV129" s="239">
        <v>0</v>
      </c>
      <c r="FW129" s="239">
        <v>-819680</v>
      </c>
      <c r="FX129" s="239">
        <v>-182108</v>
      </c>
      <c r="FY129" s="239">
        <v>0</v>
      </c>
      <c r="FZ129" s="239">
        <v>-182108</v>
      </c>
      <c r="GA129" s="239">
        <v>-186256</v>
      </c>
      <c r="GB129" s="239">
        <v>0</v>
      </c>
      <c r="GC129" s="239">
        <v>-186256</v>
      </c>
      <c r="GD129" s="239">
        <v>0</v>
      </c>
      <c r="GE129" s="239">
        <v>0</v>
      </c>
      <c r="GF129" s="239">
        <v>0</v>
      </c>
      <c r="GG129" s="239">
        <v>-4681257</v>
      </c>
      <c r="GH129" s="239">
        <v>0</v>
      </c>
      <c r="GI129" s="239">
        <v>-4681257</v>
      </c>
      <c r="GJ129" s="239">
        <v>34618234</v>
      </c>
      <c r="GK129" s="239">
        <v>0</v>
      </c>
      <c r="GL129" s="239">
        <v>34618234</v>
      </c>
      <c r="GM129" s="214" t="s">
        <v>1158</v>
      </c>
    </row>
    <row r="130" spans="2:195" s="214" customFormat="1" x14ac:dyDescent="0.2">
      <c r="B130" s="602" t="s">
        <v>343</v>
      </c>
      <c r="C130" s="602" t="s">
        <v>342</v>
      </c>
      <c r="D130" s="239">
        <v>-5174426</v>
      </c>
      <c r="E130" s="239">
        <v>0</v>
      </c>
      <c r="F130" s="239">
        <v>-5174426</v>
      </c>
      <c r="G130" s="239">
        <v>22669</v>
      </c>
      <c r="H130" s="239">
        <v>0</v>
      </c>
      <c r="I130" s="239">
        <v>22669</v>
      </c>
      <c r="J130" s="239">
        <v>3212490</v>
      </c>
      <c r="K130" s="239">
        <v>0</v>
      </c>
      <c r="L130" s="239">
        <v>3212490</v>
      </c>
      <c r="M130" s="239">
        <v>3272</v>
      </c>
      <c r="N130" s="239">
        <v>0</v>
      </c>
      <c r="O130" s="239">
        <v>3272</v>
      </c>
      <c r="P130" s="239">
        <v>-1935995</v>
      </c>
      <c r="Q130" s="239">
        <v>0</v>
      </c>
      <c r="R130" s="239">
        <v>-1935995</v>
      </c>
      <c r="S130" s="239">
        <v>-5709544</v>
      </c>
      <c r="T130" s="239">
        <v>0</v>
      </c>
      <c r="U130" s="239">
        <v>-5709544</v>
      </c>
      <c r="V130" s="239">
        <v>-105</v>
      </c>
      <c r="W130" s="239">
        <v>0</v>
      </c>
      <c r="X130" s="239">
        <v>-105</v>
      </c>
      <c r="Y130" s="239">
        <v>-260373</v>
      </c>
      <c r="Z130" s="239">
        <v>0</v>
      </c>
      <c r="AA130" s="239">
        <v>-260373</v>
      </c>
      <c r="AB130" s="239">
        <v>-260373</v>
      </c>
      <c r="AC130" s="239">
        <v>0</v>
      </c>
      <c r="AD130" s="239">
        <v>-260373</v>
      </c>
      <c r="AE130" s="239">
        <v>0</v>
      </c>
      <c r="AF130" s="239">
        <v>0</v>
      </c>
      <c r="AG130" s="239">
        <v>0</v>
      </c>
      <c r="AH130" s="239">
        <v>1874003</v>
      </c>
      <c r="AI130" s="239">
        <v>0</v>
      </c>
      <c r="AJ130" s="239">
        <v>1874003</v>
      </c>
      <c r="AK130" s="239">
        <v>-626</v>
      </c>
      <c r="AL130" s="239">
        <v>0</v>
      </c>
      <c r="AM130" s="239">
        <v>-626</v>
      </c>
      <c r="AN130" s="239">
        <v>-5159605</v>
      </c>
      <c r="AO130" s="239">
        <v>0</v>
      </c>
      <c r="AP130" s="239">
        <v>-5159605</v>
      </c>
      <c r="AQ130" s="239">
        <v>-109920</v>
      </c>
      <c r="AR130" s="239">
        <v>0</v>
      </c>
      <c r="AS130" s="239">
        <v>-109920</v>
      </c>
      <c r="AT130" s="239">
        <v>-362863</v>
      </c>
      <c r="AU130" s="239">
        <v>0</v>
      </c>
      <c r="AV130" s="239">
        <v>-362863</v>
      </c>
      <c r="AW130" s="239">
        <v>-5131</v>
      </c>
      <c r="AX130" s="239">
        <v>0</v>
      </c>
      <c r="AY130" s="239">
        <v>-5131</v>
      </c>
      <c r="AZ130" s="239">
        <v>0</v>
      </c>
      <c r="BA130" s="239">
        <v>0</v>
      </c>
      <c r="BB130" s="239">
        <v>0</v>
      </c>
      <c r="BC130" s="239">
        <v>0</v>
      </c>
      <c r="BD130" s="239">
        <v>0</v>
      </c>
      <c r="BE130" s="239">
        <v>0</v>
      </c>
      <c r="BF130" s="239">
        <v>-9734059</v>
      </c>
      <c r="BG130" s="239">
        <v>0</v>
      </c>
      <c r="BH130" s="239">
        <v>-9734059</v>
      </c>
      <c r="BI130" s="239">
        <v>-143472</v>
      </c>
      <c r="BJ130" s="239">
        <v>0</v>
      </c>
      <c r="BK130" s="239">
        <v>-143472</v>
      </c>
      <c r="BL130" s="239">
        <v>-11920</v>
      </c>
      <c r="BM130" s="239">
        <v>0</v>
      </c>
      <c r="BN130" s="239">
        <v>-11920</v>
      </c>
      <c r="BO130" s="239">
        <v>-2749184</v>
      </c>
      <c r="BP130" s="239">
        <v>0</v>
      </c>
      <c r="BQ130" s="239">
        <v>-2749184</v>
      </c>
      <c r="BR130" s="239">
        <v>354708</v>
      </c>
      <c r="BS130" s="239">
        <v>0</v>
      </c>
      <c r="BT130" s="239">
        <v>354708</v>
      </c>
      <c r="BU130" s="239">
        <v>-2549868</v>
      </c>
      <c r="BV130" s="239">
        <v>0</v>
      </c>
      <c r="BW130" s="239">
        <v>-2549868</v>
      </c>
      <c r="BX130" s="239">
        <v>-123486</v>
      </c>
      <c r="BY130" s="239">
        <v>0</v>
      </c>
      <c r="BZ130" s="239">
        <v>-123486</v>
      </c>
      <c r="CA130" s="239">
        <v>660</v>
      </c>
      <c r="CB130" s="239">
        <v>0</v>
      </c>
      <c r="CC130" s="239">
        <v>660</v>
      </c>
      <c r="CD130" s="239">
        <v>-11961</v>
      </c>
      <c r="CE130" s="239">
        <v>0</v>
      </c>
      <c r="CF130" s="239">
        <v>-11961</v>
      </c>
      <c r="CG130" s="239">
        <v>0</v>
      </c>
      <c r="CH130" s="239">
        <v>0</v>
      </c>
      <c r="CI130" s="239">
        <v>0</v>
      </c>
      <c r="CJ130" s="239">
        <v>-73668</v>
      </c>
      <c r="CK130" s="239">
        <v>0</v>
      </c>
      <c r="CL130" s="239">
        <v>-73668</v>
      </c>
      <c r="CM130" s="239">
        <v>0</v>
      </c>
      <c r="CN130" s="239">
        <v>0</v>
      </c>
      <c r="CO130" s="239">
        <v>0</v>
      </c>
      <c r="CP130" s="239">
        <v>0</v>
      </c>
      <c r="CQ130" s="239">
        <v>0</v>
      </c>
      <c r="CR130" s="239">
        <v>0</v>
      </c>
      <c r="CS130" s="239">
        <v>0</v>
      </c>
      <c r="CT130" s="239">
        <v>0</v>
      </c>
      <c r="CU130" s="239">
        <v>0</v>
      </c>
      <c r="CV130" s="239">
        <v>0</v>
      </c>
      <c r="CW130" s="239">
        <v>0</v>
      </c>
      <c r="CX130" s="239">
        <v>0</v>
      </c>
      <c r="CY130" s="239">
        <v>0</v>
      </c>
      <c r="CZ130" s="239">
        <v>0</v>
      </c>
      <c r="DA130" s="239">
        <v>0</v>
      </c>
      <c r="DB130" s="239">
        <v>0</v>
      </c>
      <c r="DC130" s="239">
        <v>0</v>
      </c>
      <c r="DD130" s="239">
        <v>0</v>
      </c>
      <c r="DE130" s="239">
        <v>0</v>
      </c>
      <c r="DF130" s="239">
        <v>0</v>
      </c>
      <c r="DG130" s="239">
        <v>0</v>
      </c>
      <c r="DH130" s="239">
        <v>0</v>
      </c>
      <c r="DI130" s="239">
        <v>0</v>
      </c>
      <c r="DJ130" s="239">
        <v>-208455</v>
      </c>
      <c r="DK130" s="239">
        <v>0</v>
      </c>
      <c r="DL130" s="239">
        <v>-208455</v>
      </c>
      <c r="DM130" s="239">
        <v>0</v>
      </c>
      <c r="DN130" s="239">
        <v>0</v>
      </c>
      <c r="DO130" s="239">
        <v>0</v>
      </c>
      <c r="DP130" s="239">
        <v>0</v>
      </c>
      <c r="DQ130" s="239">
        <v>0</v>
      </c>
      <c r="DR130" s="239">
        <v>0</v>
      </c>
      <c r="DS130" s="239">
        <v>0</v>
      </c>
      <c r="DT130" s="239">
        <v>0</v>
      </c>
      <c r="DU130" s="239">
        <v>0</v>
      </c>
      <c r="DV130" s="239">
        <v>-24074</v>
      </c>
      <c r="DW130" s="239">
        <v>0</v>
      </c>
      <c r="DX130" s="239">
        <v>-24074</v>
      </c>
      <c r="DY130" s="239">
        <v>6061</v>
      </c>
      <c r="DZ130" s="239">
        <v>0</v>
      </c>
      <c r="EA130" s="239">
        <v>6061</v>
      </c>
      <c r="EB130" s="239">
        <v>0</v>
      </c>
      <c r="EC130" s="239">
        <v>0</v>
      </c>
      <c r="ED130" s="239">
        <v>0</v>
      </c>
      <c r="EE130" s="239">
        <v>0</v>
      </c>
      <c r="EF130" s="239">
        <v>0</v>
      </c>
      <c r="EG130" s="239">
        <v>0</v>
      </c>
      <c r="EH130" s="239">
        <v>723</v>
      </c>
      <c r="EI130" s="239">
        <v>0</v>
      </c>
      <c r="EJ130" s="239">
        <v>723</v>
      </c>
      <c r="EK130" s="239">
        <v>0</v>
      </c>
      <c r="EL130" s="239">
        <v>0</v>
      </c>
      <c r="EM130" s="239">
        <v>0</v>
      </c>
      <c r="EN130" s="239">
        <v>0</v>
      </c>
      <c r="EO130" s="239">
        <v>0</v>
      </c>
      <c r="EP130" s="239">
        <v>0</v>
      </c>
      <c r="EQ130" s="239">
        <v>-129016</v>
      </c>
      <c r="ER130" s="239">
        <v>0</v>
      </c>
      <c r="ES130" s="239">
        <v>-129016</v>
      </c>
      <c r="ET130" s="239">
        <v>-970189</v>
      </c>
      <c r="EU130" s="239">
        <v>0</v>
      </c>
      <c r="EV130" s="239">
        <v>-970189</v>
      </c>
      <c r="EW130" s="239">
        <v>-25770</v>
      </c>
      <c r="EX130" s="239">
        <v>0</v>
      </c>
      <c r="EY130" s="239">
        <v>-25770</v>
      </c>
      <c r="EZ130" s="239">
        <v>-1142265</v>
      </c>
      <c r="FA130" s="239">
        <v>0</v>
      </c>
      <c r="FB130" s="239">
        <v>-1142265</v>
      </c>
      <c r="FC130" s="239">
        <v>0</v>
      </c>
      <c r="FD130" s="239">
        <v>0</v>
      </c>
      <c r="FE130" s="239">
        <v>0</v>
      </c>
      <c r="FF130" s="239">
        <v>0</v>
      </c>
      <c r="FG130" s="239">
        <v>0</v>
      </c>
      <c r="FH130" s="239">
        <v>0</v>
      </c>
      <c r="FI130" s="239">
        <v>0</v>
      </c>
      <c r="FJ130" s="239">
        <v>0</v>
      </c>
      <c r="FK130" s="239">
        <v>0</v>
      </c>
      <c r="FL130" s="239">
        <v>94692898</v>
      </c>
      <c r="FM130" s="239">
        <v>0</v>
      </c>
      <c r="FN130" s="239">
        <v>94692898</v>
      </c>
      <c r="FO130" s="239">
        <v>-1935995</v>
      </c>
      <c r="FP130" s="239">
        <v>0</v>
      </c>
      <c r="FQ130" s="239">
        <v>-1935995</v>
      </c>
      <c r="FR130" s="239">
        <v>-9734059</v>
      </c>
      <c r="FS130" s="239">
        <v>0</v>
      </c>
      <c r="FT130" s="239">
        <v>-9734059</v>
      </c>
      <c r="FU130" s="239">
        <v>-2549868</v>
      </c>
      <c r="FV130" s="239">
        <v>0</v>
      </c>
      <c r="FW130" s="239">
        <v>-2549868</v>
      </c>
      <c r="FX130" s="239">
        <v>-208455</v>
      </c>
      <c r="FY130" s="239">
        <v>0</v>
      </c>
      <c r="FZ130" s="239">
        <v>-208455</v>
      </c>
      <c r="GA130" s="239">
        <v>-1142265</v>
      </c>
      <c r="GB130" s="239">
        <v>0</v>
      </c>
      <c r="GC130" s="239">
        <v>-1142265</v>
      </c>
      <c r="GD130" s="239">
        <v>0</v>
      </c>
      <c r="GE130" s="239">
        <v>0</v>
      </c>
      <c r="GF130" s="239">
        <v>0</v>
      </c>
      <c r="GG130" s="239">
        <v>-15570642</v>
      </c>
      <c r="GH130" s="239">
        <v>0</v>
      </c>
      <c r="GI130" s="239">
        <v>-15570642</v>
      </c>
      <c r="GJ130" s="239">
        <v>79122256</v>
      </c>
      <c r="GK130" s="239">
        <v>0</v>
      </c>
      <c r="GL130" s="239">
        <v>79122256</v>
      </c>
      <c r="GM130" s="214" t="s">
        <v>1159</v>
      </c>
    </row>
    <row r="131" spans="2:195" s="214" customFormat="1" x14ac:dyDescent="0.2">
      <c r="B131" s="602" t="s">
        <v>345</v>
      </c>
      <c r="C131" s="602" t="s">
        <v>344</v>
      </c>
      <c r="D131" s="239">
        <v>-2904864</v>
      </c>
      <c r="E131" s="239">
        <v>-14301</v>
      </c>
      <c r="F131" s="239">
        <v>-2919165</v>
      </c>
      <c r="G131" s="239">
        <v>37032</v>
      </c>
      <c r="H131" s="239">
        <v>0</v>
      </c>
      <c r="I131" s="239">
        <v>37032</v>
      </c>
      <c r="J131" s="239">
        <v>3064378</v>
      </c>
      <c r="K131" s="239">
        <v>41551</v>
      </c>
      <c r="L131" s="239">
        <v>3105929</v>
      </c>
      <c r="M131" s="239">
        <v>-26207</v>
      </c>
      <c r="N131" s="239">
        <v>0</v>
      </c>
      <c r="O131" s="239">
        <v>-26207</v>
      </c>
      <c r="P131" s="239">
        <v>170339</v>
      </c>
      <c r="Q131" s="239">
        <v>27250</v>
      </c>
      <c r="R131" s="239">
        <v>197589</v>
      </c>
      <c r="S131" s="239">
        <v>-7960583</v>
      </c>
      <c r="T131" s="239">
        <v>-75740</v>
      </c>
      <c r="U131" s="239">
        <v>-8036323</v>
      </c>
      <c r="V131" s="239">
        <v>0</v>
      </c>
      <c r="W131" s="239">
        <v>0</v>
      </c>
      <c r="X131" s="239">
        <v>0</v>
      </c>
      <c r="Y131" s="239">
        <v>-355302</v>
      </c>
      <c r="Z131" s="239">
        <v>135</v>
      </c>
      <c r="AA131" s="239">
        <v>-355167</v>
      </c>
      <c r="AB131" s="239">
        <v>-280650</v>
      </c>
      <c r="AC131" s="239">
        <v>0</v>
      </c>
      <c r="AD131" s="239">
        <v>-280650</v>
      </c>
      <c r="AE131" s="239">
        <v>0</v>
      </c>
      <c r="AF131" s="239">
        <v>0</v>
      </c>
      <c r="AG131" s="239">
        <v>0</v>
      </c>
      <c r="AH131" s="239">
        <v>1008594</v>
      </c>
      <c r="AI131" s="239">
        <v>9439</v>
      </c>
      <c r="AJ131" s="239">
        <v>1018033</v>
      </c>
      <c r="AK131" s="239">
        <v>-24536</v>
      </c>
      <c r="AL131" s="239">
        <v>472</v>
      </c>
      <c r="AM131" s="239">
        <v>-24064</v>
      </c>
      <c r="AN131" s="239">
        <v>-4466283</v>
      </c>
      <c r="AO131" s="239">
        <v>0</v>
      </c>
      <c r="AP131" s="239">
        <v>-4466283</v>
      </c>
      <c r="AQ131" s="239">
        <v>-43156</v>
      </c>
      <c r="AR131" s="239">
        <v>0</v>
      </c>
      <c r="AS131" s="239">
        <v>-43156</v>
      </c>
      <c r="AT131" s="239">
        <v>-87708</v>
      </c>
      <c r="AU131" s="239">
        <v>0</v>
      </c>
      <c r="AV131" s="239">
        <v>-87708</v>
      </c>
      <c r="AW131" s="239">
        <v>-817</v>
      </c>
      <c r="AX131" s="239">
        <v>0</v>
      </c>
      <c r="AY131" s="239">
        <v>-817</v>
      </c>
      <c r="AZ131" s="239">
        <v>-81781</v>
      </c>
      <c r="BA131" s="239">
        <v>0</v>
      </c>
      <c r="BB131" s="239">
        <v>-81781</v>
      </c>
      <c r="BC131" s="239">
        <v>-4211</v>
      </c>
      <c r="BD131" s="239">
        <v>0</v>
      </c>
      <c r="BE131" s="239">
        <v>-4211</v>
      </c>
      <c r="BF131" s="239">
        <v>-12015783</v>
      </c>
      <c r="BG131" s="239">
        <v>-65694</v>
      </c>
      <c r="BH131" s="239">
        <v>-12081477</v>
      </c>
      <c r="BI131" s="239">
        <v>0</v>
      </c>
      <c r="BJ131" s="239">
        <v>0</v>
      </c>
      <c r="BK131" s="239">
        <v>0</v>
      </c>
      <c r="BL131" s="239">
        <v>0</v>
      </c>
      <c r="BM131" s="239">
        <v>0</v>
      </c>
      <c r="BN131" s="239">
        <v>0</v>
      </c>
      <c r="BO131" s="239">
        <v>-1686252</v>
      </c>
      <c r="BP131" s="239">
        <v>-12598</v>
      </c>
      <c r="BQ131" s="239">
        <v>-1698850</v>
      </c>
      <c r="BR131" s="239">
        <v>2261</v>
      </c>
      <c r="BS131" s="239">
        <v>-4818</v>
      </c>
      <c r="BT131" s="239">
        <v>-2557</v>
      </c>
      <c r="BU131" s="239">
        <v>-1683991</v>
      </c>
      <c r="BV131" s="239">
        <v>-17416</v>
      </c>
      <c r="BW131" s="239">
        <v>-1701407</v>
      </c>
      <c r="BX131" s="239">
        <v>-357535</v>
      </c>
      <c r="BY131" s="239">
        <v>0</v>
      </c>
      <c r="BZ131" s="239">
        <v>-357535</v>
      </c>
      <c r="CA131" s="239">
        <v>-793</v>
      </c>
      <c r="CB131" s="239">
        <v>0</v>
      </c>
      <c r="CC131" s="239">
        <v>-793</v>
      </c>
      <c r="CD131" s="239">
        <v>-91586</v>
      </c>
      <c r="CE131" s="239">
        <v>0</v>
      </c>
      <c r="CF131" s="239">
        <v>-91586</v>
      </c>
      <c r="CG131" s="239">
        <v>-1407</v>
      </c>
      <c r="CH131" s="239">
        <v>0</v>
      </c>
      <c r="CI131" s="239">
        <v>-1407</v>
      </c>
      <c r="CJ131" s="239">
        <v>-13072</v>
      </c>
      <c r="CK131" s="239">
        <v>0</v>
      </c>
      <c r="CL131" s="239">
        <v>-13072</v>
      </c>
      <c r="CM131" s="239">
        <v>-136</v>
      </c>
      <c r="CN131" s="239">
        <v>0</v>
      </c>
      <c r="CO131" s="239">
        <v>-136</v>
      </c>
      <c r="CP131" s="239">
        <v>0</v>
      </c>
      <c r="CQ131" s="239">
        <v>0</v>
      </c>
      <c r="CR131" s="239">
        <v>0</v>
      </c>
      <c r="CS131" s="239">
        <v>-2110</v>
      </c>
      <c r="CT131" s="239">
        <v>0</v>
      </c>
      <c r="CU131" s="239">
        <v>-2110</v>
      </c>
      <c r="CV131" s="239">
        <v>0</v>
      </c>
      <c r="CW131" s="239">
        <v>0</v>
      </c>
      <c r="CX131" s="239">
        <v>0</v>
      </c>
      <c r="CY131" s="239">
        <v>0</v>
      </c>
      <c r="CZ131" s="239">
        <v>0</v>
      </c>
      <c r="DA131" s="239">
        <v>0</v>
      </c>
      <c r="DB131" s="239">
        <v>0</v>
      </c>
      <c r="DC131" s="239">
        <v>-313818</v>
      </c>
      <c r="DD131" s="239">
        <v>-313818</v>
      </c>
      <c r="DE131" s="239">
        <v>0</v>
      </c>
      <c r="DF131" s="239">
        <v>-15823</v>
      </c>
      <c r="DG131" s="239">
        <v>-15823</v>
      </c>
      <c r="DH131" s="239">
        <v>-329641</v>
      </c>
      <c r="DI131" s="239">
        <v>0</v>
      </c>
      <c r="DJ131" s="239">
        <v>-466639</v>
      </c>
      <c r="DK131" s="239">
        <v>-329641</v>
      </c>
      <c r="DL131" s="239">
        <v>-796280</v>
      </c>
      <c r="DM131" s="239">
        <v>-4379</v>
      </c>
      <c r="DN131" s="239">
        <v>0</v>
      </c>
      <c r="DO131" s="239">
        <v>-4379</v>
      </c>
      <c r="DP131" s="239">
        <v>-10009</v>
      </c>
      <c r="DQ131" s="239">
        <v>0</v>
      </c>
      <c r="DR131" s="239">
        <v>-10009</v>
      </c>
      <c r="DS131" s="239">
        <v>-1491</v>
      </c>
      <c r="DT131" s="239">
        <v>0</v>
      </c>
      <c r="DU131" s="239">
        <v>-1491</v>
      </c>
      <c r="DV131" s="239">
        <v>0</v>
      </c>
      <c r="DW131" s="239">
        <v>0</v>
      </c>
      <c r="DX131" s="239">
        <v>0</v>
      </c>
      <c r="DY131" s="239">
        <v>16105</v>
      </c>
      <c r="DZ131" s="239">
        <v>0</v>
      </c>
      <c r="EA131" s="239">
        <v>16105</v>
      </c>
      <c r="EB131" s="239">
        <v>0</v>
      </c>
      <c r="EC131" s="239">
        <v>0</v>
      </c>
      <c r="ED131" s="239">
        <v>0</v>
      </c>
      <c r="EE131" s="239">
        <v>0</v>
      </c>
      <c r="EF131" s="239">
        <v>0</v>
      </c>
      <c r="EG131" s="239">
        <v>0</v>
      </c>
      <c r="EH131" s="239">
        <v>0</v>
      </c>
      <c r="EI131" s="239">
        <v>0</v>
      </c>
      <c r="EJ131" s="239">
        <v>0</v>
      </c>
      <c r="EK131" s="239">
        <v>-80699</v>
      </c>
      <c r="EL131" s="239">
        <v>0</v>
      </c>
      <c r="EM131" s="239">
        <v>-80699</v>
      </c>
      <c r="EN131" s="239">
        <v>-1500</v>
      </c>
      <c r="EO131" s="239">
        <v>0</v>
      </c>
      <c r="EP131" s="239">
        <v>-1500</v>
      </c>
      <c r="EQ131" s="239">
        <v>-134595</v>
      </c>
      <c r="ER131" s="239">
        <v>0</v>
      </c>
      <c r="ES131" s="239">
        <v>-134595</v>
      </c>
      <c r="ET131" s="239">
        <v>-9513</v>
      </c>
      <c r="EU131" s="239">
        <v>0</v>
      </c>
      <c r="EV131" s="239">
        <v>-9513</v>
      </c>
      <c r="EW131" s="239">
        <v>-46070</v>
      </c>
      <c r="EX131" s="239">
        <v>0</v>
      </c>
      <c r="EY131" s="239">
        <v>-46070</v>
      </c>
      <c r="EZ131" s="239">
        <v>-272151</v>
      </c>
      <c r="FA131" s="239">
        <v>0</v>
      </c>
      <c r="FB131" s="239">
        <v>-272151</v>
      </c>
      <c r="FC131" s="239">
        <v>-1140</v>
      </c>
      <c r="FD131" s="239">
        <v>0</v>
      </c>
      <c r="FE131" s="239">
        <v>-1140</v>
      </c>
      <c r="FF131" s="239">
        <v>-3580</v>
      </c>
      <c r="FG131" s="239">
        <v>0</v>
      </c>
      <c r="FH131" s="239">
        <v>-3580</v>
      </c>
      <c r="FI131" s="239">
        <v>-4720</v>
      </c>
      <c r="FJ131" s="239">
        <v>0</v>
      </c>
      <c r="FK131" s="239">
        <v>-4720</v>
      </c>
      <c r="FL131" s="239">
        <v>60827115</v>
      </c>
      <c r="FM131" s="239">
        <v>724392</v>
      </c>
      <c r="FN131" s="239">
        <v>61551507</v>
      </c>
      <c r="FO131" s="239">
        <v>170339</v>
      </c>
      <c r="FP131" s="239">
        <v>27250</v>
      </c>
      <c r="FQ131" s="239">
        <v>197589</v>
      </c>
      <c r="FR131" s="239">
        <v>-12015783</v>
      </c>
      <c r="FS131" s="239">
        <v>-65694</v>
      </c>
      <c r="FT131" s="239">
        <v>-12081477</v>
      </c>
      <c r="FU131" s="239">
        <v>-1683991</v>
      </c>
      <c r="FV131" s="239">
        <v>-17416</v>
      </c>
      <c r="FW131" s="239">
        <v>-1701407</v>
      </c>
      <c r="FX131" s="239">
        <v>-466639</v>
      </c>
      <c r="FY131" s="239">
        <v>-329641</v>
      </c>
      <c r="FZ131" s="239">
        <v>-796280</v>
      </c>
      <c r="GA131" s="239">
        <v>-272151</v>
      </c>
      <c r="GB131" s="239">
        <v>0</v>
      </c>
      <c r="GC131" s="239">
        <v>-272151</v>
      </c>
      <c r="GD131" s="239">
        <v>-4720</v>
      </c>
      <c r="GE131" s="239">
        <v>0</v>
      </c>
      <c r="GF131" s="239">
        <v>-4720</v>
      </c>
      <c r="GG131" s="239">
        <v>-14272945</v>
      </c>
      <c r="GH131" s="239">
        <v>-385501</v>
      </c>
      <c r="GI131" s="239">
        <v>-14658446</v>
      </c>
      <c r="GJ131" s="239">
        <v>46554170</v>
      </c>
      <c r="GK131" s="239">
        <v>338891</v>
      </c>
      <c r="GL131" s="239">
        <v>46893061</v>
      </c>
      <c r="GM131" s="214" t="s">
        <v>746</v>
      </c>
    </row>
    <row r="132" spans="2:195" s="214" customFormat="1" x14ac:dyDescent="0.2">
      <c r="B132" s="602" t="s">
        <v>347</v>
      </c>
      <c r="C132" s="602" t="s">
        <v>346</v>
      </c>
      <c r="D132" s="239">
        <v>-1141001</v>
      </c>
      <c r="E132" s="239">
        <v>0</v>
      </c>
      <c r="F132" s="239">
        <v>-1141001</v>
      </c>
      <c r="G132" s="239">
        <v>21608</v>
      </c>
      <c r="H132" s="239">
        <v>0</v>
      </c>
      <c r="I132" s="239">
        <v>21608</v>
      </c>
      <c r="J132" s="239">
        <v>1490663</v>
      </c>
      <c r="K132" s="239">
        <v>0</v>
      </c>
      <c r="L132" s="239">
        <v>1490663</v>
      </c>
      <c r="M132" s="239">
        <v>72142</v>
      </c>
      <c r="N132" s="239">
        <v>0</v>
      </c>
      <c r="O132" s="239">
        <v>72142</v>
      </c>
      <c r="P132" s="239">
        <v>443412</v>
      </c>
      <c r="Q132" s="239">
        <v>0</v>
      </c>
      <c r="R132" s="239">
        <v>443412</v>
      </c>
      <c r="S132" s="239">
        <v>-2848419</v>
      </c>
      <c r="T132" s="239">
        <v>0</v>
      </c>
      <c r="U132" s="239">
        <v>-2848419</v>
      </c>
      <c r="V132" s="239">
        <v>0</v>
      </c>
      <c r="W132" s="239">
        <v>0</v>
      </c>
      <c r="X132" s="239">
        <v>0</v>
      </c>
      <c r="Y132" s="239">
        <v>-58837</v>
      </c>
      <c r="Z132" s="239">
        <v>0</v>
      </c>
      <c r="AA132" s="239">
        <v>-58837</v>
      </c>
      <c r="AB132" s="239">
        <v>-54350</v>
      </c>
      <c r="AC132" s="239">
        <v>0</v>
      </c>
      <c r="AD132" s="239">
        <v>-54350</v>
      </c>
      <c r="AE132" s="239">
        <v>0</v>
      </c>
      <c r="AF132" s="239">
        <v>0</v>
      </c>
      <c r="AG132" s="239">
        <v>0</v>
      </c>
      <c r="AH132" s="239">
        <v>1122705</v>
      </c>
      <c r="AI132" s="239">
        <v>0</v>
      </c>
      <c r="AJ132" s="239">
        <v>1122705</v>
      </c>
      <c r="AK132" s="239">
        <v>-32587</v>
      </c>
      <c r="AL132" s="239">
        <v>0</v>
      </c>
      <c r="AM132" s="239">
        <v>-32587</v>
      </c>
      <c r="AN132" s="239">
        <v>-5007786</v>
      </c>
      <c r="AO132" s="239">
        <v>0</v>
      </c>
      <c r="AP132" s="239">
        <v>-5007786</v>
      </c>
      <c r="AQ132" s="239">
        <v>111518</v>
      </c>
      <c r="AR132" s="239">
        <v>0</v>
      </c>
      <c r="AS132" s="239">
        <v>111518</v>
      </c>
      <c r="AT132" s="239">
        <v>-60056</v>
      </c>
      <c r="AU132" s="239">
        <v>0</v>
      </c>
      <c r="AV132" s="239">
        <v>-60056</v>
      </c>
      <c r="AW132" s="239">
        <v>0</v>
      </c>
      <c r="AX132" s="239">
        <v>0</v>
      </c>
      <c r="AY132" s="239">
        <v>0</v>
      </c>
      <c r="AZ132" s="239">
        <v>0</v>
      </c>
      <c r="BA132" s="239">
        <v>0</v>
      </c>
      <c r="BB132" s="239">
        <v>0</v>
      </c>
      <c r="BC132" s="239">
        <v>0</v>
      </c>
      <c r="BD132" s="239">
        <v>0</v>
      </c>
      <c r="BE132" s="239">
        <v>0</v>
      </c>
      <c r="BF132" s="239">
        <v>-6773462</v>
      </c>
      <c r="BG132" s="239">
        <v>0</v>
      </c>
      <c r="BH132" s="239">
        <v>-6773462</v>
      </c>
      <c r="BI132" s="239">
        <v>0</v>
      </c>
      <c r="BJ132" s="239">
        <v>0</v>
      </c>
      <c r="BK132" s="239">
        <v>0</v>
      </c>
      <c r="BL132" s="239">
        <v>7710</v>
      </c>
      <c r="BM132" s="239">
        <v>0</v>
      </c>
      <c r="BN132" s="239">
        <v>7710</v>
      </c>
      <c r="BO132" s="239">
        <v>-649246</v>
      </c>
      <c r="BP132" s="239">
        <v>0</v>
      </c>
      <c r="BQ132" s="239">
        <v>-649246</v>
      </c>
      <c r="BR132" s="239">
        <v>-37524</v>
      </c>
      <c r="BS132" s="239">
        <v>0</v>
      </c>
      <c r="BT132" s="239">
        <v>-37524</v>
      </c>
      <c r="BU132" s="239">
        <v>-679060</v>
      </c>
      <c r="BV132" s="239">
        <v>0</v>
      </c>
      <c r="BW132" s="239">
        <v>-679060</v>
      </c>
      <c r="BX132" s="239">
        <v>-99824</v>
      </c>
      <c r="BY132" s="239">
        <v>0</v>
      </c>
      <c r="BZ132" s="239">
        <v>-99824</v>
      </c>
      <c r="CA132" s="239">
        <v>1</v>
      </c>
      <c r="CB132" s="239">
        <v>0</v>
      </c>
      <c r="CC132" s="239">
        <v>1</v>
      </c>
      <c r="CD132" s="239">
        <v>-36024</v>
      </c>
      <c r="CE132" s="239">
        <v>0</v>
      </c>
      <c r="CF132" s="239">
        <v>-36024</v>
      </c>
      <c r="CG132" s="239">
        <v>3415</v>
      </c>
      <c r="CH132" s="239">
        <v>0</v>
      </c>
      <c r="CI132" s="239">
        <v>3415</v>
      </c>
      <c r="CJ132" s="239">
        <v>0</v>
      </c>
      <c r="CK132" s="239">
        <v>0</v>
      </c>
      <c r="CL132" s="239">
        <v>0</v>
      </c>
      <c r="CM132" s="239">
        <v>0</v>
      </c>
      <c r="CN132" s="239">
        <v>0</v>
      </c>
      <c r="CO132" s="239">
        <v>0</v>
      </c>
      <c r="CP132" s="239">
        <v>0</v>
      </c>
      <c r="CQ132" s="239">
        <v>0</v>
      </c>
      <c r="CR132" s="239">
        <v>0</v>
      </c>
      <c r="CS132" s="239">
        <v>0</v>
      </c>
      <c r="CT132" s="239">
        <v>0</v>
      </c>
      <c r="CU132" s="239">
        <v>0</v>
      </c>
      <c r="CV132" s="239">
        <v>0</v>
      </c>
      <c r="CW132" s="239">
        <v>0</v>
      </c>
      <c r="CX132" s="239">
        <v>0</v>
      </c>
      <c r="CY132" s="239">
        <v>0</v>
      </c>
      <c r="CZ132" s="239">
        <v>0</v>
      </c>
      <c r="DA132" s="239">
        <v>0</v>
      </c>
      <c r="DB132" s="239">
        <v>0</v>
      </c>
      <c r="DC132" s="239">
        <v>0</v>
      </c>
      <c r="DD132" s="239">
        <v>0</v>
      </c>
      <c r="DE132" s="239">
        <v>0</v>
      </c>
      <c r="DF132" s="239">
        <v>0</v>
      </c>
      <c r="DG132" s="239">
        <v>0</v>
      </c>
      <c r="DH132" s="239">
        <v>0</v>
      </c>
      <c r="DI132" s="239">
        <v>0</v>
      </c>
      <c r="DJ132" s="239">
        <v>-132432</v>
      </c>
      <c r="DK132" s="239">
        <v>0</v>
      </c>
      <c r="DL132" s="239">
        <v>-132432</v>
      </c>
      <c r="DM132" s="239">
        <v>0</v>
      </c>
      <c r="DN132" s="239">
        <v>0</v>
      </c>
      <c r="DO132" s="239">
        <v>0</v>
      </c>
      <c r="DP132" s="239">
        <v>0</v>
      </c>
      <c r="DQ132" s="239">
        <v>0</v>
      </c>
      <c r="DR132" s="239">
        <v>0</v>
      </c>
      <c r="DS132" s="239">
        <v>-5005</v>
      </c>
      <c r="DT132" s="239">
        <v>0</v>
      </c>
      <c r="DU132" s="239">
        <v>-5005</v>
      </c>
      <c r="DV132" s="239">
        <v>0</v>
      </c>
      <c r="DW132" s="239">
        <v>0</v>
      </c>
      <c r="DX132" s="239">
        <v>0</v>
      </c>
      <c r="DY132" s="239">
        <v>-1035</v>
      </c>
      <c r="DZ132" s="239">
        <v>0</v>
      </c>
      <c r="EA132" s="239">
        <v>-1035</v>
      </c>
      <c r="EB132" s="239">
        <v>0</v>
      </c>
      <c r="EC132" s="239">
        <v>0</v>
      </c>
      <c r="ED132" s="239">
        <v>0</v>
      </c>
      <c r="EE132" s="239">
        <v>0</v>
      </c>
      <c r="EF132" s="239">
        <v>0</v>
      </c>
      <c r="EG132" s="239">
        <v>0</v>
      </c>
      <c r="EH132" s="239">
        <v>0</v>
      </c>
      <c r="EI132" s="239">
        <v>0</v>
      </c>
      <c r="EJ132" s="239">
        <v>0</v>
      </c>
      <c r="EK132" s="239">
        <v>0</v>
      </c>
      <c r="EL132" s="239">
        <v>0</v>
      </c>
      <c r="EM132" s="239">
        <v>0</v>
      </c>
      <c r="EN132" s="239">
        <v>0</v>
      </c>
      <c r="EO132" s="239">
        <v>0</v>
      </c>
      <c r="EP132" s="239">
        <v>0</v>
      </c>
      <c r="EQ132" s="239">
        <v>-16385</v>
      </c>
      <c r="ER132" s="239">
        <v>0</v>
      </c>
      <c r="ES132" s="239">
        <v>-16385</v>
      </c>
      <c r="ET132" s="239">
        <v>-224217</v>
      </c>
      <c r="EU132" s="239">
        <v>0</v>
      </c>
      <c r="EV132" s="239">
        <v>-224217</v>
      </c>
      <c r="EW132" s="239">
        <v>-22885</v>
      </c>
      <c r="EX132" s="239">
        <v>0</v>
      </c>
      <c r="EY132" s="239">
        <v>-22885</v>
      </c>
      <c r="EZ132" s="239">
        <v>-269527</v>
      </c>
      <c r="FA132" s="239">
        <v>0</v>
      </c>
      <c r="FB132" s="239">
        <v>-269527</v>
      </c>
      <c r="FC132" s="239">
        <v>0</v>
      </c>
      <c r="FD132" s="239">
        <v>0</v>
      </c>
      <c r="FE132" s="239">
        <v>0</v>
      </c>
      <c r="FF132" s="239">
        <v>0</v>
      </c>
      <c r="FG132" s="239">
        <v>0</v>
      </c>
      <c r="FH132" s="239">
        <v>0</v>
      </c>
      <c r="FI132" s="239">
        <v>0</v>
      </c>
      <c r="FJ132" s="239">
        <v>0</v>
      </c>
      <c r="FK132" s="239">
        <v>0</v>
      </c>
      <c r="FL132" s="239">
        <v>53814311</v>
      </c>
      <c r="FM132" s="239">
        <v>0</v>
      </c>
      <c r="FN132" s="239">
        <v>53814311</v>
      </c>
      <c r="FO132" s="239">
        <v>443412</v>
      </c>
      <c r="FP132" s="239">
        <v>0</v>
      </c>
      <c r="FQ132" s="239">
        <v>443412</v>
      </c>
      <c r="FR132" s="239">
        <v>-6773462</v>
      </c>
      <c r="FS132" s="239">
        <v>0</v>
      </c>
      <c r="FT132" s="239">
        <v>-6773462</v>
      </c>
      <c r="FU132" s="239">
        <v>-679060</v>
      </c>
      <c r="FV132" s="239">
        <v>0</v>
      </c>
      <c r="FW132" s="239">
        <v>-679060</v>
      </c>
      <c r="FX132" s="239">
        <v>-132432</v>
      </c>
      <c r="FY132" s="239">
        <v>0</v>
      </c>
      <c r="FZ132" s="239">
        <v>-132432</v>
      </c>
      <c r="GA132" s="239">
        <v>-269527</v>
      </c>
      <c r="GB132" s="239">
        <v>0</v>
      </c>
      <c r="GC132" s="239">
        <v>-269527</v>
      </c>
      <c r="GD132" s="239">
        <v>0</v>
      </c>
      <c r="GE132" s="239">
        <v>0</v>
      </c>
      <c r="GF132" s="239">
        <v>0</v>
      </c>
      <c r="GG132" s="239">
        <v>-7411069</v>
      </c>
      <c r="GH132" s="239">
        <v>0</v>
      </c>
      <c r="GI132" s="239">
        <v>-7411069</v>
      </c>
      <c r="GJ132" s="239">
        <v>46403242</v>
      </c>
      <c r="GK132" s="239">
        <v>0</v>
      </c>
      <c r="GL132" s="239">
        <v>46403242</v>
      </c>
      <c r="GM132" s="214" t="s">
        <v>1158</v>
      </c>
    </row>
    <row r="133" spans="2:195" s="214" customFormat="1" x14ac:dyDescent="0.2">
      <c r="B133" s="602" t="s">
        <v>349</v>
      </c>
      <c r="C133" s="602" t="s">
        <v>348</v>
      </c>
      <c r="D133" s="239">
        <v>-2113691</v>
      </c>
      <c r="E133" s="239">
        <v>0</v>
      </c>
      <c r="F133" s="239">
        <v>-2113691</v>
      </c>
      <c r="G133" s="239">
        <v>116</v>
      </c>
      <c r="H133" s="239">
        <v>0</v>
      </c>
      <c r="I133" s="239">
        <v>116</v>
      </c>
      <c r="J133" s="239">
        <v>440902</v>
      </c>
      <c r="K133" s="239">
        <v>0</v>
      </c>
      <c r="L133" s="239">
        <v>440902</v>
      </c>
      <c r="M133" s="239">
        <v>101210</v>
      </c>
      <c r="N133" s="239">
        <v>0</v>
      </c>
      <c r="O133" s="239">
        <v>101210</v>
      </c>
      <c r="P133" s="239">
        <v>-1571463</v>
      </c>
      <c r="Q133" s="239">
        <v>0</v>
      </c>
      <c r="R133" s="239">
        <v>-1571463</v>
      </c>
      <c r="S133" s="239">
        <v>-3705595</v>
      </c>
      <c r="T133" s="239">
        <v>0</v>
      </c>
      <c r="U133" s="239">
        <v>-3705595</v>
      </c>
      <c r="V133" s="239">
        <v>0</v>
      </c>
      <c r="W133" s="239">
        <v>0</v>
      </c>
      <c r="X133" s="239">
        <v>0</v>
      </c>
      <c r="Y133" s="239">
        <v>-111724</v>
      </c>
      <c r="Z133" s="239">
        <v>0</v>
      </c>
      <c r="AA133" s="239">
        <v>-111724</v>
      </c>
      <c r="AB133" s="239">
        <v>-96609</v>
      </c>
      <c r="AC133" s="239">
        <v>0</v>
      </c>
      <c r="AD133" s="239">
        <v>-96609</v>
      </c>
      <c r="AE133" s="239">
        <v>0</v>
      </c>
      <c r="AF133" s="239">
        <v>0</v>
      </c>
      <c r="AG133" s="239">
        <v>0</v>
      </c>
      <c r="AH133" s="239">
        <v>544172</v>
      </c>
      <c r="AI133" s="239">
        <v>0</v>
      </c>
      <c r="AJ133" s="239">
        <v>544172</v>
      </c>
      <c r="AK133" s="239">
        <v>-34348</v>
      </c>
      <c r="AL133" s="239">
        <v>0</v>
      </c>
      <c r="AM133" s="239">
        <v>-34348</v>
      </c>
      <c r="AN133" s="239">
        <v>-1049810</v>
      </c>
      <c r="AO133" s="239">
        <v>0</v>
      </c>
      <c r="AP133" s="239">
        <v>-1049810</v>
      </c>
      <c r="AQ133" s="239">
        <v>-9178</v>
      </c>
      <c r="AR133" s="239">
        <v>0</v>
      </c>
      <c r="AS133" s="239">
        <v>-9178</v>
      </c>
      <c r="AT133" s="239">
        <v>-76775</v>
      </c>
      <c r="AU133" s="239">
        <v>0</v>
      </c>
      <c r="AV133" s="239">
        <v>-76775</v>
      </c>
      <c r="AW133" s="239">
        <v>23029</v>
      </c>
      <c r="AX133" s="239">
        <v>0</v>
      </c>
      <c r="AY133" s="239">
        <v>23029</v>
      </c>
      <c r="AZ133" s="239">
        <v>-8853</v>
      </c>
      <c r="BA133" s="239">
        <v>0</v>
      </c>
      <c r="BB133" s="239">
        <v>-8853</v>
      </c>
      <c r="BC133" s="239">
        <v>-150</v>
      </c>
      <c r="BD133" s="239">
        <v>0</v>
      </c>
      <c r="BE133" s="239">
        <v>-150</v>
      </c>
      <c r="BF133" s="239">
        <v>-4429232</v>
      </c>
      <c r="BG133" s="239">
        <v>0</v>
      </c>
      <c r="BH133" s="239">
        <v>-4429232</v>
      </c>
      <c r="BI133" s="239">
        <v>-43014</v>
      </c>
      <c r="BJ133" s="239">
        <v>0</v>
      </c>
      <c r="BK133" s="239">
        <v>-43014</v>
      </c>
      <c r="BL133" s="239">
        <v>-139166</v>
      </c>
      <c r="BM133" s="239">
        <v>0</v>
      </c>
      <c r="BN133" s="239">
        <v>-139166</v>
      </c>
      <c r="BO133" s="239">
        <v>-455709</v>
      </c>
      <c r="BP133" s="239">
        <v>0</v>
      </c>
      <c r="BQ133" s="239">
        <v>-455709</v>
      </c>
      <c r="BR133" s="239">
        <v>-29197</v>
      </c>
      <c r="BS133" s="239">
        <v>0</v>
      </c>
      <c r="BT133" s="239">
        <v>-29197</v>
      </c>
      <c r="BU133" s="239">
        <v>-667086</v>
      </c>
      <c r="BV133" s="239">
        <v>0</v>
      </c>
      <c r="BW133" s="239">
        <v>-667086</v>
      </c>
      <c r="BX133" s="239">
        <v>-35656</v>
      </c>
      <c r="BY133" s="239">
        <v>0</v>
      </c>
      <c r="BZ133" s="239">
        <v>-35656</v>
      </c>
      <c r="CA133" s="239">
        <v>-1853</v>
      </c>
      <c r="CB133" s="239">
        <v>0</v>
      </c>
      <c r="CC133" s="239">
        <v>-1853</v>
      </c>
      <c r="CD133" s="239">
        <v>-178659</v>
      </c>
      <c r="CE133" s="239">
        <v>0</v>
      </c>
      <c r="CF133" s="239">
        <v>-178659</v>
      </c>
      <c r="CG133" s="239">
        <v>-1838</v>
      </c>
      <c r="CH133" s="239">
        <v>0</v>
      </c>
      <c r="CI133" s="239">
        <v>-1838</v>
      </c>
      <c r="CJ133" s="239">
        <v>-395</v>
      </c>
      <c r="CK133" s="239">
        <v>0</v>
      </c>
      <c r="CL133" s="239">
        <v>-395</v>
      </c>
      <c r="CM133" s="239">
        <v>0</v>
      </c>
      <c r="CN133" s="239">
        <v>0</v>
      </c>
      <c r="CO133" s="239">
        <v>0</v>
      </c>
      <c r="CP133" s="239">
        <v>-2779</v>
      </c>
      <c r="CQ133" s="239">
        <v>0</v>
      </c>
      <c r="CR133" s="239">
        <v>-2779</v>
      </c>
      <c r="CS133" s="239">
        <v>0</v>
      </c>
      <c r="CT133" s="239">
        <v>0</v>
      </c>
      <c r="CU133" s="239">
        <v>0</v>
      </c>
      <c r="CV133" s="239">
        <v>0</v>
      </c>
      <c r="CW133" s="239">
        <v>0</v>
      </c>
      <c r="CX133" s="239">
        <v>0</v>
      </c>
      <c r="CY133" s="239">
        <v>0</v>
      </c>
      <c r="CZ133" s="239">
        <v>0</v>
      </c>
      <c r="DA133" s="239">
        <v>0</v>
      </c>
      <c r="DB133" s="239">
        <v>0</v>
      </c>
      <c r="DC133" s="239">
        <v>0</v>
      </c>
      <c r="DD133" s="239">
        <v>0</v>
      </c>
      <c r="DE133" s="239">
        <v>0</v>
      </c>
      <c r="DF133" s="239">
        <v>0</v>
      </c>
      <c r="DG133" s="239">
        <v>0</v>
      </c>
      <c r="DH133" s="239">
        <v>0</v>
      </c>
      <c r="DI133" s="239">
        <v>0</v>
      </c>
      <c r="DJ133" s="239">
        <v>-221180</v>
      </c>
      <c r="DK133" s="239">
        <v>0</v>
      </c>
      <c r="DL133" s="239">
        <v>-221180</v>
      </c>
      <c r="DM133" s="239">
        <v>0</v>
      </c>
      <c r="DN133" s="239">
        <v>0</v>
      </c>
      <c r="DO133" s="239">
        <v>0</v>
      </c>
      <c r="DP133" s="239">
        <v>0</v>
      </c>
      <c r="DQ133" s="239">
        <v>0</v>
      </c>
      <c r="DR133" s="239">
        <v>0</v>
      </c>
      <c r="DS133" s="239">
        <v>-735</v>
      </c>
      <c r="DT133" s="239">
        <v>0</v>
      </c>
      <c r="DU133" s="239">
        <v>-735</v>
      </c>
      <c r="DV133" s="239">
        <v>0</v>
      </c>
      <c r="DW133" s="239">
        <v>0</v>
      </c>
      <c r="DX133" s="239">
        <v>0</v>
      </c>
      <c r="DY133" s="239">
        <v>-437</v>
      </c>
      <c r="DZ133" s="239">
        <v>0</v>
      </c>
      <c r="EA133" s="239">
        <v>-437</v>
      </c>
      <c r="EB133" s="239">
        <v>0</v>
      </c>
      <c r="EC133" s="239">
        <v>0</v>
      </c>
      <c r="ED133" s="239">
        <v>0</v>
      </c>
      <c r="EE133" s="239">
        <v>0</v>
      </c>
      <c r="EF133" s="239">
        <v>0</v>
      </c>
      <c r="EG133" s="239">
        <v>0</v>
      </c>
      <c r="EH133" s="239">
        <v>2607</v>
      </c>
      <c r="EI133" s="239">
        <v>0</v>
      </c>
      <c r="EJ133" s="239">
        <v>2607</v>
      </c>
      <c r="EK133" s="239">
        <v>-8853</v>
      </c>
      <c r="EL133" s="239">
        <v>0</v>
      </c>
      <c r="EM133" s="239">
        <v>-8853</v>
      </c>
      <c r="EN133" s="239">
        <v>-1500</v>
      </c>
      <c r="EO133" s="239">
        <v>0</v>
      </c>
      <c r="EP133" s="239">
        <v>-1500</v>
      </c>
      <c r="EQ133" s="239">
        <v>-51009</v>
      </c>
      <c r="ER133" s="239">
        <v>0</v>
      </c>
      <c r="ES133" s="239">
        <v>-51009</v>
      </c>
      <c r="ET133" s="239">
        <v>-319208</v>
      </c>
      <c r="EU133" s="239">
        <v>0</v>
      </c>
      <c r="EV133" s="239">
        <v>-319208</v>
      </c>
      <c r="EW133" s="239">
        <v>-59664</v>
      </c>
      <c r="EX133" s="239">
        <v>0</v>
      </c>
      <c r="EY133" s="239">
        <v>-59664</v>
      </c>
      <c r="EZ133" s="239">
        <v>-438799</v>
      </c>
      <c r="FA133" s="239">
        <v>0</v>
      </c>
      <c r="FB133" s="239">
        <v>-438799</v>
      </c>
      <c r="FC133" s="239">
        <v>0</v>
      </c>
      <c r="FD133" s="239">
        <v>0</v>
      </c>
      <c r="FE133" s="239">
        <v>0</v>
      </c>
      <c r="FF133" s="239">
        <v>19918</v>
      </c>
      <c r="FG133" s="239">
        <v>0</v>
      </c>
      <c r="FH133" s="239">
        <v>19918</v>
      </c>
      <c r="FI133" s="239">
        <v>19918</v>
      </c>
      <c r="FJ133" s="239">
        <v>0</v>
      </c>
      <c r="FK133" s="239">
        <v>19918</v>
      </c>
      <c r="FL133" s="239">
        <v>30978982</v>
      </c>
      <c r="FM133" s="239">
        <v>0</v>
      </c>
      <c r="FN133" s="239">
        <v>30978982</v>
      </c>
      <c r="FO133" s="239">
        <v>-1571463</v>
      </c>
      <c r="FP133" s="239">
        <v>0</v>
      </c>
      <c r="FQ133" s="239">
        <v>-1571463</v>
      </c>
      <c r="FR133" s="239">
        <v>-4429232</v>
      </c>
      <c r="FS133" s="239">
        <v>0</v>
      </c>
      <c r="FT133" s="239">
        <v>-4429232</v>
      </c>
      <c r="FU133" s="239">
        <v>-667086</v>
      </c>
      <c r="FV133" s="239">
        <v>0</v>
      </c>
      <c r="FW133" s="239">
        <v>-667086</v>
      </c>
      <c r="FX133" s="239">
        <v>-221180</v>
      </c>
      <c r="FY133" s="239">
        <v>0</v>
      </c>
      <c r="FZ133" s="239">
        <v>-221180</v>
      </c>
      <c r="GA133" s="239">
        <v>-438799</v>
      </c>
      <c r="GB133" s="239">
        <v>0</v>
      </c>
      <c r="GC133" s="239">
        <v>-438799</v>
      </c>
      <c r="GD133" s="239">
        <v>19918</v>
      </c>
      <c r="GE133" s="239">
        <v>0</v>
      </c>
      <c r="GF133" s="239">
        <v>19918</v>
      </c>
      <c r="GG133" s="239">
        <v>-7307842</v>
      </c>
      <c r="GH133" s="239">
        <v>0</v>
      </c>
      <c r="GI133" s="239">
        <v>-7307842</v>
      </c>
      <c r="GJ133" s="239">
        <v>23671140</v>
      </c>
      <c r="GK133" s="239">
        <v>0</v>
      </c>
      <c r="GL133" s="239">
        <v>23671140</v>
      </c>
      <c r="GM133" s="214" t="s">
        <v>1158</v>
      </c>
    </row>
    <row r="134" spans="2:195" s="214" customFormat="1" x14ac:dyDescent="0.2">
      <c r="B134" s="602" t="s">
        <v>351</v>
      </c>
      <c r="C134" s="602" t="s">
        <v>350</v>
      </c>
      <c r="D134" s="239">
        <v>-4217451</v>
      </c>
      <c r="E134" s="239">
        <v>0</v>
      </c>
      <c r="F134" s="239">
        <v>-4217451</v>
      </c>
      <c r="G134" s="239">
        <v>-610292</v>
      </c>
      <c r="H134" s="239">
        <v>0</v>
      </c>
      <c r="I134" s="239">
        <v>-610292</v>
      </c>
      <c r="J134" s="239">
        <v>29668065</v>
      </c>
      <c r="K134" s="239">
        <v>0</v>
      </c>
      <c r="L134" s="239">
        <v>29668065</v>
      </c>
      <c r="M134" s="239">
        <v>209768</v>
      </c>
      <c r="N134" s="239">
        <v>0</v>
      </c>
      <c r="O134" s="239">
        <v>209768</v>
      </c>
      <c r="P134" s="239">
        <v>25050090</v>
      </c>
      <c r="Q134" s="239">
        <v>0</v>
      </c>
      <c r="R134" s="239">
        <v>25050090</v>
      </c>
      <c r="S134" s="239">
        <v>-5664635</v>
      </c>
      <c r="T134" s="239">
        <v>0</v>
      </c>
      <c r="U134" s="239">
        <v>-5664635</v>
      </c>
      <c r="V134" s="239">
        <v>0</v>
      </c>
      <c r="W134" s="239">
        <v>0</v>
      </c>
      <c r="X134" s="239">
        <v>0</v>
      </c>
      <c r="Y134" s="239">
        <v>-258164</v>
      </c>
      <c r="Z134" s="239">
        <v>0</v>
      </c>
      <c r="AA134" s="239">
        <v>-258164</v>
      </c>
      <c r="AB134" s="239">
        <v>-258164</v>
      </c>
      <c r="AC134" s="239">
        <v>0</v>
      </c>
      <c r="AD134" s="239">
        <v>-258164</v>
      </c>
      <c r="AE134" s="239">
        <v>0</v>
      </c>
      <c r="AF134" s="239">
        <v>0</v>
      </c>
      <c r="AG134" s="239">
        <v>0</v>
      </c>
      <c r="AH134" s="239">
        <v>9577427</v>
      </c>
      <c r="AI134" s="239">
        <v>0</v>
      </c>
      <c r="AJ134" s="239">
        <v>9577427</v>
      </c>
      <c r="AK134" s="239">
        <v>2100824</v>
      </c>
      <c r="AL134" s="239">
        <v>0</v>
      </c>
      <c r="AM134" s="239">
        <v>2100824</v>
      </c>
      <c r="AN134" s="239">
        <v>-9730884</v>
      </c>
      <c r="AO134" s="239">
        <v>0</v>
      </c>
      <c r="AP134" s="239">
        <v>-9730884</v>
      </c>
      <c r="AQ134" s="239">
        <v>-116664</v>
      </c>
      <c r="AR134" s="239">
        <v>0</v>
      </c>
      <c r="AS134" s="239">
        <v>-116664</v>
      </c>
      <c r="AT134" s="239">
        <v>-63483</v>
      </c>
      <c r="AU134" s="239">
        <v>0</v>
      </c>
      <c r="AV134" s="239">
        <v>-63483</v>
      </c>
      <c r="AW134" s="239">
        <v>0</v>
      </c>
      <c r="AX134" s="239">
        <v>0</v>
      </c>
      <c r="AY134" s="239">
        <v>0</v>
      </c>
      <c r="AZ134" s="239">
        <v>0</v>
      </c>
      <c r="BA134" s="239">
        <v>0</v>
      </c>
      <c r="BB134" s="239">
        <v>0</v>
      </c>
      <c r="BC134" s="239">
        <v>0</v>
      </c>
      <c r="BD134" s="239">
        <v>0</v>
      </c>
      <c r="BE134" s="239">
        <v>0</v>
      </c>
      <c r="BF134" s="239">
        <v>-4155579</v>
      </c>
      <c r="BG134" s="239">
        <v>0</v>
      </c>
      <c r="BH134" s="239">
        <v>-4155579</v>
      </c>
      <c r="BI134" s="239">
        <v>-220319</v>
      </c>
      <c r="BJ134" s="239">
        <v>0</v>
      </c>
      <c r="BK134" s="239">
        <v>-220319</v>
      </c>
      <c r="BL134" s="239">
        <v>-220433</v>
      </c>
      <c r="BM134" s="239">
        <v>0</v>
      </c>
      <c r="BN134" s="239">
        <v>-220433</v>
      </c>
      <c r="BO134" s="239">
        <v>-12097764</v>
      </c>
      <c r="BP134" s="239">
        <v>0</v>
      </c>
      <c r="BQ134" s="239">
        <v>-12097764</v>
      </c>
      <c r="BR134" s="239">
        <v>47499</v>
      </c>
      <c r="BS134" s="239">
        <v>0</v>
      </c>
      <c r="BT134" s="239">
        <v>47499</v>
      </c>
      <c r="BU134" s="239">
        <v>-12491017</v>
      </c>
      <c r="BV134" s="239">
        <v>0</v>
      </c>
      <c r="BW134" s="239">
        <v>-12491017</v>
      </c>
      <c r="BX134" s="239">
        <v>-233011</v>
      </c>
      <c r="BY134" s="239">
        <v>0</v>
      </c>
      <c r="BZ134" s="239">
        <v>-233011</v>
      </c>
      <c r="CA134" s="239">
        <v>-28559</v>
      </c>
      <c r="CB134" s="239">
        <v>0</v>
      </c>
      <c r="CC134" s="239">
        <v>-28559</v>
      </c>
      <c r="CD134" s="239">
        <v>0</v>
      </c>
      <c r="CE134" s="239">
        <v>0</v>
      </c>
      <c r="CF134" s="239">
        <v>0</v>
      </c>
      <c r="CG134" s="239">
        <v>0</v>
      </c>
      <c r="CH134" s="239">
        <v>0</v>
      </c>
      <c r="CI134" s="239">
        <v>0</v>
      </c>
      <c r="CJ134" s="239">
        <v>0</v>
      </c>
      <c r="CK134" s="239">
        <v>0</v>
      </c>
      <c r="CL134" s="239">
        <v>0</v>
      </c>
      <c r="CM134" s="239">
        <v>0</v>
      </c>
      <c r="CN134" s="239">
        <v>0</v>
      </c>
      <c r="CO134" s="239">
        <v>0</v>
      </c>
      <c r="CP134" s="239">
        <v>0</v>
      </c>
      <c r="CQ134" s="239">
        <v>0</v>
      </c>
      <c r="CR134" s="239">
        <v>0</v>
      </c>
      <c r="CS134" s="239">
        <v>0</v>
      </c>
      <c r="CT134" s="239">
        <v>0</v>
      </c>
      <c r="CU134" s="239">
        <v>0</v>
      </c>
      <c r="CV134" s="239">
        <v>0</v>
      </c>
      <c r="CW134" s="239">
        <v>0</v>
      </c>
      <c r="CX134" s="239">
        <v>0</v>
      </c>
      <c r="CY134" s="239">
        <v>0</v>
      </c>
      <c r="CZ134" s="239">
        <v>0</v>
      </c>
      <c r="DA134" s="239">
        <v>0</v>
      </c>
      <c r="DB134" s="239">
        <v>0</v>
      </c>
      <c r="DC134" s="239">
        <v>0</v>
      </c>
      <c r="DD134" s="239">
        <v>0</v>
      </c>
      <c r="DE134" s="239">
        <v>0</v>
      </c>
      <c r="DF134" s="239">
        <v>0</v>
      </c>
      <c r="DG134" s="239">
        <v>0</v>
      </c>
      <c r="DH134" s="239">
        <v>0</v>
      </c>
      <c r="DI134" s="239">
        <v>0</v>
      </c>
      <c r="DJ134" s="239">
        <v>-261570</v>
      </c>
      <c r="DK134" s="239">
        <v>0</v>
      </c>
      <c r="DL134" s="239">
        <v>-261570</v>
      </c>
      <c r="DM134" s="239">
        <v>0</v>
      </c>
      <c r="DN134" s="239">
        <v>0</v>
      </c>
      <c r="DO134" s="239">
        <v>0</v>
      </c>
      <c r="DP134" s="239">
        <v>0</v>
      </c>
      <c r="DQ134" s="239">
        <v>0</v>
      </c>
      <c r="DR134" s="239">
        <v>0</v>
      </c>
      <c r="DS134" s="239">
        <v>-614</v>
      </c>
      <c r="DT134" s="239">
        <v>0</v>
      </c>
      <c r="DU134" s="239">
        <v>-614</v>
      </c>
      <c r="DV134" s="239">
        <v>-9352</v>
      </c>
      <c r="DW134" s="239">
        <v>0</v>
      </c>
      <c r="DX134" s="239">
        <v>-9352</v>
      </c>
      <c r="DY134" s="239">
        <v>1170</v>
      </c>
      <c r="DZ134" s="239">
        <v>0</v>
      </c>
      <c r="EA134" s="239">
        <v>1170</v>
      </c>
      <c r="EB134" s="239">
        <v>0</v>
      </c>
      <c r="EC134" s="239">
        <v>0</v>
      </c>
      <c r="ED134" s="239">
        <v>0</v>
      </c>
      <c r="EE134" s="239">
        <v>0</v>
      </c>
      <c r="EF134" s="239">
        <v>0</v>
      </c>
      <c r="EG134" s="239">
        <v>0</v>
      </c>
      <c r="EH134" s="239">
        <v>0</v>
      </c>
      <c r="EI134" s="239">
        <v>0</v>
      </c>
      <c r="EJ134" s="239">
        <v>0</v>
      </c>
      <c r="EK134" s="239">
        <v>0</v>
      </c>
      <c r="EL134" s="239">
        <v>0</v>
      </c>
      <c r="EM134" s="239">
        <v>0</v>
      </c>
      <c r="EN134" s="239">
        <v>0</v>
      </c>
      <c r="EO134" s="239">
        <v>0</v>
      </c>
      <c r="EP134" s="239">
        <v>0</v>
      </c>
      <c r="EQ134" s="239">
        <v>-38603</v>
      </c>
      <c r="ER134" s="239">
        <v>0</v>
      </c>
      <c r="ES134" s="239">
        <v>-38603</v>
      </c>
      <c r="ET134" s="239">
        <v>-848098</v>
      </c>
      <c r="EU134" s="239">
        <v>0</v>
      </c>
      <c r="EV134" s="239">
        <v>-848098</v>
      </c>
      <c r="EW134" s="239">
        <v>-41624</v>
      </c>
      <c r="EX134" s="239">
        <v>0</v>
      </c>
      <c r="EY134" s="239">
        <v>-41624</v>
      </c>
      <c r="EZ134" s="239">
        <v>-937121</v>
      </c>
      <c r="FA134" s="239">
        <v>0</v>
      </c>
      <c r="FB134" s="239">
        <v>-937121</v>
      </c>
      <c r="FC134" s="239">
        <v>0</v>
      </c>
      <c r="FD134" s="239">
        <v>0</v>
      </c>
      <c r="FE134" s="239">
        <v>0</v>
      </c>
      <c r="FF134" s="239">
        <v>0</v>
      </c>
      <c r="FG134" s="239">
        <v>0</v>
      </c>
      <c r="FH134" s="239">
        <v>0</v>
      </c>
      <c r="FI134" s="239">
        <v>0</v>
      </c>
      <c r="FJ134" s="239">
        <v>0</v>
      </c>
      <c r="FK134" s="239">
        <v>0</v>
      </c>
      <c r="FL134" s="239">
        <v>368652940</v>
      </c>
      <c r="FM134" s="239">
        <v>0</v>
      </c>
      <c r="FN134" s="239">
        <v>368652940</v>
      </c>
      <c r="FO134" s="239">
        <v>25050090</v>
      </c>
      <c r="FP134" s="239">
        <v>0</v>
      </c>
      <c r="FQ134" s="239">
        <v>25050090</v>
      </c>
      <c r="FR134" s="239">
        <v>-4155579</v>
      </c>
      <c r="FS134" s="239">
        <v>0</v>
      </c>
      <c r="FT134" s="239">
        <v>-4155579</v>
      </c>
      <c r="FU134" s="239">
        <v>-12491017</v>
      </c>
      <c r="FV134" s="239">
        <v>0</v>
      </c>
      <c r="FW134" s="239">
        <v>-12491017</v>
      </c>
      <c r="FX134" s="239">
        <v>-261570</v>
      </c>
      <c r="FY134" s="239">
        <v>0</v>
      </c>
      <c r="FZ134" s="239">
        <v>-261570</v>
      </c>
      <c r="GA134" s="239">
        <v>-937121</v>
      </c>
      <c r="GB134" s="239">
        <v>0</v>
      </c>
      <c r="GC134" s="239">
        <v>-937121</v>
      </c>
      <c r="GD134" s="239">
        <v>0</v>
      </c>
      <c r="GE134" s="239">
        <v>0</v>
      </c>
      <c r="GF134" s="239">
        <v>0</v>
      </c>
      <c r="GG134" s="239">
        <v>7204803</v>
      </c>
      <c r="GH134" s="239">
        <v>0</v>
      </c>
      <c r="GI134" s="239">
        <v>7204803</v>
      </c>
      <c r="GJ134" s="239">
        <v>375857743</v>
      </c>
      <c r="GK134" s="239">
        <v>0</v>
      </c>
      <c r="GL134" s="239">
        <v>375857743</v>
      </c>
      <c r="GM134" s="214" t="s">
        <v>1159</v>
      </c>
    </row>
    <row r="135" spans="2:195" s="214" customFormat="1" x14ac:dyDescent="0.2">
      <c r="B135" s="602" t="s">
        <v>353</v>
      </c>
      <c r="C135" s="602" t="s">
        <v>352</v>
      </c>
      <c r="D135" s="239">
        <v>-1565910</v>
      </c>
      <c r="E135" s="239">
        <v>-5627</v>
      </c>
      <c r="F135" s="239">
        <v>-1571537</v>
      </c>
      <c r="G135" s="239">
        <v>-45058</v>
      </c>
      <c r="H135" s="239">
        <v>0</v>
      </c>
      <c r="I135" s="239">
        <v>-45058</v>
      </c>
      <c r="J135" s="239">
        <v>711179</v>
      </c>
      <c r="K135" s="239">
        <v>61854</v>
      </c>
      <c r="L135" s="239">
        <v>773033</v>
      </c>
      <c r="M135" s="239">
        <v>17419</v>
      </c>
      <c r="N135" s="239">
        <v>0</v>
      </c>
      <c r="O135" s="239">
        <v>17419</v>
      </c>
      <c r="P135" s="239">
        <v>-882370</v>
      </c>
      <c r="Q135" s="239">
        <v>56227</v>
      </c>
      <c r="R135" s="239">
        <v>-826143</v>
      </c>
      <c r="S135" s="239">
        <v>-3382374</v>
      </c>
      <c r="T135" s="239">
        <v>0</v>
      </c>
      <c r="U135" s="239">
        <v>-3382374</v>
      </c>
      <c r="V135" s="239">
        <v>-3307</v>
      </c>
      <c r="W135" s="239">
        <v>0</v>
      </c>
      <c r="X135" s="239">
        <v>-3307</v>
      </c>
      <c r="Y135" s="239">
        <v>-127355</v>
      </c>
      <c r="Z135" s="239">
        <v>0</v>
      </c>
      <c r="AA135" s="239">
        <v>-127355</v>
      </c>
      <c r="AB135" s="239">
        <v>-127189</v>
      </c>
      <c r="AC135" s="239">
        <v>0</v>
      </c>
      <c r="AD135" s="239">
        <v>-127189</v>
      </c>
      <c r="AE135" s="239">
        <v>-166</v>
      </c>
      <c r="AF135" s="239">
        <v>0</v>
      </c>
      <c r="AG135" s="239">
        <v>-166</v>
      </c>
      <c r="AH135" s="239">
        <v>729942</v>
      </c>
      <c r="AI135" s="239">
        <v>28792</v>
      </c>
      <c r="AJ135" s="239">
        <v>758734</v>
      </c>
      <c r="AK135" s="239">
        <v>-24584</v>
      </c>
      <c r="AL135" s="239">
        <v>2634</v>
      </c>
      <c r="AM135" s="239">
        <v>-21950</v>
      </c>
      <c r="AN135" s="239">
        <v>-2287001</v>
      </c>
      <c r="AO135" s="239">
        <v>0</v>
      </c>
      <c r="AP135" s="239">
        <v>-2287001</v>
      </c>
      <c r="AQ135" s="239">
        <v>-15361</v>
      </c>
      <c r="AR135" s="239">
        <v>0</v>
      </c>
      <c r="AS135" s="239">
        <v>-15361</v>
      </c>
      <c r="AT135" s="239">
        <v>-5978</v>
      </c>
      <c r="AU135" s="239">
        <v>0</v>
      </c>
      <c r="AV135" s="239">
        <v>-5978</v>
      </c>
      <c r="AW135" s="239">
        <v>0</v>
      </c>
      <c r="AX135" s="239">
        <v>0</v>
      </c>
      <c r="AY135" s="239">
        <v>0</v>
      </c>
      <c r="AZ135" s="239">
        <v>-9555</v>
      </c>
      <c r="BA135" s="239">
        <v>0</v>
      </c>
      <c r="BB135" s="239">
        <v>-9555</v>
      </c>
      <c r="BC135" s="239">
        <v>0</v>
      </c>
      <c r="BD135" s="239">
        <v>0</v>
      </c>
      <c r="BE135" s="239">
        <v>0</v>
      </c>
      <c r="BF135" s="239">
        <v>-5122266</v>
      </c>
      <c r="BG135" s="239">
        <v>31426</v>
      </c>
      <c r="BH135" s="239">
        <v>-5090840</v>
      </c>
      <c r="BI135" s="239">
        <v>0</v>
      </c>
      <c r="BJ135" s="239">
        <v>0</v>
      </c>
      <c r="BK135" s="239">
        <v>0</v>
      </c>
      <c r="BL135" s="239">
        <v>-1371</v>
      </c>
      <c r="BM135" s="239">
        <v>0</v>
      </c>
      <c r="BN135" s="239">
        <v>-1371</v>
      </c>
      <c r="BO135" s="239">
        <v>-390979</v>
      </c>
      <c r="BP135" s="239">
        <v>-7736</v>
      </c>
      <c r="BQ135" s="239">
        <v>-398715</v>
      </c>
      <c r="BR135" s="239">
        <v>-48669</v>
      </c>
      <c r="BS135" s="239">
        <v>-7498</v>
      </c>
      <c r="BT135" s="239">
        <v>-56167</v>
      </c>
      <c r="BU135" s="239">
        <v>-441019</v>
      </c>
      <c r="BV135" s="239">
        <v>-15234</v>
      </c>
      <c r="BW135" s="239">
        <v>-456253</v>
      </c>
      <c r="BX135" s="239">
        <v>-94740</v>
      </c>
      <c r="BY135" s="239">
        <v>0</v>
      </c>
      <c r="BZ135" s="239">
        <v>-94740</v>
      </c>
      <c r="CA135" s="239">
        <v>4685</v>
      </c>
      <c r="CB135" s="239">
        <v>0</v>
      </c>
      <c r="CC135" s="239">
        <v>4685</v>
      </c>
      <c r="CD135" s="239">
        <v>-77665</v>
      </c>
      <c r="CE135" s="239">
        <v>0</v>
      </c>
      <c r="CF135" s="239">
        <v>-77665</v>
      </c>
      <c r="CG135" s="239">
        <v>4523</v>
      </c>
      <c r="CH135" s="239">
        <v>0</v>
      </c>
      <c r="CI135" s="239">
        <v>4523</v>
      </c>
      <c r="CJ135" s="239">
        <v>-1495</v>
      </c>
      <c r="CK135" s="239">
        <v>0</v>
      </c>
      <c r="CL135" s="239">
        <v>-1495</v>
      </c>
      <c r="CM135" s="239">
        <v>0</v>
      </c>
      <c r="CN135" s="239">
        <v>0</v>
      </c>
      <c r="CO135" s="239">
        <v>0</v>
      </c>
      <c r="CP135" s="239">
        <v>0</v>
      </c>
      <c r="CQ135" s="239">
        <v>0</v>
      </c>
      <c r="CR135" s="239">
        <v>0</v>
      </c>
      <c r="CS135" s="239">
        <v>0</v>
      </c>
      <c r="CT135" s="239">
        <v>0</v>
      </c>
      <c r="CU135" s="239">
        <v>0</v>
      </c>
      <c r="CV135" s="239">
        <v>0</v>
      </c>
      <c r="CW135" s="239">
        <v>0</v>
      </c>
      <c r="CX135" s="239">
        <v>0</v>
      </c>
      <c r="CY135" s="239">
        <v>0</v>
      </c>
      <c r="CZ135" s="239">
        <v>0</v>
      </c>
      <c r="DA135" s="239">
        <v>0</v>
      </c>
      <c r="DB135" s="239">
        <v>-8118</v>
      </c>
      <c r="DC135" s="239">
        <v>-176755</v>
      </c>
      <c r="DD135" s="239">
        <v>-184873</v>
      </c>
      <c r="DE135" s="239">
        <v>0</v>
      </c>
      <c r="DF135" s="239">
        <v>-76434</v>
      </c>
      <c r="DG135" s="239">
        <v>-76434</v>
      </c>
      <c r="DH135" s="239">
        <v>-253189</v>
      </c>
      <c r="DI135" s="239">
        <v>0</v>
      </c>
      <c r="DJ135" s="239">
        <v>-172810</v>
      </c>
      <c r="DK135" s="239">
        <v>-253189</v>
      </c>
      <c r="DL135" s="239">
        <v>-425999</v>
      </c>
      <c r="DM135" s="239">
        <v>-47002</v>
      </c>
      <c r="DN135" s="239">
        <v>0</v>
      </c>
      <c r="DO135" s="239">
        <v>-47002</v>
      </c>
      <c r="DP135" s="239">
        <v>2435</v>
      </c>
      <c r="DQ135" s="239">
        <v>0</v>
      </c>
      <c r="DR135" s="239">
        <v>2435</v>
      </c>
      <c r="DS135" s="239">
        <v>0</v>
      </c>
      <c r="DT135" s="239">
        <v>0</v>
      </c>
      <c r="DU135" s="239">
        <v>0</v>
      </c>
      <c r="DV135" s="239">
        <v>0</v>
      </c>
      <c r="DW135" s="239">
        <v>0</v>
      </c>
      <c r="DX135" s="239">
        <v>0</v>
      </c>
      <c r="DY135" s="239">
        <v>2856</v>
      </c>
      <c r="DZ135" s="239">
        <v>0</v>
      </c>
      <c r="EA135" s="239">
        <v>2856</v>
      </c>
      <c r="EB135" s="239">
        <v>0</v>
      </c>
      <c r="EC135" s="239">
        <v>0</v>
      </c>
      <c r="ED135" s="239">
        <v>0</v>
      </c>
      <c r="EE135" s="239">
        <v>0</v>
      </c>
      <c r="EF135" s="239">
        <v>0</v>
      </c>
      <c r="EG135" s="239">
        <v>0</v>
      </c>
      <c r="EH135" s="239">
        <v>1584</v>
      </c>
      <c r="EI135" s="239">
        <v>0</v>
      </c>
      <c r="EJ135" s="239">
        <v>1584</v>
      </c>
      <c r="EK135" s="239">
        <v>-7251</v>
      </c>
      <c r="EL135" s="239">
        <v>0</v>
      </c>
      <c r="EM135" s="239">
        <v>-7251</v>
      </c>
      <c r="EN135" s="239">
        <v>-1500</v>
      </c>
      <c r="EO135" s="239">
        <v>0</v>
      </c>
      <c r="EP135" s="239">
        <v>-1500</v>
      </c>
      <c r="EQ135" s="239">
        <v>-42868</v>
      </c>
      <c r="ER135" s="239">
        <v>0</v>
      </c>
      <c r="ES135" s="239">
        <v>-42868</v>
      </c>
      <c r="ET135" s="239">
        <v>-238134</v>
      </c>
      <c r="EU135" s="239">
        <v>0</v>
      </c>
      <c r="EV135" s="239">
        <v>-238134</v>
      </c>
      <c r="EW135" s="239">
        <v>-51874</v>
      </c>
      <c r="EX135" s="239">
        <v>0</v>
      </c>
      <c r="EY135" s="239">
        <v>-51874</v>
      </c>
      <c r="EZ135" s="239">
        <v>-381754</v>
      </c>
      <c r="FA135" s="239">
        <v>0</v>
      </c>
      <c r="FB135" s="239">
        <v>-381754</v>
      </c>
      <c r="FC135" s="239">
        <v>0</v>
      </c>
      <c r="FD135" s="239">
        <v>0</v>
      </c>
      <c r="FE135" s="239">
        <v>0</v>
      </c>
      <c r="FF135" s="239">
        <v>0</v>
      </c>
      <c r="FG135" s="239">
        <v>0</v>
      </c>
      <c r="FH135" s="239">
        <v>0</v>
      </c>
      <c r="FI135" s="239">
        <v>0</v>
      </c>
      <c r="FJ135" s="239">
        <v>0</v>
      </c>
      <c r="FK135" s="239">
        <v>0</v>
      </c>
      <c r="FL135" s="239">
        <v>37598492</v>
      </c>
      <c r="FM135" s="239">
        <v>1342181</v>
      </c>
      <c r="FN135" s="239">
        <v>38940673</v>
      </c>
      <c r="FO135" s="239">
        <v>-882370</v>
      </c>
      <c r="FP135" s="239">
        <v>56227</v>
      </c>
      <c r="FQ135" s="239">
        <v>-826143</v>
      </c>
      <c r="FR135" s="239">
        <v>-5122266</v>
      </c>
      <c r="FS135" s="239">
        <v>31426</v>
      </c>
      <c r="FT135" s="239">
        <v>-5090840</v>
      </c>
      <c r="FU135" s="239">
        <v>-441019</v>
      </c>
      <c r="FV135" s="239">
        <v>-15234</v>
      </c>
      <c r="FW135" s="239">
        <v>-456253</v>
      </c>
      <c r="FX135" s="239">
        <v>-172810</v>
      </c>
      <c r="FY135" s="239">
        <v>-253189</v>
      </c>
      <c r="FZ135" s="239">
        <v>-425999</v>
      </c>
      <c r="GA135" s="239">
        <v>-381754</v>
      </c>
      <c r="GB135" s="239">
        <v>0</v>
      </c>
      <c r="GC135" s="239">
        <v>-381754</v>
      </c>
      <c r="GD135" s="239">
        <v>0</v>
      </c>
      <c r="GE135" s="239">
        <v>0</v>
      </c>
      <c r="GF135" s="239">
        <v>0</v>
      </c>
      <c r="GG135" s="239">
        <v>-7000219</v>
      </c>
      <c r="GH135" s="239">
        <v>-180770</v>
      </c>
      <c r="GI135" s="239">
        <v>-7180989</v>
      </c>
      <c r="GJ135" s="239">
        <v>30598273</v>
      </c>
      <c r="GK135" s="239">
        <v>1161411</v>
      </c>
      <c r="GL135" s="239">
        <v>31759684</v>
      </c>
      <c r="GM135" s="214" t="s">
        <v>1158</v>
      </c>
    </row>
    <row r="136" spans="2:195" s="214" customFormat="1" x14ac:dyDescent="0.2">
      <c r="B136" s="602" t="s">
        <v>355</v>
      </c>
      <c r="C136" s="602" t="s">
        <v>354</v>
      </c>
      <c r="D136" s="239">
        <v>-2326835</v>
      </c>
      <c r="E136" s="239">
        <v>0</v>
      </c>
      <c r="F136" s="239">
        <v>-2326835</v>
      </c>
      <c r="G136" s="239">
        <v>277248</v>
      </c>
      <c r="H136" s="239">
        <v>0</v>
      </c>
      <c r="I136" s="239">
        <v>277248</v>
      </c>
      <c r="J136" s="239">
        <v>1348465</v>
      </c>
      <c r="K136" s="239">
        <v>0</v>
      </c>
      <c r="L136" s="239">
        <v>1348465</v>
      </c>
      <c r="M136" s="239">
        <v>32956</v>
      </c>
      <c r="N136" s="239">
        <v>0</v>
      </c>
      <c r="O136" s="239">
        <v>32956</v>
      </c>
      <c r="P136" s="239">
        <v>-668166</v>
      </c>
      <c r="Q136" s="239">
        <v>0</v>
      </c>
      <c r="R136" s="239">
        <v>-668166</v>
      </c>
      <c r="S136" s="239">
        <v>-4492896</v>
      </c>
      <c r="T136" s="239">
        <v>0</v>
      </c>
      <c r="U136" s="239">
        <v>-4492896</v>
      </c>
      <c r="V136" s="239">
        <v>0</v>
      </c>
      <c r="W136" s="239">
        <v>0</v>
      </c>
      <c r="X136" s="239">
        <v>0</v>
      </c>
      <c r="Y136" s="239">
        <v>-405909</v>
      </c>
      <c r="Z136" s="239">
        <v>0</v>
      </c>
      <c r="AA136" s="239">
        <v>-405909</v>
      </c>
      <c r="AB136" s="239">
        <v>-342826</v>
      </c>
      <c r="AC136" s="239">
        <v>0</v>
      </c>
      <c r="AD136" s="239">
        <v>-342826</v>
      </c>
      <c r="AE136" s="239">
        <v>5546</v>
      </c>
      <c r="AF136" s="239">
        <v>0</v>
      </c>
      <c r="AG136" s="239">
        <v>5546</v>
      </c>
      <c r="AH136" s="239">
        <v>897614</v>
      </c>
      <c r="AI136" s="239">
        <v>0</v>
      </c>
      <c r="AJ136" s="239">
        <v>897614</v>
      </c>
      <c r="AK136" s="239">
        <v>-88011</v>
      </c>
      <c r="AL136" s="239">
        <v>0</v>
      </c>
      <c r="AM136" s="239">
        <v>-88011</v>
      </c>
      <c r="AN136" s="239">
        <v>-3261593</v>
      </c>
      <c r="AO136" s="239">
        <v>0</v>
      </c>
      <c r="AP136" s="239">
        <v>-3261593</v>
      </c>
      <c r="AQ136" s="239">
        <v>26345</v>
      </c>
      <c r="AR136" s="239">
        <v>0</v>
      </c>
      <c r="AS136" s="239">
        <v>26345</v>
      </c>
      <c r="AT136" s="239">
        <v>-56736</v>
      </c>
      <c r="AU136" s="239">
        <v>0</v>
      </c>
      <c r="AV136" s="239">
        <v>-56736</v>
      </c>
      <c r="AW136" s="239">
        <v>0</v>
      </c>
      <c r="AX136" s="239">
        <v>0</v>
      </c>
      <c r="AY136" s="239">
        <v>0</v>
      </c>
      <c r="AZ136" s="239">
        <v>-8715</v>
      </c>
      <c r="BA136" s="239">
        <v>0</v>
      </c>
      <c r="BB136" s="239">
        <v>-8715</v>
      </c>
      <c r="BC136" s="239">
        <v>0</v>
      </c>
      <c r="BD136" s="239">
        <v>0</v>
      </c>
      <c r="BE136" s="239">
        <v>0</v>
      </c>
      <c r="BF136" s="239">
        <v>-7389901</v>
      </c>
      <c r="BG136" s="239">
        <v>0</v>
      </c>
      <c r="BH136" s="239">
        <v>-7389901</v>
      </c>
      <c r="BI136" s="239">
        <v>0</v>
      </c>
      <c r="BJ136" s="239">
        <v>0</v>
      </c>
      <c r="BK136" s="239">
        <v>0</v>
      </c>
      <c r="BL136" s="239">
        <v>0</v>
      </c>
      <c r="BM136" s="239">
        <v>0</v>
      </c>
      <c r="BN136" s="239">
        <v>0</v>
      </c>
      <c r="BO136" s="239">
        <v>-662993</v>
      </c>
      <c r="BP136" s="239">
        <v>0</v>
      </c>
      <c r="BQ136" s="239">
        <v>-662993</v>
      </c>
      <c r="BR136" s="239">
        <v>256742</v>
      </c>
      <c r="BS136" s="239">
        <v>0</v>
      </c>
      <c r="BT136" s="239">
        <v>256742</v>
      </c>
      <c r="BU136" s="239">
        <v>-406251</v>
      </c>
      <c r="BV136" s="239">
        <v>0</v>
      </c>
      <c r="BW136" s="239">
        <v>-406251</v>
      </c>
      <c r="BX136" s="239">
        <v>-60878</v>
      </c>
      <c r="BY136" s="239">
        <v>0</v>
      </c>
      <c r="BZ136" s="239">
        <v>-60878</v>
      </c>
      <c r="CA136" s="239">
        <v>-2663</v>
      </c>
      <c r="CB136" s="239">
        <v>0</v>
      </c>
      <c r="CC136" s="239">
        <v>-2663</v>
      </c>
      <c r="CD136" s="239">
        <v>-447924</v>
      </c>
      <c r="CE136" s="239">
        <v>0</v>
      </c>
      <c r="CF136" s="239">
        <v>-447924</v>
      </c>
      <c r="CG136" s="239">
        <v>0</v>
      </c>
      <c r="CH136" s="239">
        <v>0</v>
      </c>
      <c r="CI136" s="239">
        <v>0</v>
      </c>
      <c r="CJ136" s="239">
        <v>-2614</v>
      </c>
      <c r="CK136" s="239">
        <v>0</v>
      </c>
      <c r="CL136" s="239">
        <v>-2614</v>
      </c>
      <c r="CM136" s="239">
        <v>0</v>
      </c>
      <c r="CN136" s="239">
        <v>0</v>
      </c>
      <c r="CO136" s="239">
        <v>0</v>
      </c>
      <c r="CP136" s="239">
        <v>0</v>
      </c>
      <c r="CQ136" s="239">
        <v>0</v>
      </c>
      <c r="CR136" s="239">
        <v>0</v>
      </c>
      <c r="CS136" s="239">
        <v>0</v>
      </c>
      <c r="CT136" s="239">
        <v>0</v>
      </c>
      <c r="CU136" s="239">
        <v>0</v>
      </c>
      <c r="CV136" s="239">
        <v>0</v>
      </c>
      <c r="CW136" s="239">
        <v>0</v>
      </c>
      <c r="CX136" s="239">
        <v>0</v>
      </c>
      <c r="CY136" s="239">
        <v>0</v>
      </c>
      <c r="CZ136" s="239">
        <v>0</v>
      </c>
      <c r="DA136" s="239">
        <v>0</v>
      </c>
      <c r="DB136" s="239">
        <v>0</v>
      </c>
      <c r="DC136" s="239">
        <v>0</v>
      </c>
      <c r="DD136" s="239">
        <v>0</v>
      </c>
      <c r="DE136" s="239">
        <v>0</v>
      </c>
      <c r="DF136" s="239">
        <v>0</v>
      </c>
      <c r="DG136" s="239">
        <v>0</v>
      </c>
      <c r="DH136" s="239">
        <v>0</v>
      </c>
      <c r="DI136" s="239">
        <v>0</v>
      </c>
      <c r="DJ136" s="239">
        <v>-514079</v>
      </c>
      <c r="DK136" s="239">
        <v>0</v>
      </c>
      <c r="DL136" s="239">
        <v>-514079</v>
      </c>
      <c r="DM136" s="239">
        <v>-68827</v>
      </c>
      <c r="DN136" s="239">
        <v>0</v>
      </c>
      <c r="DO136" s="239">
        <v>-68827</v>
      </c>
      <c r="DP136" s="239">
        <v>38058</v>
      </c>
      <c r="DQ136" s="239">
        <v>0</v>
      </c>
      <c r="DR136" s="239">
        <v>38058</v>
      </c>
      <c r="DS136" s="239">
        <v>-3470</v>
      </c>
      <c r="DT136" s="239">
        <v>0</v>
      </c>
      <c r="DU136" s="239">
        <v>-3470</v>
      </c>
      <c r="DV136" s="239">
        <v>0</v>
      </c>
      <c r="DW136" s="239">
        <v>0</v>
      </c>
      <c r="DX136" s="239">
        <v>0</v>
      </c>
      <c r="DY136" s="239">
        <v>4071</v>
      </c>
      <c r="DZ136" s="239">
        <v>0</v>
      </c>
      <c r="EA136" s="239">
        <v>4071</v>
      </c>
      <c r="EB136" s="239">
        <v>0</v>
      </c>
      <c r="EC136" s="239">
        <v>0</v>
      </c>
      <c r="ED136" s="239">
        <v>0</v>
      </c>
      <c r="EE136" s="239">
        <v>0</v>
      </c>
      <c r="EF136" s="239">
        <v>0</v>
      </c>
      <c r="EG136" s="239">
        <v>0</v>
      </c>
      <c r="EH136" s="239">
        <v>0</v>
      </c>
      <c r="EI136" s="239">
        <v>0</v>
      </c>
      <c r="EJ136" s="239">
        <v>0</v>
      </c>
      <c r="EK136" s="239">
        <v>-8715</v>
      </c>
      <c r="EL136" s="239">
        <v>0</v>
      </c>
      <c r="EM136" s="239">
        <v>-8715</v>
      </c>
      <c r="EN136" s="239">
        <v>0</v>
      </c>
      <c r="EO136" s="239">
        <v>0</v>
      </c>
      <c r="EP136" s="239">
        <v>0</v>
      </c>
      <c r="EQ136" s="239">
        <v>-48194</v>
      </c>
      <c r="ER136" s="239">
        <v>0</v>
      </c>
      <c r="ES136" s="239">
        <v>-48194</v>
      </c>
      <c r="ET136" s="239">
        <v>-395932</v>
      </c>
      <c r="EU136" s="239">
        <v>0</v>
      </c>
      <c r="EV136" s="239">
        <v>-395932</v>
      </c>
      <c r="EW136" s="239">
        <v>-53120</v>
      </c>
      <c r="EX136" s="239">
        <v>0</v>
      </c>
      <c r="EY136" s="239">
        <v>-53120</v>
      </c>
      <c r="EZ136" s="239">
        <v>-536129</v>
      </c>
      <c r="FA136" s="239">
        <v>0</v>
      </c>
      <c r="FB136" s="239">
        <v>-536129</v>
      </c>
      <c r="FC136" s="239">
        <v>-2267</v>
      </c>
      <c r="FD136" s="239">
        <v>0</v>
      </c>
      <c r="FE136" s="239">
        <v>-2267</v>
      </c>
      <c r="FF136" s="239">
        <v>0</v>
      </c>
      <c r="FG136" s="239">
        <v>0</v>
      </c>
      <c r="FH136" s="239">
        <v>0</v>
      </c>
      <c r="FI136" s="239">
        <v>-2267</v>
      </c>
      <c r="FJ136" s="239">
        <v>0</v>
      </c>
      <c r="FK136" s="239">
        <v>-2267</v>
      </c>
      <c r="FL136" s="239">
        <v>49043986</v>
      </c>
      <c r="FM136" s="239">
        <v>0</v>
      </c>
      <c r="FN136" s="239">
        <v>49043986</v>
      </c>
      <c r="FO136" s="239">
        <v>-668166</v>
      </c>
      <c r="FP136" s="239">
        <v>0</v>
      </c>
      <c r="FQ136" s="239">
        <v>-668166</v>
      </c>
      <c r="FR136" s="239">
        <v>-7389901</v>
      </c>
      <c r="FS136" s="239">
        <v>0</v>
      </c>
      <c r="FT136" s="239">
        <v>-7389901</v>
      </c>
      <c r="FU136" s="239">
        <v>-406251</v>
      </c>
      <c r="FV136" s="239">
        <v>0</v>
      </c>
      <c r="FW136" s="239">
        <v>-406251</v>
      </c>
      <c r="FX136" s="239">
        <v>-514079</v>
      </c>
      <c r="FY136" s="239">
        <v>0</v>
      </c>
      <c r="FZ136" s="239">
        <v>-514079</v>
      </c>
      <c r="GA136" s="239">
        <v>-536129</v>
      </c>
      <c r="GB136" s="239">
        <v>0</v>
      </c>
      <c r="GC136" s="239">
        <v>-536129</v>
      </c>
      <c r="GD136" s="239">
        <v>-2267</v>
      </c>
      <c r="GE136" s="239">
        <v>0</v>
      </c>
      <c r="GF136" s="239">
        <v>-2267</v>
      </c>
      <c r="GG136" s="239">
        <v>-9516793</v>
      </c>
      <c r="GH136" s="239">
        <v>0</v>
      </c>
      <c r="GI136" s="239">
        <v>-9516793</v>
      </c>
      <c r="GJ136" s="239">
        <v>39527193</v>
      </c>
      <c r="GK136" s="239">
        <v>0</v>
      </c>
      <c r="GL136" s="239">
        <v>39527193</v>
      </c>
      <c r="GM136" s="214" t="s">
        <v>1158</v>
      </c>
    </row>
    <row r="137" spans="2:195" s="214" customFormat="1" x14ac:dyDescent="0.2">
      <c r="B137" s="602" t="s">
        <v>357</v>
      </c>
      <c r="C137" s="602" t="s">
        <v>356</v>
      </c>
      <c r="D137" s="239">
        <v>-19930777</v>
      </c>
      <c r="E137" s="239">
        <v>0</v>
      </c>
      <c r="F137" s="239">
        <v>-19930777</v>
      </c>
      <c r="G137" s="239">
        <v>28928</v>
      </c>
      <c r="H137" s="239">
        <v>0</v>
      </c>
      <c r="I137" s="239">
        <v>28928</v>
      </c>
      <c r="J137" s="239">
        <v>5048633</v>
      </c>
      <c r="K137" s="239">
        <v>0</v>
      </c>
      <c r="L137" s="239">
        <v>5048633</v>
      </c>
      <c r="M137" s="239">
        <v>203185</v>
      </c>
      <c r="N137" s="239">
        <v>0</v>
      </c>
      <c r="O137" s="239">
        <v>203185</v>
      </c>
      <c r="P137" s="239">
        <v>-14650031</v>
      </c>
      <c r="Q137" s="239">
        <v>0</v>
      </c>
      <c r="R137" s="239">
        <v>-14650031</v>
      </c>
      <c r="S137" s="239">
        <v>-4910212</v>
      </c>
      <c r="T137" s="239">
        <v>0</v>
      </c>
      <c r="U137" s="239">
        <v>-4910212</v>
      </c>
      <c r="V137" s="239">
        <v>-4329</v>
      </c>
      <c r="W137" s="239">
        <v>0</v>
      </c>
      <c r="X137" s="239">
        <v>-4329</v>
      </c>
      <c r="Y137" s="239">
        <v>-514901</v>
      </c>
      <c r="Z137" s="239">
        <v>0</v>
      </c>
      <c r="AA137" s="239">
        <v>-514901</v>
      </c>
      <c r="AB137" s="239">
        <v>-399859</v>
      </c>
      <c r="AC137" s="239">
        <v>0</v>
      </c>
      <c r="AD137" s="239">
        <v>-399859</v>
      </c>
      <c r="AE137" s="239">
        <v>-4630</v>
      </c>
      <c r="AF137" s="239">
        <v>0</v>
      </c>
      <c r="AG137" s="239">
        <v>-4630</v>
      </c>
      <c r="AH137" s="239">
        <v>5228197</v>
      </c>
      <c r="AI137" s="239">
        <v>0</v>
      </c>
      <c r="AJ137" s="239">
        <v>5228197</v>
      </c>
      <c r="AK137" s="239">
        <v>-178893</v>
      </c>
      <c r="AL137" s="239">
        <v>0</v>
      </c>
      <c r="AM137" s="239">
        <v>-178893</v>
      </c>
      <c r="AN137" s="239">
        <v>-6477281</v>
      </c>
      <c r="AO137" s="239">
        <v>0</v>
      </c>
      <c r="AP137" s="239">
        <v>-6477281</v>
      </c>
      <c r="AQ137" s="239">
        <v>-92622</v>
      </c>
      <c r="AR137" s="239">
        <v>0</v>
      </c>
      <c r="AS137" s="239">
        <v>-92622</v>
      </c>
      <c r="AT137" s="239">
        <v>-48538</v>
      </c>
      <c r="AU137" s="239">
        <v>0</v>
      </c>
      <c r="AV137" s="239">
        <v>-48538</v>
      </c>
      <c r="AW137" s="239">
        <v>0</v>
      </c>
      <c r="AX137" s="239">
        <v>0</v>
      </c>
      <c r="AY137" s="239">
        <v>0</v>
      </c>
      <c r="AZ137" s="239">
        <v>0</v>
      </c>
      <c r="BA137" s="239">
        <v>0</v>
      </c>
      <c r="BB137" s="239">
        <v>0</v>
      </c>
      <c r="BC137" s="239">
        <v>0</v>
      </c>
      <c r="BD137" s="239">
        <v>0</v>
      </c>
      <c r="BE137" s="239">
        <v>0</v>
      </c>
      <c r="BF137" s="239">
        <v>-6994250</v>
      </c>
      <c r="BG137" s="239">
        <v>0</v>
      </c>
      <c r="BH137" s="239">
        <v>-6994250</v>
      </c>
      <c r="BI137" s="239">
        <v>-296812</v>
      </c>
      <c r="BJ137" s="239">
        <v>0</v>
      </c>
      <c r="BK137" s="239">
        <v>-296812</v>
      </c>
      <c r="BL137" s="239">
        <v>-4739</v>
      </c>
      <c r="BM137" s="239">
        <v>0</v>
      </c>
      <c r="BN137" s="239">
        <v>-4739</v>
      </c>
      <c r="BO137" s="239">
        <v>-11841471</v>
      </c>
      <c r="BP137" s="239">
        <v>0</v>
      </c>
      <c r="BQ137" s="239">
        <v>-11841471</v>
      </c>
      <c r="BR137" s="239">
        <v>819946</v>
      </c>
      <c r="BS137" s="239">
        <v>0</v>
      </c>
      <c r="BT137" s="239">
        <v>819946</v>
      </c>
      <c r="BU137" s="239">
        <v>-11323076</v>
      </c>
      <c r="BV137" s="239">
        <v>0</v>
      </c>
      <c r="BW137" s="239">
        <v>-11323076</v>
      </c>
      <c r="BX137" s="239">
        <v>-307844</v>
      </c>
      <c r="BY137" s="239">
        <v>0</v>
      </c>
      <c r="BZ137" s="239">
        <v>-307844</v>
      </c>
      <c r="CA137" s="239">
        <v>-22339</v>
      </c>
      <c r="CB137" s="239">
        <v>0</v>
      </c>
      <c r="CC137" s="239">
        <v>-22339</v>
      </c>
      <c r="CD137" s="239">
        <v>-259139</v>
      </c>
      <c r="CE137" s="239">
        <v>0</v>
      </c>
      <c r="CF137" s="239">
        <v>-259139</v>
      </c>
      <c r="CG137" s="239">
        <v>36733</v>
      </c>
      <c r="CH137" s="239">
        <v>0</v>
      </c>
      <c r="CI137" s="239">
        <v>36733</v>
      </c>
      <c r="CJ137" s="239">
        <v>-1662</v>
      </c>
      <c r="CK137" s="239">
        <v>0</v>
      </c>
      <c r="CL137" s="239">
        <v>-1662</v>
      </c>
      <c r="CM137" s="239">
        <v>0</v>
      </c>
      <c r="CN137" s="239">
        <v>0</v>
      </c>
      <c r="CO137" s="239">
        <v>0</v>
      </c>
      <c r="CP137" s="239">
        <v>0</v>
      </c>
      <c r="CQ137" s="239">
        <v>0</v>
      </c>
      <c r="CR137" s="239">
        <v>0</v>
      </c>
      <c r="CS137" s="239">
        <v>0</v>
      </c>
      <c r="CT137" s="239">
        <v>0</v>
      </c>
      <c r="CU137" s="239">
        <v>0</v>
      </c>
      <c r="CV137" s="239">
        <v>0</v>
      </c>
      <c r="CW137" s="239">
        <v>0</v>
      </c>
      <c r="CX137" s="239">
        <v>0</v>
      </c>
      <c r="CY137" s="239">
        <v>0</v>
      </c>
      <c r="CZ137" s="239">
        <v>0</v>
      </c>
      <c r="DA137" s="239">
        <v>0</v>
      </c>
      <c r="DB137" s="239">
        <v>0</v>
      </c>
      <c r="DC137" s="239">
        <v>0</v>
      </c>
      <c r="DD137" s="239">
        <v>0</v>
      </c>
      <c r="DE137" s="239">
        <v>0</v>
      </c>
      <c r="DF137" s="239">
        <v>0</v>
      </c>
      <c r="DG137" s="239">
        <v>0</v>
      </c>
      <c r="DH137" s="239">
        <v>0</v>
      </c>
      <c r="DI137" s="239">
        <v>0</v>
      </c>
      <c r="DJ137" s="239">
        <v>-554251</v>
      </c>
      <c r="DK137" s="239">
        <v>0</v>
      </c>
      <c r="DL137" s="239">
        <v>-554251</v>
      </c>
      <c r="DM137" s="239">
        <v>0</v>
      </c>
      <c r="DN137" s="239">
        <v>0</v>
      </c>
      <c r="DO137" s="239">
        <v>0</v>
      </c>
      <c r="DP137" s="239">
        <v>661</v>
      </c>
      <c r="DQ137" s="239">
        <v>0</v>
      </c>
      <c r="DR137" s="239">
        <v>661</v>
      </c>
      <c r="DS137" s="239">
        <v>-7694</v>
      </c>
      <c r="DT137" s="239">
        <v>0</v>
      </c>
      <c r="DU137" s="239">
        <v>-7694</v>
      </c>
      <c r="DV137" s="239">
        <v>-11518</v>
      </c>
      <c r="DW137" s="239">
        <v>0</v>
      </c>
      <c r="DX137" s="239">
        <v>-11518</v>
      </c>
      <c r="DY137" s="239">
        <v>4800</v>
      </c>
      <c r="DZ137" s="239">
        <v>0</v>
      </c>
      <c r="EA137" s="239">
        <v>4800</v>
      </c>
      <c r="EB137" s="239">
        <v>0</v>
      </c>
      <c r="EC137" s="239">
        <v>0</v>
      </c>
      <c r="ED137" s="239">
        <v>0</v>
      </c>
      <c r="EE137" s="239">
        <v>0</v>
      </c>
      <c r="EF137" s="239">
        <v>0</v>
      </c>
      <c r="EG137" s="239">
        <v>0</v>
      </c>
      <c r="EH137" s="239">
        <v>0</v>
      </c>
      <c r="EI137" s="239">
        <v>0</v>
      </c>
      <c r="EJ137" s="239">
        <v>0</v>
      </c>
      <c r="EK137" s="239">
        <v>0</v>
      </c>
      <c r="EL137" s="239">
        <v>0</v>
      </c>
      <c r="EM137" s="239">
        <v>0</v>
      </c>
      <c r="EN137" s="239">
        <v>0</v>
      </c>
      <c r="EO137" s="239">
        <v>0</v>
      </c>
      <c r="EP137" s="239">
        <v>0</v>
      </c>
      <c r="EQ137" s="239">
        <v>-21510</v>
      </c>
      <c r="ER137" s="239">
        <v>0</v>
      </c>
      <c r="ES137" s="239">
        <v>-21510</v>
      </c>
      <c r="ET137" s="239">
        <v>-1326067</v>
      </c>
      <c r="EU137" s="239">
        <v>0</v>
      </c>
      <c r="EV137" s="239">
        <v>-1326067</v>
      </c>
      <c r="EW137" s="239">
        <v>-54827</v>
      </c>
      <c r="EX137" s="239">
        <v>0</v>
      </c>
      <c r="EY137" s="239">
        <v>-54827</v>
      </c>
      <c r="EZ137" s="239">
        <v>-1416155</v>
      </c>
      <c r="FA137" s="239">
        <v>0</v>
      </c>
      <c r="FB137" s="239">
        <v>-1416155</v>
      </c>
      <c r="FC137" s="239">
        <v>0</v>
      </c>
      <c r="FD137" s="239">
        <v>0</v>
      </c>
      <c r="FE137" s="239">
        <v>0</v>
      </c>
      <c r="FF137" s="239">
        <v>0</v>
      </c>
      <c r="FG137" s="239">
        <v>0</v>
      </c>
      <c r="FH137" s="239">
        <v>0</v>
      </c>
      <c r="FI137" s="239">
        <v>0</v>
      </c>
      <c r="FJ137" s="239">
        <v>0</v>
      </c>
      <c r="FK137" s="239">
        <v>0</v>
      </c>
      <c r="FL137" s="239">
        <v>213375533</v>
      </c>
      <c r="FM137" s="239">
        <v>0</v>
      </c>
      <c r="FN137" s="239">
        <v>213375533</v>
      </c>
      <c r="FO137" s="239">
        <v>-14650031</v>
      </c>
      <c r="FP137" s="239">
        <v>0</v>
      </c>
      <c r="FQ137" s="239">
        <v>-14650031</v>
      </c>
      <c r="FR137" s="239">
        <v>-6994250</v>
      </c>
      <c r="FS137" s="239">
        <v>0</v>
      </c>
      <c r="FT137" s="239">
        <v>-6994250</v>
      </c>
      <c r="FU137" s="239">
        <v>-11323076</v>
      </c>
      <c r="FV137" s="239">
        <v>0</v>
      </c>
      <c r="FW137" s="239">
        <v>-11323076</v>
      </c>
      <c r="FX137" s="239">
        <v>-554251</v>
      </c>
      <c r="FY137" s="239">
        <v>0</v>
      </c>
      <c r="FZ137" s="239">
        <v>-554251</v>
      </c>
      <c r="GA137" s="239">
        <v>-1416155</v>
      </c>
      <c r="GB137" s="239">
        <v>0</v>
      </c>
      <c r="GC137" s="239">
        <v>-1416155</v>
      </c>
      <c r="GD137" s="239">
        <v>0</v>
      </c>
      <c r="GE137" s="239">
        <v>0</v>
      </c>
      <c r="GF137" s="239">
        <v>0</v>
      </c>
      <c r="GG137" s="239">
        <v>-34937763</v>
      </c>
      <c r="GH137" s="239">
        <v>0</v>
      </c>
      <c r="GI137" s="239">
        <v>-34937763</v>
      </c>
      <c r="GJ137" s="239">
        <v>178437770</v>
      </c>
      <c r="GK137" s="239">
        <v>0</v>
      </c>
      <c r="GL137" s="239">
        <v>178437770</v>
      </c>
      <c r="GM137" s="214" t="s">
        <v>1159</v>
      </c>
    </row>
    <row r="138" spans="2:195" s="214" customFormat="1" x14ac:dyDescent="0.2">
      <c r="B138" s="602" t="s">
        <v>359</v>
      </c>
      <c r="C138" s="602" t="s">
        <v>358</v>
      </c>
      <c r="D138" s="239">
        <v>-1746779</v>
      </c>
      <c r="E138" s="239">
        <v>-40657</v>
      </c>
      <c r="F138" s="239">
        <v>-1787436</v>
      </c>
      <c r="G138" s="239">
        <v>57834</v>
      </c>
      <c r="H138" s="239">
        <v>0</v>
      </c>
      <c r="I138" s="239">
        <v>57834</v>
      </c>
      <c r="J138" s="239">
        <v>3359624</v>
      </c>
      <c r="K138" s="239">
        <v>8238</v>
      </c>
      <c r="L138" s="239">
        <v>3367862</v>
      </c>
      <c r="M138" s="239">
        <v>141265</v>
      </c>
      <c r="N138" s="239">
        <v>-123</v>
      </c>
      <c r="O138" s="239">
        <v>141142</v>
      </c>
      <c r="P138" s="239">
        <v>1811944</v>
      </c>
      <c r="Q138" s="239">
        <v>-32542</v>
      </c>
      <c r="R138" s="239">
        <v>1779402</v>
      </c>
      <c r="S138" s="239">
        <v>-4992235</v>
      </c>
      <c r="T138" s="239">
        <v>-4092</v>
      </c>
      <c r="U138" s="239">
        <v>-4996327</v>
      </c>
      <c r="V138" s="239">
        <v>-12349</v>
      </c>
      <c r="W138" s="239">
        <v>0</v>
      </c>
      <c r="X138" s="239">
        <v>-12349</v>
      </c>
      <c r="Y138" s="239">
        <v>-119582</v>
      </c>
      <c r="Z138" s="239">
        <v>0</v>
      </c>
      <c r="AA138" s="239">
        <v>-119582</v>
      </c>
      <c r="AB138" s="239">
        <v>-93854</v>
      </c>
      <c r="AC138" s="239">
        <v>0</v>
      </c>
      <c r="AD138" s="239">
        <v>-93854</v>
      </c>
      <c r="AE138" s="239">
        <v>0</v>
      </c>
      <c r="AF138" s="239">
        <v>0</v>
      </c>
      <c r="AG138" s="239">
        <v>0</v>
      </c>
      <c r="AH138" s="239">
        <v>1236708</v>
      </c>
      <c r="AI138" s="239">
        <v>21158</v>
      </c>
      <c r="AJ138" s="239">
        <v>1257866</v>
      </c>
      <c r="AK138" s="239">
        <v>-543919</v>
      </c>
      <c r="AL138" s="239">
        <v>8727</v>
      </c>
      <c r="AM138" s="239">
        <v>-535192</v>
      </c>
      <c r="AN138" s="239">
        <v>-3074251</v>
      </c>
      <c r="AO138" s="239">
        <v>-12908</v>
      </c>
      <c r="AP138" s="239">
        <v>-3087159</v>
      </c>
      <c r="AQ138" s="239">
        <v>-28324</v>
      </c>
      <c r="AR138" s="239">
        <v>0</v>
      </c>
      <c r="AS138" s="239">
        <v>-28324</v>
      </c>
      <c r="AT138" s="239">
        <v>-191756</v>
      </c>
      <c r="AU138" s="239">
        <v>0</v>
      </c>
      <c r="AV138" s="239">
        <v>-191756</v>
      </c>
      <c r="AW138" s="239">
        <v>154</v>
      </c>
      <c r="AX138" s="239">
        <v>0</v>
      </c>
      <c r="AY138" s="239">
        <v>154</v>
      </c>
      <c r="AZ138" s="239">
        <v>-35933</v>
      </c>
      <c r="BA138" s="239">
        <v>0</v>
      </c>
      <c r="BB138" s="239">
        <v>-35933</v>
      </c>
      <c r="BC138" s="239">
        <v>0</v>
      </c>
      <c r="BD138" s="239">
        <v>0</v>
      </c>
      <c r="BE138" s="239">
        <v>0</v>
      </c>
      <c r="BF138" s="239">
        <v>-7749138</v>
      </c>
      <c r="BG138" s="239">
        <v>12885</v>
      </c>
      <c r="BH138" s="239">
        <v>-7736253</v>
      </c>
      <c r="BI138" s="239">
        <v>-6212</v>
      </c>
      <c r="BJ138" s="239">
        <v>0</v>
      </c>
      <c r="BK138" s="239">
        <v>-6212</v>
      </c>
      <c r="BL138" s="239">
        <v>186</v>
      </c>
      <c r="BM138" s="239">
        <v>0</v>
      </c>
      <c r="BN138" s="239">
        <v>186</v>
      </c>
      <c r="BO138" s="239">
        <v>-1699939</v>
      </c>
      <c r="BP138" s="239">
        <v>-71659</v>
      </c>
      <c r="BQ138" s="239">
        <v>-1771598</v>
      </c>
      <c r="BR138" s="239">
        <v>-44095</v>
      </c>
      <c r="BS138" s="239">
        <v>-48267</v>
      </c>
      <c r="BT138" s="239">
        <v>-92362</v>
      </c>
      <c r="BU138" s="239">
        <v>-1750060</v>
      </c>
      <c r="BV138" s="239">
        <v>-119926</v>
      </c>
      <c r="BW138" s="239">
        <v>-1869986</v>
      </c>
      <c r="BX138" s="239">
        <v>-6529</v>
      </c>
      <c r="BY138" s="239">
        <v>0</v>
      </c>
      <c r="BZ138" s="239">
        <v>-6529</v>
      </c>
      <c r="CA138" s="239">
        <v>0</v>
      </c>
      <c r="CB138" s="239">
        <v>0</v>
      </c>
      <c r="CC138" s="239">
        <v>0</v>
      </c>
      <c r="CD138" s="239">
        <v>-30696</v>
      </c>
      <c r="CE138" s="239">
        <v>0</v>
      </c>
      <c r="CF138" s="239">
        <v>-30696</v>
      </c>
      <c r="CG138" s="239">
        <v>-4362</v>
      </c>
      <c r="CH138" s="239">
        <v>0</v>
      </c>
      <c r="CI138" s="239">
        <v>-4362</v>
      </c>
      <c r="CJ138" s="239">
        <v>0</v>
      </c>
      <c r="CK138" s="239">
        <v>0</v>
      </c>
      <c r="CL138" s="239">
        <v>0</v>
      </c>
      <c r="CM138" s="239">
        <v>0</v>
      </c>
      <c r="CN138" s="239">
        <v>0</v>
      </c>
      <c r="CO138" s="239">
        <v>0</v>
      </c>
      <c r="CP138" s="239">
        <v>0</v>
      </c>
      <c r="CQ138" s="239">
        <v>0</v>
      </c>
      <c r="CR138" s="239">
        <v>0</v>
      </c>
      <c r="CS138" s="239">
        <v>0</v>
      </c>
      <c r="CT138" s="239">
        <v>0</v>
      </c>
      <c r="CU138" s="239">
        <v>0</v>
      </c>
      <c r="CV138" s="239">
        <v>0</v>
      </c>
      <c r="CW138" s="239">
        <v>0</v>
      </c>
      <c r="CX138" s="239">
        <v>0</v>
      </c>
      <c r="CY138" s="239">
        <v>0</v>
      </c>
      <c r="CZ138" s="239">
        <v>0</v>
      </c>
      <c r="DA138" s="239">
        <v>0</v>
      </c>
      <c r="DB138" s="239">
        <v>0</v>
      </c>
      <c r="DC138" s="239">
        <v>-289658</v>
      </c>
      <c r="DD138" s="239">
        <v>-289658</v>
      </c>
      <c r="DE138" s="239">
        <v>0</v>
      </c>
      <c r="DF138" s="239">
        <v>-9060</v>
      </c>
      <c r="DG138" s="239">
        <v>-9060</v>
      </c>
      <c r="DH138" s="239">
        <v>-298718</v>
      </c>
      <c r="DI138" s="239">
        <v>0</v>
      </c>
      <c r="DJ138" s="239">
        <v>-41587</v>
      </c>
      <c r="DK138" s="239">
        <v>-298718</v>
      </c>
      <c r="DL138" s="239">
        <v>-340305</v>
      </c>
      <c r="DM138" s="239">
        <v>0</v>
      </c>
      <c r="DN138" s="239">
        <v>0</v>
      </c>
      <c r="DO138" s="239">
        <v>0</v>
      </c>
      <c r="DP138" s="239">
        <v>0</v>
      </c>
      <c r="DQ138" s="239">
        <v>0</v>
      </c>
      <c r="DR138" s="239">
        <v>0</v>
      </c>
      <c r="DS138" s="239">
        <v>0</v>
      </c>
      <c r="DT138" s="239">
        <v>0</v>
      </c>
      <c r="DU138" s="239">
        <v>0</v>
      </c>
      <c r="DV138" s="239">
        <v>0</v>
      </c>
      <c r="DW138" s="239">
        <v>0</v>
      </c>
      <c r="DX138" s="239">
        <v>0</v>
      </c>
      <c r="DY138" s="239">
        <v>2361</v>
      </c>
      <c r="DZ138" s="239">
        <v>0</v>
      </c>
      <c r="EA138" s="239">
        <v>2361</v>
      </c>
      <c r="EB138" s="239">
        <v>0</v>
      </c>
      <c r="EC138" s="239">
        <v>0</v>
      </c>
      <c r="ED138" s="239">
        <v>0</v>
      </c>
      <c r="EE138" s="239">
        <v>0</v>
      </c>
      <c r="EF138" s="239">
        <v>0</v>
      </c>
      <c r="EG138" s="239">
        <v>0</v>
      </c>
      <c r="EH138" s="239">
        <v>0</v>
      </c>
      <c r="EI138" s="239">
        <v>0</v>
      </c>
      <c r="EJ138" s="239">
        <v>0</v>
      </c>
      <c r="EK138" s="239">
        <v>-36321</v>
      </c>
      <c r="EL138" s="239">
        <v>0</v>
      </c>
      <c r="EM138" s="239">
        <v>-36321</v>
      </c>
      <c r="EN138" s="239">
        <v>0</v>
      </c>
      <c r="EO138" s="239">
        <v>0</v>
      </c>
      <c r="EP138" s="239">
        <v>0</v>
      </c>
      <c r="EQ138" s="239">
        <v>-32752</v>
      </c>
      <c r="ER138" s="239">
        <v>0</v>
      </c>
      <c r="ES138" s="239">
        <v>-32752</v>
      </c>
      <c r="ET138" s="239">
        <v>-280226</v>
      </c>
      <c r="EU138" s="239">
        <v>0</v>
      </c>
      <c r="EV138" s="239">
        <v>-280226</v>
      </c>
      <c r="EW138" s="239">
        <v>-77477</v>
      </c>
      <c r="EX138" s="239">
        <v>0</v>
      </c>
      <c r="EY138" s="239">
        <v>-77477</v>
      </c>
      <c r="EZ138" s="239">
        <v>-424415</v>
      </c>
      <c r="FA138" s="239">
        <v>0</v>
      </c>
      <c r="FB138" s="239">
        <v>-424415</v>
      </c>
      <c r="FC138" s="239">
        <v>0</v>
      </c>
      <c r="FD138" s="239">
        <v>0</v>
      </c>
      <c r="FE138" s="239">
        <v>0</v>
      </c>
      <c r="FF138" s="239">
        <v>0</v>
      </c>
      <c r="FG138" s="239">
        <v>0</v>
      </c>
      <c r="FH138" s="239">
        <v>0</v>
      </c>
      <c r="FI138" s="239">
        <v>0</v>
      </c>
      <c r="FJ138" s="239">
        <v>0</v>
      </c>
      <c r="FK138" s="239">
        <v>0</v>
      </c>
      <c r="FL138" s="239">
        <v>65053624</v>
      </c>
      <c r="FM138" s="239">
        <v>943149</v>
      </c>
      <c r="FN138" s="239">
        <v>65996773</v>
      </c>
      <c r="FO138" s="239">
        <v>1811944</v>
      </c>
      <c r="FP138" s="239">
        <v>-32542</v>
      </c>
      <c r="FQ138" s="239">
        <v>1779402</v>
      </c>
      <c r="FR138" s="239">
        <v>-7749138</v>
      </c>
      <c r="FS138" s="239">
        <v>12885</v>
      </c>
      <c r="FT138" s="239">
        <v>-7736253</v>
      </c>
      <c r="FU138" s="239">
        <v>-1750060</v>
      </c>
      <c r="FV138" s="239">
        <v>-119926</v>
      </c>
      <c r="FW138" s="239">
        <v>-1869986</v>
      </c>
      <c r="FX138" s="239">
        <v>-41587</v>
      </c>
      <c r="FY138" s="239">
        <v>-298718</v>
      </c>
      <c r="FZ138" s="239">
        <v>-340305</v>
      </c>
      <c r="GA138" s="239">
        <v>-424415</v>
      </c>
      <c r="GB138" s="239">
        <v>0</v>
      </c>
      <c r="GC138" s="239">
        <v>-424415</v>
      </c>
      <c r="GD138" s="239">
        <v>0</v>
      </c>
      <c r="GE138" s="239">
        <v>0</v>
      </c>
      <c r="GF138" s="239">
        <v>0</v>
      </c>
      <c r="GG138" s="239">
        <v>-8153256</v>
      </c>
      <c r="GH138" s="239">
        <v>-438301</v>
      </c>
      <c r="GI138" s="239">
        <v>-8591557</v>
      </c>
      <c r="GJ138" s="239">
        <v>56900368</v>
      </c>
      <c r="GK138" s="239">
        <v>504848</v>
      </c>
      <c r="GL138" s="239">
        <v>57405216</v>
      </c>
      <c r="GM138" s="214" t="s">
        <v>1158</v>
      </c>
    </row>
    <row r="139" spans="2:195" s="214" customFormat="1" x14ac:dyDescent="0.2">
      <c r="B139" s="602" t="s">
        <v>361</v>
      </c>
      <c r="C139" s="602" t="s">
        <v>360</v>
      </c>
      <c r="D139" s="239">
        <v>-573800</v>
      </c>
      <c r="E139" s="239">
        <v>0</v>
      </c>
      <c r="F139" s="239">
        <v>-573800</v>
      </c>
      <c r="G139" s="239">
        <v>24360</v>
      </c>
      <c r="H139" s="239">
        <v>0</v>
      </c>
      <c r="I139" s="239">
        <v>24360</v>
      </c>
      <c r="J139" s="239">
        <v>2365615</v>
      </c>
      <c r="K139" s="239">
        <v>0</v>
      </c>
      <c r="L139" s="239">
        <v>2365615</v>
      </c>
      <c r="M139" s="239">
        <v>9890</v>
      </c>
      <c r="N139" s="239">
        <v>0</v>
      </c>
      <c r="O139" s="239">
        <v>9890</v>
      </c>
      <c r="P139" s="239">
        <v>1826065</v>
      </c>
      <c r="Q139" s="239">
        <v>0</v>
      </c>
      <c r="R139" s="239">
        <v>1826065</v>
      </c>
      <c r="S139" s="239">
        <v>-3525013</v>
      </c>
      <c r="T139" s="239">
        <v>0</v>
      </c>
      <c r="U139" s="239">
        <v>-3525013</v>
      </c>
      <c r="V139" s="239">
        <v>-1165</v>
      </c>
      <c r="W139" s="239">
        <v>0</v>
      </c>
      <c r="X139" s="239">
        <v>-1165</v>
      </c>
      <c r="Y139" s="239">
        <v>-96477</v>
      </c>
      <c r="Z139" s="239">
        <v>0</v>
      </c>
      <c r="AA139" s="239">
        <v>-96477</v>
      </c>
      <c r="AB139" s="239">
        <v>-95072</v>
      </c>
      <c r="AC139" s="239">
        <v>0</v>
      </c>
      <c r="AD139" s="239">
        <v>-95072</v>
      </c>
      <c r="AE139" s="239">
        <v>1405</v>
      </c>
      <c r="AF139" s="239">
        <v>0</v>
      </c>
      <c r="AG139" s="239">
        <v>1405</v>
      </c>
      <c r="AH139" s="239">
        <v>471460</v>
      </c>
      <c r="AI139" s="239">
        <v>0</v>
      </c>
      <c r="AJ139" s="239">
        <v>471460</v>
      </c>
      <c r="AK139" s="239">
        <v>-16471</v>
      </c>
      <c r="AL139" s="239">
        <v>0</v>
      </c>
      <c r="AM139" s="239">
        <v>-16471</v>
      </c>
      <c r="AN139" s="239">
        <v>-1428543</v>
      </c>
      <c r="AO139" s="239">
        <v>0</v>
      </c>
      <c r="AP139" s="239">
        <v>-1428543</v>
      </c>
      <c r="AQ139" s="239">
        <v>49158</v>
      </c>
      <c r="AR139" s="239">
        <v>0</v>
      </c>
      <c r="AS139" s="239">
        <v>49158</v>
      </c>
      <c r="AT139" s="239">
        <v>-50260</v>
      </c>
      <c r="AU139" s="239">
        <v>0</v>
      </c>
      <c r="AV139" s="239">
        <v>-50260</v>
      </c>
      <c r="AW139" s="239">
        <v>0</v>
      </c>
      <c r="AX139" s="239">
        <v>0</v>
      </c>
      <c r="AY139" s="239">
        <v>0</v>
      </c>
      <c r="AZ139" s="239">
        <v>0</v>
      </c>
      <c r="BA139" s="239">
        <v>0</v>
      </c>
      <c r="BB139" s="239">
        <v>0</v>
      </c>
      <c r="BC139" s="239">
        <v>0</v>
      </c>
      <c r="BD139" s="239">
        <v>0</v>
      </c>
      <c r="BE139" s="239">
        <v>0</v>
      </c>
      <c r="BF139" s="239">
        <v>-4596146</v>
      </c>
      <c r="BG139" s="239">
        <v>0</v>
      </c>
      <c r="BH139" s="239">
        <v>-4596146</v>
      </c>
      <c r="BI139" s="239">
        <v>-35999</v>
      </c>
      <c r="BJ139" s="239">
        <v>0</v>
      </c>
      <c r="BK139" s="239">
        <v>-35999</v>
      </c>
      <c r="BL139" s="239">
        <v>173</v>
      </c>
      <c r="BM139" s="239">
        <v>0</v>
      </c>
      <c r="BN139" s="239">
        <v>173</v>
      </c>
      <c r="BO139" s="239">
        <v>-1910673</v>
      </c>
      <c r="BP139" s="239">
        <v>0</v>
      </c>
      <c r="BQ139" s="239">
        <v>-1910673</v>
      </c>
      <c r="BR139" s="239">
        <v>-218155</v>
      </c>
      <c r="BS139" s="239">
        <v>0</v>
      </c>
      <c r="BT139" s="239">
        <v>-218155</v>
      </c>
      <c r="BU139" s="239">
        <v>-2164654</v>
      </c>
      <c r="BV139" s="239">
        <v>0</v>
      </c>
      <c r="BW139" s="239">
        <v>-2164654</v>
      </c>
      <c r="BX139" s="239">
        <v>-123889</v>
      </c>
      <c r="BY139" s="239">
        <v>0</v>
      </c>
      <c r="BZ139" s="239">
        <v>-123889</v>
      </c>
      <c r="CA139" s="239">
        <v>2682</v>
      </c>
      <c r="CB139" s="239">
        <v>0</v>
      </c>
      <c r="CC139" s="239">
        <v>2682</v>
      </c>
      <c r="CD139" s="239">
        <v>-65541</v>
      </c>
      <c r="CE139" s="239">
        <v>0</v>
      </c>
      <c r="CF139" s="239">
        <v>-65541</v>
      </c>
      <c r="CG139" s="239">
        <v>0</v>
      </c>
      <c r="CH139" s="239">
        <v>0</v>
      </c>
      <c r="CI139" s="239">
        <v>0</v>
      </c>
      <c r="CJ139" s="239">
        <v>-2274</v>
      </c>
      <c r="CK139" s="239">
        <v>0</v>
      </c>
      <c r="CL139" s="239">
        <v>-2274</v>
      </c>
      <c r="CM139" s="239">
        <v>0</v>
      </c>
      <c r="CN139" s="239">
        <v>0</v>
      </c>
      <c r="CO139" s="239">
        <v>0</v>
      </c>
      <c r="CP139" s="239">
        <v>0</v>
      </c>
      <c r="CQ139" s="239">
        <v>0</v>
      </c>
      <c r="CR139" s="239">
        <v>0</v>
      </c>
      <c r="CS139" s="239">
        <v>0</v>
      </c>
      <c r="CT139" s="239">
        <v>0</v>
      </c>
      <c r="CU139" s="239">
        <v>0</v>
      </c>
      <c r="CV139" s="239">
        <v>0</v>
      </c>
      <c r="CW139" s="239">
        <v>0</v>
      </c>
      <c r="CX139" s="239">
        <v>0</v>
      </c>
      <c r="CY139" s="239">
        <v>0</v>
      </c>
      <c r="CZ139" s="239">
        <v>0</v>
      </c>
      <c r="DA139" s="239">
        <v>0</v>
      </c>
      <c r="DB139" s="239">
        <v>0</v>
      </c>
      <c r="DC139" s="239">
        <v>0</v>
      </c>
      <c r="DD139" s="239">
        <v>0</v>
      </c>
      <c r="DE139" s="239">
        <v>0</v>
      </c>
      <c r="DF139" s="239">
        <v>0</v>
      </c>
      <c r="DG139" s="239">
        <v>0</v>
      </c>
      <c r="DH139" s="239">
        <v>0</v>
      </c>
      <c r="DI139" s="239">
        <v>0</v>
      </c>
      <c r="DJ139" s="239">
        <v>-189022</v>
      </c>
      <c r="DK139" s="239">
        <v>0</v>
      </c>
      <c r="DL139" s="239">
        <v>-189022</v>
      </c>
      <c r="DM139" s="239">
        <v>0</v>
      </c>
      <c r="DN139" s="239">
        <v>0</v>
      </c>
      <c r="DO139" s="239">
        <v>0</v>
      </c>
      <c r="DP139" s="239">
        <v>0</v>
      </c>
      <c r="DQ139" s="239">
        <v>0</v>
      </c>
      <c r="DR139" s="239">
        <v>0</v>
      </c>
      <c r="DS139" s="239">
        <v>-4422</v>
      </c>
      <c r="DT139" s="239">
        <v>0</v>
      </c>
      <c r="DU139" s="239">
        <v>-4422</v>
      </c>
      <c r="DV139" s="239">
        <v>-38101</v>
      </c>
      <c r="DW139" s="239">
        <v>0</v>
      </c>
      <c r="DX139" s="239">
        <v>-38101</v>
      </c>
      <c r="DY139" s="239">
        <v>2459</v>
      </c>
      <c r="DZ139" s="239">
        <v>0</v>
      </c>
      <c r="EA139" s="239">
        <v>2459</v>
      </c>
      <c r="EB139" s="239">
        <v>0</v>
      </c>
      <c r="EC139" s="239">
        <v>0</v>
      </c>
      <c r="ED139" s="239">
        <v>0</v>
      </c>
      <c r="EE139" s="239">
        <v>0</v>
      </c>
      <c r="EF139" s="239">
        <v>0</v>
      </c>
      <c r="EG139" s="239">
        <v>0</v>
      </c>
      <c r="EH139" s="239">
        <v>1474</v>
      </c>
      <c r="EI139" s="239">
        <v>0</v>
      </c>
      <c r="EJ139" s="239">
        <v>1474</v>
      </c>
      <c r="EK139" s="239">
        <v>0</v>
      </c>
      <c r="EL139" s="239">
        <v>0</v>
      </c>
      <c r="EM139" s="239">
        <v>0</v>
      </c>
      <c r="EN139" s="239">
        <v>0</v>
      </c>
      <c r="EO139" s="239">
        <v>0</v>
      </c>
      <c r="EP139" s="239">
        <v>0</v>
      </c>
      <c r="EQ139" s="239">
        <v>-8838</v>
      </c>
      <c r="ER139" s="239">
        <v>0</v>
      </c>
      <c r="ES139" s="239">
        <v>-8838</v>
      </c>
      <c r="ET139" s="239">
        <v>-87102</v>
      </c>
      <c r="EU139" s="239">
        <v>0</v>
      </c>
      <c r="EV139" s="239">
        <v>-87102</v>
      </c>
      <c r="EW139" s="239">
        <v>-35616</v>
      </c>
      <c r="EX139" s="239">
        <v>0</v>
      </c>
      <c r="EY139" s="239">
        <v>-35616</v>
      </c>
      <c r="EZ139" s="239">
        <v>-170146</v>
      </c>
      <c r="FA139" s="239">
        <v>0</v>
      </c>
      <c r="FB139" s="239">
        <v>-170146</v>
      </c>
      <c r="FC139" s="239">
        <v>0</v>
      </c>
      <c r="FD139" s="239">
        <v>0</v>
      </c>
      <c r="FE139" s="239">
        <v>0</v>
      </c>
      <c r="FF139" s="239">
        <v>0</v>
      </c>
      <c r="FG139" s="239">
        <v>0</v>
      </c>
      <c r="FH139" s="239">
        <v>0</v>
      </c>
      <c r="FI139" s="239">
        <v>0</v>
      </c>
      <c r="FJ139" s="239">
        <v>0</v>
      </c>
      <c r="FK139" s="239">
        <v>0</v>
      </c>
      <c r="FL139" s="239">
        <v>25177459</v>
      </c>
      <c r="FM139" s="239">
        <v>0</v>
      </c>
      <c r="FN139" s="239">
        <v>25177459</v>
      </c>
      <c r="FO139" s="239">
        <v>1826065</v>
      </c>
      <c r="FP139" s="239">
        <v>0</v>
      </c>
      <c r="FQ139" s="239">
        <v>1826065</v>
      </c>
      <c r="FR139" s="239">
        <v>-4596146</v>
      </c>
      <c r="FS139" s="239">
        <v>0</v>
      </c>
      <c r="FT139" s="239">
        <v>-4596146</v>
      </c>
      <c r="FU139" s="239">
        <v>-2164654</v>
      </c>
      <c r="FV139" s="239">
        <v>0</v>
      </c>
      <c r="FW139" s="239">
        <v>-2164654</v>
      </c>
      <c r="FX139" s="239">
        <v>-189022</v>
      </c>
      <c r="FY139" s="239">
        <v>0</v>
      </c>
      <c r="FZ139" s="239">
        <v>-189022</v>
      </c>
      <c r="GA139" s="239">
        <v>-170146</v>
      </c>
      <c r="GB139" s="239">
        <v>0</v>
      </c>
      <c r="GC139" s="239">
        <v>-170146</v>
      </c>
      <c r="GD139" s="239">
        <v>0</v>
      </c>
      <c r="GE139" s="239">
        <v>0</v>
      </c>
      <c r="GF139" s="239">
        <v>0</v>
      </c>
      <c r="GG139" s="239">
        <v>-5293903</v>
      </c>
      <c r="GH139" s="239">
        <v>0</v>
      </c>
      <c r="GI139" s="239">
        <v>-5293903</v>
      </c>
      <c r="GJ139" s="239">
        <v>19883556</v>
      </c>
      <c r="GK139" s="239">
        <v>0</v>
      </c>
      <c r="GL139" s="239">
        <v>19883556</v>
      </c>
      <c r="GM139" s="214" t="s">
        <v>1158</v>
      </c>
    </row>
    <row r="140" spans="2:195" s="214" customFormat="1" x14ac:dyDescent="0.2">
      <c r="B140" s="602" t="s">
        <v>363</v>
      </c>
      <c r="C140" s="602" t="s">
        <v>362</v>
      </c>
      <c r="D140" s="239">
        <v>-1032635</v>
      </c>
      <c r="E140" s="239">
        <v>-956</v>
      </c>
      <c r="F140" s="239">
        <v>-1033591</v>
      </c>
      <c r="G140" s="239">
        <v>167398</v>
      </c>
      <c r="H140" s="239">
        <v>0</v>
      </c>
      <c r="I140" s="239">
        <v>167398</v>
      </c>
      <c r="J140" s="239">
        <v>3568010</v>
      </c>
      <c r="K140" s="239">
        <v>0</v>
      </c>
      <c r="L140" s="239">
        <v>3568010</v>
      </c>
      <c r="M140" s="239">
        <v>74440</v>
      </c>
      <c r="N140" s="239">
        <v>0</v>
      </c>
      <c r="O140" s="239">
        <v>74440</v>
      </c>
      <c r="P140" s="239">
        <v>2777213</v>
      </c>
      <c r="Q140" s="239">
        <v>-956</v>
      </c>
      <c r="R140" s="239">
        <v>2776257</v>
      </c>
      <c r="S140" s="239">
        <v>-3911278</v>
      </c>
      <c r="T140" s="239">
        <v>-7756</v>
      </c>
      <c r="U140" s="239">
        <v>-3919034</v>
      </c>
      <c r="V140" s="239">
        <v>-21909</v>
      </c>
      <c r="W140" s="239">
        <v>-3052</v>
      </c>
      <c r="X140" s="239">
        <v>-24961</v>
      </c>
      <c r="Y140" s="239">
        <v>-80128</v>
      </c>
      <c r="Z140" s="239">
        <v>0</v>
      </c>
      <c r="AA140" s="239">
        <v>-80128</v>
      </c>
      <c r="AB140" s="239">
        <v>-79471</v>
      </c>
      <c r="AC140" s="239">
        <v>0</v>
      </c>
      <c r="AD140" s="239">
        <v>-79471</v>
      </c>
      <c r="AE140" s="239">
        <v>10439</v>
      </c>
      <c r="AF140" s="239">
        <v>0</v>
      </c>
      <c r="AG140" s="239">
        <v>10439</v>
      </c>
      <c r="AH140" s="239">
        <v>1291770</v>
      </c>
      <c r="AI140" s="239">
        <v>3898</v>
      </c>
      <c r="AJ140" s="239">
        <v>1295668</v>
      </c>
      <c r="AK140" s="239">
        <v>-2306</v>
      </c>
      <c r="AL140" s="239">
        <v>0</v>
      </c>
      <c r="AM140" s="239">
        <v>-2306</v>
      </c>
      <c r="AN140" s="239">
        <v>-4261153</v>
      </c>
      <c r="AO140" s="239">
        <v>0</v>
      </c>
      <c r="AP140" s="239">
        <v>-4261153</v>
      </c>
      <c r="AQ140" s="239">
        <v>-105389</v>
      </c>
      <c r="AR140" s="239">
        <v>0</v>
      </c>
      <c r="AS140" s="239">
        <v>-105389</v>
      </c>
      <c r="AT140" s="239">
        <v>-99222</v>
      </c>
      <c r="AU140" s="239">
        <v>0</v>
      </c>
      <c r="AV140" s="239">
        <v>-99222</v>
      </c>
      <c r="AW140" s="239">
        <v>0</v>
      </c>
      <c r="AX140" s="239">
        <v>0</v>
      </c>
      <c r="AY140" s="239">
        <v>0</v>
      </c>
      <c r="AZ140" s="239">
        <v>0</v>
      </c>
      <c r="BA140" s="239">
        <v>0</v>
      </c>
      <c r="BB140" s="239">
        <v>0</v>
      </c>
      <c r="BC140" s="239">
        <v>0</v>
      </c>
      <c r="BD140" s="239">
        <v>0</v>
      </c>
      <c r="BE140" s="239">
        <v>0</v>
      </c>
      <c r="BF140" s="239">
        <v>-7167706</v>
      </c>
      <c r="BG140" s="239">
        <v>-3858</v>
      </c>
      <c r="BH140" s="239">
        <v>-7171564</v>
      </c>
      <c r="BI140" s="239">
        <v>-58555</v>
      </c>
      <c r="BJ140" s="239">
        <v>0</v>
      </c>
      <c r="BK140" s="239">
        <v>-58555</v>
      </c>
      <c r="BL140" s="239">
        <v>-17616</v>
      </c>
      <c r="BM140" s="239">
        <v>0</v>
      </c>
      <c r="BN140" s="239">
        <v>-17616</v>
      </c>
      <c r="BO140" s="239">
        <v>-1825426</v>
      </c>
      <c r="BP140" s="239">
        <v>-1923</v>
      </c>
      <c r="BQ140" s="239">
        <v>-1827349</v>
      </c>
      <c r="BR140" s="239">
        <v>-20083</v>
      </c>
      <c r="BS140" s="239">
        <v>-62574</v>
      </c>
      <c r="BT140" s="239">
        <v>-82657</v>
      </c>
      <c r="BU140" s="239">
        <v>-1921680</v>
      </c>
      <c r="BV140" s="239">
        <v>-64497</v>
      </c>
      <c r="BW140" s="239">
        <v>-1986177</v>
      </c>
      <c r="BX140" s="239">
        <v>-134008</v>
      </c>
      <c r="BY140" s="239">
        <v>0</v>
      </c>
      <c r="BZ140" s="239">
        <v>-134008</v>
      </c>
      <c r="CA140" s="239">
        <v>747</v>
      </c>
      <c r="CB140" s="239">
        <v>0</v>
      </c>
      <c r="CC140" s="239">
        <v>747</v>
      </c>
      <c r="CD140" s="239">
        <v>-49286</v>
      </c>
      <c r="CE140" s="239">
        <v>0</v>
      </c>
      <c r="CF140" s="239">
        <v>-49286</v>
      </c>
      <c r="CG140" s="239">
        <v>382</v>
      </c>
      <c r="CH140" s="239">
        <v>0</v>
      </c>
      <c r="CI140" s="239">
        <v>382</v>
      </c>
      <c r="CJ140" s="239">
        <v>0</v>
      </c>
      <c r="CK140" s="239">
        <v>0</v>
      </c>
      <c r="CL140" s="239">
        <v>0</v>
      </c>
      <c r="CM140" s="239">
        <v>0</v>
      </c>
      <c r="CN140" s="239">
        <v>0</v>
      </c>
      <c r="CO140" s="239">
        <v>0</v>
      </c>
      <c r="CP140" s="239">
        <v>0</v>
      </c>
      <c r="CQ140" s="239">
        <v>0</v>
      </c>
      <c r="CR140" s="239">
        <v>0</v>
      </c>
      <c r="CS140" s="239">
        <v>0</v>
      </c>
      <c r="CT140" s="239">
        <v>0</v>
      </c>
      <c r="CU140" s="239">
        <v>0</v>
      </c>
      <c r="CV140" s="239">
        <v>0</v>
      </c>
      <c r="CW140" s="239">
        <v>0</v>
      </c>
      <c r="CX140" s="239">
        <v>0</v>
      </c>
      <c r="CY140" s="239">
        <v>0</v>
      </c>
      <c r="CZ140" s="239">
        <v>0</v>
      </c>
      <c r="DA140" s="239">
        <v>0</v>
      </c>
      <c r="DB140" s="239">
        <v>0</v>
      </c>
      <c r="DC140" s="239">
        <v>-6876</v>
      </c>
      <c r="DD140" s="239">
        <v>-6876</v>
      </c>
      <c r="DE140" s="239">
        <v>0</v>
      </c>
      <c r="DF140" s="239">
        <v>0</v>
      </c>
      <c r="DG140" s="239">
        <v>0</v>
      </c>
      <c r="DH140" s="239">
        <v>-6876</v>
      </c>
      <c r="DI140" s="239">
        <v>0</v>
      </c>
      <c r="DJ140" s="239">
        <v>-182165</v>
      </c>
      <c r="DK140" s="239">
        <v>-6876</v>
      </c>
      <c r="DL140" s="239">
        <v>-189041</v>
      </c>
      <c r="DM140" s="239">
        <v>0</v>
      </c>
      <c r="DN140" s="239">
        <v>-258417</v>
      </c>
      <c r="DO140" s="239">
        <v>-258417</v>
      </c>
      <c r="DP140" s="239">
        <v>0</v>
      </c>
      <c r="DQ140" s="239">
        <v>62574</v>
      </c>
      <c r="DR140" s="239">
        <v>62574</v>
      </c>
      <c r="DS140" s="239">
        <v>-3469</v>
      </c>
      <c r="DT140" s="239">
        <v>0</v>
      </c>
      <c r="DU140" s="239">
        <v>-3469</v>
      </c>
      <c r="DV140" s="239">
        <v>-32326</v>
      </c>
      <c r="DW140" s="239">
        <v>0</v>
      </c>
      <c r="DX140" s="239">
        <v>-32326</v>
      </c>
      <c r="DY140" s="239">
        <v>2453</v>
      </c>
      <c r="DZ140" s="239">
        <v>0</v>
      </c>
      <c r="EA140" s="239">
        <v>2453</v>
      </c>
      <c r="EB140" s="239">
        <v>0</v>
      </c>
      <c r="EC140" s="239">
        <v>0</v>
      </c>
      <c r="ED140" s="239">
        <v>0</v>
      </c>
      <c r="EE140" s="239">
        <v>0</v>
      </c>
      <c r="EF140" s="239">
        <v>0</v>
      </c>
      <c r="EG140" s="239">
        <v>0</v>
      </c>
      <c r="EH140" s="239">
        <v>745</v>
      </c>
      <c r="EI140" s="239">
        <v>0</v>
      </c>
      <c r="EJ140" s="239">
        <v>745</v>
      </c>
      <c r="EK140" s="239">
        <v>0</v>
      </c>
      <c r="EL140" s="239">
        <v>0</v>
      </c>
      <c r="EM140" s="239">
        <v>0</v>
      </c>
      <c r="EN140" s="239">
        <v>-1426</v>
      </c>
      <c r="EO140" s="239">
        <v>0</v>
      </c>
      <c r="EP140" s="239">
        <v>-1426</v>
      </c>
      <c r="EQ140" s="239">
        <v>-7050</v>
      </c>
      <c r="ER140" s="239">
        <v>-755</v>
      </c>
      <c r="ES140" s="239">
        <v>-7805</v>
      </c>
      <c r="ET140" s="239">
        <v>-209250</v>
      </c>
      <c r="EU140" s="239">
        <v>0</v>
      </c>
      <c r="EV140" s="239">
        <v>-209250</v>
      </c>
      <c r="EW140" s="239">
        <v>-34836</v>
      </c>
      <c r="EX140" s="239">
        <v>0</v>
      </c>
      <c r="EY140" s="239">
        <v>-34836</v>
      </c>
      <c r="EZ140" s="239">
        <v>-285159</v>
      </c>
      <c r="FA140" s="239">
        <v>-196598</v>
      </c>
      <c r="FB140" s="239">
        <v>-481757</v>
      </c>
      <c r="FC140" s="239">
        <v>0</v>
      </c>
      <c r="FD140" s="239">
        <v>0</v>
      </c>
      <c r="FE140" s="239">
        <v>0</v>
      </c>
      <c r="FF140" s="239">
        <v>0</v>
      </c>
      <c r="FG140" s="239">
        <v>0</v>
      </c>
      <c r="FH140" s="239">
        <v>0</v>
      </c>
      <c r="FI140" s="239">
        <v>0</v>
      </c>
      <c r="FJ140" s="239">
        <v>0</v>
      </c>
      <c r="FK140" s="239">
        <v>0</v>
      </c>
      <c r="FL140" s="239">
        <v>60173988</v>
      </c>
      <c r="FM140" s="239">
        <v>457151</v>
      </c>
      <c r="FN140" s="239">
        <v>60631139</v>
      </c>
      <c r="FO140" s="239">
        <v>2777213</v>
      </c>
      <c r="FP140" s="239">
        <v>-956</v>
      </c>
      <c r="FQ140" s="239">
        <v>2776257</v>
      </c>
      <c r="FR140" s="239">
        <v>-7167706</v>
      </c>
      <c r="FS140" s="239">
        <v>-3858</v>
      </c>
      <c r="FT140" s="239">
        <v>-7171564</v>
      </c>
      <c r="FU140" s="239">
        <v>-1921680</v>
      </c>
      <c r="FV140" s="239">
        <v>-64497</v>
      </c>
      <c r="FW140" s="239">
        <v>-1986177</v>
      </c>
      <c r="FX140" s="239">
        <v>-182165</v>
      </c>
      <c r="FY140" s="239">
        <v>-6876</v>
      </c>
      <c r="FZ140" s="239">
        <v>-189041</v>
      </c>
      <c r="GA140" s="239">
        <v>-285159</v>
      </c>
      <c r="GB140" s="239">
        <v>-196598</v>
      </c>
      <c r="GC140" s="239">
        <v>-481757</v>
      </c>
      <c r="GD140" s="239">
        <v>0</v>
      </c>
      <c r="GE140" s="239">
        <v>0</v>
      </c>
      <c r="GF140" s="239">
        <v>0</v>
      </c>
      <c r="GG140" s="239">
        <v>-6779497</v>
      </c>
      <c r="GH140" s="239">
        <v>-272785</v>
      </c>
      <c r="GI140" s="239">
        <v>-7052282</v>
      </c>
      <c r="GJ140" s="239">
        <v>53394491</v>
      </c>
      <c r="GK140" s="239">
        <v>184366</v>
      </c>
      <c r="GL140" s="239">
        <v>53578857</v>
      </c>
      <c r="GM140" s="214" t="s">
        <v>1158</v>
      </c>
    </row>
    <row r="141" spans="2:195" s="214" customFormat="1" x14ac:dyDescent="0.2">
      <c r="B141" s="602" t="s">
        <v>365</v>
      </c>
      <c r="C141" s="602" t="s">
        <v>364</v>
      </c>
      <c r="D141" s="239">
        <v>-3515738</v>
      </c>
      <c r="E141" s="239">
        <v>0</v>
      </c>
      <c r="F141" s="239">
        <v>-3515738</v>
      </c>
      <c r="G141" s="239">
        <v>6081</v>
      </c>
      <c r="H141" s="239">
        <v>0</v>
      </c>
      <c r="I141" s="239">
        <v>6081</v>
      </c>
      <c r="J141" s="239">
        <v>1194245</v>
      </c>
      <c r="K141" s="239">
        <v>0</v>
      </c>
      <c r="L141" s="239">
        <v>1194245</v>
      </c>
      <c r="M141" s="239">
        <v>37019</v>
      </c>
      <c r="N141" s="239">
        <v>0</v>
      </c>
      <c r="O141" s="239">
        <v>37019</v>
      </c>
      <c r="P141" s="239">
        <v>-2278393</v>
      </c>
      <c r="Q141" s="239">
        <v>0</v>
      </c>
      <c r="R141" s="239">
        <v>-2278393</v>
      </c>
      <c r="S141" s="239">
        <v>-7071012</v>
      </c>
      <c r="T141" s="239">
        <v>0</v>
      </c>
      <c r="U141" s="239">
        <v>-7071012</v>
      </c>
      <c r="V141" s="239">
        <v>-54606</v>
      </c>
      <c r="W141" s="239">
        <v>0</v>
      </c>
      <c r="X141" s="239">
        <v>-54606</v>
      </c>
      <c r="Y141" s="239">
        <v>-235908</v>
      </c>
      <c r="Z141" s="239">
        <v>0</v>
      </c>
      <c r="AA141" s="239">
        <v>-235908</v>
      </c>
      <c r="AB141" s="239">
        <v>-212026</v>
      </c>
      <c r="AC141" s="239">
        <v>0</v>
      </c>
      <c r="AD141" s="239">
        <v>-212026</v>
      </c>
      <c r="AE141" s="239">
        <v>-3389</v>
      </c>
      <c r="AF141" s="239">
        <v>0</v>
      </c>
      <c r="AG141" s="239">
        <v>-3389</v>
      </c>
      <c r="AH141" s="239">
        <v>834064</v>
      </c>
      <c r="AI141" s="239">
        <v>0</v>
      </c>
      <c r="AJ141" s="239">
        <v>834064</v>
      </c>
      <c r="AK141" s="239">
        <v>275555</v>
      </c>
      <c r="AL141" s="239">
        <v>0</v>
      </c>
      <c r="AM141" s="239">
        <v>275555</v>
      </c>
      <c r="AN141" s="239">
        <v>-3371450</v>
      </c>
      <c r="AO141" s="239">
        <v>0</v>
      </c>
      <c r="AP141" s="239">
        <v>-3371450</v>
      </c>
      <c r="AQ141" s="239">
        <v>-150542</v>
      </c>
      <c r="AR141" s="239">
        <v>0</v>
      </c>
      <c r="AS141" s="239">
        <v>-150542</v>
      </c>
      <c r="AT141" s="239">
        <v>-98548</v>
      </c>
      <c r="AU141" s="239">
        <v>0</v>
      </c>
      <c r="AV141" s="239">
        <v>-98548</v>
      </c>
      <c r="AW141" s="239">
        <v>0</v>
      </c>
      <c r="AX141" s="239">
        <v>0</v>
      </c>
      <c r="AY141" s="239">
        <v>0</v>
      </c>
      <c r="AZ141" s="239">
        <v>-1315</v>
      </c>
      <c r="BA141" s="239">
        <v>0</v>
      </c>
      <c r="BB141" s="239">
        <v>-1315</v>
      </c>
      <c r="BC141" s="239">
        <v>0</v>
      </c>
      <c r="BD141" s="239">
        <v>0</v>
      </c>
      <c r="BE141" s="239">
        <v>0</v>
      </c>
      <c r="BF141" s="239">
        <v>-9819156</v>
      </c>
      <c r="BG141" s="239">
        <v>0</v>
      </c>
      <c r="BH141" s="239">
        <v>-9819156</v>
      </c>
      <c r="BI141" s="239">
        <v>-1087</v>
      </c>
      <c r="BJ141" s="239">
        <v>0</v>
      </c>
      <c r="BK141" s="239">
        <v>-1087</v>
      </c>
      <c r="BL141" s="239">
        <v>-250</v>
      </c>
      <c r="BM141" s="239">
        <v>0</v>
      </c>
      <c r="BN141" s="239">
        <v>-250</v>
      </c>
      <c r="BO141" s="239">
        <v>-874698</v>
      </c>
      <c r="BP141" s="239">
        <v>0</v>
      </c>
      <c r="BQ141" s="239">
        <v>-874698</v>
      </c>
      <c r="BR141" s="239">
        <v>-37034</v>
      </c>
      <c r="BS141" s="239">
        <v>0</v>
      </c>
      <c r="BT141" s="239">
        <v>-37034</v>
      </c>
      <c r="BU141" s="239">
        <v>-913069</v>
      </c>
      <c r="BV141" s="239">
        <v>0</v>
      </c>
      <c r="BW141" s="239">
        <v>-913069</v>
      </c>
      <c r="BX141" s="239">
        <v>-117923</v>
      </c>
      <c r="BY141" s="239">
        <v>0</v>
      </c>
      <c r="BZ141" s="239">
        <v>-117923</v>
      </c>
      <c r="CA141" s="239">
        <v>-583</v>
      </c>
      <c r="CB141" s="239">
        <v>0</v>
      </c>
      <c r="CC141" s="239">
        <v>-583</v>
      </c>
      <c r="CD141" s="239">
        <v>-56349</v>
      </c>
      <c r="CE141" s="239">
        <v>0</v>
      </c>
      <c r="CF141" s="239">
        <v>-56349</v>
      </c>
      <c r="CG141" s="239">
        <v>-2595</v>
      </c>
      <c r="CH141" s="239">
        <v>0</v>
      </c>
      <c r="CI141" s="239">
        <v>-2595</v>
      </c>
      <c r="CJ141" s="239">
        <v>-910</v>
      </c>
      <c r="CK141" s="239">
        <v>0</v>
      </c>
      <c r="CL141" s="239">
        <v>-910</v>
      </c>
      <c r="CM141" s="239">
        <v>0</v>
      </c>
      <c r="CN141" s="239">
        <v>0</v>
      </c>
      <c r="CO141" s="239">
        <v>0</v>
      </c>
      <c r="CP141" s="239">
        <v>0</v>
      </c>
      <c r="CQ141" s="239">
        <v>0</v>
      </c>
      <c r="CR141" s="239">
        <v>0</v>
      </c>
      <c r="CS141" s="239">
        <v>0</v>
      </c>
      <c r="CT141" s="239">
        <v>0</v>
      </c>
      <c r="CU141" s="239">
        <v>0</v>
      </c>
      <c r="CV141" s="239">
        <v>0</v>
      </c>
      <c r="CW141" s="239">
        <v>0</v>
      </c>
      <c r="CX141" s="239">
        <v>0</v>
      </c>
      <c r="CY141" s="239">
        <v>0</v>
      </c>
      <c r="CZ141" s="239">
        <v>0</v>
      </c>
      <c r="DA141" s="239">
        <v>0</v>
      </c>
      <c r="DB141" s="239">
        <v>-2959</v>
      </c>
      <c r="DC141" s="239">
        <v>0</v>
      </c>
      <c r="DD141" s="239">
        <v>-2959</v>
      </c>
      <c r="DE141" s="239">
        <v>0</v>
      </c>
      <c r="DF141" s="239">
        <v>0</v>
      </c>
      <c r="DG141" s="239">
        <v>0</v>
      </c>
      <c r="DH141" s="239">
        <v>0</v>
      </c>
      <c r="DI141" s="239">
        <v>0</v>
      </c>
      <c r="DJ141" s="239">
        <v>-181319</v>
      </c>
      <c r="DK141" s="239">
        <v>0</v>
      </c>
      <c r="DL141" s="239">
        <v>-181319</v>
      </c>
      <c r="DM141" s="239">
        <v>0</v>
      </c>
      <c r="DN141" s="239">
        <v>0</v>
      </c>
      <c r="DO141" s="239">
        <v>0</v>
      </c>
      <c r="DP141" s="239">
        <v>0</v>
      </c>
      <c r="DQ141" s="239">
        <v>0</v>
      </c>
      <c r="DR141" s="239">
        <v>0</v>
      </c>
      <c r="DS141" s="239">
        <v>0</v>
      </c>
      <c r="DT141" s="239">
        <v>0</v>
      </c>
      <c r="DU141" s="239">
        <v>0</v>
      </c>
      <c r="DV141" s="239">
        <v>4639</v>
      </c>
      <c r="DW141" s="239">
        <v>0</v>
      </c>
      <c r="DX141" s="239">
        <v>4639</v>
      </c>
      <c r="DY141" s="239">
        <v>973</v>
      </c>
      <c r="DZ141" s="239">
        <v>0</v>
      </c>
      <c r="EA141" s="239">
        <v>973</v>
      </c>
      <c r="EB141" s="239">
        <v>0</v>
      </c>
      <c r="EC141" s="239">
        <v>0</v>
      </c>
      <c r="ED141" s="239">
        <v>0</v>
      </c>
      <c r="EE141" s="239">
        <v>0</v>
      </c>
      <c r="EF141" s="239">
        <v>0</v>
      </c>
      <c r="EG141" s="239">
        <v>0</v>
      </c>
      <c r="EH141" s="239">
        <v>0</v>
      </c>
      <c r="EI141" s="239">
        <v>0</v>
      </c>
      <c r="EJ141" s="239">
        <v>0</v>
      </c>
      <c r="EK141" s="239">
        <v>-1315</v>
      </c>
      <c r="EL141" s="239">
        <v>0</v>
      </c>
      <c r="EM141" s="239">
        <v>-1315</v>
      </c>
      <c r="EN141" s="239">
        <v>-1500</v>
      </c>
      <c r="EO141" s="239">
        <v>0</v>
      </c>
      <c r="EP141" s="239">
        <v>-1500</v>
      </c>
      <c r="EQ141" s="239">
        <v>-31049</v>
      </c>
      <c r="ER141" s="239">
        <v>0</v>
      </c>
      <c r="ES141" s="239">
        <v>-31049</v>
      </c>
      <c r="ET141" s="239">
        <v>-467869</v>
      </c>
      <c r="EU141" s="239">
        <v>0</v>
      </c>
      <c r="EV141" s="239">
        <v>-467869</v>
      </c>
      <c r="EW141" s="239">
        <v>-84388</v>
      </c>
      <c r="EX141" s="239">
        <v>0</v>
      </c>
      <c r="EY141" s="239">
        <v>-84388</v>
      </c>
      <c r="EZ141" s="239">
        <v>-580509</v>
      </c>
      <c r="FA141" s="239">
        <v>0</v>
      </c>
      <c r="FB141" s="239">
        <v>-580509</v>
      </c>
      <c r="FC141" s="239">
        <v>-5054</v>
      </c>
      <c r="FD141" s="239">
        <v>0</v>
      </c>
      <c r="FE141" s="239">
        <v>-5054</v>
      </c>
      <c r="FF141" s="239">
        <v>-13629</v>
      </c>
      <c r="FG141" s="239">
        <v>0</v>
      </c>
      <c r="FH141" s="239">
        <v>-13629</v>
      </c>
      <c r="FI141" s="239">
        <v>-18683</v>
      </c>
      <c r="FJ141" s="239">
        <v>0</v>
      </c>
      <c r="FK141" s="239">
        <v>-18683</v>
      </c>
      <c r="FL141" s="239">
        <v>49487709</v>
      </c>
      <c r="FM141" s="239">
        <v>0</v>
      </c>
      <c r="FN141" s="239">
        <v>49487709</v>
      </c>
      <c r="FO141" s="239">
        <v>-2278393</v>
      </c>
      <c r="FP141" s="239">
        <v>0</v>
      </c>
      <c r="FQ141" s="239">
        <v>-2278393</v>
      </c>
      <c r="FR141" s="239">
        <v>-9819156</v>
      </c>
      <c r="FS141" s="239">
        <v>0</v>
      </c>
      <c r="FT141" s="239">
        <v>-9819156</v>
      </c>
      <c r="FU141" s="239">
        <v>-913069</v>
      </c>
      <c r="FV141" s="239">
        <v>0</v>
      </c>
      <c r="FW141" s="239">
        <v>-913069</v>
      </c>
      <c r="FX141" s="239">
        <v>-181319</v>
      </c>
      <c r="FY141" s="239">
        <v>0</v>
      </c>
      <c r="FZ141" s="239">
        <v>-181319</v>
      </c>
      <c r="GA141" s="239">
        <v>-580509</v>
      </c>
      <c r="GB141" s="239">
        <v>0</v>
      </c>
      <c r="GC141" s="239">
        <v>-580509</v>
      </c>
      <c r="GD141" s="239">
        <v>-18683</v>
      </c>
      <c r="GE141" s="239">
        <v>0</v>
      </c>
      <c r="GF141" s="239">
        <v>-18683</v>
      </c>
      <c r="GG141" s="239">
        <v>-13791129</v>
      </c>
      <c r="GH141" s="239">
        <v>0</v>
      </c>
      <c r="GI141" s="239">
        <v>-13791129</v>
      </c>
      <c r="GJ141" s="239">
        <v>35696580</v>
      </c>
      <c r="GK141" s="239">
        <v>0</v>
      </c>
      <c r="GL141" s="239">
        <v>35696580</v>
      </c>
      <c r="GM141" s="214" t="s">
        <v>746</v>
      </c>
    </row>
    <row r="142" spans="2:195" s="214" customFormat="1" x14ac:dyDescent="0.2">
      <c r="B142" s="602" t="s">
        <v>367</v>
      </c>
      <c r="C142" s="602" t="s">
        <v>366</v>
      </c>
      <c r="D142" s="239">
        <v>-85667</v>
      </c>
      <c r="E142" s="239">
        <v>0</v>
      </c>
      <c r="F142" s="239">
        <v>-85667</v>
      </c>
      <c r="G142" s="239">
        <v>0</v>
      </c>
      <c r="H142" s="239">
        <v>0</v>
      </c>
      <c r="I142" s="239">
        <v>0</v>
      </c>
      <c r="J142" s="239">
        <v>78389</v>
      </c>
      <c r="K142" s="239">
        <v>0</v>
      </c>
      <c r="L142" s="239">
        <v>78389</v>
      </c>
      <c r="M142" s="239">
        <v>0</v>
      </c>
      <c r="N142" s="239">
        <v>0</v>
      </c>
      <c r="O142" s="239">
        <v>0</v>
      </c>
      <c r="P142" s="239">
        <v>-7278</v>
      </c>
      <c r="Q142" s="239">
        <v>0</v>
      </c>
      <c r="R142" s="239">
        <v>-7278</v>
      </c>
      <c r="S142" s="239">
        <v>-502205</v>
      </c>
      <c r="T142" s="239">
        <v>0</v>
      </c>
      <c r="U142" s="239">
        <v>-502205</v>
      </c>
      <c r="V142" s="239">
        <v>0</v>
      </c>
      <c r="W142" s="239">
        <v>0</v>
      </c>
      <c r="X142" s="239">
        <v>0</v>
      </c>
      <c r="Y142" s="239">
        <v>-3470</v>
      </c>
      <c r="Z142" s="239">
        <v>0</v>
      </c>
      <c r="AA142" s="239">
        <v>-3470</v>
      </c>
      <c r="AB142" s="239">
        <v>-3470</v>
      </c>
      <c r="AC142" s="239">
        <v>0</v>
      </c>
      <c r="AD142" s="239">
        <v>-3470</v>
      </c>
      <c r="AE142" s="239">
        <v>0</v>
      </c>
      <c r="AF142" s="239">
        <v>0</v>
      </c>
      <c r="AG142" s="239">
        <v>0</v>
      </c>
      <c r="AH142" s="239">
        <v>19166</v>
      </c>
      <c r="AI142" s="239">
        <v>0</v>
      </c>
      <c r="AJ142" s="239">
        <v>19166</v>
      </c>
      <c r="AK142" s="239">
        <v>0</v>
      </c>
      <c r="AL142" s="239">
        <v>0</v>
      </c>
      <c r="AM142" s="239">
        <v>0</v>
      </c>
      <c r="AN142" s="239">
        <v>-18263</v>
      </c>
      <c r="AO142" s="239">
        <v>0</v>
      </c>
      <c r="AP142" s="239">
        <v>-18263</v>
      </c>
      <c r="AQ142" s="239">
        <v>0</v>
      </c>
      <c r="AR142" s="239">
        <v>0</v>
      </c>
      <c r="AS142" s="239">
        <v>0</v>
      </c>
      <c r="AT142" s="239">
        <v>-7223</v>
      </c>
      <c r="AU142" s="239">
        <v>0</v>
      </c>
      <c r="AV142" s="239">
        <v>-7223</v>
      </c>
      <c r="AW142" s="239">
        <v>0</v>
      </c>
      <c r="AX142" s="239">
        <v>0</v>
      </c>
      <c r="AY142" s="239">
        <v>0</v>
      </c>
      <c r="AZ142" s="239">
        <v>-1817</v>
      </c>
      <c r="BA142" s="239">
        <v>0</v>
      </c>
      <c r="BB142" s="239">
        <v>-1817</v>
      </c>
      <c r="BC142" s="239">
        <v>0</v>
      </c>
      <c r="BD142" s="239">
        <v>0</v>
      </c>
      <c r="BE142" s="239">
        <v>0</v>
      </c>
      <c r="BF142" s="239">
        <v>-513812</v>
      </c>
      <c r="BG142" s="239">
        <v>0</v>
      </c>
      <c r="BH142" s="239">
        <v>-513812</v>
      </c>
      <c r="BI142" s="239">
        <v>0</v>
      </c>
      <c r="BJ142" s="239">
        <v>0</v>
      </c>
      <c r="BK142" s="239">
        <v>0</v>
      </c>
      <c r="BL142" s="239">
        <v>0</v>
      </c>
      <c r="BM142" s="239">
        <v>0</v>
      </c>
      <c r="BN142" s="239">
        <v>0</v>
      </c>
      <c r="BO142" s="239">
        <v>-2844</v>
      </c>
      <c r="BP142" s="239">
        <v>0</v>
      </c>
      <c r="BQ142" s="239">
        <v>-2844</v>
      </c>
      <c r="BR142" s="239">
        <v>0</v>
      </c>
      <c r="BS142" s="239">
        <v>0</v>
      </c>
      <c r="BT142" s="239">
        <v>0</v>
      </c>
      <c r="BU142" s="239">
        <v>-2844</v>
      </c>
      <c r="BV142" s="239">
        <v>0</v>
      </c>
      <c r="BW142" s="239">
        <v>-2844</v>
      </c>
      <c r="BX142" s="239">
        <v>-3064</v>
      </c>
      <c r="BY142" s="239">
        <v>0</v>
      </c>
      <c r="BZ142" s="239">
        <v>-3064</v>
      </c>
      <c r="CA142" s="239">
        <v>0</v>
      </c>
      <c r="CB142" s="239">
        <v>0</v>
      </c>
      <c r="CC142" s="239">
        <v>0</v>
      </c>
      <c r="CD142" s="239">
        <v>-2787</v>
      </c>
      <c r="CE142" s="239">
        <v>0</v>
      </c>
      <c r="CF142" s="239">
        <v>-2787</v>
      </c>
      <c r="CG142" s="239">
        <v>0</v>
      </c>
      <c r="CH142" s="239">
        <v>0</v>
      </c>
      <c r="CI142" s="239">
        <v>0</v>
      </c>
      <c r="CJ142" s="239">
        <v>-1550</v>
      </c>
      <c r="CK142" s="239">
        <v>0</v>
      </c>
      <c r="CL142" s="239">
        <v>-1550</v>
      </c>
      <c r="CM142" s="239">
        <v>0</v>
      </c>
      <c r="CN142" s="239">
        <v>0</v>
      </c>
      <c r="CO142" s="239">
        <v>0</v>
      </c>
      <c r="CP142" s="239">
        <v>0</v>
      </c>
      <c r="CQ142" s="239">
        <v>0</v>
      </c>
      <c r="CR142" s="239">
        <v>0</v>
      </c>
      <c r="CS142" s="239">
        <v>0</v>
      </c>
      <c r="CT142" s="239">
        <v>0</v>
      </c>
      <c r="CU142" s="239">
        <v>0</v>
      </c>
      <c r="CV142" s="239">
        <v>0</v>
      </c>
      <c r="CW142" s="239">
        <v>0</v>
      </c>
      <c r="CX142" s="239">
        <v>0</v>
      </c>
      <c r="CY142" s="239">
        <v>0</v>
      </c>
      <c r="CZ142" s="239">
        <v>0</v>
      </c>
      <c r="DA142" s="239">
        <v>0</v>
      </c>
      <c r="DB142" s="239">
        <v>0</v>
      </c>
      <c r="DC142" s="239">
        <v>0</v>
      </c>
      <c r="DD142" s="239">
        <v>0</v>
      </c>
      <c r="DE142" s="239">
        <v>0</v>
      </c>
      <c r="DF142" s="239">
        <v>0</v>
      </c>
      <c r="DG142" s="239">
        <v>0</v>
      </c>
      <c r="DH142" s="239">
        <v>0</v>
      </c>
      <c r="DI142" s="239">
        <v>0</v>
      </c>
      <c r="DJ142" s="239">
        <v>-7401</v>
      </c>
      <c r="DK142" s="239">
        <v>0</v>
      </c>
      <c r="DL142" s="239">
        <v>-7401</v>
      </c>
      <c r="DM142" s="239">
        <v>0</v>
      </c>
      <c r="DN142" s="239">
        <v>0</v>
      </c>
      <c r="DO142" s="239">
        <v>0</v>
      </c>
      <c r="DP142" s="239">
        <v>0</v>
      </c>
      <c r="DQ142" s="239">
        <v>0</v>
      </c>
      <c r="DR142" s="239">
        <v>0</v>
      </c>
      <c r="DS142" s="239">
        <v>0</v>
      </c>
      <c r="DT142" s="239">
        <v>0</v>
      </c>
      <c r="DU142" s="239">
        <v>0</v>
      </c>
      <c r="DV142" s="239">
        <v>0</v>
      </c>
      <c r="DW142" s="239">
        <v>0</v>
      </c>
      <c r="DX142" s="239">
        <v>0</v>
      </c>
      <c r="DY142" s="239">
        <v>0</v>
      </c>
      <c r="DZ142" s="239">
        <v>0</v>
      </c>
      <c r="EA142" s="239">
        <v>0</v>
      </c>
      <c r="EB142" s="239">
        <v>0</v>
      </c>
      <c r="EC142" s="239">
        <v>0</v>
      </c>
      <c r="ED142" s="239">
        <v>0</v>
      </c>
      <c r="EE142" s="239">
        <v>0</v>
      </c>
      <c r="EF142" s="239">
        <v>0</v>
      </c>
      <c r="EG142" s="239">
        <v>0</v>
      </c>
      <c r="EH142" s="239">
        <v>0</v>
      </c>
      <c r="EI142" s="239">
        <v>0</v>
      </c>
      <c r="EJ142" s="239">
        <v>0</v>
      </c>
      <c r="EK142" s="239">
        <v>-1817</v>
      </c>
      <c r="EL142" s="239">
        <v>0</v>
      </c>
      <c r="EM142" s="239">
        <v>-1817</v>
      </c>
      <c r="EN142" s="239">
        <v>0</v>
      </c>
      <c r="EO142" s="239">
        <v>0</v>
      </c>
      <c r="EP142" s="239">
        <v>0</v>
      </c>
      <c r="EQ142" s="239">
        <v>0</v>
      </c>
      <c r="ER142" s="239">
        <v>0</v>
      </c>
      <c r="ES142" s="239">
        <v>0</v>
      </c>
      <c r="ET142" s="239">
        <v>0</v>
      </c>
      <c r="EU142" s="239">
        <v>0</v>
      </c>
      <c r="EV142" s="239">
        <v>0</v>
      </c>
      <c r="EW142" s="239">
        <v>-5000</v>
      </c>
      <c r="EX142" s="239">
        <v>0</v>
      </c>
      <c r="EY142" s="239">
        <v>-5000</v>
      </c>
      <c r="EZ142" s="239">
        <v>-6817</v>
      </c>
      <c r="FA142" s="239">
        <v>0</v>
      </c>
      <c r="FB142" s="239">
        <v>-6817</v>
      </c>
      <c r="FC142" s="239">
        <v>0</v>
      </c>
      <c r="FD142" s="239">
        <v>0</v>
      </c>
      <c r="FE142" s="239">
        <v>0</v>
      </c>
      <c r="FF142" s="239">
        <v>0</v>
      </c>
      <c r="FG142" s="239">
        <v>0</v>
      </c>
      <c r="FH142" s="239">
        <v>0</v>
      </c>
      <c r="FI142" s="239">
        <v>0</v>
      </c>
      <c r="FJ142" s="239">
        <v>0</v>
      </c>
      <c r="FK142" s="239">
        <v>0</v>
      </c>
      <c r="FL142" s="239">
        <v>2069465</v>
      </c>
      <c r="FM142" s="239">
        <v>0</v>
      </c>
      <c r="FN142" s="239">
        <v>2069465</v>
      </c>
      <c r="FO142" s="239">
        <v>-7278</v>
      </c>
      <c r="FP142" s="239">
        <v>0</v>
      </c>
      <c r="FQ142" s="239">
        <v>-7278</v>
      </c>
      <c r="FR142" s="239">
        <v>-513812</v>
      </c>
      <c r="FS142" s="239">
        <v>0</v>
      </c>
      <c r="FT142" s="239">
        <v>-513812</v>
      </c>
      <c r="FU142" s="239">
        <v>-2844</v>
      </c>
      <c r="FV142" s="239">
        <v>0</v>
      </c>
      <c r="FW142" s="239">
        <v>-2844</v>
      </c>
      <c r="FX142" s="239">
        <v>-7401</v>
      </c>
      <c r="FY142" s="239">
        <v>0</v>
      </c>
      <c r="FZ142" s="239">
        <v>-7401</v>
      </c>
      <c r="GA142" s="239">
        <v>-6817</v>
      </c>
      <c r="GB142" s="239">
        <v>0</v>
      </c>
      <c r="GC142" s="239">
        <v>-6817</v>
      </c>
      <c r="GD142" s="239">
        <v>0</v>
      </c>
      <c r="GE142" s="239">
        <v>0</v>
      </c>
      <c r="GF142" s="239">
        <v>0</v>
      </c>
      <c r="GG142" s="239">
        <v>-538152</v>
      </c>
      <c r="GH142" s="239">
        <v>0</v>
      </c>
      <c r="GI142" s="239">
        <v>-538152</v>
      </c>
      <c r="GJ142" s="239">
        <v>1531313</v>
      </c>
      <c r="GK142" s="239">
        <v>0</v>
      </c>
      <c r="GL142" s="239">
        <v>1531313</v>
      </c>
      <c r="GM142" s="214" t="s">
        <v>746</v>
      </c>
    </row>
    <row r="143" spans="2:195" s="214" customFormat="1" x14ac:dyDescent="0.2">
      <c r="B143" s="602" t="s">
        <v>369</v>
      </c>
      <c r="C143" s="602" t="s">
        <v>368</v>
      </c>
      <c r="D143" s="239">
        <v>-39000267</v>
      </c>
      <c r="E143" s="239">
        <v>0</v>
      </c>
      <c r="F143" s="239">
        <v>-39000267</v>
      </c>
      <c r="G143" s="239">
        <v>284903</v>
      </c>
      <c r="H143" s="239">
        <v>0</v>
      </c>
      <c r="I143" s="239">
        <v>284903</v>
      </c>
      <c r="J143" s="239">
        <v>1324895</v>
      </c>
      <c r="K143" s="239">
        <v>0</v>
      </c>
      <c r="L143" s="239">
        <v>1324895</v>
      </c>
      <c r="M143" s="239">
        <v>219215</v>
      </c>
      <c r="N143" s="239">
        <v>0</v>
      </c>
      <c r="O143" s="239">
        <v>219215</v>
      </c>
      <c r="P143" s="239">
        <v>-37171254</v>
      </c>
      <c r="Q143" s="239">
        <v>0</v>
      </c>
      <c r="R143" s="239">
        <v>-37171254</v>
      </c>
      <c r="S143" s="239">
        <v>-4951400</v>
      </c>
      <c r="T143" s="239">
        <v>0</v>
      </c>
      <c r="U143" s="239">
        <v>-4951400</v>
      </c>
      <c r="V143" s="239">
        <v>-13560</v>
      </c>
      <c r="W143" s="239">
        <v>0</v>
      </c>
      <c r="X143" s="239">
        <v>-13560</v>
      </c>
      <c r="Y143" s="239">
        <v>-897126</v>
      </c>
      <c r="Z143" s="239">
        <v>0</v>
      </c>
      <c r="AA143" s="239">
        <v>-897126</v>
      </c>
      <c r="AB143" s="239">
        <v>-799605</v>
      </c>
      <c r="AC143" s="239">
        <v>0</v>
      </c>
      <c r="AD143" s="239">
        <v>-799605</v>
      </c>
      <c r="AE143" s="239">
        <v>-3621</v>
      </c>
      <c r="AF143" s="239">
        <v>0</v>
      </c>
      <c r="AG143" s="239">
        <v>-3621</v>
      </c>
      <c r="AH143" s="239">
        <v>7809324</v>
      </c>
      <c r="AI143" s="239">
        <v>0</v>
      </c>
      <c r="AJ143" s="239">
        <v>7809324</v>
      </c>
      <c r="AK143" s="239">
        <v>0</v>
      </c>
      <c r="AL143" s="239">
        <v>0</v>
      </c>
      <c r="AM143" s="239">
        <v>0</v>
      </c>
      <c r="AN143" s="239">
        <v>-23566423</v>
      </c>
      <c r="AO143" s="239">
        <v>0</v>
      </c>
      <c r="AP143" s="239">
        <v>-23566423</v>
      </c>
      <c r="AQ143" s="239">
        <v>342328</v>
      </c>
      <c r="AR143" s="239">
        <v>0</v>
      </c>
      <c r="AS143" s="239">
        <v>342328</v>
      </c>
      <c r="AT143" s="239">
        <v>0</v>
      </c>
      <c r="AU143" s="239">
        <v>0</v>
      </c>
      <c r="AV143" s="239">
        <v>0</v>
      </c>
      <c r="AW143" s="239">
        <v>0</v>
      </c>
      <c r="AX143" s="239">
        <v>0</v>
      </c>
      <c r="AY143" s="239">
        <v>0</v>
      </c>
      <c r="AZ143" s="239">
        <v>0</v>
      </c>
      <c r="BA143" s="239">
        <v>0</v>
      </c>
      <c r="BB143" s="239">
        <v>0</v>
      </c>
      <c r="BC143" s="239">
        <v>0</v>
      </c>
      <c r="BD143" s="239">
        <v>0</v>
      </c>
      <c r="BE143" s="239">
        <v>0</v>
      </c>
      <c r="BF143" s="239">
        <v>-21263297</v>
      </c>
      <c r="BG143" s="239">
        <v>0</v>
      </c>
      <c r="BH143" s="239">
        <v>-21263297</v>
      </c>
      <c r="BI143" s="239">
        <v>-14384</v>
      </c>
      <c r="BJ143" s="239">
        <v>0</v>
      </c>
      <c r="BK143" s="239">
        <v>-14384</v>
      </c>
      <c r="BL143" s="239">
        <v>100551</v>
      </c>
      <c r="BM143" s="239">
        <v>0</v>
      </c>
      <c r="BN143" s="239">
        <v>100551</v>
      </c>
      <c r="BO143" s="239">
        <v>-9854445</v>
      </c>
      <c r="BP143" s="239">
        <v>0</v>
      </c>
      <c r="BQ143" s="239">
        <v>-9854445</v>
      </c>
      <c r="BR143" s="239">
        <v>-79844</v>
      </c>
      <c r="BS143" s="239">
        <v>0</v>
      </c>
      <c r="BT143" s="239">
        <v>-79844</v>
      </c>
      <c r="BU143" s="239">
        <v>-9848122</v>
      </c>
      <c r="BV143" s="239">
        <v>0</v>
      </c>
      <c r="BW143" s="239">
        <v>-9848122</v>
      </c>
      <c r="BX143" s="239">
        <v>-726101</v>
      </c>
      <c r="BY143" s="239">
        <v>0</v>
      </c>
      <c r="BZ143" s="239">
        <v>-726101</v>
      </c>
      <c r="CA143" s="239">
        <v>8840</v>
      </c>
      <c r="CB143" s="239">
        <v>0</v>
      </c>
      <c r="CC143" s="239">
        <v>8840</v>
      </c>
      <c r="CD143" s="239">
        <v>-471082</v>
      </c>
      <c r="CE143" s="239">
        <v>0</v>
      </c>
      <c r="CF143" s="239">
        <v>-471082</v>
      </c>
      <c r="CG143" s="239">
        <v>95911</v>
      </c>
      <c r="CH143" s="239">
        <v>0</v>
      </c>
      <c r="CI143" s="239">
        <v>95911</v>
      </c>
      <c r="CJ143" s="239">
        <v>0</v>
      </c>
      <c r="CK143" s="239">
        <v>0</v>
      </c>
      <c r="CL143" s="239">
        <v>0</v>
      </c>
      <c r="CM143" s="239">
        <v>0</v>
      </c>
      <c r="CN143" s="239">
        <v>0</v>
      </c>
      <c r="CO143" s="239">
        <v>0</v>
      </c>
      <c r="CP143" s="239">
        <v>0</v>
      </c>
      <c r="CQ143" s="239">
        <v>0</v>
      </c>
      <c r="CR143" s="239">
        <v>0</v>
      </c>
      <c r="CS143" s="239">
        <v>0</v>
      </c>
      <c r="CT143" s="239">
        <v>0</v>
      </c>
      <c r="CU143" s="239">
        <v>0</v>
      </c>
      <c r="CV143" s="239">
        <v>0</v>
      </c>
      <c r="CW143" s="239">
        <v>0</v>
      </c>
      <c r="CX143" s="239">
        <v>0</v>
      </c>
      <c r="CY143" s="239">
        <v>0</v>
      </c>
      <c r="CZ143" s="239">
        <v>0</v>
      </c>
      <c r="DA143" s="239">
        <v>0</v>
      </c>
      <c r="DB143" s="239">
        <v>0</v>
      </c>
      <c r="DC143" s="239">
        <v>0</v>
      </c>
      <c r="DD143" s="239">
        <v>0</v>
      </c>
      <c r="DE143" s="239">
        <v>0</v>
      </c>
      <c r="DF143" s="239">
        <v>0</v>
      </c>
      <c r="DG143" s="239">
        <v>0</v>
      </c>
      <c r="DH143" s="239">
        <v>0</v>
      </c>
      <c r="DI143" s="239">
        <v>0</v>
      </c>
      <c r="DJ143" s="239">
        <v>-1092432</v>
      </c>
      <c r="DK143" s="239">
        <v>0</v>
      </c>
      <c r="DL143" s="239">
        <v>-1092432</v>
      </c>
      <c r="DM143" s="239">
        <v>0</v>
      </c>
      <c r="DN143" s="239">
        <v>0</v>
      </c>
      <c r="DO143" s="239">
        <v>0</v>
      </c>
      <c r="DP143" s="239">
        <v>0</v>
      </c>
      <c r="DQ143" s="239">
        <v>0</v>
      </c>
      <c r="DR143" s="239">
        <v>0</v>
      </c>
      <c r="DS143" s="239">
        <v>-625</v>
      </c>
      <c r="DT143" s="239">
        <v>0</v>
      </c>
      <c r="DU143" s="239">
        <v>-625</v>
      </c>
      <c r="DV143" s="239">
        <v>0</v>
      </c>
      <c r="DW143" s="239">
        <v>0</v>
      </c>
      <c r="DX143" s="239">
        <v>0</v>
      </c>
      <c r="DY143" s="239">
        <v>-3220</v>
      </c>
      <c r="DZ143" s="239">
        <v>0</v>
      </c>
      <c r="EA143" s="239">
        <v>-3220</v>
      </c>
      <c r="EB143" s="239">
        <v>0</v>
      </c>
      <c r="EC143" s="239">
        <v>0</v>
      </c>
      <c r="ED143" s="239">
        <v>0</v>
      </c>
      <c r="EE143" s="239">
        <v>0</v>
      </c>
      <c r="EF143" s="239">
        <v>0</v>
      </c>
      <c r="EG143" s="239">
        <v>0</v>
      </c>
      <c r="EH143" s="239">
        <v>0</v>
      </c>
      <c r="EI143" s="239">
        <v>0</v>
      </c>
      <c r="EJ143" s="239">
        <v>0</v>
      </c>
      <c r="EK143" s="239">
        <v>0</v>
      </c>
      <c r="EL143" s="239">
        <v>0</v>
      </c>
      <c r="EM143" s="239">
        <v>0</v>
      </c>
      <c r="EN143" s="239">
        <v>0</v>
      </c>
      <c r="EO143" s="239">
        <v>0</v>
      </c>
      <c r="EP143" s="239">
        <v>0</v>
      </c>
      <c r="EQ143" s="239">
        <v>-311389</v>
      </c>
      <c r="ER143" s="239">
        <v>0</v>
      </c>
      <c r="ES143" s="239">
        <v>-311389</v>
      </c>
      <c r="ET143" s="239">
        <v>-5010305</v>
      </c>
      <c r="EU143" s="239">
        <v>0</v>
      </c>
      <c r="EV143" s="239">
        <v>-5010305</v>
      </c>
      <c r="EW143" s="239">
        <v>-124270</v>
      </c>
      <c r="EX143" s="239">
        <v>0</v>
      </c>
      <c r="EY143" s="239">
        <v>-124270</v>
      </c>
      <c r="EZ143" s="239">
        <v>-5449809</v>
      </c>
      <c r="FA143" s="239">
        <v>0</v>
      </c>
      <c r="FB143" s="239">
        <v>-5449809</v>
      </c>
      <c r="FC143" s="239">
        <v>0</v>
      </c>
      <c r="FD143" s="239">
        <v>0</v>
      </c>
      <c r="FE143" s="239">
        <v>0</v>
      </c>
      <c r="FF143" s="239">
        <v>0</v>
      </c>
      <c r="FG143" s="239">
        <v>0</v>
      </c>
      <c r="FH143" s="239">
        <v>0</v>
      </c>
      <c r="FI143" s="239">
        <v>0</v>
      </c>
      <c r="FJ143" s="239">
        <v>0</v>
      </c>
      <c r="FK143" s="239">
        <v>0</v>
      </c>
      <c r="FL143" s="239">
        <v>321018039</v>
      </c>
      <c r="FM143" s="239">
        <v>0</v>
      </c>
      <c r="FN143" s="239">
        <v>321018039</v>
      </c>
      <c r="FO143" s="239">
        <v>-37171254</v>
      </c>
      <c r="FP143" s="239">
        <v>0</v>
      </c>
      <c r="FQ143" s="239">
        <v>-37171254</v>
      </c>
      <c r="FR143" s="239">
        <v>-21263297</v>
      </c>
      <c r="FS143" s="239">
        <v>0</v>
      </c>
      <c r="FT143" s="239">
        <v>-21263297</v>
      </c>
      <c r="FU143" s="239">
        <v>-9848122</v>
      </c>
      <c r="FV143" s="239">
        <v>0</v>
      </c>
      <c r="FW143" s="239">
        <v>-9848122</v>
      </c>
      <c r="FX143" s="239">
        <v>-1092432</v>
      </c>
      <c r="FY143" s="239">
        <v>0</v>
      </c>
      <c r="FZ143" s="239">
        <v>-1092432</v>
      </c>
      <c r="GA143" s="239">
        <v>-5449809</v>
      </c>
      <c r="GB143" s="239">
        <v>0</v>
      </c>
      <c r="GC143" s="239">
        <v>-5449809</v>
      </c>
      <c r="GD143" s="239">
        <v>0</v>
      </c>
      <c r="GE143" s="239">
        <v>0</v>
      </c>
      <c r="GF143" s="239">
        <v>0</v>
      </c>
      <c r="GG143" s="239">
        <v>-74824914</v>
      </c>
      <c r="GH143" s="239">
        <v>0</v>
      </c>
      <c r="GI143" s="239">
        <v>-74824914</v>
      </c>
      <c r="GJ143" s="239">
        <v>246193125</v>
      </c>
      <c r="GK143" s="239">
        <v>0</v>
      </c>
      <c r="GL143" s="239">
        <v>246193125</v>
      </c>
      <c r="GM143" s="214" t="s">
        <v>1161</v>
      </c>
    </row>
    <row r="144" spans="2:195" s="214" customFormat="1" x14ac:dyDescent="0.2">
      <c r="B144" s="602" t="s">
        <v>371</v>
      </c>
      <c r="C144" s="602" t="s">
        <v>370</v>
      </c>
      <c r="D144" s="239">
        <v>-21636986</v>
      </c>
      <c r="E144" s="239">
        <v>0</v>
      </c>
      <c r="F144" s="239">
        <v>-21636986</v>
      </c>
      <c r="G144" s="239">
        <v>670877</v>
      </c>
      <c r="H144" s="239">
        <v>0</v>
      </c>
      <c r="I144" s="239">
        <v>670877</v>
      </c>
      <c r="J144" s="239">
        <v>2706295</v>
      </c>
      <c r="K144" s="239">
        <v>0</v>
      </c>
      <c r="L144" s="239">
        <v>2706295</v>
      </c>
      <c r="M144" s="239">
        <v>29127</v>
      </c>
      <c r="N144" s="239">
        <v>0</v>
      </c>
      <c r="O144" s="239">
        <v>29127</v>
      </c>
      <c r="P144" s="239">
        <v>-18230687</v>
      </c>
      <c r="Q144" s="239">
        <v>0</v>
      </c>
      <c r="R144" s="239">
        <v>-18230687</v>
      </c>
      <c r="S144" s="239">
        <v>-2973103</v>
      </c>
      <c r="T144" s="239">
        <v>0</v>
      </c>
      <c r="U144" s="239">
        <v>-2973103</v>
      </c>
      <c r="V144" s="239">
        <v>-3507</v>
      </c>
      <c r="W144" s="239">
        <v>0</v>
      </c>
      <c r="X144" s="239">
        <v>-3507</v>
      </c>
      <c r="Y144" s="239">
        <v>-226886</v>
      </c>
      <c r="Z144" s="239">
        <v>0</v>
      </c>
      <c r="AA144" s="239">
        <v>-226886</v>
      </c>
      <c r="AB144" s="239">
        <v>-185295</v>
      </c>
      <c r="AC144" s="239">
        <v>0</v>
      </c>
      <c r="AD144" s="239">
        <v>-185295</v>
      </c>
      <c r="AE144" s="239">
        <v>0</v>
      </c>
      <c r="AF144" s="239">
        <v>0</v>
      </c>
      <c r="AG144" s="239">
        <v>0</v>
      </c>
      <c r="AH144" s="239">
        <v>9359424</v>
      </c>
      <c r="AI144" s="239">
        <v>0</v>
      </c>
      <c r="AJ144" s="239">
        <v>9359424</v>
      </c>
      <c r="AK144" s="239">
        <v>-375537</v>
      </c>
      <c r="AL144" s="239">
        <v>0</v>
      </c>
      <c r="AM144" s="239">
        <v>-375537</v>
      </c>
      <c r="AN144" s="239">
        <v>-22351402</v>
      </c>
      <c r="AO144" s="239">
        <v>0</v>
      </c>
      <c r="AP144" s="239">
        <v>-22351402</v>
      </c>
      <c r="AQ144" s="239">
        <v>-458704</v>
      </c>
      <c r="AR144" s="239">
        <v>0</v>
      </c>
      <c r="AS144" s="239">
        <v>-458704</v>
      </c>
      <c r="AT144" s="239">
        <v>0</v>
      </c>
      <c r="AU144" s="239">
        <v>0</v>
      </c>
      <c r="AV144" s="239">
        <v>0</v>
      </c>
      <c r="AW144" s="239">
        <v>0</v>
      </c>
      <c r="AX144" s="239">
        <v>0</v>
      </c>
      <c r="AY144" s="239">
        <v>0</v>
      </c>
      <c r="AZ144" s="239">
        <v>0</v>
      </c>
      <c r="BA144" s="239">
        <v>0</v>
      </c>
      <c r="BB144" s="239">
        <v>0</v>
      </c>
      <c r="BC144" s="239">
        <v>0</v>
      </c>
      <c r="BD144" s="239">
        <v>0</v>
      </c>
      <c r="BE144" s="239">
        <v>0</v>
      </c>
      <c r="BF144" s="239">
        <v>-17026208</v>
      </c>
      <c r="BG144" s="239">
        <v>0</v>
      </c>
      <c r="BH144" s="239">
        <v>-17026208</v>
      </c>
      <c r="BI144" s="239">
        <v>-1698</v>
      </c>
      <c r="BJ144" s="239">
        <v>0</v>
      </c>
      <c r="BK144" s="239">
        <v>-1698</v>
      </c>
      <c r="BL144" s="239">
        <v>585</v>
      </c>
      <c r="BM144" s="239">
        <v>0</v>
      </c>
      <c r="BN144" s="239">
        <v>585</v>
      </c>
      <c r="BO144" s="239">
        <v>-8637129</v>
      </c>
      <c r="BP144" s="239">
        <v>0</v>
      </c>
      <c r="BQ144" s="239">
        <v>-8637129</v>
      </c>
      <c r="BR144" s="239">
        <v>535973</v>
      </c>
      <c r="BS144" s="239">
        <v>0</v>
      </c>
      <c r="BT144" s="239">
        <v>535973</v>
      </c>
      <c r="BU144" s="239">
        <v>-8102269</v>
      </c>
      <c r="BV144" s="239">
        <v>0</v>
      </c>
      <c r="BW144" s="239">
        <v>-8102269</v>
      </c>
      <c r="BX144" s="239">
        <v>-72612</v>
      </c>
      <c r="BY144" s="239">
        <v>0</v>
      </c>
      <c r="BZ144" s="239">
        <v>-72612</v>
      </c>
      <c r="CA144" s="239">
        <v>-2907</v>
      </c>
      <c r="CB144" s="239">
        <v>0</v>
      </c>
      <c r="CC144" s="239">
        <v>-2907</v>
      </c>
      <c r="CD144" s="239">
        <v>-83401</v>
      </c>
      <c r="CE144" s="239">
        <v>0</v>
      </c>
      <c r="CF144" s="239">
        <v>-83401</v>
      </c>
      <c r="CG144" s="239">
        <v>12341</v>
      </c>
      <c r="CH144" s="239">
        <v>0</v>
      </c>
      <c r="CI144" s="239">
        <v>12341</v>
      </c>
      <c r="CJ144" s="239">
        <v>0</v>
      </c>
      <c r="CK144" s="239">
        <v>0</v>
      </c>
      <c r="CL144" s="239">
        <v>0</v>
      </c>
      <c r="CM144" s="239">
        <v>0</v>
      </c>
      <c r="CN144" s="239">
        <v>0</v>
      </c>
      <c r="CO144" s="239">
        <v>0</v>
      </c>
      <c r="CP144" s="239">
        <v>0</v>
      </c>
      <c r="CQ144" s="239">
        <v>0</v>
      </c>
      <c r="CR144" s="239">
        <v>0</v>
      </c>
      <c r="CS144" s="239">
        <v>0</v>
      </c>
      <c r="CT144" s="239">
        <v>0</v>
      </c>
      <c r="CU144" s="239">
        <v>0</v>
      </c>
      <c r="CV144" s="239">
        <v>0</v>
      </c>
      <c r="CW144" s="239">
        <v>0</v>
      </c>
      <c r="CX144" s="239">
        <v>0</v>
      </c>
      <c r="CY144" s="239">
        <v>0</v>
      </c>
      <c r="CZ144" s="239">
        <v>0</v>
      </c>
      <c r="DA144" s="239">
        <v>0</v>
      </c>
      <c r="DB144" s="239">
        <v>0</v>
      </c>
      <c r="DC144" s="239">
        <v>0</v>
      </c>
      <c r="DD144" s="239">
        <v>0</v>
      </c>
      <c r="DE144" s="239">
        <v>0</v>
      </c>
      <c r="DF144" s="239">
        <v>0</v>
      </c>
      <c r="DG144" s="239">
        <v>0</v>
      </c>
      <c r="DH144" s="239">
        <v>0</v>
      </c>
      <c r="DI144" s="239">
        <v>0</v>
      </c>
      <c r="DJ144" s="239">
        <v>-146579</v>
      </c>
      <c r="DK144" s="239">
        <v>0</v>
      </c>
      <c r="DL144" s="239">
        <v>-146579</v>
      </c>
      <c r="DM144" s="239">
        <v>-64114</v>
      </c>
      <c r="DN144" s="239">
        <v>0</v>
      </c>
      <c r="DO144" s="239">
        <v>-64114</v>
      </c>
      <c r="DP144" s="239">
        <v>-42129</v>
      </c>
      <c r="DQ144" s="239">
        <v>0</v>
      </c>
      <c r="DR144" s="239">
        <v>-42129</v>
      </c>
      <c r="DS144" s="239">
        <v>-43923</v>
      </c>
      <c r="DT144" s="239">
        <v>0</v>
      </c>
      <c r="DU144" s="239">
        <v>-43923</v>
      </c>
      <c r="DV144" s="239">
        <v>4994</v>
      </c>
      <c r="DW144" s="239">
        <v>0</v>
      </c>
      <c r="DX144" s="239">
        <v>4994</v>
      </c>
      <c r="DY144" s="239">
        <v>6284</v>
      </c>
      <c r="DZ144" s="239">
        <v>0</v>
      </c>
      <c r="EA144" s="239">
        <v>6284</v>
      </c>
      <c r="EB144" s="239">
        <v>0</v>
      </c>
      <c r="EC144" s="239">
        <v>0</v>
      </c>
      <c r="ED144" s="239">
        <v>0</v>
      </c>
      <c r="EE144" s="239">
        <v>0</v>
      </c>
      <c r="EF144" s="239">
        <v>0</v>
      </c>
      <c r="EG144" s="239">
        <v>0</v>
      </c>
      <c r="EH144" s="239">
        <v>767</v>
      </c>
      <c r="EI144" s="239">
        <v>0</v>
      </c>
      <c r="EJ144" s="239">
        <v>767</v>
      </c>
      <c r="EK144" s="239">
        <v>0</v>
      </c>
      <c r="EL144" s="239">
        <v>0</v>
      </c>
      <c r="EM144" s="239">
        <v>0</v>
      </c>
      <c r="EN144" s="239">
        <v>0</v>
      </c>
      <c r="EO144" s="239">
        <v>0</v>
      </c>
      <c r="EP144" s="239">
        <v>0</v>
      </c>
      <c r="EQ144" s="239">
        <v>-78991</v>
      </c>
      <c r="ER144" s="239">
        <v>0</v>
      </c>
      <c r="ES144" s="239">
        <v>-78991</v>
      </c>
      <c r="ET144" s="239">
        <v>-2560937</v>
      </c>
      <c r="EU144" s="239">
        <v>0</v>
      </c>
      <c r="EV144" s="239">
        <v>-2560937</v>
      </c>
      <c r="EW144" s="239">
        <v>-24027</v>
      </c>
      <c r="EX144" s="239">
        <v>0</v>
      </c>
      <c r="EY144" s="239">
        <v>-24027</v>
      </c>
      <c r="EZ144" s="239">
        <v>-2802076</v>
      </c>
      <c r="FA144" s="239">
        <v>0</v>
      </c>
      <c r="FB144" s="239">
        <v>-2802076</v>
      </c>
      <c r="FC144" s="239">
        <v>-49488</v>
      </c>
      <c r="FD144" s="239">
        <v>0</v>
      </c>
      <c r="FE144" s="239">
        <v>-49488</v>
      </c>
      <c r="FF144" s="239">
        <v>0</v>
      </c>
      <c r="FG144" s="239">
        <v>0</v>
      </c>
      <c r="FH144" s="239">
        <v>0</v>
      </c>
      <c r="FI144" s="239">
        <v>-49488</v>
      </c>
      <c r="FJ144" s="239">
        <v>0</v>
      </c>
      <c r="FK144" s="239">
        <v>-49488</v>
      </c>
      <c r="FL144" s="239">
        <v>363442097</v>
      </c>
      <c r="FM144" s="239">
        <v>0</v>
      </c>
      <c r="FN144" s="239">
        <v>363442097</v>
      </c>
      <c r="FO144" s="239">
        <v>-18230687</v>
      </c>
      <c r="FP144" s="239">
        <v>0</v>
      </c>
      <c r="FQ144" s="239">
        <v>-18230687</v>
      </c>
      <c r="FR144" s="239">
        <v>-17026208</v>
      </c>
      <c r="FS144" s="239">
        <v>0</v>
      </c>
      <c r="FT144" s="239">
        <v>-17026208</v>
      </c>
      <c r="FU144" s="239">
        <v>-8102269</v>
      </c>
      <c r="FV144" s="239">
        <v>0</v>
      </c>
      <c r="FW144" s="239">
        <v>-8102269</v>
      </c>
      <c r="FX144" s="239">
        <v>-146579</v>
      </c>
      <c r="FY144" s="239">
        <v>0</v>
      </c>
      <c r="FZ144" s="239">
        <v>-146579</v>
      </c>
      <c r="GA144" s="239">
        <v>-2802076</v>
      </c>
      <c r="GB144" s="239">
        <v>0</v>
      </c>
      <c r="GC144" s="239">
        <v>-2802076</v>
      </c>
      <c r="GD144" s="239">
        <v>-49488</v>
      </c>
      <c r="GE144" s="239">
        <v>0</v>
      </c>
      <c r="GF144" s="239">
        <v>-49488</v>
      </c>
      <c r="GG144" s="239">
        <v>-46357307</v>
      </c>
      <c r="GH144" s="239">
        <v>0</v>
      </c>
      <c r="GI144" s="239">
        <v>-46357307</v>
      </c>
      <c r="GJ144" s="239">
        <v>317084790</v>
      </c>
      <c r="GK144" s="239">
        <v>0</v>
      </c>
      <c r="GL144" s="239">
        <v>317084790</v>
      </c>
      <c r="GM144" s="214" t="s">
        <v>1161</v>
      </c>
    </row>
    <row r="145" spans="2:195" s="214" customFormat="1" x14ac:dyDescent="0.2">
      <c r="B145" s="602" t="s">
        <v>373</v>
      </c>
      <c r="C145" s="602" t="s">
        <v>372</v>
      </c>
      <c r="D145" s="239">
        <v>-743283</v>
      </c>
      <c r="E145" s="239">
        <v>0</v>
      </c>
      <c r="F145" s="239">
        <v>-743283</v>
      </c>
      <c r="G145" s="239">
        <v>7496</v>
      </c>
      <c r="H145" s="239">
        <v>0</v>
      </c>
      <c r="I145" s="239">
        <v>7496</v>
      </c>
      <c r="J145" s="239">
        <v>1656224</v>
      </c>
      <c r="K145" s="239">
        <v>0</v>
      </c>
      <c r="L145" s="239">
        <v>1656224</v>
      </c>
      <c r="M145" s="239">
        <v>-94957</v>
      </c>
      <c r="N145" s="239">
        <v>0</v>
      </c>
      <c r="O145" s="239">
        <v>-94957</v>
      </c>
      <c r="P145" s="239">
        <v>825480</v>
      </c>
      <c r="Q145" s="239">
        <v>0</v>
      </c>
      <c r="R145" s="239">
        <v>825480</v>
      </c>
      <c r="S145" s="239">
        <v>-2614972</v>
      </c>
      <c r="T145" s="239">
        <v>0</v>
      </c>
      <c r="U145" s="239">
        <v>-2614972</v>
      </c>
      <c r="V145" s="239">
        <v>-2643</v>
      </c>
      <c r="W145" s="239">
        <v>0</v>
      </c>
      <c r="X145" s="239">
        <v>-2643</v>
      </c>
      <c r="Y145" s="239">
        <v>-49643</v>
      </c>
      <c r="Z145" s="239">
        <v>0</v>
      </c>
      <c r="AA145" s="239">
        <v>-49643</v>
      </c>
      <c r="AB145" s="239">
        <v>-31663</v>
      </c>
      <c r="AC145" s="239">
        <v>0</v>
      </c>
      <c r="AD145" s="239">
        <v>-31663</v>
      </c>
      <c r="AE145" s="239">
        <v>-25</v>
      </c>
      <c r="AF145" s="239">
        <v>0</v>
      </c>
      <c r="AG145" s="239">
        <v>-25</v>
      </c>
      <c r="AH145" s="239">
        <v>748382</v>
      </c>
      <c r="AI145" s="239">
        <v>0</v>
      </c>
      <c r="AJ145" s="239">
        <v>748382</v>
      </c>
      <c r="AK145" s="239">
        <v>-24333</v>
      </c>
      <c r="AL145" s="239">
        <v>0</v>
      </c>
      <c r="AM145" s="239">
        <v>-24333</v>
      </c>
      <c r="AN145" s="239">
        <v>-2793243</v>
      </c>
      <c r="AO145" s="239">
        <v>0</v>
      </c>
      <c r="AP145" s="239">
        <v>-2793243</v>
      </c>
      <c r="AQ145" s="239">
        <v>86781</v>
      </c>
      <c r="AR145" s="239">
        <v>0</v>
      </c>
      <c r="AS145" s="239">
        <v>86781</v>
      </c>
      <c r="AT145" s="239">
        <v>-44010</v>
      </c>
      <c r="AU145" s="239">
        <v>0</v>
      </c>
      <c r="AV145" s="239">
        <v>-44010</v>
      </c>
      <c r="AW145" s="239">
        <v>0</v>
      </c>
      <c r="AX145" s="239">
        <v>0</v>
      </c>
      <c r="AY145" s="239">
        <v>0</v>
      </c>
      <c r="AZ145" s="239">
        <v>-5540</v>
      </c>
      <c r="BA145" s="239">
        <v>0</v>
      </c>
      <c r="BB145" s="239">
        <v>-5540</v>
      </c>
      <c r="BC145" s="239">
        <v>-685</v>
      </c>
      <c r="BD145" s="239">
        <v>0</v>
      </c>
      <c r="BE145" s="239">
        <v>-685</v>
      </c>
      <c r="BF145" s="239">
        <v>-4697263</v>
      </c>
      <c r="BG145" s="239">
        <v>0</v>
      </c>
      <c r="BH145" s="239">
        <v>-4697263</v>
      </c>
      <c r="BI145" s="239">
        <v>0</v>
      </c>
      <c r="BJ145" s="239">
        <v>0</v>
      </c>
      <c r="BK145" s="239">
        <v>0</v>
      </c>
      <c r="BL145" s="239">
        <v>0</v>
      </c>
      <c r="BM145" s="239">
        <v>0</v>
      </c>
      <c r="BN145" s="239">
        <v>0</v>
      </c>
      <c r="BO145" s="239">
        <v>-337875</v>
      </c>
      <c r="BP145" s="239">
        <v>0</v>
      </c>
      <c r="BQ145" s="239">
        <v>-337875</v>
      </c>
      <c r="BR145" s="239">
        <v>10596</v>
      </c>
      <c r="BS145" s="239">
        <v>0</v>
      </c>
      <c r="BT145" s="239">
        <v>10596</v>
      </c>
      <c r="BU145" s="239">
        <v>-327279</v>
      </c>
      <c r="BV145" s="239">
        <v>0</v>
      </c>
      <c r="BW145" s="239">
        <v>-327279</v>
      </c>
      <c r="BX145" s="239">
        <v>-9920</v>
      </c>
      <c r="BY145" s="239">
        <v>0</v>
      </c>
      <c r="BZ145" s="239">
        <v>-9920</v>
      </c>
      <c r="CA145" s="239">
        <v>-66</v>
      </c>
      <c r="CB145" s="239">
        <v>0</v>
      </c>
      <c r="CC145" s="239">
        <v>-66</v>
      </c>
      <c r="CD145" s="239">
        <v>-31943</v>
      </c>
      <c r="CE145" s="239">
        <v>0</v>
      </c>
      <c r="CF145" s="239">
        <v>-31943</v>
      </c>
      <c r="CG145" s="239">
        <v>-224</v>
      </c>
      <c r="CH145" s="239">
        <v>0</v>
      </c>
      <c r="CI145" s="239">
        <v>-224</v>
      </c>
      <c r="CJ145" s="239">
        <v>-2196</v>
      </c>
      <c r="CK145" s="239">
        <v>0</v>
      </c>
      <c r="CL145" s="239">
        <v>-2196</v>
      </c>
      <c r="CM145" s="239">
        <v>0</v>
      </c>
      <c r="CN145" s="239">
        <v>0</v>
      </c>
      <c r="CO145" s="239">
        <v>0</v>
      </c>
      <c r="CP145" s="239">
        <v>0</v>
      </c>
      <c r="CQ145" s="239">
        <v>0</v>
      </c>
      <c r="CR145" s="239">
        <v>0</v>
      </c>
      <c r="CS145" s="239">
        <v>0</v>
      </c>
      <c r="CT145" s="239">
        <v>0</v>
      </c>
      <c r="CU145" s="239">
        <v>0</v>
      </c>
      <c r="CV145" s="239">
        <v>0</v>
      </c>
      <c r="CW145" s="239">
        <v>0</v>
      </c>
      <c r="CX145" s="239">
        <v>0</v>
      </c>
      <c r="CY145" s="239">
        <v>0</v>
      </c>
      <c r="CZ145" s="239">
        <v>0</v>
      </c>
      <c r="DA145" s="239">
        <v>0</v>
      </c>
      <c r="DB145" s="239">
        <v>0</v>
      </c>
      <c r="DC145" s="239">
        <v>0</v>
      </c>
      <c r="DD145" s="239">
        <v>0</v>
      </c>
      <c r="DE145" s="239">
        <v>0</v>
      </c>
      <c r="DF145" s="239">
        <v>0</v>
      </c>
      <c r="DG145" s="239">
        <v>0</v>
      </c>
      <c r="DH145" s="239">
        <v>0</v>
      </c>
      <c r="DI145" s="239">
        <v>0</v>
      </c>
      <c r="DJ145" s="239">
        <v>-44349</v>
      </c>
      <c r="DK145" s="239">
        <v>0</v>
      </c>
      <c r="DL145" s="239">
        <v>-44349</v>
      </c>
      <c r="DM145" s="239">
        <v>-6155</v>
      </c>
      <c r="DN145" s="239">
        <v>0</v>
      </c>
      <c r="DO145" s="239">
        <v>-6155</v>
      </c>
      <c r="DP145" s="239">
        <v>0</v>
      </c>
      <c r="DQ145" s="239">
        <v>0</v>
      </c>
      <c r="DR145" s="239">
        <v>0</v>
      </c>
      <c r="DS145" s="239">
        <v>0</v>
      </c>
      <c r="DT145" s="239">
        <v>0</v>
      </c>
      <c r="DU145" s="239">
        <v>0</v>
      </c>
      <c r="DV145" s="239">
        <v>0</v>
      </c>
      <c r="DW145" s="239">
        <v>0</v>
      </c>
      <c r="DX145" s="239">
        <v>0</v>
      </c>
      <c r="DY145" s="239">
        <v>3000</v>
      </c>
      <c r="DZ145" s="239">
        <v>0</v>
      </c>
      <c r="EA145" s="239">
        <v>3000</v>
      </c>
      <c r="EB145" s="239">
        <v>0</v>
      </c>
      <c r="EC145" s="239">
        <v>0</v>
      </c>
      <c r="ED145" s="239">
        <v>0</v>
      </c>
      <c r="EE145" s="239">
        <v>0</v>
      </c>
      <c r="EF145" s="239">
        <v>0</v>
      </c>
      <c r="EG145" s="239">
        <v>0</v>
      </c>
      <c r="EH145" s="239">
        <v>0</v>
      </c>
      <c r="EI145" s="239">
        <v>0</v>
      </c>
      <c r="EJ145" s="239">
        <v>0</v>
      </c>
      <c r="EK145" s="239">
        <v>-5540</v>
      </c>
      <c r="EL145" s="239">
        <v>0</v>
      </c>
      <c r="EM145" s="239">
        <v>-5540</v>
      </c>
      <c r="EN145" s="239">
        <v>0</v>
      </c>
      <c r="EO145" s="239">
        <v>0</v>
      </c>
      <c r="EP145" s="239">
        <v>0</v>
      </c>
      <c r="EQ145" s="239">
        <v>-389</v>
      </c>
      <c r="ER145" s="239">
        <v>0</v>
      </c>
      <c r="ES145" s="239">
        <v>-389</v>
      </c>
      <c r="ET145" s="239">
        <v>-97732</v>
      </c>
      <c r="EU145" s="239">
        <v>0</v>
      </c>
      <c r="EV145" s="239">
        <v>-97732</v>
      </c>
      <c r="EW145" s="239">
        <v>-22751</v>
      </c>
      <c r="EX145" s="239">
        <v>0</v>
      </c>
      <c r="EY145" s="239">
        <v>-22751</v>
      </c>
      <c r="EZ145" s="239">
        <v>-129567</v>
      </c>
      <c r="FA145" s="239">
        <v>0</v>
      </c>
      <c r="FB145" s="239">
        <v>-129567</v>
      </c>
      <c r="FC145" s="239">
        <v>0</v>
      </c>
      <c r="FD145" s="239">
        <v>0</v>
      </c>
      <c r="FE145" s="239">
        <v>0</v>
      </c>
      <c r="FF145" s="239">
        <v>0</v>
      </c>
      <c r="FG145" s="239">
        <v>0</v>
      </c>
      <c r="FH145" s="239">
        <v>0</v>
      </c>
      <c r="FI145" s="239">
        <v>0</v>
      </c>
      <c r="FJ145" s="239">
        <v>0</v>
      </c>
      <c r="FK145" s="239">
        <v>0</v>
      </c>
      <c r="FL145" s="239">
        <v>35724872</v>
      </c>
      <c r="FM145" s="239">
        <v>0</v>
      </c>
      <c r="FN145" s="239">
        <v>35724872</v>
      </c>
      <c r="FO145" s="239">
        <v>825480</v>
      </c>
      <c r="FP145" s="239">
        <v>0</v>
      </c>
      <c r="FQ145" s="239">
        <v>825480</v>
      </c>
      <c r="FR145" s="239">
        <v>-4697263</v>
      </c>
      <c r="FS145" s="239">
        <v>0</v>
      </c>
      <c r="FT145" s="239">
        <v>-4697263</v>
      </c>
      <c r="FU145" s="239">
        <v>-327279</v>
      </c>
      <c r="FV145" s="239">
        <v>0</v>
      </c>
      <c r="FW145" s="239">
        <v>-327279</v>
      </c>
      <c r="FX145" s="239">
        <v>-44349</v>
      </c>
      <c r="FY145" s="239">
        <v>0</v>
      </c>
      <c r="FZ145" s="239">
        <v>-44349</v>
      </c>
      <c r="GA145" s="239">
        <v>-129567</v>
      </c>
      <c r="GB145" s="239">
        <v>0</v>
      </c>
      <c r="GC145" s="239">
        <v>-129567</v>
      </c>
      <c r="GD145" s="239">
        <v>0</v>
      </c>
      <c r="GE145" s="239">
        <v>0</v>
      </c>
      <c r="GF145" s="239">
        <v>0</v>
      </c>
      <c r="GG145" s="239">
        <v>-4372978</v>
      </c>
      <c r="GH145" s="239">
        <v>0</v>
      </c>
      <c r="GI145" s="239">
        <v>-4372978</v>
      </c>
      <c r="GJ145" s="239">
        <v>31351894</v>
      </c>
      <c r="GK145" s="239">
        <v>0</v>
      </c>
      <c r="GL145" s="239">
        <v>31351894</v>
      </c>
      <c r="GM145" s="214" t="s">
        <v>1158</v>
      </c>
    </row>
    <row r="146" spans="2:195" s="214" customFormat="1" x14ac:dyDescent="0.2">
      <c r="B146" s="602" t="s">
        <v>375</v>
      </c>
      <c r="C146" s="602" t="s">
        <v>374</v>
      </c>
      <c r="D146" s="239">
        <v>-2365974</v>
      </c>
      <c r="E146" s="239">
        <v>0</v>
      </c>
      <c r="F146" s="239">
        <v>-2365974</v>
      </c>
      <c r="G146" s="239">
        <v>107150</v>
      </c>
      <c r="H146" s="239">
        <v>0</v>
      </c>
      <c r="I146" s="239">
        <v>107150</v>
      </c>
      <c r="J146" s="239">
        <v>3111421</v>
      </c>
      <c r="K146" s="239">
        <v>0</v>
      </c>
      <c r="L146" s="239">
        <v>3111421</v>
      </c>
      <c r="M146" s="239">
        <v>25053</v>
      </c>
      <c r="N146" s="239">
        <v>0</v>
      </c>
      <c r="O146" s="239">
        <v>25053</v>
      </c>
      <c r="P146" s="239">
        <v>877650</v>
      </c>
      <c r="Q146" s="239">
        <v>0</v>
      </c>
      <c r="R146" s="239">
        <v>877650</v>
      </c>
      <c r="S146" s="239">
        <v>-5273852</v>
      </c>
      <c r="T146" s="239">
        <v>-7537</v>
      </c>
      <c r="U146" s="239">
        <v>-5281389</v>
      </c>
      <c r="V146" s="239">
        <v>-26718</v>
      </c>
      <c r="W146" s="239">
        <v>0</v>
      </c>
      <c r="X146" s="239">
        <v>-26718</v>
      </c>
      <c r="Y146" s="239">
        <v>-352520</v>
      </c>
      <c r="Z146" s="239">
        <v>-623</v>
      </c>
      <c r="AA146" s="239">
        <v>-353143</v>
      </c>
      <c r="AB146" s="239">
        <v>-311520</v>
      </c>
      <c r="AC146" s="239">
        <v>-623</v>
      </c>
      <c r="AD146" s="239">
        <v>-312143</v>
      </c>
      <c r="AE146" s="239">
        <v>-9835</v>
      </c>
      <c r="AF146" s="239">
        <v>0</v>
      </c>
      <c r="AG146" s="239">
        <v>-9835</v>
      </c>
      <c r="AH146" s="239">
        <v>969724</v>
      </c>
      <c r="AI146" s="239">
        <v>747</v>
      </c>
      <c r="AJ146" s="239">
        <v>970471</v>
      </c>
      <c r="AK146" s="239">
        <v>-58442</v>
      </c>
      <c r="AL146" s="239">
        <v>-54</v>
      </c>
      <c r="AM146" s="239">
        <v>-58496</v>
      </c>
      <c r="AN146" s="239">
        <v>-3360096</v>
      </c>
      <c r="AO146" s="239">
        <v>-712</v>
      </c>
      <c r="AP146" s="239">
        <v>-3360808</v>
      </c>
      <c r="AQ146" s="239">
        <v>-66668.36</v>
      </c>
      <c r="AR146" s="239">
        <v>0</v>
      </c>
      <c r="AS146" s="239">
        <v>-66668.36</v>
      </c>
      <c r="AT146" s="239">
        <v>-32791</v>
      </c>
      <c r="AU146" s="239">
        <v>0</v>
      </c>
      <c r="AV146" s="239">
        <v>-32791</v>
      </c>
      <c r="AW146" s="239">
        <v>57</v>
      </c>
      <c r="AX146" s="239">
        <v>0</v>
      </c>
      <c r="AY146" s="239">
        <v>57</v>
      </c>
      <c r="AZ146" s="239">
        <v>-68637</v>
      </c>
      <c r="BA146" s="239">
        <v>0</v>
      </c>
      <c r="BB146" s="239">
        <v>-68637</v>
      </c>
      <c r="BC146" s="239">
        <v>3071</v>
      </c>
      <c r="BD146" s="239">
        <v>0</v>
      </c>
      <c r="BE146" s="239">
        <v>3071</v>
      </c>
      <c r="BF146" s="239">
        <v>-8240154</v>
      </c>
      <c r="BG146" s="239">
        <v>-8179</v>
      </c>
      <c r="BH146" s="239">
        <v>-8248333</v>
      </c>
      <c r="BI146" s="239">
        <v>0</v>
      </c>
      <c r="BJ146" s="239">
        <v>0</v>
      </c>
      <c r="BK146" s="239">
        <v>0</v>
      </c>
      <c r="BL146" s="239">
        <v>-235401</v>
      </c>
      <c r="BM146" s="239">
        <v>0</v>
      </c>
      <c r="BN146" s="239">
        <v>-235401</v>
      </c>
      <c r="BO146" s="239">
        <v>-948180</v>
      </c>
      <c r="BP146" s="239">
        <v>-3633</v>
      </c>
      <c r="BQ146" s="239">
        <v>-951813</v>
      </c>
      <c r="BR146" s="239">
        <v>132544</v>
      </c>
      <c r="BS146" s="239">
        <v>1097</v>
      </c>
      <c r="BT146" s="239">
        <v>133641</v>
      </c>
      <c r="BU146" s="239">
        <v>-1051037</v>
      </c>
      <c r="BV146" s="239">
        <v>-2536</v>
      </c>
      <c r="BW146" s="239">
        <v>-1053573</v>
      </c>
      <c r="BX146" s="239">
        <v>-210954</v>
      </c>
      <c r="BY146" s="239">
        <v>0</v>
      </c>
      <c r="BZ146" s="239">
        <v>-210954</v>
      </c>
      <c r="CA146" s="239">
        <v>-5153</v>
      </c>
      <c r="CB146" s="239">
        <v>0</v>
      </c>
      <c r="CC146" s="239">
        <v>-5153</v>
      </c>
      <c r="CD146" s="239">
        <v>-64232</v>
      </c>
      <c r="CE146" s="239">
        <v>0</v>
      </c>
      <c r="CF146" s="239">
        <v>-64232</v>
      </c>
      <c r="CG146" s="239">
        <v>-2622</v>
      </c>
      <c r="CH146" s="239">
        <v>0</v>
      </c>
      <c r="CI146" s="239">
        <v>-2622</v>
      </c>
      <c r="CJ146" s="239">
        <v>-3458</v>
      </c>
      <c r="CK146" s="239">
        <v>0</v>
      </c>
      <c r="CL146" s="239">
        <v>-3458</v>
      </c>
      <c r="CM146" s="239">
        <v>14</v>
      </c>
      <c r="CN146" s="239">
        <v>0</v>
      </c>
      <c r="CO146" s="239">
        <v>14</v>
      </c>
      <c r="CP146" s="239">
        <v>-2971</v>
      </c>
      <c r="CQ146" s="239">
        <v>0</v>
      </c>
      <c r="CR146" s="239">
        <v>-2971</v>
      </c>
      <c r="CS146" s="239">
        <v>5995</v>
      </c>
      <c r="CT146" s="239">
        <v>0</v>
      </c>
      <c r="CU146" s="239">
        <v>5995</v>
      </c>
      <c r="CV146" s="239">
        <v>-7526</v>
      </c>
      <c r="CW146" s="239">
        <v>0</v>
      </c>
      <c r="CX146" s="239">
        <v>-7526</v>
      </c>
      <c r="CY146" s="239">
        <v>-2871</v>
      </c>
      <c r="CZ146" s="239">
        <v>0</v>
      </c>
      <c r="DA146" s="239">
        <v>-2871</v>
      </c>
      <c r="DB146" s="239">
        <v>-5572</v>
      </c>
      <c r="DC146" s="239">
        <v>-83684</v>
      </c>
      <c r="DD146" s="239">
        <v>-89256</v>
      </c>
      <c r="DE146" s="239">
        <v>0</v>
      </c>
      <c r="DF146" s="239">
        <v>-419</v>
      </c>
      <c r="DG146" s="239">
        <v>-419</v>
      </c>
      <c r="DH146" s="239">
        <v>-84103</v>
      </c>
      <c r="DI146" s="239">
        <v>0</v>
      </c>
      <c r="DJ146" s="239">
        <v>-299350</v>
      </c>
      <c r="DK146" s="239">
        <v>-84103</v>
      </c>
      <c r="DL146" s="239">
        <v>-383453</v>
      </c>
      <c r="DM146" s="239">
        <v>-30127</v>
      </c>
      <c r="DN146" s="239">
        <v>0</v>
      </c>
      <c r="DO146" s="239">
        <v>-30127</v>
      </c>
      <c r="DP146" s="239">
        <v>149</v>
      </c>
      <c r="DQ146" s="239">
        <v>0</v>
      </c>
      <c r="DR146" s="239">
        <v>149</v>
      </c>
      <c r="DS146" s="239">
        <v>-912</v>
      </c>
      <c r="DT146" s="239">
        <v>0</v>
      </c>
      <c r="DU146" s="239">
        <v>-912</v>
      </c>
      <c r="DV146" s="239">
        <v>-3933</v>
      </c>
      <c r="DW146" s="239">
        <v>0</v>
      </c>
      <c r="DX146" s="239">
        <v>-3933</v>
      </c>
      <c r="DY146" s="239">
        <v>2004</v>
      </c>
      <c r="DZ146" s="239">
        <v>0</v>
      </c>
      <c r="EA146" s="239">
        <v>2004</v>
      </c>
      <c r="EB146" s="239">
        <v>0</v>
      </c>
      <c r="EC146" s="239">
        <v>0</v>
      </c>
      <c r="ED146" s="239">
        <v>0</v>
      </c>
      <c r="EE146" s="239">
        <v>0</v>
      </c>
      <c r="EF146" s="239">
        <v>0</v>
      </c>
      <c r="EG146" s="239">
        <v>0</v>
      </c>
      <c r="EH146" s="239">
        <v>-146</v>
      </c>
      <c r="EI146" s="239">
        <v>0</v>
      </c>
      <c r="EJ146" s="239">
        <v>-146</v>
      </c>
      <c r="EK146" s="239">
        <v>-68637</v>
      </c>
      <c r="EL146" s="239">
        <v>0</v>
      </c>
      <c r="EM146" s="239">
        <v>-68637</v>
      </c>
      <c r="EN146" s="239">
        <v>-1500</v>
      </c>
      <c r="EO146" s="239">
        <v>0</v>
      </c>
      <c r="EP146" s="239">
        <v>-1500</v>
      </c>
      <c r="EQ146" s="239">
        <v>-78026</v>
      </c>
      <c r="ER146" s="239">
        <v>0</v>
      </c>
      <c r="ES146" s="239">
        <v>-78026</v>
      </c>
      <c r="ET146" s="239">
        <v>-389000</v>
      </c>
      <c r="EU146" s="239">
        <v>0</v>
      </c>
      <c r="EV146" s="239">
        <v>-389000</v>
      </c>
      <c r="EW146" s="239">
        <v>-46218</v>
      </c>
      <c r="EX146" s="239">
        <v>0</v>
      </c>
      <c r="EY146" s="239">
        <v>-46218</v>
      </c>
      <c r="EZ146" s="239">
        <v>-616346</v>
      </c>
      <c r="FA146" s="239">
        <v>0</v>
      </c>
      <c r="FB146" s="239">
        <v>-616346</v>
      </c>
      <c r="FC146" s="239">
        <v>-10384</v>
      </c>
      <c r="FD146" s="239">
        <v>0</v>
      </c>
      <c r="FE146" s="239">
        <v>-10384</v>
      </c>
      <c r="FF146" s="239">
        <v>-1876</v>
      </c>
      <c r="FG146" s="239">
        <v>0</v>
      </c>
      <c r="FH146" s="239">
        <v>-1876</v>
      </c>
      <c r="FI146" s="239">
        <v>-12260</v>
      </c>
      <c r="FJ146" s="239">
        <v>0</v>
      </c>
      <c r="FK146" s="239">
        <v>-12260</v>
      </c>
      <c r="FL146" s="239">
        <v>51622049</v>
      </c>
      <c r="FM146" s="239">
        <v>94818</v>
      </c>
      <c r="FN146" s="239">
        <v>51716867</v>
      </c>
      <c r="FO146" s="239">
        <v>877650</v>
      </c>
      <c r="FP146" s="239">
        <v>0</v>
      </c>
      <c r="FQ146" s="239">
        <v>877650</v>
      </c>
      <c r="FR146" s="239">
        <v>-8240154</v>
      </c>
      <c r="FS146" s="239">
        <v>-8179</v>
      </c>
      <c r="FT146" s="239">
        <v>-8248333</v>
      </c>
      <c r="FU146" s="239">
        <v>-1051037</v>
      </c>
      <c r="FV146" s="239">
        <v>-2536</v>
      </c>
      <c r="FW146" s="239">
        <v>-1053573</v>
      </c>
      <c r="FX146" s="239">
        <v>-299350</v>
      </c>
      <c r="FY146" s="239">
        <v>-84103</v>
      </c>
      <c r="FZ146" s="239">
        <v>-383453</v>
      </c>
      <c r="GA146" s="239">
        <v>-616346</v>
      </c>
      <c r="GB146" s="239">
        <v>0</v>
      </c>
      <c r="GC146" s="239">
        <v>-616346</v>
      </c>
      <c r="GD146" s="239">
        <v>-12260</v>
      </c>
      <c r="GE146" s="239">
        <v>0</v>
      </c>
      <c r="GF146" s="239">
        <v>-12260</v>
      </c>
      <c r="GG146" s="239">
        <v>-9341497</v>
      </c>
      <c r="GH146" s="239">
        <v>-94818</v>
      </c>
      <c r="GI146" s="239">
        <v>-9436315</v>
      </c>
      <c r="GJ146" s="239">
        <v>42280552</v>
      </c>
      <c r="GK146" s="239">
        <v>0</v>
      </c>
      <c r="GL146" s="239">
        <v>42280552</v>
      </c>
      <c r="GM146" s="214" t="s">
        <v>1158</v>
      </c>
    </row>
    <row r="147" spans="2:195" s="214" customFormat="1" x14ac:dyDescent="0.2">
      <c r="B147" s="602" t="s">
        <v>377</v>
      </c>
      <c r="C147" s="602" t="s">
        <v>376</v>
      </c>
      <c r="D147" s="239">
        <v>-8264883</v>
      </c>
      <c r="E147" s="239">
        <v>-541</v>
      </c>
      <c r="F147" s="239">
        <v>-8265424</v>
      </c>
      <c r="G147" s="239">
        <v>-105052</v>
      </c>
      <c r="H147" s="239">
        <v>0</v>
      </c>
      <c r="I147" s="239">
        <v>-105052</v>
      </c>
      <c r="J147" s="239">
        <v>3157333</v>
      </c>
      <c r="K147" s="239">
        <v>5910</v>
      </c>
      <c r="L147" s="239">
        <v>3163243</v>
      </c>
      <c r="M147" s="239">
        <v>2059794</v>
      </c>
      <c r="N147" s="239">
        <v>0</v>
      </c>
      <c r="O147" s="239">
        <v>2059794</v>
      </c>
      <c r="P147" s="239">
        <v>-3152808</v>
      </c>
      <c r="Q147" s="239">
        <v>5369</v>
      </c>
      <c r="R147" s="239">
        <v>-3147439</v>
      </c>
      <c r="S147" s="239">
        <v>-8759677</v>
      </c>
      <c r="T147" s="239">
        <v>0</v>
      </c>
      <c r="U147" s="239">
        <v>-8759677</v>
      </c>
      <c r="V147" s="239">
        <v>0</v>
      </c>
      <c r="W147" s="239">
        <v>0</v>
      </c>
      <c r="X147" s="239">
        <v>0</v>
      </c>
      <c r="Y147" s="239">
        <v>-196650</v>
      </c>
      <c r="Z147" s="239">
        <v>-20533</v>
      </c>
      <c r="AA147" s="239">
        <v>-217183</v>
      </c>
      <c r="AB147" s="239">
        <v>-157493</v>
      </c>
      <c r="AC147" s="239">
        <v>0</v>
      </c>
      <c r="AD147" s="239">
        <v>-157493</v>
      </c>
      <c r="AE147" s="239">
        <v>0</v>
      </c>
      <c r="AF147" s="239">
        <v>0</v>
      </c>
      <c r="AG147" s="239">
        <v>0</v>
      </c>
      <c r="AH147" s="239">
        <v>2862743</v>
      </c>
      <c r="AI147" s="239">
        <v>62675</v>
      </c>
      <c r="AJ147" s="239">
        <v>2925418</v>
      </c>
      <c r="AK147" s="239">
        <v>-189948</v>
      </c>
      <c r="AL147" s="239">
        <v>-20500</v>
      </c>
      <c r="AM147" s="239">
        <v>-210448</v>
      </c>
      <c r="AN147" s="239">
        <v>-8673631</v>
      </c>
      <c r="AO147" s="239">
        <v>-43884</v>
      </c>
      <c r="AP147" s="239">
        <v>-8717515</v>
      </c>
      <c r="AQ147" s="239">
        <v>-57011</v>
      </c>
      <c r="AR147" s="239">
        <v>-405</v>
      </c>
      <c r="AS147" s="239">
        <v>-57416</v>
      </c>
      <c r="AT147" s="239">
        <v>-21603</v>
      </c>
      <c r="AU147" s="239">
        <v>0</v>
      </c>
      <c r="AV147" s="239">
        <v>-21603</v>
      </c>
      <c r="AW147" s="239">
        <v>0</v>
      </c>
      <c r="AX147" s="239">
        <v>0</v>
      </c>
      <c r="AY147" s="239">
        <v>0</v>
      </c>
      <c r="AZ147" s="239">
        <v>0</v>
      </c>
      <c r="BA147" s="239">
        <v>0</v>
      </c>
      <c r="BB147" s="239">
        <v>0</v>
      </c>
      <c r="BC147" s="239">
        <v>0</v>
      </c>
      <c r="BD147" s="239">
        <v>0</v>
      </c>
      <c r="BE147" s="239">
        <v>0</v>
      </c>
      <c r="BF147" s="239">
        <v>-15035777</v>
      </c>
      <c r="BG147" s="239">
        <v>-22647</v>
      </c>
      <c r="BH147" s="239">
        <v>-15058424</v>
      </c>
      <c r="BI147" s="239">
        <v>0</v>
      </c>
      <c r="BJ147" s="239">
        <v>0</v>
      </c>
      <c r="BK147" s="239">
        <v>0</v>
      </c>
      <c r="BL147" s="239">
        <v>0</v>
      </c>
      <c r="BM147" s="239">
        <v>0</v>
      </c>
      <c r="BN147" s="239">
        <v>0</v>
      </c>
      <c r="BO147" s="239">
        <v>-3166202</v>
      </c>
      <c r="BP147" s="239">
        <v>-31701</v>
      </c>
      <c r="BQ147" s="239">
        <v>-3197903</v>
      </c>
      <c r="BR147" s="239">
        <v>-379180</v>
      </c>
      <c r="BS147" s="239">
        <v>-73429</v>
      </c>
      <c r="BT147" s="239">
        <v>-452609</v>
      </c>
      <c r="BU147" s="239">
        <v>-3545382</v>
      </c>
      <c r="BV147" s="239">
        <v>-105130</v>
      </c>
      <c r="BW147" s="239">
        <v>-3650512</v>
      </c>
      <c r="BX147" s="239">
        <v>-6293</v>
      </c>
      <c r="BY147" s="239">
        <v>0</v>
      </c>
      <c r="BZ147" s="239">
        <v>-6293</v>
      </c>
      <c r="CA147" s="239">
        <v>0</v>
      </c>
      <c r="CB147" s="239">
        <v>0</v>
      </c>
      <c r="CC147" s="239">
        <v>0</v>
      </c>
      <c r="CD147" s="239">
        <v>-1165515</v>
      </c>
      <c r="CE147" s="239">
        <v>0</v>
      </c>
      <c r="CF147" s="239">
        <v>-1165515</v>
      </c>
      <c r="CG147" s="239">
        <v>-42944</v>
      </c>
      <c r="CH147" s="239">
        <v>0</v>
      </c>
      <c r="CI147" s="239">
        <v>-42944</v>
      </c>
      <c r="CJ147" s="239">
        <v>-43884</v>
      </c>
      <c r="CK147" s="239">
        <v>0</v>
      </c>
      <c r="CL147" s="239">
        <v>-43884</v>
      </c>
      <c r="CM147" s="239">
        <v>0</v>
      </c>
      <c r="CN147" s="239">
        <v>0</v>
      </c>
      <c r="CO147" s="239">
        <v>0</v>
      </c>
      <c r="CP147" s="239">
        <v>0</v>
      </c>
      <c r="CQ147" s="239">
        <v>0</v>
      </c>
      <c r="CR147" s="239">
        <v>0</v>
      </c>
      <c r="CS147" s="239">
        <v>0</v>
      </c>
      <c r="CT147" s="239">
        <v>0</v>
      </c>
      <c r="CU147" s="239">
        <v>0</v>
      </c>
      <c r="CV147" s="239">
        <v>0</v>
      </c>
      <c r="CW147" s="239">
        <v>0</v>
      </c>
      <c r="CX147" s="239">
        <v>0</v>
      </c>
      <c r="CY147" s="239">
        <v>0</v>
      </c>
      <c r="CZ147" s="239">
        <v>0</v>
      </c>
      <c r="DA147" s="239">
        <v>0</v>
      </c>
      <c r="DB147" s="239">
        <v>0</v>
      </c>
      <c r="DC147" s="239">
        <v>0</v>
      </c>
      <c r="DD147" s="239">
        <v>0</v>
      </c>
      <c r="DE147" s="239">
        <v>0</v>
      </c>
      <c r="DF147" s="239">
        <v>0</v>
      </c>
      <c r="DG147" s="239">
        <v>0</v>
      </c>
      <c r="DH147" s="239">
        <v>0</v>
      </c>
      <c r="DI147" s="239">
        <v>0</v>
      </c>
      <c r="DJ147" s="239">
        <v>-1258636</v>
      </c>
      <c r="DK147" s="239">
        <v>0</v>
      </c>
      <c r="DL147" s="239">
        <v>-1258636</v>
      </c>
      <c r="DM147" s="239">
        <v>0</v>
      </c>
      <c r="DN147" s="239">
        <v>0</v>
      </c>
      <c r="DO147" s="239">
        <v>0</v>
      </c>
      <c r="DP147" s="239">
        <v>0</v>
      </c>
      <c r="DQ147" s="239">
        <v>0</v>
      </c>
      <c r="DR147" s="239">
        <v>0</v>
      </c>
      <c r="DS147" s="239">
        <v>-5594</v>
      </c>
      <c r="DT147" s="239">
        <v>0</v>
      </c>
      <c r="DU147" s="239">
        <v>-5594</v>
      </c>
      <c r="DV147" s="239">
        <v>-15246</v>
      </c>
      <c r="DW147" s="239">
        <v>0</v>
      </c>
      <c r="DX147" s="239">
        <v>-15246</v>
      </c>
      <c r="DY147" s="239">
        <v>4833</v>
      </c>
      <c r="DZ147" s="239">
        <v>0</v>
      </c>
      <c r="EA147" s="239">
        <v>4833</v>
      </c>
      <c r="EB147" s="239">
        <v>0</v>
      </c>
      <c r="EC147" s="239">
        <v>0</v>
      </c>
      <c r="ED147" s="239">
        <v>0</v>
      </c>
      <c r="EE147" s="239">
        <v>0</v>
      </c>
      <c r="EF147" s="239">
        <v>0</v>
      </c>
      <c r="EG147" s="239">
        <v>0</v>
      </c>
      <c r="EH147" s="239">
        <v>2265</v>
      </c>
      <c r="EI147" s="239">
        <v>0</v>
      </c>
      <c r="EJ147" s="239">
        <v>2265</v>
      </c>
      <c r="EK147" s="239">
        <v>0</v>
      </c>
      <c r="EL147" s="239">
        <v>0</v>
      </c>
      <c r="EM147" s="239">
        <v>0</v>
      </c>
      <c r="EN147" s="239">
        <v>-1500</v>
      </c>
      <c r="EO147" s="239">
        <v>0</v>
      </c>
      <c r="EP147" s="239">
        <v>-1500</v>
      </c>
      <c r="EQ147" s="239">
        <v>-20440</v>
      </c>
      <c r="ER147" s="239">
        <v>0</v>
      </c>
      <c r="ES147" s="239">
        <v>-20440</v>
      </c>
      <c r="ET147" s="239">
        <v>-304499</v>
      </c>
      <c r="EU147" s="239">
        <v>0</v>
      </c>
      <c r="EV147" s="239">
        <v>-304499</v>
      </c>
      <c r="EW147" s="239">
        <v>-75305</v>
      </c>
      <c r="EX147" s="239">
        <v>0</v>
      </c>
      <c r="EY147" s="239">
        <v>-75305</v>
      </c>
      <c r="EZ147" s="239">
        <v>-415486</v>
      </c>
      <c r="FA147" s="239">
        <v>0</v>
      </c>
      <c r="FB147" s="239">
        <v>-415486</v>
      </c>
      <c r="FC147" s="239">
        <v>0</v>
      </c>
      <c r="FD147" s="239">
        <v>0</v>
      </c>
      <c r="FE147" s="239">
        <v>0</v>
      </c>
      <c r="FF147" s="239">
        <v>0</v>
      </c>
      <c r="FG147" s="239">
        <v>0</v>
      </c>
      <c r="FH147" s="239">
        <v>0</v>
      </c>
      <c r="FI147" s="239">
        <v>0</v>
      </c>
      <c r="FJ147" s="239">
        <v>0</v>
      </c>
      <c r="FK147" s="239">
        <v>0</v>
      </c>
      <c r="FL147" s="239">
        <v>102618253</v>
      </c>
      <c r="FM147" s="239">
        <v>3402914</v>
      </c>
      <c r="FN147" s="239">
        <v>106021167</v>
      </c>
      <c r="FO147" s="239">
        <v>-3152808</v>
      </c>
      <c r="FP147" s="239">
        <v>5369</v>
      </c>
      <c r="FQ147" s="239">
        <v>-3147439</v>
      </c>
      <c r="FR147" s="239">
        <v>-15035777</v>
      </c>
      <c r="FS147" s="239">
        <v>-22647</v>
      </c>
      <c r="FT147" s="239">
        <v>-15058424</v>
      </c>
      <c r="FU147" s="239">
        <v>-3545382</v>
      </c>
      <c r="FV147" s="239">
        <v>-105130</v>
      </c>
      <c r="FW147" s="239">
        <v>-3650512</v>
      </c>
      <c r="FX147" s="239">
        <v>-1258636</v>
      </c>
      <c r="FY147" s="239">
        <v>0</v>
      </c>
      <c r="FZ147" s="239">
        <v>-1258636</v>
      </c>
      <c r="GA147" s="239">
        <v>-415486</v>
      </c>
      <c r="GB147" s="239">
        <v>0</v>
      </c>
      <c r="GC147" s="239">
        <v>-415486</v>
      </c>
      <c r="GD147" s="239">
        <v>0</v>
      </c>
      <c r="GE147" s="239">
        <v>0</v>
      </c>
      <c r="GF147" s="239">
        <v>0</v>
      </c>
      <c r="GG147" s="239">
        <v>-23408089</v>
      </c>
      <c r="GH147" s="239">
        <v>-122408</v>
      </c>
      <c r="GI147" s="239">
        <v>-23530497</v>
      </c>
      <c r="GJ147" s="239">
        <v>79210164</v>
      </c>
      <c r="GK147" s="239">
        <v>3280506</v>
      </c>
      <c r="GL147" s="239">
        <v>82490670</v>
      </c>
      <c r="GM147" s="214" t="s">
        <v>746</v>
      </c>
    </row>
    <row r="148" spans="2:195" s="214" customFormat="1" x14ac:dyDescent="0.2">
      <c r="B148" s="602" t="s">
        <v>379</v>
      </c>
      <c r="C148" s="602" t="s">
        <v>378</v>
      </c>
      <c r="D148" s="239">
        <v>-2790155</v>
      </c>
      <c r="E148" s="239">
        <v>0</v>
      </c>
      <c r="F148" s="239">
        <v>-2790155</v>
      </c>
      <c r="G148" s="239">
        <v>5896</v>
      </c>
      <c r="H148" s="239">
        <v>0</v>
      </c>
      <c r="I148" s="239">
        <v>5896</v>
      </c>
      <c r="J148" s="239">
        <v>2133374</v>
      </c>
      <c r="K148" s="239">
        <v>0</v>
      </c>
      <c r="L148" s="239">
        <v>2133374</v>
      </c>
      <c r="M148" s="239">
        <v>-4083</v>
      </c>
      <c r="N148" s="239">
        <v>0</v>
      </c>
      <c r="O148" s="239">
        <v>-4083</v>
      </c>
      <c r="P148" s="239">
        <v>-654968</v>
      </c>
      <c r="Q148" s="239">
        <v>0</v>
      </c>
      <c r="R148" s="239">
        <v>-654968</v>
      </c>
      <c r="S148" s="239">
        <v>-3683965</v>
      </c>
      <c r="T148" s="239">
        <v>0</v>
      </c>
      <c r="U148" s="239">
        <v>-3683965</v>
      </c>
      <c r="V148" s="239">
        <v>-6125</v>
      </c>
      <c r="W148" s="239">
        <v>0</v>
      </c>
      <c r="X148" s="239">
        <v>-6125</v>
      </c>
      <c r="Y148" s="239">
        <v>-125954</v>
      </c>
      <c r="Z148" s="239">
        <v>0</v>
      </c>
      <c r="AA148" s="239">
        <v>-125954</v>
      </c>
      <c r="AB148" s="239">
        <v>-122516</v>
      </c>
      <c r="AC148" s="239">
        <v>0</v>
      </c>
      <c r="AD148" s="239">
        <v>-122516</v>
      </c>
      <c r="AE148" s="239">
        <v>-118</v>
      </c>
      <c r="AF148" s="239">
        <v>0</v>
      </c>
      <c r="AG148" s="239">
        <v>-118</v>
      </c>
      <c r="AH148" s="239">
        <v>1873196</v>
      </c>
      <c r="AI148" s="239">
        <v>0</v>
      </c>
      <c r="AJ148" s="239">
        <v>1873196</v>
      </c>
      <c r="AK148" s="239">
        <v>397380</v>
      </c>
      <c r="AL148" s="239">
        <v>0</v>
      </c>
      <c r="AM148" s="239">
        <v>397380</v>
      </c>
      <c r="AN148" s="239">
        <v>-7511109</v>
      </c>
      <c r="AO148" s="239">
        <v>0</v>
      </c>
      <c r="AP148" s="239">
        <v>-7511109</v>
      </c>
      <c r="AQ148" s="239">
        <v>-141321</v>
      </c>
      <c r="AR148" s="239">
        <v>0</v>
      </c>
      <c r="AS148" s="239">
        <v>-141321</v>
      </c>
      <c r="AT148" s="239">
        <v>-121983</v>
      </c>
      <c r="AU148" s="239">
        <v>0</v>
      </c>
      <c r="AV148" s="239">
        <v>-121983</v>
      </c>
      <c r="AW148" s="239">
        <v>0</v>
      </c>
      <c r="AX148" s="239">
        <v>0</v>
      </c>
      <c r="AY148" s="239">
        <v>0</v>
      </c>
      <c r="AZ148" s="239">
        <v>0</v>
      </c>
      <c r="BA148" s="239">
        <v>0</v>
      </c>
      <c r="BB148" s="239">
        <v>0</v>
      </c>
      <c r="BC148" s="239">
        <v>0</v>
      </c>
      <c r="BD148" s="239">
        <v>0</v>
      </c>
      <c r="BE148" s="239">
        <v>0</v>
      </c>
      <c r="BF148" s="239">
        <v>-9313756</v>
      </c>
      <c r="BG148" s="239">
        <v>0</v>
      </c>
      <c r="BH148" s="239">
        <v>-9313756</v>
      </c>
      <c r="BI148" s="239">
        <v>0</v>
      </c>
      <c r="BJ148" s="239">
        <v>0</v>
      </c>
      <c r="BK148" s="239">
        <v>0</v>
      </c>
      <c r="BL148" s="239">
        <v>0</v>
      </c>
      <c r="BM148" s="239">
        <v>0</v>
      </c>
      <c r="BN148" s="239">
        <v>0</v>
      </c>
      <c r="BO148" s="239">
        <v>-2687598</v>
      </c>
      <c r="BP148" s="239">
        <v>0</v>
      </c>
      <c r="BQ148" s="239">
        <v>-2687598</v>
      </c>
      <c r="BR148" s="239">
        <v>-131522</v>
      </c>
      <c r="BS148" s="239">
        <v>0</v>
      </c>
      <c r="BT148" s="239">
        <v>-131522</v>
      </c>
      <c r="BU148" s="239">
        <v>-2819120</v>
      </c>
      <c r="BV148" s="239">
        <v>0</v>
      </c>
      <c r="BW148" s="239">
        <v>-2819120</v>
      </c>
      <c r="BX148" s="239">
        <v>-69263</v>
      </c>
      <c r="BY148" s="239">
        <v>0</v>
      </c>
      <c r="BZ148" s="239">
        <v>-69263</v>
      </c>
      <c r="CA148" s="239">
        <v>-19854</v>
      </c>
      <c r="CB148" s="239">
        <v>0</v>
      </c>
      <c r="CC148" s="239">
        <v>-19854</v>
      </c>
      <c r="CD148" s="239">
        <v>-395621</v>
      </c>
      <c r="CE148" s="239">
        <v>0</v>
      </c>
      <c r="CF148" s="239">
        <v>-395621</v>
      </c>
      <c r="CG148" s="239">
        <v>0</v>
      </c>
      <c r="CH148" s="239">
        <v>0</v>
      </c>
      <c r="CI148" s="239">
        <v>0</v>
      </c>
      <c r="CJ148" s="239">
        <v>0</v>
      </c>
      <c r="CK148" s="239">
        <v>0</v>
      </c>
      <c r="CL148" s="239">
        <v>0</v>
      </c>
      <c r="CM148" s="239">
        <v>0</v>
      </c>
      <c r="CN148" s="239">
        <v>0</v>
      </c>
      <c r="CO148" s="239">
        <v>0</v>
      </c>
      <c r="CP148" s="239">
        <v>0</v>
      </c>
      <c r="CQ148" s="239">
        <v>0</v>
      </c>
      <c r="CR148" s="239">
        <v>0</v>
      </c>
      <c r="CS148" s="239">
        <v>0</v>
      </c>
      <c r="CT148" s="239">
        <v>0</v>
      </c>
      <c r="CU148" s="239">
        <v>0</v>
      </c>
      <c r="CV148" s="239">
        <v>0</v>
      </c>
      <c r="CW148" s="239">
        <v>0</v>
      </c>
      <c r="CX148" s="239">
        <v>0</v>
      </c>
      <c r="CY148" s="239">
        <v>0</v>
      </c>
      <c r="CZ148" s="239">
        <v>0</v>
      </c>
      <c r="DA148" s="239">
        <v>0</v>
      </c>
      <c r="DB148" s="239">
        <v>0</v>
      </c>
      <c r="DC148" s="239">
        <v>0</v>
      </c>
      <c r="DD148" s="239">
        <v>0</v>
      </c>
      <c r="DE148" s="239">
        <v>0</v>
      </c>
      <c r="DF148" s="239">
        <v>0</v>
      </c>
      <c r="DG148" s="239">
        <v>0</v>
      </c>
      <c r="DH148" s="239">
        <v>0</v>
      </c>
      <c r="DI148" s="239">
        <v>0</v>
      </c>
      <c r="DJ148" s="239">
        <v>-484738</v>
      </c>
      <c r="DK148" s="239">
        <v>0</v>
      </c>
      <c r="DL148" s="239">
        <v>-484738</v>
      </c>
      <c r="DM148" s="239">
        <v>-3939</v>
      </c>
      <c r="DN148" s="239">
        <v>0</v>
      </c>
      <c r="DO148" s="239">
        <v>-3939</v>
      </c>
      <c r="DP148" s="239">
        <v>0</v>
      </c>
      <c r="DQ148" s="239">
        <v>0</v>
      </c>
      <c r="DR148" s="239">
        <v>0</v>
      </c>
      <c r="DS148" s="239">
        <v>0</v>
      </c>
      <c r="DT148" s="239">
        <v>0</v>
      </c>
      <c r="DU148" s="239">
        <v>0</v>
      </c>
      <c r="DV148" s="239">
        <v>0</v>
      </c>
      <c r="DW148" s="239">
        <v>0</v>
      </c>
      <c r="DX148" s="239">
        <v>0</v>
      </c>
      <c r="DY148" s="239">
        <v>2294</v>
      </c>
      <c r="DZ148" s="239">
        <v>0</v>
      </c>
      <c r="EA148" s="239">
        <v>2294</v>
      </c>
      <c r="EB148" s="239">
        <v>0</v>
      </c>
      <c r="EC148" s="239">
        <v>0</v>
      </c>
      <c r="ED148" s="239">
        <v>0</v>
      </c>
      <c r="EE148" s="239">
        <v>0</v>
      </c>
      <c r="EF148" s="239">
        <v>0</v>
      </c>
      <c r="EG148" s="239">
        <v>0</v>
      </c>
      <c r="EH148" s="239">
        <v>0</v>
      </c>
      <c r="EI148" s="239">
        <v>0</v>
      </c>
      <c r="EJ148" s="239">
        <v>0</v>
      </c>
      <c r="EK148" s="239">
        <v>0</v>
      </c>
      <c r="EL148" s="239">
        <v>0</v>
      </c>
      <c r="EM148" s="239">
        <v>0</v>
      </c>
      <c r="EN148" s="239">
        <v>0</v>
      </c>
      <c r="EO148" s="239">
        <v>0</v>
      </c>
      <c r="EP148" s="239">
        <v>0</v>
      </c>
      <c r="EQ148" s="239">
        <v>-29200</v>
      </c>
      <c r="ER148" s="239">
        <v>0</v>
      </c>
      <c r="ES148" s="239">
        <v>-29200</v>
      </c>
      <c r="ET148" s="239">
        <v>-342450</v>
      </c>
      <c r="EU148" s="239">
        <v>0</v>
      </c>
      <c r="EV148" s="239">
        <v>-342450</v>
      </c>
      <c r="EW148" s="239">
        <v>-48301</v>
      </c>
      <c r="EX148" s="239">
        <v>0</v>
      </c>
      <c r="EY148" s="239">
        <v>-48301</v>
      </c>
      <c r="EZ148" s="239">
        <v>-421596</v>
      </c>
      <c r="FA148" s="239">
        <v>0</v>
      </c>
      <c r="FB148" s="239">
        <v>-421596</v>
      </c>
      <c r="FC148" s="239">
        <v>0</v>
      </c>
      <c r="FD148" s="239">
        <v>0</v>
      </c>
      <c r="FE148" s="239">
        <v>0</v>
      </c>
      <c r="FF148" s="239">
        <v>0</v>
      </c>
      <c r="FG148" s="239">
        <v>0</v>
      </c>
      <c r="FH148" s="239">
        <v>0</v>
      </c>
      <c r="FI148" s="239">
        <v>0</v>
      </c>
      <c r="FJ148" s="239">
        <v>0</v>
      </c>
      <c r="FK148" s="239">
        <v>0</v>
      </c>
      <c r="FL148" s="239">
        <v>99172299</v>
      </c>
      <c r="FM148" s="239">
        <v>0</v>
      </c>
      <c r="FN148" s="239">
        <v>99172299</v>
      </c>
      <c r="FO148" s="239">
        <v>-654968</v>
      </c>
      <c r="FP148" s="239">
        <v>0</v>
      </c>
      <c r="FQ148" s="239">
        <v>-654968</v>
      </c>
      <c r="FR148" s="239">
        <v>-9313756</v>
      </c>
      <c r="FS148" s="239">
        <v>0</v>
      </c>
      <c r="FT148" s="239">
        <v>-9313756</v>
      </c>
      <c r="FU148" s="239">
        <v>-2819120</v>
      </c>
      <c r="FV148" s="239">
        <v>0</v>
      </c>
      <c r="FW148" s="239">
        <v>-2819120</v>
      </c>
      <c r="FX148" s="239">
        <v>-484738</v>
      </c>
      <c r="FY148" s="239">
        <v>0</v>
      </c>
      <c r="FZ148" s="239">
        <v>-484738</v>
      </c>
      <c r="GA148" s="239">
        <v>-421596</v>
      </c>
      <c r="GB148" s="239">
        <v>0</v>
      </c>
      <c r="GC148" s="239">
        <v>-421596</v>
      </c>
      <c r="GD148" s="239">
        <v>0</v>
      </c>
      <c r="GE148" s="239">
        <v>0</v>
      </c>
      <c r="GF148" s="239">
        <v>0</v>
      </c>
      <c r="GG148" s="239">
        <v>-13694178</v>
      </c>
      <c r="GH148" s="239">
        <v>0</v>
      </c>
      <c r="GI148" s="239">
        <v>-13694178</v>
      </c>
      <c r="GJ148" s="239">
        <v>85478121</v>
      </c>
      <c r="GK148" s="239">
        <v>0</v>
      </c>
      <c r="GL148" s="239">
        <v>85478121</v>
      </c>
      <c r="GM148" s="214" t="s">
        <v>1159</v>
      </c>
    </row>
    <row r="149" spans="2:195" s="214" customFormat="1" x14ac:dyDescent="0.2">
      <c r="B149" s="602" t="s">
        <v>381</v>
      </c>
      <c r="C149" s="602" t="s">
        <v>380</v>
      </c>
      <c r="D149" s="239">
        <v>-3823440</v>
      </c>
      <c r="E149" s="239">
        <v>0</v>
      </c>
      <c r="F149" s="239">
        <v>-3823440</v>
      </c>
      <c r="G149" s="239">
        <v>110845</v>
      </c>
      <c r="H149" s="239">
        <v>0</v>
      </c>
      <c r="I149" s="239">
        <v>110845</v>
      </c>
      <c r="J149" s="239">
        <v>7278562</v>
      </c>
      <c r="K149" s="239">
        <v>0</v>
      </c>
      <c r="L149" s="239">
        <v>7278562</v>
      </c>
      <c r="M149" s="239">
        <v>139811</v>
      </c>
      <c r="N149" s="239">
        <v>0</v>
      </c>
      <c r="O149" s="239">
        <v>139811</v>
      </c>
      <c r="P149" s="239">
        <v>3705778</v>
      </c>
      <c r="Q149" s="239">
        <v>0</v>
      </c>
      <c r="R149" s="239">
        <v>3705778</v>
      </c>
      <c r="S149" s="239">
        <v>-17957140</v>
      </c>
      <c r="T149" s="239">
        <v>0</v>
      </c>
      <c r="U149" s="239">
        <v>-17957140</v>
      </c>
      <c r="V149" s="239">
        <v>-65755</v>
      </c>
      <c r="W149" s="239">
        <v>0</v>
      </c>
      <c r="X149" s="239">
        <v>-65755</v>
      </c>
      <c r="Y149" s="239">
        <v>-476639</v>
      </c>
      <c r="Z149" s="239">
        <v>0</v>
      </c>
      <c r="AA149" s="239">
        <v>-476639</v>
      </c>
      <c r="AB149" s="239">
        <v>-435335</v>
      </c>
      <c r="AC149" s="239">
        <v>0</v>
      </c>
      <c r="AD149" s="239">
        <v>-435335</v>
      </c>
      <c r="AE149" s="239">
        <v>-9948</v>
      </c>
      <c r="AF149" s="239">
        <v>0</v>
      </c>
      <c r="AG149" s="239">
        <v>-9948</v>
      </c>
      <c r="AH149" s="239">
        <v>2331255</v>
      </c>
      <c r="AI149" s="239">
        <v>0</v>
      </c>
      <c r="AJ149" s="239">
        <v>2331255</v>
      </c>
      <c r="AK149" s="239">
        <v>914509</v>
      </c>
      <c r="AL149" s="239">
        <v>0</v>
      </c>
      <c r="AM149" s="239">
        <v>914509</v>
      </c>
      <c r="AN149" s="239">
        <v>-8562264</v>
      </c>
      <c r="AO149" s="239">
        <v>0</v>
      </c>
      <c r="AP149" s="239">
        <v>-8562264</v>
      </c>
      <c r="AQ149" s="239">
        <v>-48403</v>
      </c>
      <c r="AR149" s="239">
        <v>0</v>
      </c>
      <c r="AS149" s="239">
        <v>-48403</v>
      </c>
      <c r="AT149" s="239">
        <v>-143963</v>
      </c>
      <c r="AU149" s="239">
        <v>0</v>
      </c>
      <c r="AV149" s="239">
        <v>-143963</v>
      </c>
      <c r="AW149" s="239">
        <v>-9151</v>
      </c>
      <c r="AX149" s="239">
        <v>0</v>
      </c>
      <c r="AY149" s="239">
        <v>-9151</v>
      </c>
      <c r="AZ149" s="239">
        <v>0</v>
      </c>
      <c r="BA149" s="239">
        <v>0</v>
      </c>
      <c r="BB149" s="239">
        <v>0</v>
      </c>
      <c r="BC149" s="239">
        <v>0</v>
      </c>
      <c r="BD149" s="239">
        <v>0</v>
      </c>
      <c r="BE149" s="239">
        <v>0</v>
      </c>
      <c r="BF149" s="239">
        <v>-23951796</v>
      </c>
      <c r="BG149" s="239">
        <v>0</v>
      </c>
      <c r="BH149" s="239">
        <v>-23951796</v>
      </c>
      <c r="BI149" s="239">
        <v>-32094</v>
      </c>
      <c r="BJ149" s="239">
        <v>0</v>
      </c>
      <c r="BK149" s="239">
        <v>-32094</v>
      </c>
      <c r="BL149" s="239">
        <v>-32117</v>
      </c>
      <c r="BM149" s="239">
        <v>0</v>
      </c>
      <c r="BN149" s="239">
        <v>-32117</v>
      </c>
      <c r="BO149" s="239">
        <v>-4504399</v>
      </c>
      <c r="BP149" s="239">
        <v>0</v>
      </c>
      <c r="BQ149" s="239">
        <v>-4504399</v>
      </c>
      <c r="BR149" s="239">
        <v>228561</v>
      </c>
      <c r="BS149" s="239">
        <v>0</v>
      </c>
      <c r="BT149" s="239">
        <v>228561</v>
      </c>
      <c r="BU149" s="239">
        <v>-4340049</v>
      </c>
      <c r="BV149" s="239">
        <v>0</v>
      </c>
      <c r="BW149" s="239">
        <v>-4340049</v>
      </c>
      <c r="BX149" s="239">
        <v>-213503</v>
      </c>
      <c r="BY149" s="239">
        <v>0</v>
      </c>
      <c r="BZ149" s="239">
        <v>-213503</v>
      </c>
      <c r="CA149" s="239">
        <v>676</v>
      </c>
      <c r="CB149" s="239">
        <v>0</v>
      </c>
      <c r="CC149" s="239">
        <v>676</v>
      </c>
      <c r="CD149" s="239">
        <v>-82430</v>
      </c>
      <c r="CE149" s="239">
        <v>0</v>
      </c>
      <c r="CF149" s="239">
        <v>-82430</v>
      </c>
      <c r="CG149" s="239">
        <v>0</v>
      </c>
      <c r="CH149" s="239">
        <v>0</v>
      </c>
      <c r="CI149" s="239">
        <v>0</v>
      </c>
      <c r="CJ149" s="239">
        <v>0</v>
      </c>
      <c r="CK149" s="239">
        <v>0</v>
      </c>
      <c r="CL149" s="239">
        <v>0</v>
      </c>
      <c r="CM149" s="239">
        <v>0</v>
      </c>
      <c r="CN149" s="239">
        <v>0</v>
      </c>
      <c r="CO149" s="239">
        <v>0</v>
      </c>
      <c r="CP149" s="239">
        <v>0</v>
      </c>
      <c r="CQ149" s="239">
        <v>0</v>
      </c>
      <c r="CR149" s="239">
        <v>0</v>
      </c>
      <c r="CS149" s="239">
        <v>0</v>
      </c>
      <c r="CT149" s="239">
        <v>0</v>
      </c>
      <c r="CU149" s="239">
        <v>0</v>
      </c>
      <c r="CV149" s="239">
        <v>-80143</v>
      </c>
      <c r="CW149" s="239">
        <v>0</v>
      </c>
      <c r="CX149" s="239">
        <v>-80143</v>
      </c>
      <c r="CY149" s="239">
        <v>-15129</v>
      </c>
      <c r="CZ149" s="239">
        <v>0</v>
      </c>
      <c r="DA149" s="239">
        <v>-15129</v>
      </c>
      <c r="DB149" s="239">
        <v>0</v>
      </c>
      <c r="DC149" s="239">
        <v>-55000</v>
      </c>
      <c r="DD149" s="239">
        <v>-55000</v>
      </c>
      <c r="DE149" s="239">
        <v>0</v>
      </c>
      <c r="DF149" s="239">
        <v>-11714</v>
      </c>
      <c r="DG149" s="239">
        <v>-11714</v>
      </c>
      <c r="DH149" s="239">
        <v>-66714</v>
      </c>
      <c r="DI149" s="239">
        <v>0</v>
      </c>
      <c r="DJ149" s="239">
        <v>-390529</v>
      </c>
      <c r="DK149" s="239">
        <v>-66714</v>
      </c>
      <c r="DL149" s="239">
        <v>-457243</v>
      </c>
      <c r="DM149" s="239">
        <v>0</v>
      </c>
      <c r="DN149" s="239">
        <v>0</v>
      </c>
      <c r="DO149" s="239">
        <v>0</v>
      </c>
      <c r="DP149" s="239">
        <v>0</v>
      </c>
      <c r="DQ149" s="239">
        <v>0</v>
      </c>
      <c r="DR149" s="239">
        <v>0</v>
      </c>
      <c r="DS149" s="239">
        <v>-3108</v>
      </c>
      <c r="DT149" s="239">
        <v>0</v>
      </c>
      <c r="DU149" s="239">
        <v>-3108</v>
      </c>
      <c r="DV149" s="239">
        <v>398</v>
      </c>
      <c r="DW149" s="239">
        <v>0</v>
      </c>
      <c r="DX149" s="239">
        <v>398</v>
      </c>
      <c r="DY149" s="239">
        <v>12266</v>
      </c>
      <c r="DZ149" s="239">
        <v>0</v>
      </c>
      <c r="EA149" s="239">
        <v>12266</v>
      </c>
      <c r="EB149" s="239">
        <v>0</v>
      </c>
      <c r="EC149" s="239">
        <v>0</v>
      </c>
      <c r="ED149" s="239">
        <v>0</v>
      </c>
      <c r="EE149" s="239">
        <v>0</v>
      </c>
      <c r="EF149" s="239">
        <v>0</v>
      </c>
      <c r="EG149" s="239">
        <v>0</v>
      </c>
      <c r="EH149" s="239">
        <v>-562</v>
      </c>
      <c r="EI149" s="239">
        <v>0</v>
      </c>
      <c r="EJ149" s="239">
        <v>-562</v>
      </c>
      <c r="EK149" s="239">
        <v>0</v>
      </c>
      <c r="EL149" s="239">
        <v>0</v>
      </c>
      <c r="EM149" s="239">
        <v>0</v>
      </c>
      <c r="EN149" s="239">
        <v>-1500</v>
      </c>
      <c r="EO149" s="239">
        <v>0</v>
      </c>
      <c r="EP149" s="239">
        <v>-1500</v>
      </c>
      <c r="EQ149" s="239">
        <v>-77389</v>
      </c>
      <c r="ER149" s="239">
        <v>0</v>
      </c>
      <c r="ES149" s="239">
        <v>-77389</v>
      </c>
      <c r="ET149" s="239">
        <v>-221679</v>
      </c>
      <c r="EU149" s="239">
        <v>0</v>
      </c>
      <c r="EV149" s="239">
        <v>-221679</v>
      </c>
      <c r="EW149" s="239">
        <v>-108655</v>
      </c>
      <c r="EX149" s="239">
        <v>0</v>
      </c>
      <c r="EY149" s="239">
        <v>-108655</v>
      </c>
      <c r="EZ149" s="239">
        <v>-400229</v>
      </c>
      <c r="FA149" s="239">
        <v>0</v>
      </c>
      <c r="FB149" s="239">
        <v>-400229</v>
      </c>
      <c r="FC149" s="239">
        <v>0</v>
      </c>
      <c r="FD149" s="239">
        <v>0</v>
      </c>
      <c r="FE149" s="239">
        <v>0</v>
      </c>
      <c r="FF149" s="239">
        <v>0</v>
      </c>
      <c r="FG149" s="239">
        <v>0</v>
      </c>
      <c r="FH149" s="239">
        <v>0</v>
      </c>
      <c r="FI149" s="239">
        <v>0</v>
      </c>
      <c r="FJ149" s="239">
        <v>0</v>
      </c>
      <c r="FK149" s="239">
        <v>0</v>
      </c>
      <c r="FL149" s="239">
        <v>129584837</v>
      </c>
      <c r="FM149" s="239">
        <v>150624</v>
      </c>
      <c r="FN149" s="239">
        <v>129735461</v>
      </c>
      <c r="FO149" s="239">
        <v>3705778</v>
      </c>
      <c r="FP149" s="239">
        <v>0</v>
      </c>
      <c r="FQ149" s="239">
        <v>3705778</v>
      </c>
      <c r="FR149" s="239">
        <v>-23951796</v>
      </c>
      <c r="FS149" s="239">
        <v>0</v>
      </c>
      <c r="FT149" s="239">
        <v>-23951796</v>
      </c>
      <c r="FU149" s="239">
        <v>-4340049</v>
      </c>
      <c r="FV149" s="239">
        <v>0</v>
      </c>
      <c r="FW149" s="239">
        <v>-4340049</v>
      </c>
      <c r="FX149" s="239">
        <v>-390529</v>
      </c>
      <c r="FY149" s="239">
        <v>-66714</v>
      </c>
      <c r="FZ149" s="239">
        <v>-457243</v>
      </c>
      <c r="GA149" s="239">
        <v>-400229</v>
      </c>
      <c r="GB149" s="239">
        <v>0</v>
      </c>
      <c r="GC149" s="239">
        <v>-400229</v>
      </c>
      <c r="GD149" s="239">
        <v>0</v>
      </c>
      <c r="GE149" s="239">
        <v>0</v>
      </c>
      <c r="GF149" s="239">
        <v>0</v>
      </c>
      <c r="GG149" s="239">
        <v>-25376825</v>
      </c>
      <c r="GH149" s="239">
        <v>-66714</v>
      </c>
      <c r="GI149" s="239">
        <v>-25443539</v>
      </c>
      <c r="GJ149" s="239">
        <v>104208012</v>
      </c>
      <c r="GK149" s="239">
        <v>83910</v>
      </c>
      <c r="GL149" s="239">
        <v>104291922</v>
      </c>
      <c r="GM149" s="214" t="s">
        <v>1160</v>
      </c>
    </row>
    <row r="150" spans="2:195" s="214" customFormat="1" x14ac:dyDescent="0.2">
      <c r="B150" s="602" t="s">
        <v>383</v>
      </c>
      <c r="C150" s="602" t="s">
        <v>382</v>
      </c>
      <c r="D150" s="239">
        <v>-3177544</v>
      </c>
      <c r="E150" s="239">
        <v>0</v>
      </c>
      <c r="F150" s="239">
        <v>-3177544</v>
      </c>
      <c r="G150" s="239">
        <v>-1113</v>
      </c>
      <c r="H150" s="239">
        <v>0</v>
      </c>
      <c r="I150" s="239">
        <v>-1113</v>
      </c>
      <c r="J150" s="239">
        <v>2799218</v>
      </c>
      <c r="K150" s="239">
        <v>0</v>
      </c>
      <c r="L150" s="239">
        <v>2799218</v>
      </c>
      <c r="M150" s="239">
        <v>16720</v>
      </c>
      <c r="N150" s="239">
        <v>0</v>
      </c>
      <c r="O150" s="239">
        <v>16720</v>
      </c>
      <c r="P150" s="239">
        <v>-362719</v>
      </c>
      <c r="Q150" s="239">
        <v>0</v>
      </c>
      <c r="R150" s="239">
        <v>-362719</v>
      </c>
      <c r="S150" s="239">
        <v>-2985644</v>
      </c>
      <c r="T150" s="239">
        <v>0</v>
      </c>
      <c r="U150" s="239">
        <v>-2985644</v>
      </c>
      <c r="V150" s="239">
        <v>-17290</v>
      </c>
      <c r="W150" s="239">
        <v>0</v>
      </c>
      <c r="X150" s="239">
        <v>-17290</v>
      </c>
      <c r="Y150" s="239">
        <v>-66803</v>
      </c>
      <c r="Z150" s="239">
        <v>0</v>
      </c>
      <c r="AA150" s="239">
        <v>-66803</v>
      </c>
      <c r="AB150" s="239">
        <v>-64545</v>
      </c>
      <c r="AC150" s="239">
        <v>0</v>
      </c>
      <c r="AD150" s="239">
        <v>-64545</v>
      </c>
      <c r="AE150" s="239">
        <v>-31</v>
      </c>
      <c r="AF150" s="239">
        <v>0</v>
      </c>
      <c r="AG150" s="239">
        <v>-31</v>
      </c>
      <c r="AH150" s="239">
        <v>1082900</v>
      </c>
      <c r="AI150" s="239">
        <v>0</v>
      </c>
      <c r="AJ150" s="239">
        <v>1082900</v>
      </c>
      <c r="AK150" s="239">
        <v>304974</v>
      </c>
      <c r="AL150" s="239">
        <v>0</v>
      </c>
      <c r="AM150" s="239">
        <v>304974</v>
      </c>
      <c r="AN150" s="239">
        <v>-2573440</v>
      </c>
      <c r="AO150" s="239">
        <v>0</v>
      </c>
      <c r="AP150" s="239">
        <v>-2573440</v>
      </c>
      <c r="AQ150" s="239">
        <v>-21321</v>
      </c>
      <c r="AR150" s="239">
        <v>0</v>
      </c>
      <c r="AS150" s="239">
        <v>-21321</v>
      </c>
      <c r="AT150" s="239">
        <v>-14516</v>
      </c>
      <c r="AU150" s="239">
        <v>0</v>
      </c>
      <c r="AV150" s="239">
        <v>-14516</v>
      </c>
      <c r="AW150" s="239">
        <v>0</v>
      </c>
      <c r="AX150" s="239">
        <v>0</v>
      </c>
      <c r="AY150" s="239">
        <v>0</v>
      </c>
      <c r="AZ150" s="239">
        <v>0</v>
      </c>
      <c r="BA150" s="239">
        <v>0</v>
      </c>
      <c r="BB150" s="239">
        <v>0</v>
      </c>
      <c r="BC150" s="239">
        <v>0</v>
      </c>
      <c r="BD150" s="239">
        <v>0</v>
      </c>
      <c r="BE150" s="239">
        <v>0</v>
      </c>
      <c r="BF150" s="239">
        <v>-4273850</v>
      </c>
      <c r="BG150" s="239">
        <v>0</v>
      </c>
      <c r="BH150" s="239">
        <v>-4273850</v>
      </c>
      <c r="BI150" s="239">
        <v>-1025</v>
      </c>
      <c r="BJ150" s="239">
        <v>0</v>
      </c>
      <c r="BK150" s="239">
        <v>-1025</v>
      </c>
      <c r="BL150" s="239">
        <v>-8117</v>
      </c>
      <c r="BM150" s="239">
        <v>0</v>
      </c>
      <c r="BN150" s="239">
        <v>-8117</v>
      </c>
      <c r="BO150" s="239">
        <v>-937398</v>
      </c>
      <c r="BP150" s="239">
        <v>0</v>
      </c>
      <c r="BQ150" s="239">
        <v>-937398</v>
      </c>
      <c r="BR150" s="239">
        <v>185385</v>
      </c>
      <c r="BS150" s="239">
        <v>0</v>
      </c>
      <c r="BT150" s="239">
        <v>185385</v>
      </c>
      <c r="BU150" s="239">
        <v>-761155</v>
      </c>
      <c r="BV150" s="239">
        <v>0</v>
      </c>
      <c r="BW150" s="239">
        <v>-761155</v>
      </c>
      <c r="BX150" s="239">
        <v>-191398</v>
      </c>
      <c r="BY150" s="239">
        <v>0</v>
      </c>
      <c r="BZ150" s="239">
        <v>-191398</v>
      </c>
      <c r="CA150" s="239">
        <v>-1330</v>
      </c>
      <c r="CB150" s="239">
        <v>0</v>
      </c>
      <c r="CC150" s="239">
        <v>-1330</v>
      </c>
      <c r="CD150" s="239">
        <v>-742296</v>
      </c>
      <c r="CE150" s="239">
        <v>0</v>
      </c>
      <c r="CF150" s="239">
        <v>-742296</v>
      </c>
      <c r="CG150" s="239">
        <v>0</v>
      </c>
      <c r="CH150" s="239">
        <v>0</v>
      </c>
      <c r="CI150" s="239">
        <v>0</v>
      </c>
      <c r="CJ150" s="239">
        <v>0</v>
      </c>
      <c r="CK150" s="239">
        <v>0</v>
      </c>
      <c r="CL150" s="239">
        <v>0</v>
      </c>
      <c r="CM150" s="239">
        <v>0</v>
      </c>
      <c r="CN150" s="239">
        <v>0</v>
      </c>
      <c r="CO150" s="239">
        <v>0</v>
      </c>
      <c r="CP150" s="239">
        <v>0</v>
      </c>
      <c r="CQ150" s="239">
        <v>0</v>
      </c>
      <c r="CR150" s="239">
        <v>0</v>
      </c>
      <c r="CS150" s="239">
        <v>0</v>
      </c>
      <c r="CT150" s="239">
        <v>0</v>
      </c>
      <c r="CU150" s="239">
        <v>0</v>
      </c>
      <c r="CV150" s="239">
        <v>0</v>
      </c>
      <c r="CW150" s="239">
        <v>0</v>
      </c>
      <c r="CX150" s="239">
        <v>0</v>
      </c>
      <c r="CY150" s="239">
        <v>0</v>
      </c>
      <c r="CZ150" s="239">
        <v>0</v>
      </c>
      <c r="DA150" s="239">
        <v>0</v>
      </c>
      <c r="DB150" s="239">
        <v>0</v>
      </c>
      <c r="DC150" s="239">
        <v>0</v>
      </c>
      <c r="DD150" s="239">
        <v>0</v>
      </c>
      <c r="DE150" s="239">
        <v>0</v>
      </c>
      <c r="DF150" s="239">
        <v>0</v>
      </c>
      <c r="DG150" s="239">
        <v>0</v>
      </c>
      <c r="DH150" s="239">
        <v>0</v>
      </c>
      <c r="DI150" s="239">
        <v>0</v>
      </c>
      <c r="DJ150" s="239">
        <v>-935024</v>
      </c>
      <c r="DK150" s="239">
        <v>0</v>
      </c>
      <c r="DL150" s="239">
        <v>-935024</v>
      </c>
      <c r="DM150" s="239">
        <v>-248</v>
      </c>
      <c r="DN150" s="239">
        <v>0</v>
      </c>
      <c r="DO150" s="239">
        <v>-248</v>
      </c>
      <c r="DP150" s="239">
        <v>0</v>
      </c>
      <c r="DQ150" s="239">
        <v>0</v>
      </c>
      <c r="DR150" s="239">
        <v>0</v>
      </c>
      <c r="DS150" s="239">
        <v>-3485</v>
      </c>
      <c r="DT150" s="239">
        <v>0</v>
      </c>
      <c r="DU150" s="239">
        <v>-3485</v>
      </c>
      <c r="DV150" s="239">
        <v>-4970</v>
      </c>
      <c r="DW150" s="239">
        <v>0</v>
      </c>
      <c r="DX150" s="239">
        <v>-4970</v>
      </c>
      <c r="DY150" s="239">
        <v>2329</v>
      </c>
      <c r="DZ150" s="239">
        <v>0</v>
      </c>
      <c r="EA150" s="239">
        <v>2329</v>
      </c>
      <c r="EB150" s="239">
        <v>0</v>
      </c>
      <c r="EC150" s="239">
        <v>0</v>
      </c>
      <c r="ED150" s="239">
        <v>0</v>
      </c>
      <c r="EE150" s="239">
        <v>0</v>
      </c>
      <c r="EF150" s="239">
        <v>0</v>
      </c>
      <c r="EG150" s="239">
        <v>0</v>
      </c>
      <c r="EH150" s="239">
        <v>0</v>
      </c>
      <c r="EI150" s="239">
        <v>0</v>
      </c>
      <c r="EJ150" s="239">
        <v>0</v>
      </c>
      <c r="EK150" s="239">
        <v>0</v>
      </c>
      <c r="EL150" s="239">
        <v>0</v>
      </c>
      <c r="EM150" s="239">
        <v>0</v>
      </c>
      <c r="EN150" s="239">
        <v>0</v>
      </c>
      <c r="EO150" s="239">
        <v>0</v>
      </c>
      <c r="EP150" s="239">
        <v>0</v>
      </c>
      <c r="EQ150" s="239">
        <v>-8731</v>
      </c>
      <c r="ER150" s="239">
        <v>0</v>
      </c>
      <c r="ES150" s="239">
        <v>-8731</v>
      </c>
      <c r="ET150" s="239">
        <v>-198660</v>
      </c>
      <c r="EU150" s="239">
        <v>0</v>
      </c>
      <c r="EV150" s="239">
        <v>-198660</v>
      </c>
      <c r="EW150" s="239">
        <v>-16737</v>
      </c>
      <c r="EX150" s="239">
        <v>0</v>
      </c>
      <c r="EY150" s="239">
        <v>-16737</v>
      </c>
      <c r="EZ150" s="239">
        <v>-230502</v>
      </c>
      <c r="FA150" s="239">
        <v>0</v>
      </c>
      <c r="FB150" s="239">
        <v>-230502</v>
      </c>
      <c r="FC150" s="239">
        <v>0</v>
      </c>
      <c r="FD150" s="239">
        <v>0</v>
      </c>
      <c r="FE150" s="239">
        <v>0</v>
      </c>
      <c r="FF150" s="239">
        <v>0</v>
      </c>
      <c r="FG150" s="239">
        <v>0</v>
      </c>
      <c r="FH150" s="239">
        <v>0</v>
      </c>
      <c r="FI150" s="239">
        <v>0</v>
      </c>
      <c r="FJ150" s="239">
        <v>0</v>
      </c>
      <c r="FK150" s="239">
        <v>0</v>
      </c>
      <c r="FL150" s="239">
        <v>49042734</v>
      </c>
      <c r="FM150" s="239">
        <v>0</v>
      </c>
      <c r="FN150" s="239">
        <v>49042734</v>
      </c>
      <c r="FO150" s="239">
        <v>-362719</v>
      </c>
      <c r="FP150" s="239">
        <v>0</v>
      </c>
      <c r="FQ150" s="239">
        <v>-362719</v>
      </c>
      <c r="FR150" s="239">
        <v>-4273850</v>
      </c>
      <c r="FS150" s="239">
        <v>0</v>
      </c>
      <c r="FT150" s="239">
        <v>-4273850</v>
      </c>
      <c r="FU150" s="239">
        <v>-761155</v>
      </c>
      <c r="FV150" s="239">
        <v>0</v>
      </c>
      <c r="FW150" s="239">
        <v>-761155</v>
      </c>
      <c r="FX150" s="239">
        <v>-935024</v>
      </c>
      <c r="FY150" s="239">
        <v>0</v>
      </c>
      <c r="FZ150" s="239">
        <v>-935024</v>
      </c>
      <c r="GA150" s="239">
        <v>-230502</v>
      </c>
      <c r="GB150" s="239">
        <v>0</v>
      </c>
      <c r="GC150" s="239">
        <v>-230502</v>
      </c>
      <c r="GD150" s="239">
        <v>0</v>
      </c>
      <c r="GE150" s="239">
        <v>0</v>
      </c>
      <c r="GF150" s="239">
        <v>0</v>
      </c>
      <c r="GG150" s="239">
        <v>-6563250</v>
      </c>
      <c r="GH150" s="239">
        <v>0</v>
      </c>
      <c r="GI150" s="239">
        <v>-6563250</v>
      </c>
      <c r="GJ150" s="239">
        <v>42479484</v>
      </c>
      <c r="GK150" s="239">
        <v>0</v>
      </c>
      <c r="GL150" s="239">
        <v>42479484</v>
      </c>
      <c r="GM150" s="214" t="s">
        <v>1160</v>
      </c>
    </row>
    <row r="151" spans="2:195" s="214" customFormat="1" x14ac:dyDescent="0.2">
      <c r="B151" s="602" t="s">
        <v>385</v>
      </c>
      <c r="C151" s="602" t="s">
        <v>384</v>
      </c>
      <c r="D151" s="239">
        <v>-21903263</v>
      </c>
      <c r="E151" s="239">
        <v>-19199</v>
      </c>
      <c r="F151" s="239">
        <v>-21922462</v>
      </c>
      <c r="G151" s="239">
        <v>830596</v>
      </c>
      <c r="H151" s="239">
        <v>509</v>
      </c>
      <c r="I151" s="239">
        <v>831105</v>
      </c>
      <c r="J151" s="239">
        <v>1648199</v>
      </c>
      <c r="K151" s="239">
        <v>195348</v>
      </c>
      <c r="L151" s="239">
        <v>1843547</v>
      </c>
      <c r="M151" s="239">
        <v>203820</v>
      </c>
      <c r="N151" s="239">
        <v>0</v>
      </c>
      <c r="O151" s="239">
        <v>203820</v>
      </c>
      <c r="P151" s="239">
        <v>-19220648</v>
      </c>
      <c r="Q151" s="239">
        <v>176658</v>
      </c>
      <c r="R151" s="239">
        <v>-19043990</v>
      </c>
      <c r="S151" s="239">
        <v>-7110276</v>
      </c>
      <c r="T151" s="239">
        <v>0</v>
      </c>
      <c r="U151" s="239">
        <v>-7110276</v>
      </c>
      <c r="V151" s="239">
        <v>0</v>
      </c>
      <c r="W151" s="239">
        <v>0</v>
      </c>
      <c r="X151" s="239">
        <v>0</v>
      </c>
      <c r="Y151" s="239">
        <v>-297852</v>
      </c>
      <c r="Z151" s="239">
        <v>0</v>
      </c>
      <c r="AA151" s="239">
        <v>-297852</v>
      </c>
      <c r="AB151" s="239">
        <v>-268876</v>
      </c>
      <c r="AC151" s="239">
        <v>0</v>
      </c>
      <c r="AD151" s="239">
        <v>-268876</v>
      </c>
      <c r="AE151" s="239">
        <v>0</v>
      </c>
      <c r="AF151" s="239">
        <v>0</v>
      </c>
      <c r="AG151" s="239">
        <v>0</v>
      </c>
      <c r="AH151" s="239">
        <v>4162365</v>
      </c>
      <c r="AI151" s="239">
        <v>72113</v>
      </c>
      <c r="AJ151" s="239">
        <v>4234478</v>
      </c>
      <c r="AK151" s="239">
        <v>-253307</v>
      </c>
      <c r="AL151" s="239">
        <v>-573</v>
      </c>
      <c r="AM151" s="239">
        <v>-253880</v>
      </c>
      <c r="AN151" s="239">
        <v>-18897255</v>
      </c>
      <c r="AO151" s="239">
        <v>0</v>
      </c>
      <c r="AP151" s="239">
        <v>-18897255</v>
      </c>
      <c r="AQ151" s="239">
        <v>368304</v>
      </c>
      <c r="AR151" s="239">
        <v>0</v>
      </c>
      <c r="AS151" s="239">
        <v>368304</v>
      </c>
      <c r="AT151" s="239">
        <v>-7568</v>
      </c>
      <c r="AU151" s="239">
        <v>0</v>
      </c>
      <c r="AV151" s="239">
        <v>-7568</v>
      </c>
      <c r="AW151" s="239">
        <v>0</v>
      </c>
      <c r="AX151" s="239">
        <v>0</v>
      </c>
      <c r="AY151" s="239">
        <v>0</v>
      </c>
      <c r="AZ151" s="239">
        <v>0</v>
      </c>
      <c r="BA151" s="239">
        <v>0</v>
      </c>
      <c r="BB151" s="239">
        <v>0</v>
      </c>
      <c r="BC151" s="239">
        <v>0</v>
      </c>
      <c r="BD151" s="239">
        <v>0</v>
      </c>
      <c r="BE151" s="239">
        <v>0</v>
      </c>
      <c r="BF151" s="239">
        <v>-22035589</v>
      </c>
      <c r="BG151" s="239">
        <v>71540</v>
      </c>
      <c r="BH151" s="239">
        <v>-21964049</v>
      </c>
      <c r="BI151" s="239">
        <v>-5147</v>
      </c>
      <c r="BJ151" s="239">
        <v>0</v>
      </c>
      <c r="BK151" s="239">
        <v>-5147</v>
      </c>
      <c r="BL151" s="239">
        <v>2165</v>
      </c>
      <c r="BM151" s="239">
        <v>0</v>
      </c>
      <c r="BN151" s="239">
        <v>2165</v>
      </c>
      <c r="BO151" s="239">
        <v>-3635823</v>
      </c>
      <c r="BP151" s="239">
        <v>-73589</v>
      </c>
      <c r="BQ151" s="239">
        <v>-3709412</v>
      </c>
      <c r="BR151" s="239">
        <v>808943</v>
      </c>
      <c r="BS151" s="239">
        <v>22114</v>
      </c>
      <c r="BT151" s="239">
        <v>831057</v>
      </c>
      <c r="BU151" s="239">
        <v>-2829862</v>
      </c>
      <c r="BV151" s="239">
        <v>-51475</v>
      </c>
      <c r="BW151" s="239">
        <v>-2881337</v>
      </c>
      <c r="BX151" s="239">
        <v>-252136</v>
      </c>
      <c r="BY151" s="239">
        <v>0</v>
      </c>
      <c r="BZ151" s="239">
        <v>-252136</v>
      </c>
      <c r="CA151" s="239">
        <v>-3056</v>
      </c>
      <c r="CB151" s="239">
        <v>0</v>
      </c>
      <c r="CC151" s="239">
        <v>-3056</v>
      </c>
      <c r="CD151" s="239">
        <v>-395284</v>
      </c>
      <c r="CE151" s="239">
        <v>0</v>
      </c>
      <c r="CF151" s="239">
        <v>-395284</v>
      </c>
      <c r="CG151" s="239">
        <v>0</v>
      </c>
      <c r="CH151" s="239">
        <v>0</v>
      </c>
      <c r="CI151" s="239">
        <v>0</v>
      </c>
      <c r="CJ151" s="239">
        <v>0</v>
      </c>
      <c r="CK151" s="239">
        <v>0</v>
      </c>
      <c r="CL151" s="239">
        <v>0</v>
      </c>
      <c r="CM151" s="239">
        <v>0</v>
      </c>
      <c r="CN151" s="239">
        <v>0</v>
      </c>
      <c r="CO151" s="239">
        <v>0</v>
      </c>
      <c r="CP151" s="239">
        <v>0</v>
      </c>
      <c r="CQ151" s="239">
        <v>0</v>
      </c>
      <c r="CR151" s="239">
        <v>0</v>
      </c>
      <c r="CS151" s="239">
        <v>0</v>
      </c>
      <c r="CT151" s="239">
        <v>0</v>
      </c>
      <c r="CU151" s="239">
        <v>0</v>
      </c>
      <c r="CV151" s="239">
        <v>0</v>
      </c>
      <c r="CW151" s="239">
        <v>0</v>
      </c>
      <c r="CX151" s="239">
        <v>0</v>
      </c>
      <c r="CY151" s="239">
        <v>0</v>
      </c>
      <c r="CZ151" s="239">
        <v>0</v>
      </c>
      <c r="DA151" s="239">
        <v>0</v>
      </c>
      <c r="DB151" s="239">
        <v>0</v>
      </c>
      <c r="DC151" s="239">
        <v>0</v>
      </c>
      <c r="DD151" s="239">
        <v>0</v>
      </c>
      <c r="DE151" s="239">
        <v>0</v>
      </c>
      <c r="DF151" s="239">
        <v>0</v>
      </c>
      <c r="DG151" s="239">
        <v>0</v>
      </c>
      <c r="DH151" s="239">
        <v>0</v>
      </c>
      <c r="DI151" s="239">
        <v>0</v>
      </c>
      <c r="DJ151" s="239">
        <v>-650476</v>
      </c>
      <c r="DK151" s="239">
        <v>0</v>
      </c>
      <c r="DL151" s="239">
        <v>-650476</v>
      </c>
      <c r="DM151" s="239">
        <v>0</v>
      </c>
      <c r="DN151" s="239">
        <v>0</v>
      </c>
      <c r="DO151" s="239">
        <v>0</v>
      </c>
      <c r="DP151" s="239">
        <v>0</v>
      </c>
      <c r="DQ151" s="239">
        <v>0</v>
      </c>
      <c r="DR151" s="239">
        <v>0</v>
      </c>
      <c r="DS151" s="239">
        <v>-810</v>
      </c>
      <c r="DT151" s="239">
        <v>0</v>
      </c>
      <c r="DU151" s="239">
        <v>-810</v>
      </c>
      <c r="DV151" s="239">
        <v>627</v>
      </c>
      <c r="DW151" s="239">
        <v>0</v>
      </c>
      <c r="DX151" s="239">
        <v>627</v>
      </c>
      <c r="DY151" s="239">
        <v>8232</v>
      </c>
      <c r="DZ151" s="239">
        <v>0</v>
      </c>
      <c r="EA151" s="239">
        <v>8232</v>
      </c>
      <c r="EB151" s="239">
        <v>0</v>
      </c>
      <c r="EC151" s="239">
        <v>0</v>
      </c>
      <c r="ED151" s="239">
        <v>0</v>
      </c>
      <c r="EE151" s="239">
        <v>0</v>
      </c>
      <c r="EF151" s="239">
        <v>0</v>
      </c>
      <c r="EG151" s="239">
        <v>0</v>
      </c>
      <c r="EH151" s="239">
        <v>105</v>
      </c>
      <c r="EI151" s="239">
        <v>0</v>
      </c>
      <c r="EJ151" s="239">
        <v>105</v>
      </c>
      <c r="EK151" s="239">
        <v>0</v>
      </c>
      <c r="EL151" s="239">
        <v>0</v>
      </c>
      <c r="EM151" s="239">
        <v>0</v>
      </c>
      <c r="EN151" s="239">
        <v>0</v>
      </c>
      <c r="EO151" s="239">
        <v>0</v>
      </c>
      <c r="EP151" s="239">
        <v>0</v>
      </c>
      <c r="EQ151" s="239">
        <v>-457141</v>
      </c>
      <c r="ER151" s="239">
        <v>0</v>
      </c>
      <c r="ES151" s="239">
        <v>-457141</v>
      </c>
      <c r="ET151" s="239">
        <v>-2593455</v>
      </c>
      <c r="EU151" s="239">
        <v>-6407</v>
      </c>
      <c r="EV151" s="239">
        <v>-2599862</v>
      </c>
      <c r="EW151" s="239">
        <v>-101129</v>
      </c>
      <c r="EX151" s="239">
        <v>0</v>
      </c>
      <c r="EY151" s="239">
        <v>-101129</v>
      </c>
      <c r="EZ151" s="239">
        <v>-3143571</v>
      </c>
      <c r="FA151" s="239">
        <v>-6407</v>
      </c>
      <c r="FB151" s="239">
        <v>-3149978</v>
      </c>
      <c r="FC151" s="239">
        <v>0</v>
      </c>
      <c r="FD151" s="239">
        <v>0</v>
      </c>
      <c r="FE151" s="239">
        <v>0</v>
      </c>
      <c r="FF151" s="239">
        <v>0</v>
      </c>
      <c r="FG151" s="239">
        <v>0</v>
      </c>
      <c r="FH151" s="239">
        <v>0</v>
      </c>
      <c r="FI151" s="239">
        <v>0</v>
      </c>
      <c r="FJ151" s="239">
        <v>0</v>
      </c>
      <c r="FK151" s="239">
        <v>0</v>
      </c>
      <c r="FL151" s="239">
        <v>180026369</v>
      </c>
      <c r="FM151" s="239">
        <v>2579640</v>
      </c>
      <c r="FN151" s="239">
        <v>182606009</v>
      </c>
      <c r="FO151" s="239">
        <v>-19220648</v>
      </c>
      <c r="FP151" s="239">
        <v>176658</v>
      </c>
      <c r="FQ151" s="239">
        <v>-19043990</v>
      </c>
      <c r="FR151" s="239">
        <v>-22035589</v>
      </c>
      <c r="FS151" s="239">
        <v>71540</v>
      </c>
      <c r="FT151" s="239">
        <v>-21964049</v>
      </c>
      <c r="FU151" s="239">
        <v>-2829862</v>
      </c>
      <c r="FV151" s="239">
        <v>-51475</v>
      </c>
      <c r="FW151" s="239">
        <v>-2881337</v>
      </c>
      <c r="FX151" s="239">
        <v>-650476</v>
      </c>
      <c r="FY151" s="239">
        <v>0</v>
      </c>
      <c r="FZ151" s="239">
        <v>-650476</v>
      </c>
      <c r="GA151" s="239">
        <v>-3143571</v>
      </c>
      <c r="GB151" s="239">
        <v>-6407</v>
      </c>
      <c r="GC151" s="239">
        <v>-3149978</v>
      </c>
      <c r="GD151" s="239">
        <v>0</v>
      </c>
      <c r="GE151" s="239">
        <v>0</v>
      </c>
      <c r="GF151" s="239">
        <v>0</v>
      </c>
      <c r="GG151" s="239">
        <v>-47880146</v>
      </c>
      <c r="GH151" s="239">
        <v>190316</v>
      </c>
      <c r="GI151" s="239">
        <v>-47689830</v>
      </c>
      <c r="GJ151" s="239">
        <v>132146223</v>
      </c>
      <c r="GK151" s="239">
        <v>2769956</v>
      </c>
      <c r="GL151" s="239">
        <v>134916179</v>
      </c>
      <c r="GM151" s="214" t="s">
        <v>1161</v>
      </c>
    </row>
    <row r="152" spans="2:195" s="214" customFormat="1" x14ac:dyDescent="0.2">
      <c r="B152" s="602" t="s">
        <v>387</v>
      </c>
      <c r="C152" s="602" t="s">
        <v>386</v>
      </c>
      <c r="D152" s="239">
        <v>-1385960</v>
      </c>
      <c r="E152" s="239">
        <v>0</v>
      </c>
      <c r="F152" s="239">
        <v>-1385960</v>
      </c>
      <c r="G152" s="239">
        <v>85790</v>
      </c>
      <c r="H152" s="239">
        <v>0</v>
      </c>
      <c r="I152" s="239">
        <v>85790</v>
      </c>
      <c r="J152" s="239">
        <v>3124072</v>
      </c>
      <c r="K152" s="239">
        <v>0</v>
      </c>
      <c r="L152" s="239">
        <v>3124072</v>
      </c>
      <c r="M152" s="239">
        <v>1892</v>
      </c>
      <c r="N152" s="239">
        <v>0</v>
      </c>
      <c r="O152" s="239">
        <v>1892</v>
      </c>
      <c r="P152" s="239">
        <v>1825794</v>
      </c>
      <c r="Q152" s="239">
        <v>0</v>
      </c>
      <c r="R152" s="239">
        <v>1825794</v>
      </c>
      <c r="S152" s="239">
        <v>-4627332</v>
      </c>
      <c r="T152" s="239">
        <v>0</v>
      </c>
      <c r="U152" s="239">
        <v>-4627332</v>
      </c>
      <c r="V152" s="239">
        <v>-35928</v>
      </c>
      <c r="W152" s="239">
        <v>0</v>
      </c>
      <c r="X152" s="239">
        <v>-35928</v>
      </c>
      <c r="Y152" s="239">
        <v>-63883</v>
      </c>
      <c r="Z152" s="239">
        <v>0</v>
      </c>
      <c r="AA152" s="239">
        <v>-63883</v>
      </c>
      <c r="AB152" s="239">
        <v>-46992</v>
      </c>
      <c r="AC152" s="239">
        <v>0</v>
      </c>
      <c r="AD152" s="239">
        <v>-46992</v>
      </c>
      <c r="AE152" s="239">
        <v>1033</v>
      </c>
      <c r="AF152" s="239">
        <v>0</v>
      </c>
      <c r="AG152" s="239">
        <v>1033</v>
      </c>
      <c r="AH152" s="239">
        <v>1590662</v>
      </c>
      <c r="AI152" s="239">
        <v>0</v>
      </c>
      <c r="AJ152" s="239">
        <v>1590662</v>
      </c>
      <c r="AK152" s="239">
        <v>-21728</v>
      </c>
      <c r="AL152" s="239">
        <v>0</v>
      </c>
      <c r="AM152" s="239">
        <v>-21728</v>
      </c>
      <c r="AN152" s="239">
        <v>-4138262</v>
      </c>
      <c r="AO152" s="239">
        <v>0</v>
      </c>
      <c r="AP152" s="239">
        <v>-4138262</v>
      </c>
      <c r="AQ152" s="239">
        <v>5553</v>
      </c>
      <c r="AR152" s="239">
        <v>0</v>
      </c>
      <c r="AS152" s="239">
        <v>5553</v>
      </c>
      <c r="AT152" s="239">
        <v>-46078</v>
      </c>
      <c r="AU152" s="239">
        <v>0</v>
      </c>
      <c r="AV152" s="239">
        <v>-46078</v>
      </c>
      <c r="AW152" s="239">
        <v>5931</v>
      </c>
      <c r="AX152" s="239">
        <v>0</v>
      </c>
      <c r="AY152" s="239">
        <v>5931</v>
      </c>
      <c r="AZ152" s="239">
        <v>-24913</v>
      </c>
      <c r="BA152" s="239">
        <v>0</v>
      </c>
      <c r="BB152" s="239">
        <v>-24913</v>
      </c>
      <c r="BC152" s="239">
        <v>0</v>
      </c>
      <c r="BD152" s="239">
        <v>0</v>
      </c>
      <c r="BE152" s="239">
        <v>0</v>
      </c>
      <c r="BF152" s="239">
        <v>-7320050</v>
      </c>
      <c r="BG152" s="239">
        <v>0</v>
      </c>
      <c r="BH152" s="239">
        <v>-7320050</v>
      </c>
      <c r="BI152" s="239">
        <v>0</v>
      </c>
      <c r="BJ152" s="239">
        <v>0</v>
      </c>
      <c r="BK152" s="239">
        <v>0</v>
      </c>
      <c r="BL152" s="239">
        <v>0</v>
      </c>
      <c r="BM152" s="239">
        <v>0</v>
      </c>
      <c r="BN152" s="239">
        <v>0</v>
      </c>
      <c r="BO152" s="239">
        <v>-1310132</v>
      </c>
      <c r="BP152" s="239">
        <v>0</v>
      </c>
      <c r="BQ152" s="239">
        <v>-1310132</v>
      </c>
      <c r="BR152" s="239">
        <v>-22198</v>
      </c>
      <c r="BS152" s="239">
        <v>0</v>
      </c>
      <c r="BT152" s="239">
        <v>-22198</v>
      </c>
      <c r="BU152" s="239">
        <v>-1332330</v>
      </c>
      <c r="BV152" s="239">
        <v>0</v>
      </c>
      <c r="BW152" s="239">
        <v>-1332330</v>
      </c>
      <c r="BX152" s="239">
        <v>-94818</v>
      </c>
      <c r="BY152" s="239">
        <v>0</v>
      </c>
      <c r="BZ152" s="239">
        <v>-94818</v>
      </c>
      <c r="CA152" s="239">
        <v>-1006</v>
      </c>
      <c r="CB152" s="239">
        <v>0</v>
      </c>
      <c r="CC152" s="239">
        <v>-1006</v>
      </c>
      <c r="CD152" s="239">
        <v>-53699</v>
      </c>
      <c r="CE152" s="239">
        <v>0</v>
      </c>
      <c r="CF152" s="239">
        <v>-53699</v>
      </c>
      <c r="CG152" s="239">
        <v>-11214</v>
      </c>
      <c r="CH152" s="239">
        <v>0</v>
      </c>
      <c r="CI152" s="239">
        <v>-11214</v>
      </c>
      <c r="CJ152" s="239">
        <v>-3105</v>
      </c>
      <c r="CK152" s="239">
        <v>0</v>
      </c>
      <c r="CL152" s="239">
        <v>-3105</v>
      </c>
      <c r="CM152" s="239">
        <v>0</v>
      </c>
      <c r="CN152" s="239">
        <v>0</v>
      </c>
      <c r="CO152" s="239">
        <v>0</v>
      </c>
      <c r="CP152" s="239">
        <v>0</v>
      </c>
      <c r="CQ152" s="239">
        <v>0</v>
      </c>
      <c r="CR152" s="239">
        <v>0</v>
      </c>
      <c r="CS152" s="239">
        <v>0</v>
      </c>
      <c r="CT152" s="239">
        <v>0</v>
      </c>
      <c r="CU152" s="239">
        <v>0</v>
      </c>
      <c r="CV152" s="239">
        <v>0</v>
      </c>
      <c r="CW152" s="239">
        <v>0</v>
      </c>
      <c r="CX152" s="239">
        <v>0</v>
      </c>
      <c r="CY152" s="239">
        <v>0</v>
      </c>
      <c r="CZ152" s="239">
        <v>0</v>
      </c>
      <c r="DA152" s="239">
        <v>0</v>
      </c>
      <c r="DB152" s="239">
        <v>0</v>
      </c>
      <c r="DC152" s="239">
        <v>0</v>
      </c>
      <c r="DD152" s="239">
        <v>0</v>
      </c>
      <c r="DE152" s="239">
        <v>0</v>
      </c>
      <c r="DF152" s="239">
        <v>0</v>
      </c>
      <c r="DG152" s="239">
        <v>0</v>
      </c>
      <c r="DH152" s="239">
        <v>0</v>
      </c>
      <c r="DI152" s="239">
        <v>0</v>
      </c>
      <c r="DJ152" s="239">
        <v>-163842</v>
      </c>
      <c r="DK152" s="239">
        <v>0</v>
      </c>
      <c r="DL152" s="239">
        <v>-163842</v>
      </c>
      <c r="DM152" s="239">
        <v>0</v>
      </c>
      <c r="DN152" s="239">
        <v>0</v>
      </c>
      <c r="DO152" s="239">
        <v>0</v>
      </c>
      <c r="DP152" s="239">
        <v>0</v>
      </c>
      <c r="DQ152" s="239">
        <v>0</v>
      </c>
      <c r="DR152" s="239">
        <v>0</v>
      </c>
      <c r="DS152" s="239">
        <v>-104</v>
      </c>
      <c r="DT152" s="239">
        <v>0</v>
      </c>
      <c r="DU152" s="239">
        <v>-104</v>
      </c>
      <c r="DV152" s="239">
        <v>602</v>
      </c>
      <c r="DW152" s="239">
        <v>0</v>
      </c>
      <c r="DX152" s="239">
        <v>602</v>
      </c>
      <c r="DY152" s="239">
        <v>-690</v>
      </c>
      <c r="DZ152" s="239">
        <v>0</v>
      </c>
      <c r="EA152" s="239">
        <v>-690</v>
      </c>
      <c r="EB152" s="239">
        <v>0</v>
      </c>
      <c r="EC152" s="239">
        <v>0</v>
      </c>
      <c r="ED152" s="239">
        <v>0</v>
      </c>
      <c r="EE152" s="239">
        <v>6300</v>
      </c>
      <c r="EF152" s="239">
        <v>0</v>
      </c>
      <c r="EG152" s="239">
        <v>6300</v>
      </c>
      <c r="EH152" s="239">
        <v>2236</v>
      </c>
      <c r="EI152" s="239">
        <v>0</v>
      </c>
      <c r="EJ152" s="239">
        <v>2236</v>
      </c>
      <c r="EK152" s="239">
        <v>-24913</v>
      </c>
      <c r="EL152" s="239">
        <v>0</v>
      </c>
      <c r="EM152" s="239">
        <v>-24913</v>
      </c>
      <c r="EN152" s="239">
        <v>0</v>
      </c>
      <c r="EO152" s="239">
        <v>0</v>
      </c>
      <c r="EP152" s="239">
        <v>0</v>
      </c>
      <c r="EQ152" s="239">
        <v>-30874</v>
      </c>
      <c r="ER152" s="239">
        <v>0</v>
      </c>
      <c r="ES152" s="239">
        <v>-30874</v>
      </c>
      <c r="ET152" s="239">
        <v>-232564</v>
      </c>
      <c r="EU152" s="239">
        <v>0</v>
      </c>
      <c r="EV152" s="239">
        <v>-232564</v>
      </c>
      <c r="EW152" s="239">
        <v>-63696</v>
      </c>
      <c r="EX152" s="239">
        <v>0</v>
      </c>
      <c r="EY152" s="239">
        <v>-63696</v>
      </c>
      <c r="EZ152" s="239">
        <v>-343703</v>
      </c>
      <c r="FA152" s="239">
        <v>0</v>
      </c>
      <c r="FB152" s="239">
        <v>-343703</v>
      </c>
      <c r="FC152" s="239">
        <v>-2279</v>
      </c>
      <c r="FD152" s="239">
        <v>0</v>
      </c>
      <c r="FE152" s="239">
        <v>-2279</v>
      </c>
      <c r="FF152" s="239">
        <v>0</v>
      </c>
      <c r="FG152" s="239">
        <v>0</v>
      </c>
      <c r="FH152" s="239">
        <v>0</v>
      </c>
      <c r="FI152" s="239">
        <v>-2279</v>
      </c>
      <c r="FJ152" s="239">
        <v>0</v>
      </c>
      <c r="FK152" s="239">
        <v>-2279</v>
      </c>
      <c r="FL152" s="239">
        <v>72002343</v>
      </c>
      <c r="FM152" s="239">
        <v>0</v>
      </c>
      <c r="FN152" s="239">
        <v>72002343</v>
      </c>
      <c r="FO152" s="239">
        <v>1825794</v>
      </c>
      <c r="FP152" s="239">
        <v>0</v>
      </c>
      <c r="FQ152" s="239">
        <v>1825794</v>
      </c>
      <c r="FR152" s="239">
        <v>-7320050</v>
      </c>
      <c r="FS152" s="239">
        <v>0</v>
      </c>
      <c r="FT152" s="239">
        <v>-7320050</v>
      </c>
      <c r="FU152" s="239">
        <v>-1332330</v>
      </c>
      <c r="FV152" s="239">
        <v>0</v>
      </c>
      <c r="FW152" s="239">
        <v>-1332330</v>
      </c>
      <c r="FX152" s="239">
        <v>-163842</v>
      </c>
      <c r="FY152" s="239">
        <v>0</v>
      </c>
      <c r="FZ152" s="239">
        <v>-163842</v>
      </c>
      <c r="GA152" s="239">
        <v>-343703</v>
      </c>
      <c r="GB152" s="239">
        <v>0</v>
      </c>
      <c r="GC152" s="239">
        <v>-343703</v>
      </c>
      <c r="GD152" s="239">
        <v>-2279</v>
      </c>
      <c r="GE152" s="239">
        <v>0</v>
      </c>
      <c r="GF152" s="239">
        <v>-2279</v>
      </c>
      <c r="GG152" s="239">
        <v>-7336410</v>
      </c>
      <c r="GH152" s="239">
        <v>0</v>
      </c>
      <c r="GI152" s="239">
        <v>-7336410</v>
      </c>
      <c r="GJ152" s="239">
        <v>64665933</v>
      </c>
      <c r="GK152" s="239">
        <v>0</v>
      </c>
      <c r="GL152" s="239">
        <v>64665933</v>
      </c>
      <c r="GM152" s="214" t="s">
        <v>1158</v>
      </c>
    </row>
    <row r="153" spans="2:195" s="214" customFormat="1" x14ac:dyDescent="0.2">
      <c r="B153" s="602" t="s">
        <v>389</v>
      </c>
      <c r="C153" s="602" t="s">
        <v>388</v>
      </c>
      <c r="D153" s="239">
        <v>-11316991</v>
      </c>
      <c r="E153" s="239">
        <v>0</v>
      </c>
      <c r="F153" s="239">
        <v>-11316991</v>
      </c>
      <c r="G153" s="239">
        <v>755175</v>
      </c>
      <c r="H153" s="239">
        <v>0</v>
      </c>
      <c r="I153" s="239">
        <v>755175</v>
      </c>
      <c r="J153" s="239">
        <v>31193122</v>
      </c>
      <c r="K153" s="239">
        <v>153038</v>
      </c>
      <c r="L153" s="239">
        <v>31346160</v>
      </c>
      <c r="M153" s="239">
        <v>816630</v>
      </c>
      <c r="N153" s="239">
        <v>0</v>
      </c>
      <c r="O153" s="239">
        <v>816630</v>
      </c>
      <c r="P153" s="239">
        <v>21447936</v>
      </c>
      <c r="Q153" s="239">
        <v>153038</v>
      </c>
      <c r="R153" s="239">
        <v>21600974</v>
      </c>
      <c r="S153" s="239">
        <v>-25770023</v>
      </c>
      <c r="T153" s="239">
        <v>0</v>
      </c>
      <c r="U153" s="239">
        <v>-25770023</v>
      </c>
      <c r="V153" s="239">
        <v>-4806</v>
      </c>
      <c r="W153" s="239">
        <v>0</v>
      </c>
      <c r="X153" s="239">
        <v>-4806</v>
      </c>
      <c r="Y153" s="239">
        <v>-73591</v>
      </c>
      <c r="Z153" s="239">
        <v>0</v>
      </c>
      <c r="AA153" s="239">
        <v>-73591</v>
      </c>
      <c r="AB153" s="239">
        <v>-63676</v>
      </c>
      <c r="AC153" s="239">
        <v>0</v>
      </c>
      <c r="AD153" s="239">
        <v>-63676</v>
      </c>
      <c r="AE153" s="239">
        <v>0</v>
      </c>
      <c r="AF153" s="239">
        <v>0</v>
      </c>
      <c r="AG153" s="239">
        <v>0</v>
      </c>
      <c r="AH153" s="239">
        <v>8881618</v>
      </c>
      <c r="AI153" s="239">
        <v>72189</v>
      </c>
      <c r="AJ153" s="239">
        <v>8953807</v>
      </c>
      <c r="AK153" s="239">
        <v>-618479</v>
      </c>
      <c r="AL153" s="239">
        <v>0</v>
      </c>
      <c r="AM153" s="239">
        <v>-618479</v>
      </c>
      <c r="AN153" s="239">
        <v>-27283460</v>
      </c>
      <c r="AO153" s="239">
        <v>0</v>
      </c>
      <c r="AP153" s="239">
        <v>-27283460</v>
      </c>
      <c r="AQ153" s="239">
        <v>-1003229</v>
      </c>
      <c r="AR153" s="239">
        <v>0</v>
      </c>
      <c r="AS153" s="239">
        <v>-1003229</v>
      </c>
      <c r="AT153" s="239">
        <v>-323228</v>
      </c>
      <c r="AU153" s="239">
        <v>0</v>
      </c>
      <c r="AV153" s="239">
        <v>-323228</v>
      </c>
      <c r="AW153" s="239">
        <v>0</v>
      </c>
      <c r="AX153" s="239">
        <v>0</v>
      </c>
      <c r="AY153" s="239">
        <v>0</v>
      </c>
      <c r="AZ153" s="239">
        <v>-8052</v>
      </c>
      <c r="BA153" s="239">
        <v>0</v>
      </c>
      <c r="BB153" s="239">
        <v>-8052</v>
      </c>
      <c r="BC153" s="239">
        <v>1886</v>
      </c>
      <c r="BD153" s="239">
        <v>0</v>
      </c>
      <c r="BE153" s="239">
        <v>1886</v>
      </c>
      <c r="BF153" s="239">
        <v>-46196558</v>
      </c>
      <c r="BG153" s="239">
        <v>72189</v>
      </c>
      <c r="BH153" s="239">
        <v>-46124369</v>
      </c>
      <c r="BI153" s="239">
        <v>-252740</v>
      </c>
      <c r="BJ153" s="239">
        <v>0</v>
      </c>
      <c r="BK153" s="239">
        <v>-252740</v>
      </c>
      <c r="BL153" s="239">
        <v>27171</v>
      </c>
      <c r="BM153" s="239">
        <v>0</v>
      </c>
      <c r="BN153" s="239">
        <v>27171</v>
      </c>
      <c r="BO153" s="239">
        <v>-18844060</v>
      </c>
      <c r="BP153" s="239">
        <v>-64871</v>
      </c>
      <c r="BQ153" s="239">
        <v>-18908931</v>
      </c>
      <c r="BR153" s="239">
        <v>1517754</v>
      </c>
      <c r="BS153" s="239">
        <v>0</v>
      </c>
      <c r="BT153" s="239">
        <v>1517754</v>
      </c>
      <c r="BU153" s="239">
        <v>-17551875</v>
      </c>
      <c r="BV153" s="239">
        <v>-64871</v>
      </c>
      <c r="BW153" s="239">
        <v>-17616746</v>
      </c>
      <c r="BX153" s="239">
        <v>-52326</v>
      </c>
      <c r="BY153" s="239">
        <v>0</v>
      </c>
      <c r="BZ153" s="239">
        <v>-52326</v>
      </c>
      <c r="CA153" s="239">
        <v>-558</v>
      </c>
      <c r="CB153" s="239">
        <v>0</v>
      </c>
      <c r="CC153" s="239">
        <v>-558</v>
      </c>
      <c r="CD153" s="239">
        <v>-413788</v>
      </c>
      <c r="CE153" s="239">
        <v>0</v>
      </c>
      <c r="CF153" s="239">
        <v>-413788</v>
      </c>
      <c r="CG153" s="239">
        <v>-12383</v>
      </c>
      <c r="CH153" s="239">
        <v>0</v>
      </c>
      <c r="CI153" s="239">
        <v>-12383</v>
      </c>
      <c r="CJ153" s="239">
        <v>-57045</v>
      </c>
      <c r="CK153" s="239">
        <v>0</v>
      </c>
      <c r="CL153" s="239">
        <v>-57045</v>
      </c>
      <c r="CM153" s="239">
        <v>-315</v>
      </c>
      <c r="CN153" s="239">
        <v>0</v>
      </c>
      <c r="CO153" s="239">
        <v>-315</v>
      </c>
      <c r="CP153" s="239">
        <v>0</v>
      </c>
      <c r="CQ153" s="239">
        <v>0</v>
      </c>
      <c r="CR153" s="239">
        <v>0</v>
      </c>
      <c r="CS153" s="239">
        <v>0</v>
      </c>
      <c r="CT153" s="239">
        <v>0</v>
      </c>
      <c r="CU153" s="239">
        <v>0</v>
      </c>
      <c r="CV153" s="239">
        <v>-2055</v>
      </c>
      <c r="CW153" s="239">
        <v>0</v>
      </c>
      <c r="CX153" s="239">
        <v>-2055</v>
      </c>
      <c r="CY153" s="239">
        <v>319</v>
      </c>
      <c r="CZ153" s="239">
        <v>0</v>
      </c>
      <c r="DA153" s="239">
        <v>319</v>
      </c>
      <c r="DB153" s="239">
        <v>-546628</v>
      </c>
      <c r="DC153" s="239">
        <v>-465979</v>
      </c>
      <c r="DD153" s="239">
        <v>-1012607</v>
      </c>
      <c r="DE153" s="239">
        <v>-39209</v>
      </c>
      <c r="DF153" s="239">
        <v>-46718</v>
      </c>
      <c r="DG153" s="239">
        <v>-85927</v>
      </c>
      <c r="DH153" s="239">
        <v>-512697</v>
      </c>
      <c r="DI153" s="239">
        <v>0</v>
      </c>
      <c r="DJ153" s="239">
        <v>-1123988</v>
      </c>
      <c r="DK153" s="239">
        <v>-512697</v>
      </c>
      <c r="DL153" s="239">
        <v>-1636685</v>
      </c>
      <c r="DM153" s="239">
        <v>-10568</v>
      </c>
      <c r="DN153" s="239">
        <v>0</v>
      </c>
      <c r="DO153" s="239">
        <v>-10568</v>
      </c>
      <c r="DP153" s="239">
        <v>0</v>
      </c>
      <c r="DQ153" s="239">
        <v>0</v>
      </c>
      <c r="DR153" s="239">
        <v>0</v>
      </c>
      <c r="DS153" s="239">
        <v>-14121</v>
      </c>
      <c r="DT153" s="239">
        <v>0</v>
      </c>
      <c r="DU153" s="239">
        <v>-14121</v>
      </c>
      <c r="DV153" s="239">
        <v>-82750</v>
      </c>
      <c r="DW153" s="239">
        <v>0</v>
      </c>
      <c r="DX153" s="239">
        <v>-82750</v>
      </c>
      <c r="DY153" s="239">
        <v>265</v>
      </c>
      <c r="DZ153" s="239">
        <v>0</v>
      </c>
      <c r="EA153" s="239">
        <v>265</v>
      </c>
      <c r="EB153" s="239">
        <v>0</v>
      </c>
      <c r="EC153" s="239">
        <v>0</v>
      </c>
      <c r="ED153" s="239">
        <v>0</v>
      </c>
      <c r="EE153" s="239">
        <v>9203</v>
      </c>
      <c r="EF153" s="239">
        <v>0</v>
      </c>
      <c r="EG153" s="239">
        <v>9203</v>
      </c>
      <c r="EH153" s="239">
        <v>2271</v>
      </c>
      <c r="EI153" s="239">
        <v>0</v>
      </c>
      <c r="EJ153" s="239">
        <v>2271</v>
      </c>
      <c r="EK153" s="239">
        <v>-8052</v>
      </c>
      <c r="EL153" s="239">
        <v>0</v>
      </c>
      <c r="EM153" s="239">
        <v>-8052</v>
      </c>
      <c r="EN153" s="239">
        <v>0</v>
      </c>
      <c r="EO153" s="239">
        <v>0</v>
      </c>
      <c r="EP153" s="239">
        <v>0</v>
      </c>
      <c r="EQ153" s="239">
        <v>-119271</v>
      </c>
      <c r="ER153" s="239">
        <v>0</v>
      </c>
      <c r="ES153" s="239">
        <v>-119271</v>
      </c>
      <c r="ET153" s="239">
        <v>-1626979</v>
      </c>
      <c r="EU153" s="239">
        <v>0</v>
      </c>
      <c r="EV153" s="239">
        <v>-1626979</v>
      </c>
      <c r="EW153" s="239">
        <v>-244875</v>
      </c>
      <c r="EX153" s="239">
        <v>0</v>
      </c>
      <c r="EY153" s="239">
        <v>-244875</v>
      </c>
      <c r="EZ153" s="239">
        <v>-2094877</v>
      </c>
      <c r="FA153" s="239">
        <v>0</v>
      </c>
      <c r="FB153" s="239">
        <v>-2094877</v>
      </c>
      <c r="FC153" s="239">
        <v>-79008</v>
      </c>
      <c r="FD153" s="239">
        <v>0</v>
      </c>
      <c r="FE153" s="239">
        <v>-79008</v>
      </c>
      <c r="FF153" s="239">
        <v>-72484</v>
      </c>
      <c r="FG153" s="239">
        <v>0</v>
      </c>
      <c r="FH153" s="239">
        <v>-72484</v>
      </c>
      <c r="FI153" s="239">
        <v>-151492</v>
      </c>
      <c r="FJ153" s="239">
        <v>0</v>
      </c>
      <c r="FK153" s="239">
        <v>-151492</v>
      </c>
      <c r="FL153" s="239">
        <v>399288064</v>
      </c>
      <c r="FM153" s="239">
        <v>2467177</v>
      </c>
      <c r="FN153" s="239">
        <v>401755241</v>
      </c>
      <c r="FO153" s="239">
        <v>21447936</v>
      </c>
      <c r="FP153" s="239">
        <v>153038</v>
      </c>
      <c r="FQ153" s="239">
        <v>21600974</v>
      </c>
      <c r="FR153" s="239">
        <v>-46196558</v>
      </c>
      <c r="FS153" s="239">
        <v>72189</v>
      </c>
      <c r="FT153" s="239">
        <v>-46124369</v>
      </c>
      <c r="FU153" s="239">
        <v>-17551875</v>
      </c>
      <c r="FV153" s="239">
        <v>-64871</v>
      </c>
      <c r="FW153" s="239">
        <v>-17616746</v>
      </c>
      <c r="FX153" s="239">
        <v>-1123988</v>
      </c>
      <c r="FY153" s="239">
        <v>-512697</v>
      </c>
      <c r="FZ153" s="239">
        <v>-1636685</v>
      </c>
      <c r="GA153" s="239">
        <v>-2094877</v>
      </c>
      <c r="GB153" s="239">
        <v>0</v>
      </c>
      <c r="GC153" s="239">
        <v>-2094877</v>
      </c>
      <c r="GD153" s="239">
        <v>-151492</v>
      </c>
      <c r="GE153" s="239">
        <v>0</v>
      </c>
      <c r="GF153" s="239">
        <v>-151492</v>
      </c>
      <c r="GG153" s="239">
        <v>-45670854</v>
      </c>
      <c r="GH153" s="239">
        <v>-352341</v>
      </c>
      <c r="GI153" s="239">
        <v>-46023195</v>
      </c>
      <c r="GJ153" s="239">
        <v>353617210</v>
      </c>
      <c r="GK153" s="239">
        <v>2114836</v>
      </c>
      <c r="GL153" s="239">
        <v>355732046</v>
      </c>
      <c r="GM153" s="214" t="s">
        <v>1160</v>
      </c>
    </row>
    <row r="154" spans="2:195" s="214" customFormat="1" x14ac:dyDescent="0.2">
      <c r="B154" s="602" t="s">
        <v>391</v>
      </c>
      <c r="C154" s="602" t="s">
        <v>390</v>
      </c>
      <c r="D154" s="239">
        <v>-9639778</v>
      </c>
      <c r="E154" s="239">
        <v>-220327</v>
      </c>
      <c r="F154" s="239">
        <v>-9860105</v>
      </c>
      <c r="G154" s="239">
        <v>75027</v>
      </c>
      <c r="H154" s="239">
        <v>0</v>
      </c>
      <c r="I154" s="239">
        <v>75027</v>
      </c>
      <c r="J154" s="239">
        <v>2841964</v>
      </c>
      <c r="K154" s="239">
        <v>8512</v>
      </c>
      <c r="L154" s="239">
        <v>2850476</v>
      </c>
      <c r="M154" s="239">
        <v>553624</v>
      </c>
      <c r="N154" s="239">
        <v>57</v>
      </c>
      <c r="O154" s="239">
        <v>553681</v>
      </c>
      <c r="P154" s="239">
        <v>-6169163</v>
      </c>
      <c r="Q154" s="239">
        <v>-211758</v>
      </c>
      <c r="R154" s="239">
        <v>-6380921</v>
      </c>
      <c r="S154" s="239">
        <v>-11588366</v>
      </c>
      <c r="T154" s="239">
        <v>-473980</v>
      </c>
      <c r="U154" s="239">
        <v>-12062346</v>
      </c>
      <c r="V154" s="239">
        <v>-16070</v>
      </c>
      <c r="W154" s="239">
        <v>-3126</v>
      </c>
      <c r="X154" s="239">
        <v>-19196</v>
      </c>
      <c r="Y154" s="239">
        <v>-359338</v>
      </c>
      <c r="Z154" s="239">
        <v>-19906</v>
      </c>
      <c r="AA154" s="239">
        <v>-379244</v>
      </c>
      <c r="AB154" s="239">
        <v>-300410</v>
      </c>
      <c r="AC154" s="239">
        <v>-20896</v>
      </c>
      <c r="AD154" s="239">
        <v>-321306</v>
      </c>
      <c r="AE154" s="239">
        <v>-761</v>
      </c>
      <c r="AF154" s="239">
        <v>-866</v>
      </c>
      <c r="AG154" s="239">
        <v>-1627</v>
      </c>
      <c r="AH154" s="239">
        <v>2681759</v>
      </c>
      <c r="AI154" s="239">
        <v>54090</v>
      </c>
      <c r="AJ154" s="239">
        <v>2735849</v>
      </c>
      <c r="AK154" s="239">
        <v>-156832</v>
      </c>
      <c r="AL154" s="239">
        <v>1609</v>
      </c>
      <c r="AM154" s="239">
        <v>-155223</v>
      </c>
      <c r="AN154" s="239">
        <v>-10732315</v>
      </c>
      <c r="AO154" s="239">
        <v>-495981</v>
      </c>
      <c r="AP154" s="239">
        <v>-11228296</v>
      </c>
      <c r="AQ154" s="239">
        <v>-740326</v>
      </c>
      <c r="AR154" s="239">
        <v>-21862</v>
      </c>
      <c r="AS154" s="239">
        <v>-762188</v>
      </c>
      <c r="AT154" s="239">
        <v>-30089</v>
      </c>
      <c r="AU154" s="239">
        <v>-17244</v>
      </c>
      <c r="AV154" s="239">
        <v>-47333</v>
      </c>
      <c r="AW154" s="239">
        <v>1395</v>
      </c>
      <c r="AX154" s="239">
        <v>0</v>
      </c>
      <c r="AY154" s="239">
        <v>1395</v>
      </c>
      <c r="AZ154" s="239">
        <v>0</v>
      </c>
      <c r="BA154" s="239">
        <v>0</v>
      </c>
      <c r="BB154" s="239">
        <v>0</v>
      </c>
      <c r="BC154" s="239">
        <v>0</v>
      </c>
      <c r="BD154" s="239">
        <v>0</v>
      </c>
      <c r="BE154" s="239">
        <v>0</v>
      </c>
      <c r="BF154" s="239">
        <v>-20924112</v>
      </c>
      <c r="BG154" s="239">
        <v>-973274</v>
      </c>
      <c r="BH154" s="239">
        <v>-21897386</v>
      </c>
      <c r="BI154" s="239">
        <v>-15098</v>
      </c>
      <c r="BJ154" s="239">
        <v>0</v>
      </c>
      <c r="BK154" s="239">
        <v>-15098</v>
      </c>
      <c r="BL154" s="239">
        <v>24627</v>
      </c>
      <c r="BM154" s="239">
        <v>0</v>
      </c>
      <c r="BN154" s="239">
        <v>24627</v>
      </c>
      <c r="BO154" s="239">
        <v>-3169088</v>
      </c>
      <c r="BP154" s="239">
        <v>-146399</v>
      </c>
      <c r="BQ154" s="239">
        <v>-3315487</v>
      </c>
      <c r="BR154" s="239">
        <v>149129</v>
      </c>
      <c r="BS154" s="239">
        <v>-8707</v>
      </c>
      <c r="BT154" s="239">
        <v>140422</v>
      </c>
      <c r="BU154" s="239">
        <v>-3010430</v>
      </c>
      <c r="BV154" s="239">
        <v>-155106</v>
      </c>
      <c r="BW154" s="239">
        <v>-3165536</v>
      </c>
      <c r="BX154" s="239">
        <v>-319734</v>
      </c>
      <c r="BY154" s="239">
        <v>-67062</v>
      </c>
      <c r="BZ154" s="239">
        <v>-386796</v>
      </c>
      <c r="CA154" s="239">
        <v>-20718</v>
      </c>
      <c r="CB154" s="239">
        <v>-5189</v>
      </c>
      <c r="CC154" s="239">
        <v>-25907</v>
      </c>
      <c r="CD154" s="239">
        <v>-182793</v>
      </c>
      <c r="CE154" s="239">
        <v>0</v>
      </c>
      <c r="CF154" s="239">
        <v>-182793</v>
      </c>
      <c r="CG154" s="239">
        <v>-46540</v>
      </c>
      <c r="CH154" s="239">
        <v>0</v>
      </c>
      <c r="CI154" s="239">
        <v>-46540</v>
      </c>
      <c r="CJ154" s="239">
        <v>0</v>
      </c>
      <c r="CK154" s="239">
        <v>0</v>
      </c>
      <c r="CL154" s="239">
        <v>0</v>
      </c>
      <c r="CM154" s="239">
        <v>0</v>
      </c>
      <c r="CN154" s="239">
        <v>0</v>
      </c>
      <c r="CO154" s="239">
        <v>0</v>
      </c>
      <c r="CP154" s="239">
        <v>0</v>
      </c>
      <c r="CQ154" s="239">
        <v>0</v>
      </c>
      <c r="CR154" s="239">
        <v>0</v>
      </c>
      <c r="CS154" s="239">
        <v>0</v>
      </c>
      <c r="CT154" s="239">
        <v>0</v>
      </c>
      <c r="CU154" s="239">
        <v>0</v>
      </c>
      <c r="CV154" s="239">
        <v>0</v>
      </c>
      <c r="CW154" s="239">
        <v>0</v>
      </c>
      <c r="CX154" s="239">
        <v>0</v>
      </c>
      <c r="CY154" s="239">
        <v>0</v>
      </c>
      <c r="CZ154" s="239">
        <v>0</v>
      </c>
      <c r="DA154" s="239">
        <v>0</v>
      </c>
      <c r="DB154" s="239">
        <v>-29323</v>
      </c>
      <c r="DC154" s="239">
        <v>-12262</v>
      </c>
      <c r="DD154" s="239">
        <v>-41585</v>
      </c>
      <c r="DE154" s="239">
        <v>-3290</v>
      </c>
      <c r="DF154" s="239">
        <v>-1016</v>
      </c>
      <c r="DG154" s="239">
        <v>-4306</v>
      </c>
      <c r="DH154" s="239">
        <v>-13278</v>
      </c>
      <c r="DI154" s="239">
        <v>0</v>
      </c>
      <c r="DJ154" s="239">
        <v>-602398</v>
      </c>
      <c r="DK154" s="239">
        <v>-85529</v>
      </c>
      <c r="DL154" s="239">
        <v>-687927</v>
      </c>
      <c r="DM154" s="239">
        <v>0</v>
      </c>
      <c r="DN154" s="239">
        <v>0</v>
      </c>
      <c r="DO154" s="239">
        <v>0</v>
      </c>
      <c r="DP154" s="239">
        <v>0</v>
      </c>
      <c r="DQ154" s="239">
        <v>0</v>
      </c>
      <c r="DR154" s="239">
        <v>0</v>
      </c>
      <c r="DS154" s="239">
        <v>-9640</v>
      </c>
      <c r="DT154" s="239">
        <v>0</v>
      </c>
      <c r="DU154" s="239">
        <v>-9640</v>
      </c>
      <c r="DV154" s="239">
        <v>17331</v>
      </c>
      <c r="DW154" s="239">
        <v>0</v>
      </c>
      <c r="DX154" s="239">
        <v>17331</v>
      </c>
      <c r="DY154" s="239">
        <v>25894</v>
      </c>
      <c r="DZ154" s="239">
        <v>0</v>
      </c>
      <c r="EA154" s="239">
        <v>25894</v>
      </c>
      <c r="EB154" s="239">
        <v>0</v>
      </c>
      <c r="EC154" s="239">
        <v>0</v>
      </c>
      <c r="ED154" s="239">
        <v>0</v>
      </c>
      <c r="EE154" s="239">
        <v>0</v>
      </c>
      <c r="EF154" s="239">
        <v>0</v>
      </c>
      <c r="EG154" s="239">
        <v>0</v>
      </c>
      <c r="EH154" s="239">
        <v>3054</v>
      </c>
      <c r="EI154" s="239">
        <v>0</v>
      </c>
      <c r="EJ154" s="239">
        <v>3054</v>
      </c>
      <c r="EK154" s="239">
        <v>0</v>
      </c>
      <c r="EL154" s="239">
        <v>0</v>
      </c>
      <c r="EM154" s="239">
        <v>0</v>
      </c>
      <c r="EN154" s="239">
        <v>-1500</v>
      </c>
      <c r="EO154" s="239">
        <v>0</v>
      </c>
      <c r="EP154" s="239">
        <v>-1500</v>
      </c>
      <c r="EQ154" s="239">
        <v>-144271</v>
      </c>
      <c r="ER154" s="239">
        <v>-1261</v>
      </c>
      <c r="ES154" s="239">
        <v>-145532</v>
      </c>
      <c r="ET154" s="239">
        <v>-1244996</v>
      </c>
      <c r="EU154" s="239">
        <v>-27097</v>
      </c>
      <c r="EV154" s="239">
        <v>-1272093</v>
      </c>
      <c r="EW154" s="239">
        <v>-80541</v>
      </c>
      <c r="EX154" s="239">
        <v>0</v>
      </c>
      <c r="EY154" s="239">
        <v>-80541</v>
      </c>
      <c r="EZ154" s="239">
        <v>-1434669</v>
      </c>
      <c r="FA154" s="239">
        <v>-28358</v>
      </c>
      <c r="FB154" s="239">
        <v>-1463027</v>
      </c>
      <c r="FC154" s="239">
        <v>-75985</v>
      </c>
      <c r="FD154" s="239">
        <v>0</v>
      </c>
      <c r="FE154" s="239">
        <v>-75985</v>
      </c>
      <c r="FF154" s="239">
        <v>-72460</v>
      </c>
      <c r="FG154" s="239">
        <v>0</v>
      </c>
      <c r="FH154" s="239">
        <v>-72460</v>
      </c>
      <c r="FI154" s="239">
        <v>-148445</v>
      </c>
      <c r="FJ154" s="239">
        <v>0</v>
      </c>
      <c r="FK154" s="239">
        <v>-148445</v>
      </c>
      <c r="FL154" s="239">
        <v>130767093</v>
      </c>
      <c r="FM154" s="239">
        <v>3502138</v>
      </c>
      <c r="FN154" s="239">
        <v>134269231</v>
      </c>
      <c r="FO154" s="239">
        <v>-6169163</v>
      </c>
      <c r="FP154" s="239">
        <v>-211758</v>
      </c>
      <c r="FQ154" s="239">
        <v>-6380921</v>
      </c>
      <c r="FR154" s="239">
        <v>-20924112</v>
      </c>
      <c r="FS154" s="239">
        <v>-973274</v>
      </c>
      <c r="FT154" s="239">
        <v>-21897386</v>
      </c>
      <c r="FU154" s="239">
        <v>-3010430</v>
      </c>
      <c r="FV154" s="239">
        <v>-155106</v>
      </c>
      <c r="FW154" s="239">
        <v>-3165536</v>
      </c>
      <c r="FX154" s="239">
        <v>-602398</v>
      </c>
      <c r="FY154" s="239">
        <v>-85529</v>
      </c>
      <c r="FZ154" s="239">
        <v>-687927</v>
      </c>
      <c r="GA154" s="239">
        <v>-1434669</v>
      </c>
      <c r="GB154" s="239">
        <v>-28358</v>
      </c>
      <c r="GC154" s="239">
        <v>-1463027</v>
      </c>
      <c r="GD154" s="239">
        <v>-148445</v>
      </c>
      <c r="GE154" s="239">
        <v>0</v>
      </c>
      <c r="GF154" s="239">
        <v>-148445</v>
      </c>
      <c r="GG154" s="239">
        <v>-32289217</v>
      </c>
      <c r="GH154" s="239">
        <v>-1454025</v>
      </c>
      <c r="GI154" s="239">
        <v>-33743242</v>
      </c>
      <c r="GJ154" s="239">
        <v>98477876</v>
      </c>
      <c r="GK154" s="239">
        <v>2048113</v>
      </c>
      <c r="GL154" s="239">
        <v>100525989</v>
      </c>
      <c r="GM154" s="214" t="s">
        <v>746</v>
      </c>
    </row>
    <row r="155" spans="2:195" s="214" customFormat="1" x14ac:dyDescent="0.2">
      <c r="B155" s="602" t="s">
        <v>393</v>
      </c>
      <c r="C155" s="602" t="s">
        <v>392</v>
      </c>
      <c r="D155" s="239">
        <v>-1222656</v>
      </c>
      <c r="E155" s="239">
        <v>-38156</v>
      </c>
      <c r="F155" s="239">
        <v>-1260812</v>
      </c>
      <c r="G155" s="239">
        <v>143855</v>
      </c>
      <c r="H155" s="239">
        <v>0</v>
      </c>
      <c r="I155" s="239">
        <v>143855</v>
      </c>
      <c r="J155" s="239">
        <v>526179</v>
      </c>
      <c r="K155" s="239">
        <v>118224</v>
      </c>
      <c r="L155" s="239">
        <v>644403</v>
      </c>
      <c r="M155" s="239">
        <v>16796</v>
      </c>
      <c r="N155" s="239">
        <v>0</v>
      </c>
      <c r="O155" s="239">
        <v>16796</v>
      </c>
      <c r="P155" s="239">
        <v>-535826</v>
      </c>
      <c r="Q155" s="239">
        <v>80068</v>
      </c>
      <c r="R155" s="239">
        <v>-455758</v>
      </c>
      <c r="S155" s="239">
        <v>-3438731</v>
      </c>
      <c r="T155" s="239">
        <v>-364535</v>
      </c>
      <c r="U155" s="239">
        <v>-3803266</v>
      </c>
      <c r="V155" s="239">
        <v>0</v>
      </c>
      <c r="W155" s="239">
        <v>0</v>
      </c>
      <c r="X155" s="239">
        <v>0</v>
      </c>
      <c r="Y155" s="239">
        <v>-534145</v>
      </c>
      <c r="Z155" s="239">
        <v>-2136</v>
      </c>
      <c r="AA155" s="239">
        <v>-536281</v>
      </c>
      <c r="AB155" s="239">
        <v>-534145</v>
      </c>
      <c r="AC155" s="239">
        <v>-2136</v>
      </c>
      <c r="AD155" s="239">
        <v>-536281</v>
      </c>
      <c r="AE155" s="239">
        <v>0</v>
      </c>
      <c r="AF155" s="239">
        <v>0</v>
      </c>
      <c r="AG155" s="239">
        <v>0</v>
      </c>
      <c r="AH155" s="239">
        <v>499608</v>
      </c>
      <c r="AI155" s="239">
        <v>47129</v>
      </c>
      <c r="AJ155" s="239">
        <v>546737</v>
      </c>
      <c r="AK155" s="239">
        <v>-34301</v>
      </c>
      <c r="AL155" s="239">
        <v>8103</v>
      </c>
      <c r="AM155" s="239">
        <v>-26198</v>
      </c>
      <c r="AN155" s="239">
        <v>-2782798</v>
      </c>
      <c r="AO155" s="239">
        <v>-95430</v>
      </c>
      <c r="AP155" s="239">
        <v>-2878228</v>
      </c>
      <c r="AQ155" s="239">
        <v>-140082</v>
      </c>
      <c r="AR155" s="239">
        <v>-120264</v>
      </c>
      <c r="AS155" s="239">
        <v>-260346</v>
      </c>
      <c r="AT155" s="239">
        <v>-85064</v>
      </c>
      <c r="AU155" s="239">
        <v>0</v>
      </c>
      <c r="AV155" s="239">
        <v>-85064</v>
      </c>
      <c r="AW155" s="239">
        <v>0</v>
      </c>
      <c r="AX155" s="239">
        <v>0</v>
      </c>
      <c r="AY155" s="239">
        <v>0</v>
      </c>
      <c r="AZ155" s="239">
        <v>-9497</v>
      </c>
      <c r="BA155" s="239">
        <v>0</v>
      </c>
      <c r="BB155" s="239">
        <v>-9497</v>
      </c>
      <c r="BC155" s="239">
        <v>0</v>
      </c>
      <c r="BD155" s="239">
        <v>0</v>
      </c>
      <c r="BE155" s="239">
        <v>0</v>
      </c>
      <c r="BF155" s="239">
        <v>-6525010</v>
      </c>
      <c r="BG155" s="239">
        <v>-527133</v>
      </c>
      <c r="BH155" s="239">
        <v>-7052143</v>
      </c>
      <c r="BI155" s="239">
        <v>-2547</v>
      </c>
      <c r="BJ155" s="239">
        <v>0</v>
      </c>
      <c r="BK155" s="239">
        <v>-2547</v>
      </c>
      <c r="BL155" s="239">
        <v>-2512</v>
      </c>
      <c r="BM155" s="239">
        <v>0</v>
      </c>
      <c r="BN155" s="239">
        <v>-2512</v>
      </c>
      <c r="BO155" s="239">
        <v>-588342</v>
      </c>
      <c r="BP155" s="239">
        <v>-100615</v>
      </c>
      <c r="BQ155" s="239">
        <v>-688957</v>
      </c>
      <c r="BR155" s="239">
        <v>-121880</v>
      </c>
      <c r="BS155" s="239">
        <v>-17798</v>
      </c>
      <c r="BT155" s="239">
        <v>-139678</v>
      </c>
      <c r="BU155" s="239">
        <v>-715281</v>
      </c>
      <c r="BV155" s="239">
        <v>-118413</v>
      </c>
      <c r="BW155" s="239">
        <v>-833694</v>
      </c>
      <c r="BX155" s="239">
        <v>-151062</v>
      </c>
      <c r="BY155" s="239">
        <v>-11780</v>
      </c>
      <c r="BZ155" s="239">
        <v>-162842</v>
      </c>
      <c r="CA155" s="239">
        <v>-634</v>
      </c>
      <c r="CB155" s="239">
        <v>0</v>
      </c>
      <c r="CC155" s="239">
        <v>-634</v>
      </c>
      <c r="CD155" s="239">
        <v>-21960</v>
      </c>
      <c r="CE155" s="239">
        <v>0</v>
      </c>
      <c r="CF155" s="239">
        <v>-21960</v>
      </c>
      <c r="CG155" s="239">
        <v>164</v>
      </c>
      <c r="CH155" s="239">
        <v>0</v>
      </c>
      <c r="CI155" s="239">
        <v>164</v>
      </c>
      <c r="CJ155" s="239">
        <v>-575</v>
      </c>
      <c r="CK155" s="239">
        <v>0</v>
      </c>
      <c r="CL155" s="239">
        <v>-575</v>
      </c>
      <c r="CM155" s="239">
        <v>0</v>
      </c>
      <c r="CN155" s="239">
        <v>0</v>
      </c>
      <c r="CO155" s="239">
        <v>0</v>
      </c>
      <c r="CP155" s="239">
        <v>0</v>
      </c>
      <c r="CQ155" s="239">
        <v>0</v>
      </c>
      <c r="CR155" s="239">
        <v>0</v>
      </c>
      <c r="CS155" s="239">
        <v>0</v>
      </c>
      <c r="CT155" s="239">
        <v>0</v>
      </c>
      <c r="CU155" s="239">
        <v>0</v>
      </c>
      <c r="CV155" s="239">
        <v>0</v>
      </c>
      <c r="CW155" s="239">
        <v>0</v>
      </c>
      <c r="CX155" s="239">
        <v>0</v>
      </c>
      <c r="CY155" s="239">
        <v>0</v>
      </c>
      <c r="CZ155" s="239">
        <v>0</v>
      </c>
      <c r="DA155" s="239">
        <v>0</v>
      </c>
      <c r="DB155" s="239">
        <v>-81332</v>
      </c>
      <c r="DC155" s="239">
        <v>-156420</v>
      </c>
      <c r="DD155" s="239">
        <v>-237752</v>
      </c>
      <c r="DE155" s="239">
        <v>18</v>
      </c>
      <c r="DF155" s="239">
        <v>0</v>
      </c>
      <c r="DG155" s="239">
        <v>18</v>
      </c>
      <c r="DH155" s="239">
        <v>-156420</v>
      </c>
      <c r="DI155" s="239">
        <v>0</v>
      </c>
      <c r="DJ155" s="239">
        <v>-255381</v>
      </c>
      <c r="DK155" s="239">
        <v>-168200</v>
      </c>
      <c r="DL155" s="239">
        <v>-423581</v>
      </c>
      <c r="DM155" s="239">
        <v>0</v>
      </c>
      <c r="DN155" s="239">
        <v>0</v>
      </c>
      <c r="DO155" s="239">
        <v>0</v>
      </c>
      <c r="DP155" s="239">
        <v>0</v>
      </c>
      <c r="DQ155" s="239">
        <v>0</v>
      </c>
      <c r="DR155" s="239">
        <v>0</v>
      </c>
      <c r="DS155" s="239">
        <v>0</v>
      </c>
      <c r="DT155" s="239">
        <v>0</v>
      </c>
      <c r="DU155" s="239">
        <v>0</v>
      </c>
      <c r="DV155" s="239">
        <v>0</v>
      </c>
      <c r="DW155" s="239">
        <v>0</v>
      </c>
      <c r="DX155" s="239">
        <v>0</v>
      </c>
      <c r="DY155" s="239">
        <v>1915</v>
      </c>
      <c r="DZ155" s="239">
        <v>0</v>
      </c>
      <c r="EA155" s="239">
        <v>1915</v>
      </c>
      <c r="EB155" s="239">
        <v>0</v>
      </c>
      <c r="EC155" s="239">
        <v>0</v>
      </c>
      <c r="ED155" s="239">
        <v>0</v>
      </c>
      <c r="EE155" s="239">
        <v>0</v>
      </c>
      <c r="EF155" s="239">
        <v>0</v>
      </c>
      <c r="EG155" s="239">
        <v>0</v>
      </c>
      <c r="EH155" s="239">
        <v>1219</v>
      </c>
      <c r="EI155" s="239">
        <v>0</v>
      </c>
      <c r="EJ155" s="239">
        <v>1219</v>
      </c>
      <c r="EK155" s="239">
        <v>-9497</v>
      </c>
      <c r="EL155" s="239">
        <v>0</v>
      </c>
      <c r="EM155" s="239">
        <v>-9497</v>
      </c>
      <c r="EN155" s="239">
        <v>0</v>
      </c>
      <c r="EO155" s="239">
        <v>0</v>
      </c>
      <c r="EP155" s="239">
        <v>0</v>
      </c>
      <c r="EQ155" s="239">
        <v>-24186</v>
      </c>
      <c r="ER155" s="239">
        <v>0</v>
      </c>
      <c r="ES155" s="239">
        <v>-24186</v>
      </c>
      <c r="ET155" s="239">
        <v>-163057</v>
      </c>
      <c r="EU155" s="239">
        <v>-16622</v>
      </c>
      <c r="EV155" s="239">
        <v>-179679</v>
      </c>
      <c r="EW155" s="239">
        <v>-36129</v>
      </c>
      <c r="EX155" s="239">
        <v>-2000</v>
      </c>
      <c r="EY155" s="239">
        <v>-38129</v>
      </c>
      <c r="EZ155" s="239">
        <v>-229735</v>
      </c>
      <c r="FA155" s="239">
        <v>-18622</v>
      </c>
      <c r="FB155" s="239">
        <v>-248357</v>
      </c>
      <c r="FC155" s="239">
        <v>0</v>
      </c>
      <c r="FD155" s="239">
        <v>0</v>
      </c>
      <c r="FE155" s="239">
        <v>0</v>
      </c>
      <c r="FF155" s="239">
        <v>0</v>
      </c>
      <c r="FG155" s="239">
        <v>0</v>
      </c>
      <c r="FH155" s="239">
        <v>0</v>
      </c>
      <c r="FI155" s="239">
        <v>0</v>
      </c>
      <c r="FJ155" s="239">
        <v>0</v>
      </c>
      <c r="FK155" s="239">
        <v>0</v>
      </c>
      <c r="FL155" s="239">
        <v>29879582</v>
      </c>
      <c r="FM155" s="239">
        <v>3267188</v>
      </c>
      <c r="FN155" s="239">
        <v>33146770</v>
      </c>
      <c r="FO155" s="239">
        <v>-535826</v>
      </c>
      <c r="FP155" s="239">
        <v>80068</v>
      </c>
      <c r="FQ155" s="239">
        <v>-455758</v>
      </c>
      <c r="FR155" s="239">
        <v>-6525010</v>
      </c>
      <c r="FS155" s="239">
        <v>-527133</v>
      </c>
      <c r="FT155" s="239">
        <v>-7052143</v>
      </c>
      <c r="FU155" s="239">
        <v>-715281</v>
      </c>
      <c r="FV155" s="239">
        <v>-118413</v>
      </c>
      <c r="FW155" s="239">
        <v>-833694</v>
      </c>
      <c r="FX155" s="239">
        <v>-255381</v>
      </c>
      <c r="FY155" s="239">
        <v>-168200</v>
      </c>
      <c r="FZ155" s="239">
        <v>-423581</v>
      </c>
      <c r="GA155" s="239">
        <v>-229735</v>
      </c>
      <c r="GB155" s="239">
        <v>-18622</v>
      </c>
      <c r="GC155" s="239">
        <v>-248357</v>
      </c>
      <c r="GD155" s="239">
        <v>0</v>
      </c>
      <c r="GE155" s="239">
        <v>0</v>
      </c>
      <c r="GF155" s="239">
        <v>0</v>
      </c>
      <c r="GG155" s="239">
        <v>-8261233</v>
      </c>
      <c r="GH155" s="239">
        <v>-752300</v>
      </c>
      <c r="GI155" s="239">
        <v>-9013533</v>
      </c>
      <c r="GJ155" s="239">
        <v>21618349</v>
      </c>
      <c r="GK155" s="239">
        <v>2514888</v>
      </c>
      <c r="GL155" s="239">
        <v>24133237</v>
      </c>
      <c r="GM155" s="214" t="s">
        <v>1158</v>
      </c>
    </row>
    <row r="156" spans="2:195" s="214" customFormat="1" x14ac:dyDescent="0.2">
      <c r="B156" s="602" t="s">
        <v>395</v>
      </c>
      <c r="C156" s="602" t="s">
        <v>394</v>
      </c>
      <c r="D156" s="239">
        <v>-11658970</v>
      </c>
      <c r="E156" s="239">
        <v>0</v>
      </c>
      <c r="F156" s="239">
        <v>-11658970</v>
      </c>
      <c r="G156" s="239">
        <v>35788</v>
      </c>
      <c r="H156" s="239">
        <v>0</v>
      </c>
      <c r="I156" s="239">
        <v>35788</v>
      </c>
      <c r="J156" s="239">
        <v>1535485</v>
      </c>
      <c r="K156" s="239">
        <v>0</v>
      </c>
      <c r="L156" s="239">
        <v>1535485</v>
      </c>
      <c r="M156" s="239">
        <v>75240</v>
      </c>
      <c r="N156" s="239">
        <v>0</v>
      </c>
      <c r="O156" s="239">
        <v>75240</v>
      </c>
      <c r="P156" s="239">
        <v>-10012457</v>
      </c>
      <c r="Q156" s="239">
        <v>0</v>
      </c>
      <c r="R156" s="239">
        <v>-10012457</v>
      </c>
      <c r="S156" s="239">
        <v>-6607136</v>
      </c>
      <c r="T156" s="239">
        <v>0</v>
      </c>
      <c r="U156" s="239">
        <v>-6607136</v>
      </c>
      <c r="V156" s="239">
        <v>0</v>
      </c>
      <c r="W156" s="239">
        <v>0</v>
      </c>
      <c r="X156" s="239">
        <v>0</v>
      </c>
      <c r="Y156" s="239">
        <v>-94990</v>
      </c>
      <c r="Z156" s="239">
        <v>0</v>
      </c>
      <c r="AA156" s="239">
        <v>-94990</v>
      </c>
      <c r="AB156" s="239">
        <v>-85375</v>
      </c>
      <c r="AC156" s="239">
        <v>0</v>
      </c>
      <c r="AD156" s="239">
        <v>-85375</v>
      </c>
      <c r="AE156" s="239">
        <v>0</v>
      </c>
      <c r="AF156" s="239">
        <v>0</v>
      </c>
      <c r="AG156" s="239">
        <v>0</v>
      </c>
      <c r="AH156" s="239">
        <v>1620972</v>
      </c>
      <c r="AI156" s="239">
        <v>0</v>
      </c>
      <c r="AJ156" s="239">
        <v>1620972</v>
      </c>
      <c r="AK156" s="239">
        <v>-37930</v>
      </c>
      <c r="AL156" s="239">
        <v>0</v>
      </c>
      <c r="AM156" s="239">
        <v>-37930</v>
      </c>
      <c r="AN156" s="239">
        <v>-8101023</v>
      </c>
      <c r="AO156" s="239">
        <v>0</v>
      </c>
      <c r="AP156" s="239">
        <v>-8101023</v>
      </c>
      <c r="AQ156" s="239">
        <v>-48492</v>
      </c>
      <c r="AR156" s="239">
        <v>0</v>
      </c>
      <c r="AS156" s="239">
        <v>-48492</v>
      </c>
      <c r="AT156" s="239">
        <v>0</v>
      </c>
      <c r="AU156" s="239">
        <v>0</v>
      </c>
      <c r="AV156" s="239">
        <v>0</v>
      </c>
      <c r="AW156" s="239">
        <v>0</v>
      </c>
      <c r="AX156" s="239">
        <v>0</v>
      </c>
      <c r="AY156" s="239">
        <v>0</v>
      </c>
      <c r="AZ156" s="239">
        <v>0</v>
      </c>
      <c r="BA156" s="239">
        <v>0</v>
      </c>
      <c r="BB156" s="239">
        <v>0</v>
      </c>
      <c r="BC156" s="239">
        <v>0</v>
      </c>
      <c r="BD156" s="239">
        <v>0</v>
      </c>
      <c r="BE156" s="239">
        <v>0</v>
      </c>
      <c r="BF156" s="239">
        <v>-13268599</v>
      </c>
      <c r="BG156" s="239">
        <v>0</v>
      </c>
      <c r="BH156" s="239">
        <v>-13268599</v>
      </c>
      <c r="BI156" s="239">
        <v>0</v>
      </c>
      <c r="BJ156" s="239">
        <v>0</v>
      </c>
      <c r="BK156" s="239">
        <v>0</v>
      </c>
      <c r="BL156" s="239">
        <v>1014</v>
      </c>
      <c r="BM156" s="239">
        <v>0</v>
      </c>
      <c r="BN156" s="239">
        <v>1014</v>
      </c>
      <c r="BO156" s="239">
        <v>-1330271</v>
      </c>
      <c r="BP156" s="239">
        <v>0</v>
      </c>
      <c r="BQ156" s="239">
        <v>-1330271</v>
      </c>
      <c r="BR156" s="239">
        <v>-129010</v>
      </c>
      <c r="BS156" s="239">
        <v>0</v>
      </c>
      <c r="BT156" s="239">
        <v>-129010</v>
      </c>
      <c r="BU156" s="239">
        <v>-1458267</v>
      </c>
      <c r="BV156" s="239">
        <v>0</v>
      </c>
      <c r="BW156" s="239">
        <v>-1458267</v>
      </c>
      <c r="BX156" s="239">
        <v>-688110</v>
      </c>
      <c r="BY156" s="239">
        <v>0</v>
      </c>
      <c r="BZ156" s="239">
        <v>-688110</v>
      </c>
      <c r="CA156" s="239">
        <v>1228</v>
      </c>
      <c r="CB156" s="239">
        <v>0</v>
      </c>
      <c r="CC156" s="239">
        <v>1228</v>
      </c>
      <c r="CD156" s="239">
        <v>0</v>
      </c>
      <c r="CE156" s="239">
        <v>0</v>
      </c>
      <c r="CF156" s="239">
        <v>0</v>
      </c>
      <c r="CG156" s="239">
        <v>0</v>
      </c>
      <c r="CH156" s="239">
        <v>0</v>
      </c>
      <c r="CI156" s="239">
        <v>0</v>
      </c>
      <c r="CJ156" s="239">
        <v>0</v>
      </c>
      <c r="CK156" s="239">
        <v>0</v>
      </c>
      <c r="CL156" s="239">
        <v>0</v>
      </c>
      <c r="CM156" s="239">
        <v>0</v>
      </c>
      <c r="CN156" s="239">
        <v>0</v>
      </c>
      <c r="CO156" s="239">
        <v>0</v>
      </c>
      <c r="CP156" s="239">
        <v>0</v>
      </c>
      <c r="CQ156" s="239">
        <v>0</v>
      </c>
      <c r="CR156" s="239">
        <v>0</v>
      </c>
      <c r="CS156" s="239">
        <v>0</v>
      </c>
      <c r="CT156" s="239">
        <v>0</v>
      </c>
      <c r="CU156" s="239">
        <v>0</v>
      </c>
      <c r="CV156" s="239">
        <v>0</v>
      </c>
      <c r="CW156" s="239">
        <v>0</v>
      </c>
      <c r="CX156" s="239">
        <v>0</v>
      </c>
      <c r="CY156" s="239">
        <v>0</v>
      </c>
      <c r="CZ156" s="239">
        <v>0</v>
      </c>
      <c r="DA156" s="239">
        <v>0</v>
      </c>
      <c r="DB156" s="239">
        <v>-4093</v>
      </c>
      <c r="DC156" s="239">
        <v>0</v>
      </c>
      <c r="DD156" s="239">
        <v>-4093</v>
      </c>
      <c r="DE156" s="239">
        <v>-3883</v>
      </c>
      <c r="DF156" s="239">
        <v>0</v>
      </c>
      <c r="DG156" s="239">
        <v>-3883</v>
      </c>
      <c r="DH156" s="239">
        <v>0</v>
      </c>
      <c r="DI156" s="239">
        <v>0</v>
      </c>
      <c r="DJ156" s="239">
        <v>-694858</v>
      </c>
      <c r="DK156" s="239">
        <v>0</v>
      </c>
      <c r="DL156" s="239">
        <v>-694858</v>
      </c>
      <c r="DM156" s="239">
        <v>-42637</v>
      </c>
      <c r="DN156" s="239">
        <v>0</v>
      </c>
      <c r="DO156" s="239">
        <v>-42637</v>
      </c>
      <c r="DP156" s="239">
        <v>12017</v>
      </c>
      <c r="DQ156" s="239">
        <v>0</v>
      </c>
      <c r="DR156" s="239">
        <v>12017</v>
      </c>
      <c r="DS156" s="239">
        <v>-227</v>
      </c>
      <c r="DT156" s="239">
        <v>0</v>
      </c>
      <c r="DU156" s="239">
        <v>-227</v>
      </c>
      <c r="DV156" s="239">
        <v>27</v>
      </c>
      <c r="DW156" s="239">
        <v>0</v>
      </c>
      <c r="DX156" s="239">
        <v>27</v>
      </c>
      <c r="DY156" s="239">
        <v>1468</v>
      </c>
      <c r="DZ156" s="239">
        <v>0</v>
      </c>
      <c r="EA156" s="239">
        <v>1468</v>
      </c>
      <c r="EB156" s="239">
        <v>0</v>
      </c>
      <c r="EC156" s="239">
        <v>0</v>
      </c>
      <c r="ED156" s="239">
        <v>0</v>
      </c>
      <c r="EE156" s="239">
        <v>0</v>
      </c>
      <c r="EF156" s="239">
        <v>0</v>
      </c>
      <c r="EG156" s="239">
        <v>0</v>
      </c>
      <c r="EH156" s="239">
        <v>0</v>
      </c>
      <c r="EI156" s="239">
        <v>0</v>
      </c>
      <c r="EJ156" s="239">
        <v>0</v>
      </c>
      <c r="EK156" s="239">
        <v>0</v>
      </c>
      <c r="EL156" s="239">
        <v>0</v>
      </c>
      <c r="EM156" s="239">
        <v>0</v>
      </c>
      <c r="EN156" s="239">
        <v>0</v>
      </c>
      <c r="EO156" s="239">
        <v>0</v>
      </c>
      <c r="EP156" s="239">
        <v>0</v>
      </c>
      <c r="EQ156" s="239">
        <v>-191406</v>
      </c>
      <c r="ER156" s="239">
        <v>0</v>
      </c>
      <c r="ES156" s="239">
        <v>-191406</v>
      </c>
      <c r="ET156" s="239">
        <v>-759059</v>
      </c>
      <c r="EU156" s="239">
        <v>0</v>
      </c>
      <c r="EV156" s="239">
        <v>-759059</v>
      </c>
      <c r="EW156" s="239">
        <v>-41523</v>
      </c>
      <c r="EX156" s="239">
        <v>0</v>
      </c>
      <c r="EY156" s="239">
        <v>-41523</v>
      </c>
      <c r="EZ156" s="239">
        <v>-1021340</v>
      </c>
      <c r="FA156" s="239">
        <v>0</v>
      </c>
      <c r="FB156" s="239">
        <v>-1021340</v>
      </c>
      <c r="FC156" s="239">
        <v>0</v>
      </c>
      <c r="FD156" s="239">
        <v>0</v>
      </c>
      <c r="FE156" s="239">
        <v>0</v>
      </c>
      <c r="FF156" s="239">
        <v>0</v>
      </c>
      <c r="FG156" s="239">
        <v>0</v>
      </c>
      <c r="FH156" s="239">
        <v>0</v>
      </c>
      <c r="FI156" s="239">
        <v>0</v>
      </c>
      <c r="FJ156" s="239">
        <v>0</v>
      </c>
      <c r="FK156" s="239">
        <v>0</v>
      </c>
      <c r="FL156" s="239">
        <v>82309721</v>
      </c>
      <c r="FM156" s="239">
        <v>0</v>
      </c>
      <c r="FN156" s="239">
        <v>82309721</v>
      </c>
      <c r="FO156" s="239">
        <v>-10012457</v>
      </c>
      <c r="FP156" s="239">
        <v>0</v>
      </c>
      <c r="FQ156" s="239">
        <v>-10012457</v>
      </c>
      <c r="FR156" s="239">
        <v>-13268599</v>
      </c>
      <c r="FS156" s="239">
        <v>0</v>
      </c>
      <c r="FT156" s="239">
        <v>-13268599</v>
      </c>
      <c r="FU156" s="239">
        <v>-1458267</v>
      </c>
      <c r="FV156" s="239">
        <v>0</v>
      </c>
      <c r="FW156" s="239">
        <v>-1458267</v>
      </c>
      <c r="FX156" s="239">
        <v>-694858</v>
      </c>
      <c r="FY156" s="239">
        <v>0</v>
      </c>
      <c r="FZ156" s="239">
        <v>-694858</v>
      </c>
      <c r="GA156" s="239">
        <v>-1021340</v>
      </c>
      <c r="GB156" s="239">
        <v>0</v>
      </c>
      <c r="GC156" s="239">
        <v>-1021340</v>
      </c>
      <c r="GD156" s="239">
        <v>0</v>
      </c>
      <c r="GE156" s="239">
        <v>0</v>
      </c>
      <c r="GF156" s="239">
        <v>0</v>
      </c>
      <c r="GG156" s="239">
        <v>-26455521</v>
      </c>
      <c r="GH156" s="239">
        <v>0</v>
      </c>
      <c r="GI156" s="239">
        <v>-26455521</v>
      </c>
      <c r="GJ156" s="239">
        <v>55854200</v>
      </c>
      <c r="GK156" s="239">
        <v>0</v>
      </c>
      <c r="GL156" s="239">
        <v>55854200</v>
      </c>
      <c r="GM156" s="214" t="s">
        <v>1161</v>
      </c>
    </row>
    <row r="157" spans="2:195" s="214" customFormat="1" x14ac:dyDescent="0.2">
      <c r="B157" s="602" t="s">
        <v>397</v>
      </c>
      <c r="C157" s="602" t="s">
        <v>396</v>
      </c>
      <c r="D157" s="239">
        <v>-2237272</v>
      </c>
      <c r="E157" s="239">
        <v>0</v>
      </c>
      <c r="F157" s="239">
        <v>-2237272</v>
      </c>
      <c r="G157" s="239">
        <v>46401</v>
      </c>
      <c r="H157" s="239">
        <v>0</v>
      </c>
      <c r="I157" s="239">
        <v>46401</v>
      </c>
      <c r="J157" s="239">
        <v>2072987</v>
      </c>
      <c r="K157" s="239">
        <v>0</v>
      </c>
      <c r="L157" s="239">
        <v>2072987</v>
      </c>
      <c r="M157" s="239">
        <v>14699</v>
      </c>
      <c r="N157" s="239">
        <v>0</v>
      </c>
      <c r="O157" s="239">
        <v>14699</v>
      </c>
      <c r="P157" s="239">
        <v>-103185</v>
      </c>
      <c r="Q157" s="239">
        <v>0</v>
      </c>
      <c r="R157" s="239">
        <v>-103185</v>
      </c>
      <c r="S157" s="239">
        <v>-3023421</v>
      </c>
      <c r="T157" s="239">
        <v>0</v>
      </c>
      <c r="U157" s="239">
        <v>-3023421</v>
      </c>
      <c r="V157" s="239">
        <v>-9827</v>
      </c>
      <c r="W157" s="239">
        <v>0</v>
      </c>
      <c r="X157" s="239">
        <v>-9827</v>
      </c>
      <c r="Y157" s="239">
        <v>-115353</v>
      </c>
      <c r="Z157" s="239">
        <v>0</v>
      </c>
      <c r="AA157" s="239">
        <v>-115353</v>
      </c>
      <c r="AB157" s="239">
        <v>-92919</v>
      </c>
      <c r="AC157" s="239">
        <v>0</v>
      </c>
      <c r="AD157" s="239">
        <v>-92919</v>
      </c>
      <c r="AE157" s="239">
        <v>-1998</v>
      </c>
      <c r="AF157" s="239">
        <v>0</v>
      </c>
      <c r="AG157" s="239">
        <v>-1998</v>
      </c>
      <c r="AH157" s="239">
        <v>798110</v>
      </c>
      <c r="AI157" s="239">
        <v>0</v>
      </c>
      <c r="AJ157" s="239">
        <v>798110</v>
      </c>
      <c r="AK157" s="239">
        <v>162589</v>
      </c>
      <c r="AL157" s="239">
        <v>0</v>
      </c>
      <c r="AM157" s="239">
        <v>162589</v>
      </c>
      <c r="AN157" s="239">
        <v>-1622793</v>
      </c>
      <c r="AO157" s="239">
        <v>0</v>
      </c>
      <c r="AP157" s="239">
        <v>-1622793</v>
      </c>
      <c r="AQ157" s="239">
        <v>27888</v>
      </c>
      <c r="AR157" s="239">
        <v>0</v>
      </c>
      <c r="AS157" s="239">
        <v>27888</v>
      </c>
      <c r="AT157" s="239">
        <v>-54249</v>
      </c>
      <c r="AU157" s="239">
        <v>0</v>
      </c>
      <c r="AV157" s="239">
        <v>-54249</v>
      </c>
      <c r="AW157" s="239">
        <v>0</v>
      </c>
      <c r="AX157" s="239">
        <v>0</v>
      </c>
      <c r="AY157" s="239">
        <v>0</v>
      </c>
      <c r="AZ157" s="239">
        <v>-3425</v>
      </c>
      <c r="BA157" s="239">
        <v>0</v>
      </c>
      <c r="BB157" s="239">
        <v>-3425</v>
      </c>
      <c r="BC157" s="239">
        <v>290</v>
      </c>
      <c r="BD157" s="239">
        <v>0</v>
      </c>
      <c r="BE157" s="239">
        <v>290</v>
      </c>
      <c r="BF157" s="239">
        <v>-3830364</v>
      </c>
      <c r="BG157" s="239">
        <v>0</v>
      </c>
      <c r="BH157" s="239">
        <v>-3830364</v>
      </c>
      <c r="BI157" s="239">
        <v>-50135</v>
      </c>
      <c r="BJ157" s="239">
        <v>0</v>
      </c>
      <c r="BK157" s="239">
        <v>-50135</v>
      </c>
      <c r="BL157" s="239">
        <v>4222</v>
      </c>
      <c r="BM157" s="239">
        <v>0</v>
      </c>
      <c r="BN157" s="239">
        <v>4222</v>
      </c>
      <c r="BO157" s="239">
        <v>-1559197</v>
      </c>
      <c r="BP157" s="239">
        <v>0</v>
      </c>
      <c r="BQ157" s="239">
        <v>-1559197</v>
      </c>
      <c r="BR157" s="239">
        <v>-11732</v>
      </c>
      <c r="BS157" s="239">
        <v>0</v>
      </c>
      <c r="BT157" s="239">
        <v>-11732</v>
      </c>
      <c r="BU157" s="239">
        <v>-1616842</v>
      </c>
      <c r="BV157" s="239">
        <v>0</v>
      </c>
      <c r="BW157" s="239">
        <v>-1616842</v>
      </c>
      <c r="BX157" s="239">
        <v>-33222</v>
      </c>
      <c r="BY157" s="239">
        <v>0</v>
      </c>
      <c r="BZ157" s="239">
        <v>-33222</v>
      </c>
      <c r="CA157" s="239">
        <v>-1069</v>
      </c>
      <c r="CB157" s="239">
        <v>0</v>
      </c>
      <c r="CC157" s="239">
        <v>-1069</v>
      </c>
      <c r="CD157" s="239">
        <v>-11510</v>
      </c>
      <c r="CE157" s="239">
        <v>0</v>
      </c>
      <c r="CF157" s="239">
        <v>-11510</v>
      </c>
      <c r="CG157" s="239">
        <v>-1895</v>
      </c>
      <c r="CH157" s="239">
        <v>0</v>
      </c>
      <c r="CI157" s="239">
        <v>-1895</v>
      </c>
      <c r="CJ157" s="239">
        <v>0</v>
      </c>
      <c r="CK157" s="239">
        <v>0</v>
      </c>
      <c r="CL157" s="239">
        <v>0</v>
      </c>
      <c r="CM157" s="239">
        <v>0</v>
      </c>
      <c r="CN157" s="239">
        <v>0</v>
      </c>
      <c r="CO157" s="239">
        <v>0</v>
      </c>
      <c r="CP157" s="239">
        <v>0</v>
      </c>
      <c r="CQ157" s="239">
        <v>0</v>
      </c>
      <c r="CR157" s="239">
        <v>0</v>
      </c>
      <c r="CS157" s="239">
        <v>290</v>
      </c>
      <c r="CT157" s="239">
        <v>0</v>
      </c>
      <c r="CU157" s="239">
        <v>290</v>
      </c>
      <c r="CV157" s="239">
        <v>0</v>
      </c>
      <c r="CW157" s="239">
        <v>0</v>
      </c>
      <c r="CX157" s="239">
        <v>0</v>
      </c>
      <c r="CY157" s="239">
        <v>0</v>
      </c>
      <c r="CZ157" s="239">
        <v>0</v>
      </c>
      <c r="DA157" s="239">
        <v>0</v>
      </c>
      <c r="DB157" s="239">
        <v>0</v>
      </c>
      <c r="DC157" s="239">
        <v>0</v>
      </c>
      <c r="DD157" s="239">
        <v>0</v>
      </c>
      <c r="DE157" s="239">
        <v>0</v>
      </c>
      <c r="DF157" s="239">
        <v>0</v>
      </c>
      <c r="DG157" s="239">
        <v>0</v>
      </c>
      <c r="DH157" s="239">
        <v>0</v>
      </c>
      <c r="DI157" s="239">
        <v>0</v>
      </c>
      <c r="DJ157" s="239">
        <v>-47406</v>
      </c>
      <c r="DK157" s="239">
        <v>0</v>
      </c>
      <c r="DL157" s="239">
        <v>-47406</v>
      </c>
      <c r="DM157" s="239">
        <v>0</v>
      </c>
      <c r="DN157" s="239">
        <v>0</v>
      </c>
      <c r="DO157" s="239">
        <v>0</v>
      </c>
      <c r="DP157" s="239">
        <v>0</v>
      </c>
      <c r="DQ157" s="239">
        <v>0</v>
      </c>
      <c r="DR157" s="239">
        <v>0</v>
      </c>
      <c r="DS157" s="239">
        <v>0</v>
      </c>
      <c r="DT157" s="239">
        <v>0</v>
      </c>
      <c r="DU157" s="239">
        <v>0</v>
      </c>
      <c r="DV157" s="239">
        <v>2016</v>
      </c>
      <c r="DW157" s="239">
        <v>0</v>
      </c>
      <c r="DX157" s="239">
        <v>2016</v>
      </c>
      <c r="DY157" s="239">
        <v>2287</v>
      </c>
      <c r="DZ157" s="239">
        <v>0</v>
      </c>
      <c r="EA157" s="239">
        <v>2287</v>
      </c>
      <c r="EB157" s="239">
        <v>0</v>
      </c>
      <c r="EC157" s="239">
        <v>0</v>
      </c>
      <c r="ED157" s="239">
        <v>0</v>
      </c>
      <c r="EE157" s="239">
        <v>0</v>
      </c>
      <c r="EF157" s="239">
        <v>0</v>
      </c>
      <c r="EG157" s="239">
        <v>0</v>
      </c>
      <c r="EH157" s="239">
        <v>6771</v>
      </c>
      <c r="EI157" s="239">
        <v>0</v>
      </c>
      <c r="EJ157" s="239">
        <v>6771</v>
      </c>
      <c r="EK157" s="239">
        <v>-3425</v>
      </c>
      <c r="EL157" s="239">
        <v>0</v>
      </c>
      <c r="EM157" s="239">
        <v>-3425</v>
      </c>
      <c r="EN157" s="239">
        <v>0</v>
      </c>
      <c r="EO157" s="239">
        <v>0</v>
      </c>
      <c r="EP157" s="239">
        <v>0</v>
      </c>
      <c r="EQ157" s="239">
        <v>-31054</v>
      </c>
      <c r="ER157" s="239">
        <v>0</v>
      </c>
      <c r="ES157" s="239">
        <v>-31054</v>
      </c>
      <c r="ET157" s="239">
        <v>-250827</v>
      </c>
      <c r="EU157" s="239">
        <v>0</v>
      </c>
      <c r="EV157" s="239">
        <v>-250827</v>
      </c>
      <c r="EW157" s="239">
        <v>-47123</v>
      </c>
      <c r="EX157" s="239">
        <v>0</v>
      </c>
      <c r="EY157" s="239">
        <v>-47123</v>
      </c>
      <c r="EZ157" s="239">
        <v>-321355</v>
      </c>
      <c r="FA157" s="239">
        <v>0</v>
      </c>
      <c r="FB157" s="239">
        <v>-321355</v>
      </c>
      <c r="FC157" s="239">
        <v>0</v>
      </c>
      <c r="FD157" s="239">
        <v>0</v>
      </c>
      <c r="FE157" s="239">
        <v>0</v>
      </c>
      <c r="FF157" s="239">
        <v>0</v>
      </c>
      <c r="FG157" s="239">
        <v>0</v>
      </c>
      <c r="FH157" s="239">
        <v>0</v>
      </c>
      <c r="FI157" s="239">
        <v>0</v>
      </c>
      <c r="FJ157" s="239">
        <v>0</v>
      </c>
      <c r="FK157" s="239">
        <v>0</v>
      </c>
      <c r="FL157" s="239">
        <v>39867445</v>
      </c>
      <c r="FM157" s="239">
        <v>0</v>
      </c>
      <c r="FN157" s="239">
        <v>39867445</v>
      </c>
      <c r="FO157" s="239">
        <v>-103185</v>
      </c>
      <c r="FP157" s="239">
        <v>0</v>
      </c>
      <c r="FQ157" s="239">
        <v>-103185</v>
      </c>
      <c r="FR157" s="239">
        <v>-3830364</v>
      </c>
      <c r="FS157" s="239">
        <v>0</v>
      </c>
      <c r="FT157" s="239">
        <v>-3830364</v>
      </c>
      <c r="FU157" s="239">
        <v>-1616842</v>
      </c>
      <c r="FV157" s="239">
        <v>0</v>
      </c>
      <c r="FW157" s="239">
        <v>-1616842</v>
      </c>
      <c r="FX157" s="239">
        <v>-47406</v>
      </c>
      <c r="FY157" s="239">
        <v>0</v>
      </c>
      <c r="FZ157" s="239">
        <v>-47406</v>
      </c>
      <c r="GA157" s="239">
        <v>-321355</v>
      </c>
      <c r="GB157" s="239">
        <v>0</v>
      </c>
      <c r="GC157" s="239">
        <v>-321355</v>
      </c>
      <c r="GD157" s="239">
        <v>0</v>
      </c>
      <c r="GE157" s="239">
        <v>0</v>
      </c>
      <c r="GF157" s="239">
        <v>0</v>
      </c>
      <c r="GG157" s="239">
        <v>-5919152</v>
      </c>
      <c r="GH157" s="239">
        <v>0</v>
      </c>
      <c r="GI157" s="239">
        <v>-5919152</v>
      </c>
      <c r="GJ157" s="239">
        <v>33948293</v>
      </c>
      <c r="GK157" s="239">
        <v>0</v>
      </c>
      <c r="GL157" s="239">
        <v>33948293</v>
      </c>
      <c r="GM157" s="214" t="s">
        <v>1158</v>
      </c>
    </row>
    <row r="158" spans="2:195" s="214" customFormat="1" x14ac:dyDescent="0.2">
      <c r="B158" s="602" t="s">
        <v>399</v>
      </c>
      <c r="C158" s="602" t="s">
        <v>398</v>
      </c>
      <c r="D158" s="239">
        <v>-1073913</v>
      </c>
      <c r="E158" s="239">
        <v>0</v>
      </c>
      <c r="F158" s="239">
        <v>-1073913</v>
      </c>
      <c r="G158" s="239">
        <v>-1007</v>
      </c>
      <c r="H158" s="239">
        <v>0</v>
      </c>
      <c r="I158" s="239">
        <v>-1007</v>
      </c>
      <c r="J158" s="239">
        <v>1490393</v>
      </c>
      <c r="K158" s="239">
        <v>0</v>
      </c>
      <c r="L158" s="239">
        <v>1490393</v>
      </c>
      <c r="M158" s="239">
        <v>47843</v>
      </c>
      <c r="N158" s="239">
        <v>0</v>
      </c>
      <c r="O158" s="239">
        <v>47843</v>
      </c>
      <c r="P158" s="239">
        <v>463316</v>
      </c>
      <c r="Q158" s="239">
        <v>0</v>
      </c>
      <c r="R158" s="239">
        <v>463316</v>
      </c>
      <c r="S158" s="239">
        <v>-2966721</v>
      </c>
      <c r="T158" s="239">
        <v>0</v>
      </c>
      <c r="U158" s="239">
        <v>-2966721</v>
      </c>
      <c r="V158" s="239">
        <v>-37769</v>
      </c>
      <c r="W158" s="239">
        <v>0</v>
      </c>
      <c r="X158" s="239">
        <v>-37769</v>
      </c>
      <c r="Y158" s="239">
        <v>-46118</v>
      </c>
      <c r="Z158" s="239">
        <v>0</v>
      </c>
      <c r="AA158" s="239">
        <v>-46118</v>
      </c>
      <c r="AB158" s="239">
        <v>-41235</v>
      </c>
      <c r="AC158" s="239">
        <v>0</v>
      </c>
      <c r="AD158" s="239">
        <v>-41235</v>
      </c>
      <c r="AE158" s="239">
        <v>-4883</v>
      </c>
      <c r="AF158" s="239">
        <v>0</v>
      </c>
      <c r="AG158" s="239">
        <v>-4883</v>
      </c>
      <c r="AH158" s="239">
        <v>1038649</v>
      </c>
      <c r="AI158" s="239">
        <v>0</v>
      </c>
      <c r="AJ158" s="239">
        <v>1038649</v>
      </c>
      <c r="AK158" s="239">
        <v>24857</v>
      </c>
      <c r="AL158" s="239">
        <v>0</v>
      </c>
      <c r="AM158" s="239">
        <v>24857</v>
      </c>
      <c r="AN158" s="239">
        <v>-5008563</v>
      </c>
      <c r="AO158" s="239">
        <v>0</v>
      </c>
      <c r="AP158" s="239">
        <v>-5008563</v>
      </c>
      <c r="AQ158" s="239">
        <v>-5667</v>
      </c>
      <c r="AR158" s="239">
        <v>0</v>
      </c>
      <c r="AS158" s="239">
        <v>-5667</v>
      </c>
      <c r="AT158" s="239">
        <v>-65487</v>
      </c>
      <c r="AU158" s="239">
        <v>0</v>
      </c>
      <c r="AV158" s="239">
        <v>-65487</v>
      </c>
      <c r="AW158" s="239">
        <v>0</v>
      </c>
      <c r="AX158" s="239">
        <v>0</v>
      </c>
      <c r="AY158" s="239">
        <v>0</v>
      </c>
      <c r="AZ158" s="239">
        <v>0</v>
      </c>
      <c r="BA158" s="239">
        <v>0</v>
      </c>
      <c r="BB158" s="239">
        <v>0</v>
      </c>
      <c r="BC158" s="239">
        <v>0</v>
      </c>
      <c r="BD158" s="239">
        <v>0</v>
      </c>
      <c r="BE158" s="239">
        <v>0</v>
      </c>
      <c r="BF158" s="239">
        <v>-7029050</v>
      </c>
      <c r="BG158" s="239">
        <v>0</v>
      </c>
      <c r="BH158" s="239">
        <v>-7029050</v>
      </c>
      <c r="BI158" s="239">
        <v>0</v>
      </c>
      <c r="BJ158" s="239">
        <v>0</v>
      </c>
      <c r="BK158" s="239">
        <v>0</v>
      </c>
      <c r="BL158" s="239">
        <v>0</v>
      </c>
      <c r="BM158" s="239">
        <v>0</v>
      </c>
      <c r="BN158" s="239">
        <v>0</v>
      </c>
      <c r="BO158" s="239">
        <v>-1190896</v>
      </c>
      <c r="BP158" s="239">
        <v>0</v>
      </c>
      <c r="BQ158" s="239">
        <v>-1190896</v>
      </c>
      <c r="BR158" s="239">
        <v>122183</v>
      </c>
      <c r="BS158" s="239">
        <v>0</v>
      </c>
      <c r="BT158" s="239">
        <v>122183</v>
      </c>
      <c r="BU158" s="239">
        <v>-1068713</v>
      </c>
      <c r="BV158" s="239">
        <v>0</v>
      </c>
      <c r="BW158" s="239">
        <v>-1068713</v>
      </c>
      <c r="BX158" s="239">
        <v>-34464</v>
      </c>
      <c r="BY158" s="239">
        <v>0</v>
      </c>
      <c r="BZ158" s="239">
        <v>-34464</v>
      </c>
      <c r="CA158" s="239">
        <v>-752</v>
      </c>
      <c r="CB158" s="239">
        <v>0</v>
      </c>
      <c r="CC158" s="239">
        <v>-752</v>
      </c>
      <c r="CD158" s="239">
        <v>-6997</v>
      </c>
      <c r="CE158" s="239">
        <v>0</v>
      </c>
      <c r="CF158" s="239">
        <v>-6997</v>
      </c>
      <c r="CG158" s="239">
        <v>0</v>
      </c>
      <c r="CH158" s="239">
        <v>0</v>
      </c>
      <c r="CI158" s="239">
        <v>0</v>
      </c>
      <c r="CJ158" s="239">
        <v>-443</v>
      </c>
      <c r="CK158" s="239">
        <v>0</v>
      </c>
      <c r="CL158" s="239">
        <v>-443</v>
      </c>
      <c r="CM158" s="239">
        <v>0</v>
      </c>
      <c r="CN158" s="239">
        <v>0</v>
      </c>
      <c r="CO158" s="239">
        <v>0</v>
      </c>
      <c r="CP158" s="239">
        <v>0</v>
      </c>
      <c r="CQ158" s="239">
        <v>0</v>
      </c>
      <c r="CR158" s="239">
        <v>0</v>
      </c>
      <c r="CS158" s="239">
        <v>0</v>
      </c>
      <c r="CT158" s="239">
        <v>0</v>
      </c>
      <c r="CU158" s="239">
        <v>0</v>
      </c>
      <c r="CV158" s="239">
        <v>0</v>
      </c>
      <c r="CW158" s="239">
        <v>0</v>
      </c>
      <c r="CX158" s="239">
        <v>0</v>
      </c>
      <c r="CY158" s="239">
        <v>0</v>
      </c>
      <c r="CZ158" s="239">
        <v>0</v>
      </c>
      <c r="DA158" s="239">
        <v>0</v>
      </c>
      <c r="DB158" s="239">
        <v>0</v>
      </c>
      <c r="DC158" s="239">
        <v>0</v>
      </c>
      <c r="DD158" s="239">
        <v>0</v>
      </c>
      <c r="DE158" s="239">
        <v>0</v>
      </c>
      <c r="DF158" s="239">
        <v>0</v>
      </c>
      <c r="DG158" s="239">
        <v>0</v>
      </c>
      <c r="DH158" s="239">
        <v>0</v>
      </c>
      <c r="DI158" s="239">
        <v>0</v>
      </c>
      <c r="DJ158" s="239">
        <v>-42656</v>
      </c>
      <c r="DK158" s="239">
        <v>0</v>
      </c>
      <c r="DL158" s="239">
        <v>-42656</v>
      </c>
      <c r="DM158" s="239">
        <v>-73032</v>
      </c>
      <c r="DN158" s="239">
        <v>0</v>
      </c>
      <c r="DO158" s="239">
        <v>-73032</v>
      </c>
      <c r="DP158" s="239">
        <v>16695</v>
      </c>
      <c r="DQ158" s="239">
        <v>0</v>
      </c>
      <c r="DR158" s="239">
        <v>16695</v>
      </c>
      <c r="DS158" s="239">
        <v>-791</v>
      </c>
      <c r="DT158" s="239">
        <v>0</v>
      </c>
      <c r="DU158" s="239">
        <v>-791</v>
      </c>
      <c r="DV158" s="239">
        <v>6789</v>
      </c>
      <c r="DW158" s="239">
        <v>0</v>
      </c>
      <c r="DX158" s="239">
        <v>6789</v>
      </c>
      <c r="DY158" s="239">
        <v>902</v>
      </c>
      <c r="DZ158" s="239">
        <v>0</v>
      </c>
      <c r="EA158" s="239">
        <v>902</v>
      </c>
      <c r="EB158" s="239">
        <v>0</v>
      </c>
      <c r="EC158" s="239">
        <v>0</v>
      </c>
      <c r="ED158" s="239">
        <v>0</v>
      </c>
      <c r="EE158" s="239">
        <v>0</v>
      </c>
      <c r="EF158" s="239">
        <v>0</v>
      </c>
      <c r="EG158" s="239">
        <v>0</v>
      </c>
      <c r="EH158" s="239">
        <v>0</v>
      </c>
      <c r="EI158" s="239">
        <v>0</v>
      </c>
      <c r="EJ158" s="239">
        <v>0</v>
      </c>
      <c r="EK158" s="239">
        <v>0</v>
      </c>
      <c r="EL158" s="239">
        <v>0</v>
      </c>
      <c r="EM158" s="239">
        <v>0</v>
      </c>
      <c r="EN158" s="239">
        <v>-1078</v>
      </c>
      <c r="EO158" s="239">
        <v>0</v>
      </c>
      <c r="EP158" s="239">
        <v>-1078</v>
      </c>
      <c r="EQ158" s="239">
        <v>-6060</v>
      </c>
      <c r="ER158" s="239">
        <v>0</v>
      </c>
      <c r="ES158" s="239">
        <v>-6060</v>
      </c>
      <c r="ET158" s="239">
        <v>-111476</v>
      </c>
      <c r="EU158" s="239">
        <v>0</v>
      </c>
      <c r="EV158" s="239">
        <v>-111476</v>
      </c>
      <c r="EW158" s="239">
        <v>-26329</v>
      </c>
      <c r="EX158" s="239">
        <v>0</v>
      </c>
      <c r="EY158" s="239">
        <v>-26329</v>
      </c>
      <c r="EZ158" s="239">
        <v>-194380</v>
      </c>
      <c r="FA158" s="239">
        <v>0</v>
      </c>
      <c r="FB158" s="239">
        <v>-194380</v>
      </c>
      <c r="FC158" s="239">
        <v>0</v>
      </c>
      <c r="FD158" s="239">
        <v>0</v>
      </c>
      <c r="FE158" s="239">
        <v>0</v>
      </c>
      <c r="FF158" s="239">
        <v>0</v>
      </c>
      <c r="FG158" s="239">
        <v>0</v>
      </c>
      <c r="FH158" s="239">
        <v>0</v>
      </c>
      <c r="FI158" s="239">
        <v>0</v>
      </c>
      <c r="FJ158" s="239">
        <v>0</v>
      </c>
      <c r="FK158" s="239">
        <v>0</v>
      </c>
      <c r="FL158" s="239">
        <v>49684113</v>
      </c>
      <c r="FM158" s="239">
        <v>0</v>
      </c>
      <c r="FN158" s="239">
        <v>49684113</v>
      </c>
      <c r="FO158" s="239">
        <v>463316</v>
      </c>
      <c r="FP158" s="239">
        <v>0</v>
      </c>
      <c r="FQ158" s="239">
        <v>463316</v>
      </c>
      <c r="FR158" s="239">
        <v>-7029050</v>
      </c>
      <c r="FS158" s="239">
        <v>0</v>
      </c>
      <c r="FT158" s="239">
        <v>-7029050</v>
      </c>
      <c r="FU158" s="239">
        <v>-1068713</v>
      </c>
      <c r="FV158" s="239">
        <v>0</v>
      </c>
      <c r="FW158" s="239">
        <v>-1068713</v>
      </c>
      <c r="FX158" s="239">
        <v>-42656</v>
      </c>
      <c r="FY158" s="239">
        <v>0</v>
      </c>
      <c r="FZ158" s="239">
        <v>-42656</v>
      </c>
      <c r="GA158" s="239">
        <v>-194380</v>
      </c>
      <c r="GB158" s="239">
        <v>0</v>
      </c>
      <c r="GC158" s="239">
        <v>-194380</v>
      </c>
      <c r="GD158" s="239">
        <v>0</v>
      </c>
      <c r="GE158" s="239">
        <v>0</v>
      </c>
      <c r="GF158" s="239">
        <v>0</v>
      </c>
      <c r="GG158" s="239">
        <v>-7871483</v>
      </c>
      <c r="GH158" s="239">
        <v>0</v>
      </c>
      <c r="GI158" s="239">
        <v>-7871483</v>
      </c>
      <c r="GJ158" s="239">
        <v>41812630</v>
      </c>
      <c r="GK158" s="239">
        <v>0</v>
      </c>
      <c r="GL158" s="239">
        <v>41812630</v>
      </c>
      <c r="GM158" s="214" t="s">
        <v>1158</v>
      </c>
    </row>
    <row r="159" spans="2:195" s="214" customFormat="1" x14ac:dyDescent="0.2">
      <c r="B159" s="602" t="s">
        <v>401</v>
      </c>
      <c r="C159" s="602" t="s">
        <v>400</v>
      </c>
      <c r="D159" s="239">
        <v>-8149168</v>
      </c>
      <c r="E159" s="239">
        <v>-782611</v>
      </c>
      <c r="F159" s="239">
        <v>-8931779</v>
      </c>
      <c r="G159" s="239">
        <v>247602</v>
      </c>
      <c r="H159" s="239">
        <v>21927</v>
      </c>
      <c r="I159" s="239">
        <v>269529</v>
      </c>
      <c r="J159" s="239">
        <v>12839470</v>
      </c>
      <c r="K159" s="239">
        <v>2885861</v>
      </c>
      <c r="L159" s="239">
        <v>15725331</v>
      </c>
      <c r="M159" s="239">
        <v>120794</v>
      </c>
      <c r="N159" s="239">
        <v>1251</v>
      </c>
      <c r="O159" s="239">
        <v>122045</v>
      </c>
      <c r="P159" s="239">
        <v>5058698</v>
      </c>
      <c r="Q159" s="239">
        <v>2126428</v>
      </c>
      <c r="R159" s="239">
        <v>7185126</v>
      </c>
      <c r="S159" s="239">
        <v>-12596488</v>
      </c>
      <c r="T159" s="239">
        <v>-1047659</v>
      </c>
      <c r="U159" s="239">
        <v>-13644147</v>
      </c>
      <c r="V159" s="239">
        <v>-70907</v>
      </c>
      <c r="W159" s="239">
        <v>-3832</v>
      </c>
      <c r="X159" s="239">
        <v>-74739</v>
      </c>
      <c r="Y159" s="239">
        <v>-474255</v>
      </c>
      <c r="Z159" s="239">
        <v>-82256</v>
      </c>
      <c r="AA159" s="239">
        <v>-556511</v>
      </c>
      <c r="AB159" s="239">
        <v>-456929</v>
      </c>
      <c r="AC159" s="239">
        <v>-78828</v>
      </c>
      <c r="AD159" s="239">
        <v>-535757</v>
      </c>
      <c r="AE159" s="239">
        <v>-6787</v>
      </c>
      <c r="AF159" s="239">
        <v>-2006</v>
      </c>
      <c r="AG159" s="239">
        <v>-8793</v>
      </c>
      <c r="AH159" s="239">
        <v>4519716</v>
      </c>
      <c r="AI159" s="239">
        <v>755656</v>
      </c>
      <c r="AJ159" s="239">
        <v>5275372</v>
      </c>
      <c r="AK159" s="239">
        <v>347311</v>
      </c>
      <c r="AL159" s="239">
        <v>206035</v>
      </c>
      <c r="AM159" s="239">
        <v>553346</v>
      </c>
      <c r="AN159" s="239">
        <v>-18873059</v>
      </c>
      <c r="AO159" s="239">
        <v>-1039463</v>
      </c>
      <c r="AP159" s="239">
        <v>-19912522</v>
      </c>
      <c r="AQ159" s="239">
        <v>-69483</v>
      </c>
      <c r="AR159" s="239">
        <v>-4563</v>
      </c>
      <c r="AS159" s="239">
        <v>-74046</v>
      </c>
      <c r="AT159" s="239">
        <v>-4656</v>
      </c>
      <c r="AU159" s="239">
        <v>0</v>
      </c>
      <c r="AV159" s="239">
        <v>-4656</v>
      </c>
      <c r="AW159" s="239">
        <v>0</v>
      </c>
      <c r="AX159" s="239">
        <v>0</v>
      </c>
      <c r="AY159" s="239">
        <v>0</v>
      </c>
      <c r="AZ159" s="239">
        <v>0</v>
      </c>
      <c r="BA159" s="239">
        <v>0</v>
      </c>
      <c r="BB159" s="239">
        <v>0</v>
      </c>
      <c r="BC159" s="239">
        <v>0</v>
      </c>
      <c r="BD159" s="239">
        <v>0</v>
      </c>
      <c r="BE159" s="239">
        <v>0</v>
      </c>
      <c r="BF159" s="239">
        <v>-27150914</v>
      </c>
      <c r="BG159" s="239">
        <v>-1212250</v>
      </c>
      <c r="BH159" s="239">
        <v>-28363164</v>
      </c>
      <c r="BI159" s="239">
        <v>0</v>
      </c>
      <c r="BJ159" s="239">
        <v>0</v>
      </c>
      <c r="BK159" s="239">
        <v>0</v>
      </c>
      <c r="BL159" s="239">
        <v>0</v>
      </c>
      <c r="BM159" s="239">
        <v>0</v>
      </c>
      <c r="BN159" s="239">
        <v>0</v>
      </c>
      <c r="BO159" s="239">
        <v>-7916571</v>
      </c>
      <c r="BP159" s="239">
        <v>-6681522</v>
      </c>
      <c r="BQ159" s="239">
        <v>-14598093</v>
      </c>
      <c r="BR159" s="239">
        <v>-463454</v>
      </c>
      <c r="BS159" s="239">
        <v>-22854</v>
      </c>
      <c r="BT159" s="239">
        <v>-486308</v>
      </c>
      <c r="BU159" s="239">
        <v>-8380025</v>
      </c>
      <c r="BV159" s="239">
        <v>-6704376</v>
      </c>
      <c r="BW159" s="239">
        <v>-15084401</v>
      </c>
      <c r="BX159" s="239">
        <v>-37490</v>
      </c>
      <c r="BY159" s="239">
        <v>-12865</v>
      </c>
      <c r="BZ159" s="239">
        <v>-50355</v>
      </c>
      <c r="CA159" s="239">
        <v>-5138</v>
      </c>
      <c r="CB159" s="239">
        <v>-3190</v>
      </c>
      <c r="CC159" s="239">
        <v>-8328</v>
      </c>
      <c r="CD159" s="239">
        <v>-8096</v>
      </c>
      <c r="CE159" s="239">
        <v>0</v>
      </c>
      <c r="CF159" s="239">
        <v>-8096</v>
      </c>
      <c r="CG159" s="239">
        <v>-2404</v>
      </c>
      <c r="CH159" s="239">
        <v>0</v>
      </c>
      <c r="CI159" s="239">
        <v>-2404</v>
      </c>
      <c r="CJ159" s="239">
        <v>0</v>
      </c>
      <c r="CK159" s="239">
        <v>0</v>
      </c>
      <c r="CL159" s="239">
        <v>0</v>
      </c>
      <c r="CM159" s="239">
        <v>0</v>
      </c>
      <c r="CN159" s="239">
        <v>0</v>
      </c>
      <c r="CO159" s="239">
        <v>0</v>
      </c>
      <c r="CP159" s="239">
        <v>0</v>
      </c>
      <c r="CQ159" s="239">
        <v>0</v>
      </c>
      <c r="CR159" s="239">
        <v>0</v>
      </c>
      <c r="CS159" s="239">
        <v>0</v>
      </c>
      <c r="CT159" s="239">
        <v>0</v>
      </c>
      <c r="CU159" s="239">
        <v>0</v>
      </c>
      <c r="CV159" s="239">
        <v>0</v>
      </c>
      <c r="CW159" s="239">
        <v>0</v>
      </c>
      <c r="CX159" s="239">
        <v>0</v>
      </c>
      <c r="CY159" s="239">
        <v>0</v>
      </c>
      <c r="CZ159" s="239">
        <v>0</v>
      </c>
      <c r="DA159" s="239">
        <v>0</v>
      </c>
      <c r="DB159" s="239">
        <v>0</v>
      </c>
      <c r="DC159" s="239">
        <v>-274813</v>
      </c>
      <c r="DD159" s="239">
        <v>-274813</v>
      </c>
      <c r="DE159" s="239">
        <v>0</v>
      </c>
      <c r="DF159" s="239">
        <v>-36257</v>
      </c>
      <c r="DG159" s="239">
        <v>-36257</v>
      </c>
      <c r="DH159" s="239">
        <v>-311070</v>
      </c>
      <c r="DI159" s="239">
        <v>0</v>
      </c>
      <c r="DJ159" s="239">
        <v>-53128</v>
      </c>
      <c r="DK159" s="239">
        <v>-327125</v>
      </c>
      <c r="DL159" s="239">
        <v>-380253</v>
      </c>
      <c r="DM159" s="239">
        <v>0</v>
      </c>
      <c r="DN159" s="239">
        <v>0</v>
      </c>
      <c r="DO159" s="239">
        <v>0</v>
      </c>
      <c r="DP159" s="239">
        <v>0</v>
      </c>
      <c r="DQ159" s="239">
        <v>0</v>
      </c>
      <c r="DR159" s="239">
        <v>0</v>
      </c>
      <c r="DS159" s="239">
        <v>-5308</v>
      </c>
      <c r="DT159" s="239">
        <v>0</v>
      </c>
      <c r="DU159" s="239">
        <v>-5308</v>
      </c>
      <c r="DV159" s="239">
        <v>2324</v>
      </c>
      <c r="DW159" s="239">
        <v>0</v>
      </c>
      <c r="DX159" s="239">
        <v>2324</v>
      </c>
      <c r="DY159" s="239">
        <v>23426</v>
      </c>
      <c r="DZ159" s="239">
        <v>3324</v>
      </c>
      <c r="EA159" s="239">
        <v>26750</v>
      </c>
      <c r="EB159" s="239">
        <v>0</v>
      </c>
      <c r="EC159" s="239">
        <v>0</v>
      </c>
      <c r="ED159" s="239">
        <v>0</v>
      </c>
      <c r="EE159" s="239">
        <v>0</v>
      </c>
      <c r="EF159" s="239">
        <v>0</v>
      </c>
      <c r="EG159" s="239">
        <v>0</v>
      </c>
      <c r="EH159" s="239">
        <v>1786</v>
      </c>
      <c r="EI159" s="239">
        <v>0</v>
      </c>
      <c r="EJ159" s="239">
        <v>1786</v>
      </c>
      <c r="EK159" s="239">
        <v>0</v>
      </c>
      <c r="EL159" s="239">
        <v>0</v>
      </c>
      <c r="EM159" s="239">
        <v>0</v>
      </c>
      <c r="EN159" s="239">
        <v>-1500</v>
      </c>
      <c r="EO159" s="239">
        <v>0</v>
      </c>
      <c r="EP159" s="239">
        <v>-1500</v>
      </c>
      <c r="EQ159" s="239">
        <v>-112715</v>
      </c>
      <c r="ER159" s="239">
        <v>-8607</v>
      </c>
      <c r="ES159" s="239">
        <v>-121322</v>
      </c>
      <c r="ET159" s="239">
        <v>-944201</v>
      </c>
      <c r="EU159" s="239">
        <v>-186495</v>
      </c>
      <c r="EV159" s="239">
        <v>-1130696</v>
      </c>
      <c r="EW159" s="239">
        <v>-162504</v>
      </c>
      <c r="EX159" s="239">
        <v>-19617</v>
      </c>
      <c r="EY159" s="239">
        <v>-182121</v>
      </c>
      <c r="EZ159" s="239">
        <v>-1198692</v>
      </c>
      <c r="FA159" s="239">
        <v>-211395</v>
      </c>
      <c r="FB159" s="239">
        <v>-1410087</v>
      </c>
      <c r="FC159" s="239">
        <v>0</v>
      </c>
      <c r="FD159" s="239">
        <v>0</v>
      </c>
      <c r="FE159" s="239">
        <v>0</v>
      </c>
      <c r="FF159" s="239">
        <v>0</v>
      </c>
      <c r="FG159" s="239">
        <v>0</v>
      </c>
      <c r="FH159" s="239">
        <v>0</v>
      </c>
      <c r="FI159" s="239">
        <v>0</v>
      </c>
      <c r="FJ159" s="239">
        <v>0</v>
      </c>
      <c r="FK159" s="239">
        <v>0</v>
      </c>
      <c r="FL159" s="239">
        <v>204410018</v>
      </c>
      <c r="FM159" s="239">
        <v>32838122</v>
      </c>
      <c r="FN159" s="239">
        <v>237248140</v>
      </c>
      <c r="FO159" s="239">
        <v>5058698</v>
      </c>
      <c r="FP159" s="239">
        <v>2126428</v>
      </c>
      <c r="FQ159" s="239">
        <v>7185126</v>
      </c>
      <c r="FR159" s="239">
        <v>-27150914</v>
      </c>
      <c r="FS159" s="239">
        <v>-1212250</v>
      </c>
      <c r="FT159" s="239">
        <v>-28363164</v>
      </c>
      <c r="FU159" s="239">
        <v>-8380025</v>
      </c>
      <c r="FV159" s="239">
        <v>-6704376</v>
      </c>
      <c r="FW159" s="239">
        <v>-15084401</v>
      </c>
      <c r="FX159" s="239">
        <v>-53128</v>
      </c>
      <c r="FY159" s="239">
        <v>-327125</v>
      </c>
      <c r="FZ159" s="239">
        <v>-380253</v>
      </c>
      <c r="GA159" s="239">
        <v>-1198692</v>
      </c>
      <c r="GB159" s="239">
        <v>-211395</v>
      </c>
      <c r="GC159" s="239">
        <v>-1410087</v>
      </c>
      <c r="GD159" s="239">
        <v>0</v>
      </c>
      <c r="GE159" s="239">
        <v>0</v>
      </c>
      <c r="GF159" s="239">
        <v>0</v>
      </c>
      <c r="GG159" s="239">
        <v>-31724061</v>
      </c>
      <c r="GH159" s="239">
        <v>-6328718</v>
      </c>
      <c r="GI159" s="239">
        <v>-38052779</v>
      </c>
      <c r="GJ159" s="239">
        <v>172685957</v>
      </c>
      <c r="GK159" s="239">
        <v>26509404</v>
      </c>
      <c r="GL159" s="239">
        <v>199195361</v>
      </c>
      <c r="GM159" s="214" t="s">
        <v>1160</v>
      </c>
    </row>
    <row r="160" spans="2:195" s="214" customFormat="1" x14ac:dyDescent="0.2">
      <c r="B160" s="602" t="s">
        <v>403</v>
      </c>
      <c r="C160" s="602" t="s">
        <v>402</v>
      </c>
      <c r="D160" s="239">
        <v>-3282943</v>
      </c>
      <c r="E160" s="239">
        <v>-28434</v>
      </c>
      <c r="F160" s="239">
        <v>-3311377</v>
      </c>
      <c r="G160" s="239">
        <v>20132</v>
      </c>
      <c r="H160" s="239">
        <v>0</v>
      </c>
      <c r="I160" s="239">
        <v>20132</v>
      </c>
      <c r="J160" s="239">
        <v>4335454</v>
      </c>
      <c r="K160" s="239">
        <v>182548</v>
      </c>
      <c r="L160" s="239">
        <v>4518002</v>
      </c>
      <c r="M160" s="239">
        <v>29768</v>
      </c>
      <c r="N160" s="239">
        <v>-29133</v>
      </c>
      <c r="O160" s="239">
        <v>635</v>
      </c>
      <c r="P160" s="239">
        <v>1102411</v>
      </c>
      <c r="Q160" s="239">
        <v>124981</v>
      </c>
      <c r="R160" s="239">
        <v>1227392</v>
      </c>
      <c r="S160" s="239">
        <v>-4949370</v>
      </c>
      <c r="T160" s="239">
        <v>-10663</v>
      </c>
      <c r="U160" s="239">
        <v>-4960033</v>
      </c>
      <c r="V160" s="239">
        <v>-406</v>
      </c>
      <c r="W160" s="239">
        <v>0</v>
      </c>
      <c r="X160" s="239">
        <v>-406</v>
      </c>
      <c r="Y160" s="239">
        <v>-211824</v>
      </c>
      <c r="Z160" s="239">
        <v>0</v>
      </c>
      <c r="AA160" s="239">
        <v>-211824</v>
      </c>
      <c r="AB160" s="239">
        <v>-207542</v>
      </c>
      <c r="AC160" s="239">
        <v>0</v>
      </c>
      <c r="AD160" s="239">
        <v>-207542</v>
      </c>
      <c r="AE160" s="239">
        <v>-4282</v>
      </c>
      <c r="AF160" s="239">
        <v>0</v>
      </c>
      <c r="AG160" s="239">
        <v>-4282</v>
      </c>
      <c r="AH160" s="239">
        <v>1513310</v>
      </c>
      <c r="AI160" s="239">
        <v>102823</v>
      </c>
      <c r="AJ160" s="239">
        <v>1616133</v>
      </c>
      <c r="AK160" s="239">
        <v>-62855</v>
      </c>
      <c r="AL160" s="239">
        <v>-9696</v>
      </c>
      <c r="AM160" s="239">
        <v>-72551</v>
      </c>
      <c r="AN160" s="239">
        <v>-5704477</v>
      </c>
      <c r="AO160" s="239">
        <v>0</v>
      </c>
      <c r="AP160" s="239">
        <v>-5704477</v>
      </c>
      <c r="AQ160" s="239">
        <v>-23514</v>
      </c>
      <c r="AR160" s="239">
        <v>0</v>
      </c>
      <c r="AS160" s="239">
        <v>-23514</v>
      </c>
      <c r="AT160" s="239">
        <v>-42784</v>
      </c>
      <c r="AU160" s="239">
        <v>0</v>
      </c>
      <c r="AV160" s="239">
        <v>-42784</v>
      </c>
      <c r="AW160" s="239">
        <v>0</v>
      </c>
      <c r="AX160" s="239">
        <v>0</v>
      </c>
      <c r="AY160" s="239">
        <v>0</v>
      </c>
      <c r="AZ160" s="239">
        <v>0</v>
      </c>
      <c r="BA160" s="239">
        <v>0</v>
      </c>
      <c r="BB160" s="239">
        <v>0</v>
      </c>
      <c r="BC160" s="239">
        <v>0</v>
      </c>
      <c r="BD160" s="239">
        <v>0</v>
      </c>
      <c r="BE160" s="239">
        <v>0</v>
      </c>
      <c r="BF160" s="239">
        <v>-9481514</v>
      </c>
      <c r="BG160" s="239">
        <v>82464</v>
      </c>
      <c r="BH160" s="239">
        <v>-9399050</v>
      </c>
      <c r="BI160" s="239">
        <v>-31549</v>
      </c>
      <c r="BJ160" s="239">
        <v>0</v>
      </c>
      <c r="BK160" s="239">
        <v>-31549</v>
      </c>
      <c r="BL160" s="239">
        <v>-6905</v>
      </c>
      <c r="BM160" s="239">
        <v>0</v>
      </c>
      <c r="BN160" s="239">
        <v>-6905</v>
      </c>
      <c r="BO160" s="239">
        <v>-1614615</v>
      </c>
      <c r="BP160" s="239">
        <v>-3133</v>
      </c>
      <c r="BQ160" s="239">
        <v>-1617748</v>
      </c>
      <c r="BR160" s="239">
        <v>38223</v>
      </c>
      <c r="BS160" s="239">
        <v>-150</v>
      </c>
      <c r="BT160" s="239">
        <v>38073</v>
      </c>
      <c r="BU160" s="239">
        <v>-1614846</v>
      </c>
      <c r="BV160" s="239">
        <v>-3283</v>
      </c>
      <c r="BW160" s="239">
        <v>-1618129</v>
      </c>
      <c r="BX160" s="239">
        <v>-162369</v>
      </c>
      <c r="BY160" s="239">
        <v>0</v>
      </c>
      <c r="BZ160" s="239">
        <v>-162369</v>
      </c>
      <c r="CA160" s="239">
        <v>870</v>
      </c>
      <c r="CB160" s="239">
        <v>0</v>
      </c>
      <c r="CC160" s="239">
        <v>870</v>
      </c>
      <c r="CD160" s="239">
        <v>-107331</v>
      </c>
      <c r="CE160" s="239">
        <v>0</v>
      </c>
      <c r="CF160" s="239">
        <v>-107331</v>
      </c>
      <c r="CG160" s="239">
        <v>-606</v>
      </c>
      <c r="CH160" s="239">
        <v>0</v>
      </c>
      <c r="CI160" s="239">
        <v>-606</v>
      </c>
      <c r="CJ160" s="239">
        <v>0</v>
      </c>
      <c r="CK160" s="239">
        <v>0</v>
      </c>
      <c r="CL160" s="239">
        <v>0</v>
      </c>
      <c r="CM160" s="239">
        <v>0</v>
      </c>
      <c r="CN160" s="239">
        <v>0</v>
      </c>
      <c r="CO160" s="239">
        <v>0</v>
      </c>
      <c r="CP160" s="239">
        <v>0</v>
      </c>
      <c r="CQ160" s="239">
        <v>0</v>
      </c>
      <c r="CR160" s="239">
        <v>0</v>
      </c>
      <c r="CS160" s="239">
        <v>0</v>
      </c>
      <c r="CT160" s="239">
        <v>0</v>
      </c>
      <c r="CU160" s="239">
        <v>0</v>
      </c>
      <c r="CV160" s="239">
        <v>0</v>
      </c>
      <c r="CW160" s="239">
        <v>0</v>
      </c>
      <c r="CX160" s="239">
        <v>0</v>
      </c>
      <c r="CY160" s="239">
        <v>0</v>
      </c>
      <c r="CZ160" s="239">
        <v>0</v>
      </c>
      <c r="DA160" s="239">
        <v>0</v>
      </c>
      <c r="DB160" s="239">
        <v>-4281</v>
      </c>
      <c r="DC160" s="239">
        <v>0</v>
      </c>
      <c r="DD160" s="239">
        <v>-4281</v>
      </c>
      <c r="DE160" s="239">
        <v>0</v>
      </c>
      <c r="DF160" s="239">
        <v>0</v>
      </c>
      <c r="DG160" s="239">
        <v>0</v>
      </c>
      <c r="DH160" s="239">
        <v>0</v>
      </c>
      <c r="DI160" s="239">
        <v>0</v>
      </c>
      <c r="DJ160" s="239">
        <v>-273717</v>
      </c>
      <c r="DK160" s="239">
        <v>0</v>
      </c>
      <c r="DL160" s="239">
        <v>-273717</v>
      </c>
      <c r="DM160" s="239">
        <v>0</v>
      </c>
      <c r="DN160" s="239">
        <v>0</v>
      </c>
      <c r="DO160" s="239">
        <v>0</v>
      </c>
      <c r="DP160" s="239">
        <v>0</v>
      </c>
      <c r="DQ160" s="239">
        <v>0</v>
      </c>
      <c r="DR160" s="239">
        <v>0</v>
      </c>
      <c r="DS160" s="239">
        <v>-18036</v>
      </c>
      <c r="DT160" s="239">
        <v>0</v>
      </c>
      <c r="DU160" s="239">
        <v>-18036</v>
      </c>
      <c r="DV160" s="239">
        <v>-4187</v>
      </c>
      <c r="DW160" s="239">
        <v>0</v>
      </c>
      <c r="DX160" s="239">
        <v>-4187</v>
      </c>
      <c r="DY160" s="239">
        <v>0</v>
      </c>
      <c r="DZ160" s="239">
        <v>0</v>
      </c>
      <c r="EA160" s="239">
        <v>0</v>
      </c>
      <c r="EB160" s="239">
        <v>0</v>
      </c>
      <c r="EC160" s="239">
        <v>0</v>
      </c>
      <c r="ED160" s="239">
        <v>0</v>
      </c>
      <c r="EE160" s="239">
        <v>0</v>
      </c>
      <c r="EF160" s="239">
        <v>0</v>
      </c>
      <c r="EG160" s="239">
        <v>0</v>
      </c>
      <c r="EH160" s="239">
        <v>0</v>
      </c>
      <c r="EI160" s="239">
        <v>0</v>
      </c>
      <c r="EJ160" s="239">
        <v>0</v>
      </c>
      <c r="EK160" s="239">
        <v>0</v>
      </c>
      <c r="EL160" s="239">
        <v>0</v>
      </c>
      <c r="EM160" s="239">
        <v>0</v>
      </c>
      <c r="EN160" s="239">
        <v>-1500</v>
      </c>
      <c r="EO160" s="239">
        <v>0</v>
      </c>
      <c r="EP160" s="239">
        <v>-1500</v>
      </c>
      <c r="EQ160" s="239">
        <v>-39902</v>
      </c>
      <c r="ER160" s="239">
        <v>0</v>
      </c>
      <c r="ES160" s="239">
        <v>-39902</v>
      </c>
      <c r="ET160" s="239">
        <v>-191774</v>
      </c>
      <c r="EU160" s="239">
        <v>-1513</v>
      </c>
      <c r="EV160" s="239">
        <v>-193287</v>
      </c>
      <c r="EW160" s="239">
        <v>-13786</v>
      </c>
      <c r="EX160" s="239">
        <v>0</v>
      </c>
      <c r="EY160" s="239">
        <v>-13786</v>
      </c>
      <c r="EZ160" s="239">
        <v>-269185</v>
      </c>
      <c r="FA160" s="239">
        <v>-1513</v>
      </c>
      <c r="FB160" s="239">
        <v>-270698</v>
      </c>
      <c r="FC160" s="239">
        <v>0</v>
      </c>
      <c r="FD160" s="239">
        <v>0</v>
      </c>
      <c r="FE160" s="239">
        <v>0</v>
      </c>
      <c r="FF160" s="239">
        <v>0</v>
      </c>
      <c r="FG160" s="239">
        <v>0</v>
      </c>
      <c r="FH160" s="239">
        <v>0</v>
      </c>
      <c r="FI160" s="239">
        <v>0</v>
      </c>
      <c r="FJ160" s="239">
        <v>0</v>
      </c>
      <c r="FK160" s="239">
        <v>0</v>
      </c>
      <c r="FL160" s="239">
        <v>72896872</v>
      </c>
      <c r="FM160" s="239">
        <v>3732496</v>
      </c>
      <c r="FN160" s="239">
        <v>76629368</v>
      </c>
      <c r="FO160" s="239">
        <v>1102411</v>
      </c>
      <c r="FP160" s="239">
        <v>124981</v>
      </c>
      <c r="FQ160" s="239">
        <v>1227392</v>
      </c>
      <c r="FR160" s="239">
        <v>-9481514</v>
      </c>
      <c r="FS160" s="239">
        <v>82464</v>
      </c>
      <c r="FT160" s="239">
        <v>-9399050</v>
      </c>
      <c r="FU160" s="239">
        <v>-1614846</v>
      </c>
      <c r="FV160" s="239">
        <v>-3283</v>
      </c>
      <c r="FW160" s="239">
        <v>-1618129</v>
      </c>
      <c r="FX160" s="239">
        <v>-273717</v>
      </c>
      <c r="FY160" s="239">
        <v>0</v>
      </c>
      <c r="FZ160" s="239">
        <v>-273717</v>
      </c>
      <c r="GA160" s="239">
        <v>-269185</v>
      </c>
      <c r="GB160" s="239">
        <v>-1513</v>
      </c>
      <c r="GC160" s="239">
        <v>-270698</v>
      </c>
      <c r="GD160" s="239">
        <v>0</v>
      </c>
      <c r="GE160" s="239">
        <v>0</v>
      </c>
      <c r="GF160" s="239">
        <v>0</v>
      </c>
      <c r="GG160" s="239">
        <v>-10536851</v>
      </c>
      <c r="GH160" s="239">
        <v>202649</v>
      </c>
      <c r="GI160" s="239">
        <v>-10334202</v>
      </c>
      <c r="GJ160" s="239">
        <v>62360021</v>
      </c>
      <c r="GK160" s="239">
        <v>3935145</v>
      </c>
      <c r="GL160" s="239">
        <v>66295166</v>
      </c>
      <c r="GM160" s="214" t="s">
        <v>746</v>
      </c>
    </row>
    <row r="161" spans="1:195" s="214" customFormat="1" x14ac:dyDescent="0.2">
      <c r="B161" s="602" t="s">
        <v>405</v>
      </c>
      <c r="C161" s="602" t="s">
        <v>404</v>
      </c>
      <c r="D161" s="239">
        <v>-1912476</v>
      </c>
      <c r="E161" s="239">
        <v>0</v>
      </c>
      <c r="F161" s="239">
        <v>-1912476</v>
      </c>
      <c r="G161" s="239">
        <v>46865</v>
      </c>
      <c r="H161" s="239">
        <v>0</v>
      </c>
      <c r="I161" s="239">
        <v>46865</v>
      </c>
      <c r="J161" s="239">
        <v>4199352</v>
      </c>
      <c r="K161" s="239">
        <v>0</v>
      </c>
      <c r="L161" s="239">
        <v>4199352</v>
      </c>
      <c r="M161" s="239">
        <v>22055</v>
      </c>
      <c r="N161" s="239">
        <v>0</v>
      </c>
      <c r="O161" s="239">
        <v>22055</v>
      </c>
      <c r="P161" s="239">
        <v>2355796</v>
      </c>
      <c r="Q161" s="239">
        <v>0</v>
      </c>
      <c r="R161" s="239">
        <v>2355796</v>
      </c>
      <c r="S161" s="239">
        <v>-3908660</v>
      </c>
      <c r="T161" s="239">
        <v>0</v>
      </c>
      <c r="U161" s="239">
        <v>-3908660</v>
      </c>
      <c r="V161" s="239">
        <v>0</v>
      </c>
      <c r="W161" s="239">
        <v>0</v>
      </c>
      <c r="X161" s="239">
        <v>0</v>
      </c>
      <c r="Y161" s="239">
        <v>-281742</v>
      </c>
      <c r="Z161" s="239">
        <v>0</v>
      </c>
      <c r="AA161" s="239">
        <v>-281742</v>
      </c>
      <c r="AB161" s="239">
        <v>-239785</v>
      </c>
      <c r="AC161" s="239">
        <v>0</v>
      </c>
      <c r="AD161" s="239">
        <v>-239785</v>
      </c>
      <c r="AE161" s="239">
        <v>0</v>
      </c>
      <c r="AF161" s="239">
        <v>0</v>
      </c>
      <c r="AG161" s="239">
        <v>0</v>
      </c>
      <c r="AH161" s="239">
        <v>1310492</v>
      </c>
      <c r="AI161" s="239">
        <v>0</v>
      </c>
      <c r="AJ161" s="239">
        <v>1310492</v>
      </c>
      <c r="AK161" s="239">
        <v>-68119</v>
      </c>
      <c r="AL161" s="239">
        <v>0</v>
      </c>
      <c r="AM161" s="239">
        <v>-68119</v>
      </c>
      <c r="AN161" s="239">
        <v>-4633540</v>
      </c>
      <c r="AO161" s="239">
        <v>0</v>
      </c>
      <c r="AP161" s="239">
        <v>-4633540</v>
      </c>
      <c r="AQ161" s="239">
        <v>58195</v>
      </c>
      <c r="AR161" s="239">
        <v>0</v>
      </c>
      <c r="AS161" s="239">
        <v>58195</v>
      </c>
      <c r="AT161" s="239">
        <v>-106574</v>
      </c>
      <c r="AU161" s="239">
        <v>0</v>
      </c>
      <c r="AV161" s="239">
        <v>-106574</v>
      </c>
      <c r="AW161" s="239">
        <v>0</v>
      </c>
      <c r="AX161" s="239">
        <v>0</v>
      </c>
      <c r="AY161" s="239">
        <v>0</v>
      </c>
      <c r="AZ161" s="239">
        <v>-3044</v>
      </c>
      <c r="BA161" s="239">
        <v>0</v>
      </c>
      <c r="BB161" s="239">
        <v>-3044</v>
      </c>
      <c r="BC161" s="239">
        <v>-3812</v>
      </c>
      <c r="BD161" s="239">
        <v>0</v>
      </c>
      <c r="BE161" s="239">
        <v>-3812</v>
      </c>
      <c r="BF161" s="239">
        <v>-7636804</v>
      </c>
      <c r="BG161" s="239">
        <v>0</v>
      </c>
      <c r="BH161" s="239">
        <v>-7636804</v>
      </c>
      <c r="BI161" s="239">
        <v>-17683</v>
      </c>
      <c r="BJ161" s="239">
        <v>0</v>
      </c>
      <c r="BK161" s="239">
        <v>-17683</v>
      </c>
      <c r="BL161" s="239">
        <v>-706</v>
      </c>
      <c r="BM161" s="239">
        <v>0</v>
      </c>
      <c r="BN161" s="239">
        <v>-706</v>
      </c>
      <c r="BO161" s="239">
        <v>-2085564</v>
      </c>
      <c r="BP161" s="239">
        <v>0</v>
      </c>
      <c r="BQ161" s="239">
        <v>-2085564</v>
      </c>
      <c r="BR161" s="239">
        <v>-100425</v>
      </c>
      <c r="BS161" s="239">
        <v>0</v>
      </c>
      <c r="BT161" s="239">
        <v>-100425</v>
      </c>
      <c r="BU161" s="239">
        <v>-2204378</v>
      </c>
      <c r="BV161" s="239">
        <v>0</v>
      </c>
      <c r="BW161" s="239">
        <v>-2204378</v>
      </c>
      <c r="BX161" s="239">
        <v>-140951</v>
      </c>
      <c r="BY161" s="239">
        <v>0</v>
      </c>
      <c r="BZ161" s="239">
        <v>-140951</v>
      </c>
      <c r="CA161" s="239">
        <v>0</v>
      </c>
      <c r="CB161" s="239">
        <v>0</v>
      </c>
      <c r="CC161" s="239">
        <v>0</v>
      </c>
      <c r="CD161" s="239">
        <v>-12136</v>
      </c>
      <c r="CE161" s="239">
        <v>0</v>
      </c>
      <c r="CF161" s="239">
        <v>-12136</v>
      </c>
      <c r="CG161" s="239">
        <v>650</v>
      </c>
      <c r="CH161" s="239">
        <v>0</v>
      </c>
      <c r="CI161" s="239">
        <v>650</v>
      </c>
      <c r="CJ161" s="239">
        <v>-7520</v>
      </c>
      <c r="CK161" s="239">
        <v>0</v>
      </c>
      <c r="CL161" s="239">
        <v>-7520</v>
      </c>
      <c r="CM161" s="239">
        <v>0</v>
      </c>
      <c r="CN161" s="239">
        <v>0</v>
      </c>
      <c r="CO161" s="239">
        <v>0</v>
      </c>
      <c r="CP161" s="239">
        <v>-3044</v>
      </c>
      <c r="CQ161" s="239">
        <v>0</v>
      </c>
      <c r="CR161" s="239">
        <v>-3044</v>
      </c>
      <c r="CS161" s="239">
        <v>-3812</v>
      </c>
      <c r="CT161" s="239">
        <v>0</v>
      </c>
      <c r="CU161" s="239">
        <v>-3812</v>
      </c>
      <c r="CV161" s="239">
        <v>0</v>
      </c>
      <c r="CW161" s="239">
        <v>0</v>
      </c>
      <c r="CX161" s="239">
        <v>0</v>
      </c>
      <c r="CY161" s="239">
        <v>0</v>
      </c>
      <c r="CZ161" s="239">
        <v>0</v>
      </c>
      <c r="DA161" s="239">
        <v>0</v>
      </c>
      <c r="DB161" s="239">
        <v>-1061</v>
      </c>
      <c r="DC161" s="239">
        <v>0</v>
      </c>
      <c r="DD161" s="239">
        <v>-1061</v>
      </c>
      <c r="DE161" s="239">
        <v>0</v>
      </c>
      <c r="DF161" s="239">
        <v>0</v>
      </c>
      <c r="DG161" s="239">
        <v>0</v>
      </c>
      <c r="DH161" s="239">
        <v>0</v>
      </c>
      <c r="DI161" s="239">
        <v>0</v>
      </c>
      <c r="DJ161" s="239">
        <v>-167874</v>
      </c>
      <c r="DK161" s="239">
        <v>0</v>
      </c>
      <c r="DL161" s="239">
        <v>-167874</v>
      </c>
      <c r="DM161" s="239">
        <v>0</v>
      </c>
      <c r="DN161" s="239">
        <v>0</v>
      </c>
      <c r="DO161" s="239">
        <v>0</v>
      </c>
      <c r="DP161" s="239">
        <v>0</v>
      </c>
      <c r="DQ161" s="239">
        <v>0</v>
      </c>
      <c r="DR161" s="239">
        <v>0</v>
      </c>
      <c r="DS161" s="239">
        <v>-2049</v>
      </c>
      <c r="DT161" s="239">
        <v>0</v>
      </c>
      <c r="DU161" s="239">
        <v>-2049</v>
      </c>
      <c r="DV161" s="239">
        <v>55</v>
      </c>
      <c r="DW161" s="239">
        <v>0</v>
      </c>
      <c r="DX161" s="239">
        <v>55</v>
      </c>
      <c r="DY161" s="239">
        <v>5361</v>
      </c>
      <c r="DZ161" s="239">
        <v>0</v>
      </c>
      <c r="EA161" s="239">
        <v>5361</v>
      </c>
      <c r="EB161" s="239">
        <v>0</v>
      </c>
      <c r="EC161" s="239">
        <v>0</v>
      </c>
      <c r="ED161" s="239">
        <v>0</v>
      </c>
      <c r="EE161" s="239">
        <v>0</v>
      </c>
      <c r="EF161" s="239">
        <v>0</v>
      </c>
      <c r="EG161" s="239">
        <v>0</v>
      </c>
      <c r="EH161" s="239">
        <v>0</v>
      </c>
      <c r="EI161" s="239">
        <v>0</v>
      </c>
      <c r="EJ161" s="239">
        <v>0</v>
      </c>
      <c r="EK161" s="239">
        <v>0</v>
      </c>
      <c r="EL161" s="239">
        <v>0</v>
      </c>
      <c r="EM161" s="239">
        <v>0</v>
      </c>
      <c r="EN161" s="239">
        <v>-1500</v>
      </c>
      <c r="EO161" s="239">
        <v>0</v>
      </c>
      <c r="EP161" s="239">
        <v>-1500</v>
      </c>
      <c r="EQ161" s="239">
        <v>-21571</v>
      </c>
      <c r="ER161" s="239">
        <v>0</v>
      </c>
      <c r="ES161" s="239">
        <v>-21571</v>
      </c>
      <c r="ET161" s="239">
        <v>-175049</v>
      </c>
      <c r="EU161" s="239">
        <v>0</v>
      </c>
      <c r="EV161" s="239">
        <v>-175049</v>
      </c>
      <c r="EW161" s="239">
        <v>-65830</v>
      </c>
      <c r="EX161" s="239">
        <v>0</v>
      </c>
      <c r="EY161" s="239">
        <v>-65830</v>
      </c>
      <c r="EZ161" s="239">
        <v>-260583</v>
      </c>
      <c r="FA161" s="239">
        <v>0</v>
      </c>
      <c r="FB161" s="239">
        <v>-260583</v>
      </c>
      <c r="FC161" s="239">
        <v>-56000</v>
      </c>
      <c r="FD161" s="239">
        <v>0</v>
      </c>
      <c r="FE161" s="239">
        <v>-56000</v>
      </c>
      <c r="FF161" s="239">
        <v>20689</v>
      </c>
      <c r="FG161" s="239">
        <v>0</v>
      </c>
      <c r="FH161" s="239">
        <v>20689</v>
      </c>
      <c r="FI161" s="239">
        <v>-35311</v>
      </c>
      <c r="FJ161" s="239">
        <v>0</v>
      </c>
      <c r="FK161" s="239">
        <v>-35311</v>
      </c>
      <c r="FL161" s="239">
        <v>64826416</v>
      </c>
      <c r="FM161" s="239">
        <v>0</v>
      </c>
      <c r="FN161" s="239">
        <v>64826416</v>
      </c>
      <c r="FO161" s="239">
        <v>2355796</v>
      </c>
      <c r="FP161" s="239">
        <v>0</v>
      </c>
      <c r="FQ161" s="239">
        <v>2355796</v>
      </c>
      <c r="FR161" s="239">
        <v>-7636804</v>
      </c>
      <c r="FS161" s="239">
        <v>0</v>
      </c>
      <c r="FT161" s="239">
        <v>-7636804</v>
      </c>
      <c r="FU161" s="239">
        <v>-2204378</v>
      </c>
      <c r="FV161" s="239">
        <v>0</v>
      </c>
      <c r="FW161" s="239">
        <v>-2204378</v>
      </c>
      <c r="FX161" s="239">
        <v>-167874</v>
      </c>
      <c r="FY161" s="239">
        <v>0</v>
      </c>
      <c r="FZ161" s="239">
        <v>-167874</v>
      </c>
      <c r="GA161" s="239">
        <v>-260583</v>
      </c>
      <c r="GB161" s="239">
        <v>0</v>
      </c>
      <c r="GC161" s="239">
        <v>-260583</v>
      </c>
      <c r="GD161" s="239">
        <v>-35311</v>
      </c>
      <c r="GE161" s="239">
        <v>0</v>
      </c>
      <c r="GF161" s="239">
        <v>-35311</v>
      </c>
      <c r="GG161" s="239">
        <v>-7949154</v>
      </c>
      <c r="GH161" s="239">
        <v>0</v>
      </c>
      <c r="GI161" s="239">
        <v>-7949154</v>
      </c>
      <c r="GJ161" s="239">
        <v>56877262</v>
      </c>
      <c r="GK161" s="239">
        <v>0</v>
      </c>
      <c r="GL161" s="239">
        <v>56877262</v>
      </c>
      <c r="GM161" s="214" t="s">
        <v>1158</v>
      </c>
    </row>
    <row r="162" spans="1:195" s="214" customFormat="1" x14ac:dyDescent="0.2">
      <c r="A162" s="215"/>
      <c r="B162" s="602" t="s">
        <v>407</v>
      </c>
      <c r="C162" s="602" t="s">
        <v>406</v>
      </c>
      <c r="D162" s="239">
        <v>-650597</v>
      </c>
      <c r="E162" s="239">
        <v>0</v>
      </c>
      <c r="F162" s="239">
        <v>-650597</v>
      </c>
      <c r="G162" s="239">
        <v>-10989</v>
      </c>
      <c r="H162" s="239">
        <v>0</v>
      </c>
      <c r="I162" s="239">
        <v>-10989</v>
      </c>
      <c r="J162" s="239">
        <v>489267</v>
      </c>
      <c r="K162" s="239">
        <v>0</v>
      </c>
      <c r="L162" s="239">
        <v>489267</v>
      </c>
      <c r="M162" s="239">
        <v>17876</v>
      </c>
      <c r="N162" s="239">
        <v>0</v>
      </c>
      <c r="O162" s="239">
        <v>17876</v>
      </c>
      <c r="P162" s="239">
        <v>-154443</v>
      </c>
      <c r="Q162" s="239">
        <v>0</v>
      </c>
      <c r="R162" s="239">
        <v>-154443</v>
      </c>
      <c r="S162" s="239">
        <v>-2712755</v>
      </c>
      <c r="T162" s="239">
        <v>0</v>
      </c>
      <c r="U162" s="239">
        <v>-2712755</v>
      </c>
      <c r="V162" s="239">
        <v>-14101</v>
      </c>
      <c r="W162" s="239">
        <v>0</v>
      </c>
      <c r="X162" s="239">
        <v>-14101</v>
      </c>
      <c r="Y162" s="239">
        <v>-33642</v>
      </c>
      <c r="Z162" s="239">
        <v>0</v>
      </c>
      <c r="AA162" s="239">
        <v>-33642</v>
      </c>
      <c r="AB162" s="239">
        <v>-43466</v>
      </c>
      <c r="AC162" s="239">
        <v>0</v>
      </c>
      <c r="AD162" s="239">
        <v>-43466</v>
      </c>
      <c r="AE162" s="239">
        <v>0</v>
      </c>
      <c r="AF162" s="239">
        <v>0</v>
      </c>
      <c r="AG162" s="239">
        <v>0</v>
      </c>
      <c r="AH162" s="239">
        <v>277831</v>
      </c>
      <c r="AI162" s="239">
        <v>0</v>
      </c>
      <c r="AJ162" s="239">
        <v>277831</v>
      </c>
      <c r="AK162" s="239">
        <v>-2344</v>
      </c>
      <c r="AL162" s="239">
        <v>0</v>
      </c>
      <c r="AM162" s="239">
        <v>-2344</v>
      </c>
      <c r="AN162" s="239">
        <v>-804475</v>
      </c>
      <c r="AO162" s="239">
        <v>0</v>
      </c>
      <c r="AP162" s="239">
        <v>-804475</v>
      </c>
      <c r="AQ162" s="239">
        <v>46382</v>
      </c>
      <c r="AR162" s="239">
        <v>0</v>
      </c>
      <c r="AS162" s="239">
        <v>46382</v>
      </c>
      <c r="AT162" s="239">
        <v>-59319</v>
      </c>
      <c r="AU162" s="239">
        <v>0</v>
      </c>
      <c r="AV162" s="239">
        <v>-59319</v>
      </c>
      <c r="AW162" s="239">
        <v>-4221</v>
      </c>
      <c r="AX162" s="239">
        <v>0</v>
      </c>
      <c r="AY162" s="239">
        <v>-4221</v>
      </c>
      <c r="AZ162" s="239">
        <v>-8815</v>
      </c>
      <c r="BA162" s="239">
        <v>0</v>
      </c>
      <c r="BB162" s="239">
        <v>-8815</v>
      </c>
      <c r="BC162" s="239">
        <v>0</v>
      </c>
      <c r="BD162" s="239">
        <v>0</v>
      </c>
      <c r="BE162" s="239">
        <v>0</v>
      </c>
      <c r="BF162" s="239">
        <v>-3301358</v>
      </c>
      <c r="BG162" s="239">
        <v>0</v>
      </c>
      <c r="BH162" s="239">
        <v>-3301358</v>
      </c>
      <c r="BI162" s="239">
        <v>0</v>
      </c>
      <c r="BJ162" s="239">
        <v>0</v>
      </c>
      <c r="BK162" s="239">
        <v>0</v>
      </c>
      <c r="BL162" s="239">
        <v>-28391</v>
      </c>
      <c r="BM162" s="239">
        <v>0</v>
      </c>
      <c r="BN162" s="239">
        <v>-28391</v>
      </c>
      <c r="BO162" s="239">
        <v>-656631</v>
      </c>
      <c r="BP162" s="239">
        <v>0</v>
      </c>
      <c r="BQ162" s="239">
        <v>-656631</v>
      </c>
      <c r="BR162" s="239">
        <v>-57251</v>
      </c>
      <c r="BS162" s="239">
        <v>0</v>
      </c>
      <c r="BT162" s="239">
        <v>-57251</v>
      </c>
      <c r="BU162" s="239">
        <v>-742273</v>
      </c>
      <c r="BV162" s="239">
        <v>0</v>
      </c>
      <c r="BW162" s="239">
        <v>-742273</v>
      </c>
      <c r="BX162" s="239">
        <v>-29063</v>
      </c>
      <c r="BY162" s="239">
        <v>0</v>
      </c>
      <c r="BZ162" s="239">
        <v>-29063</v>
      </c>
      <c r="CA162" s="239">
        <v>-1273</v>
      </c>
      <c r="CB162" s="239">
        <v>0</v>
      </c>
      <c r="CC162" s="239">
        <v>-1273</v>
      </c>
      <c r="CD162" s="239">
        <v>-5634</v>
      </c>
      <c r="CE162" s="239">
        <v>0</v>
      </c>
      <c r="CF162" s="239">
        <v>-5634</v>
      </c>
      <c r="CG162" s="239">
        <v>0</v>
      </c>
      <c r="CH162" s="239">
        <v>0</v>
      </c>
      <c r="CI162" s="239">
        <v>0</v>
      </c>
      <c r="CJ162" s="239">
        <v>-283</v>
      </c>
      <c r="CK162" s="239">
        <v>0</v>
      </c>
      <c r="CL162" s="239">
        <v>-283</v>
      </c>
      <c r="CM162" s="239">
        <v>0</v>
      </c>
      <c r="CN162" s="239">
        <v>0</v>
      </c>
      <c r="CO162" s="239">
        <v>0</v>
      </c>
      <c r="CP162" s="239">
        <v>0</v>
      </c>
      <c r="CQ162" s="239">
        <v>0</v>
      </c>
      <c r="CR162" s="239">
        <v>0</v>
      </c>
      <c r="CS162" s="239">
        <v>-745</v>
      </c>
      <c r="CT162" s="239">
        <v>0</v>
      </c>
      <c r="CU162" s="239">
        <v>-745</v>
      </c>
      <c r="CV162" s="239">
        <v>0</v>
      </c>
      <c r="CW162" s="239">
        <v>0</v>
      </c>
      <c r="CX162" s="239">
        <v>0</v>
      </c>
      <c r="CY162" s="239">
        <v>0</v>
      </c>
      <c r="CZ162" s="239">
        <v>0</v>
      </c>
      <c r="DA162" s="239">
        <v>0</v>
      </c>
      <c r="DB162" s="239">
        <v>0</v>
      </c>
      <c r="DC162" s="239">
        <v>0</v>
      </c>
      <c r="DD162" s="239">
        <v>0</v>
      </c>
      <c r="DE162" s="239">
        <v>0</v>
      </c>
      <c r="DF162" s="239">
        <v>0</v>
      </c>
      <c r="DG162" s="239">
        <v>0</v>
      </c>
      <c r="DH162" s="239">
        <v>0</v>
      </c>
      <c r="DI162" s="239">
        <v>0</v>
      </c>
      <c r="DJ162" s="239">
        <v>-36998</v>
      </c>
      <c r="DK162" s="239">
        <v>0</v>
      </c>
      <c r="DL162" s="239">
        <v>-36998</v>
      </c>
      <c r="DM162" s="239">
        <v>0</v>
      </c>
      <c r="DN162" s="239">
        <v>0</v>
      </c>
      <c r="DO162" s="239">
        <v>0</v>
      </c>
      <c r="DP162" s="239">
        <v>0</v>
      </c>
      <c r="DQ162" s="239">
        <v>0</v>
      </c>
      <c r="DR162" s="239">
        <v>0</v>
      </c>
      <c r="DS162" s="239">
        <v>0</v>
      </c>
      <c r="DT162" s="239">
        <v>0</v>
      </c>
      <c r="DU162" s="239">
        <v>0</v>
      </c>
      <c r="DV162" s="239">
        <v>0</v>
      </c>
      <c r="DW162" s="239">
        <v>0</v>
      </c>
      <c r="DX162" s="239">
        <v>0</v>
      </c>
      <c r="DY162" s="239">
        <v>880</v>
      </c>
      <c r="DZ162" s="239">
        <v>0</v>
      </c>
      <c r="EA162" s="239">
        <v>880</v>
      </c>
      <c r="EB162" s="239">
        <v>0</v>
      </c>
      <c r="EC162" s="239">
        <v>0</v>
      </c>
      <c r="ED162" s="239">
        <v>0</v>
      </c>
      <c r="EE162" s="239">
        <v>0</v>
      </c>
      <c r="EF162" s="239">
        <v>0</v>
      </c>
      <c r="EG162" s="239">
        <v>0</v>
      </c>
      <c r="EH162" s="239">
        <v>0</v>
      </c>
      <c r="EI162" s="239">
        <v>0</v>
      </c>
      <c r="EJ162" s="239">
        <v>0</v>
      </c>
      <c r="EK162" s="239">
        <v>-10160</v>
      </c>
      <c r="EL162" s="239">
        <v>0</v>
      </c>
      <c r="EM162" s="239">
        <v>-10160</v>
      </c>
      <c r="EN162" s="239">
        <v>0</v>
      </c>
      <c r="EO162" s="239">
        <v>0</v>
      </c>
      <c r="EP162" s="239">
        <v>0</v>
      </c>
      <c r="EQ162" s="239">
        <v>-11523</v>
      </c>
      <c r="ER162" s="239">
        <v>0</v>
      </c>
      <c r="ES162" s="239">
        <v>-11523</v>
      </c>
      <c r="ET162" s="239">
        <v>-123000</v>
      </c>
      <c r="EU162" s="239">
        <v>0</v>
      </c>
      <c r="EV162" s="239">
        <v>-123000</v>
      </c>
      <c r="EW162" s="239">
        <v>-36165</v>
      </c>
      <c r="EX162" s="239">
        <v>0</v>
      </c>
      <c r="EY162" s="239">
        <v>-36165</v>
      </c>
      <c r="EZ162" s="239">
        <v>-179968</v>
      </c>
      <c r="FA162" s="239">
        <v>0</v>
      </c>
      <c r="FB162" s="239">
        <v>-179968</v>
      </c>
      <c r="FC162" s="239">
        <v>0</v>
      </c>
      <c r="FD162" s="239">
        <v>0</v>
      </c>
      <c r="FE162" s="239">
        <v>0</v>
      </c>
      <c r="FF162" s="239">
        <v>0</v>
      </c>
      <c r="FG162" s="239">
        <v>0</v>
      </c>
      <c r="FH162" s="239">
        <v>0</v>
      </c>
      <c r="FI162" s="239">
        <v>0</v>
      </c>
      <c r="FJ162" s="239">
        <v>0</v>
      </c>
      <c r="FK162" s="239">
        <v>0</v>
      </c>
      <c r="FL162" s="239">
        <v>18356726</v>
      </c>
      <c r="FM162" s="239">
        <v>0</v>
      </c>
      <c r="FN162" s="239">
        <v>18356726</v>
      </c>
      <c r="FO162" s="239">
        <v>-154443</v>
      </c>
      <c r="FP162" s="239">
        <v>0</v>
      </c>
      <c r="FQ162" s="239">
        <v>-154443</v>
      </c>
      <c r="FR162" s="239">
        <v>-3301358</v>
      </c>
      <c r="FS162" s="239">
        <v>0</v>
      </c>
      <c r="FT162" s="239">
        <v>-3301358</v>
      </c>
      <c r="FU162" s="239">
        <v>-742273</v>
      </c>
      <c r="FV162" s="239">
        <v>0</v>
      </c>
      <c r="FW162" s="239">
        <v>-742273</v>
      </c>
      <c r="FX162" s="239">
        <v>-36998</v>
      </c>
      <c r="FY162" s="239">
        <v>0</v>
      </c>
      <c r="FZ162" s="239">
        <v>-36998</v>
      </c>
      <c r="GA162" s="239">
        <v>-179968</v>
      </c>
      <c r="GB162" s="239">
        <v>0</v>
      </c>
      <c r="GC162" s="239">
        <v>-179968</v>
      </c>
      <c r="GD162" s="239">
        <v>0</v>
      </c>
      <c r="GE162" s="239">
        <v>0</v>
      </c>
      <c r="GF162" s="239">
        <v>0</v>
      </c>
      <c r="GG162" s="239">
        <v>-4415040</v>
      </c>
      <c r="GH162" s="239">
        <v>0</v>
      </c>
      <c r="GI162" s="239">
        <v>-4415040</v>
      </c>
      <c r="GJ162" s="239">
        <v>13941686</v>
      </c>
      <c r="GK162" s="239">
        <v>0</v>
      </c>
      <c r="GL162" s="239">
        <v>13941686</v>
      </c>
      <c r="GM162" s="214" t="s">
        <v>1158</v>
      </c>
    </row>
    <row r="163" spans="1:195" s="214" customFormat="1" x14ac:dyDescent="0.2">
      <c r="B163" s="602" t="s">
        <v>409</v>
      </c>
      <c r="C163" s="602" t="s">
        <v>408</v>
      </c>
      <c r="D163" s="239">
        <v>-798091</v>
      </c>
      <c r="E163" s="239">
        <v>0</v>
      </c>
      <c r="F163" s="239">
        <v>-798091</v>
      </c>
      <c r="G163" s="239">
        <v>150346</v>
      </c>
      <c r="H163" s="239">
        <v>0</v>
      </c>
      <c r="I163" s="239">
        <v>150346</v>
      </c>
      <c r="J163" s="239">
        <v>621664</v>
      </c>
      <c r="K163" s="239">
        <v>0</v>
      </c>
      <c r="L163" s="239">
        <v>621664</v>
      </c>
      <c r="M163" s="239">
        <v>44683</v>
      </c>
      <c r="N163" s="239">
        <v>0</v>
      </c>
      <c r="O163" s="239">
        <v>44683</v>
      </c>
      <c r="P163" s="239">
        <v>18602</v>
      </c>
      <c r="Q163" s="239">
        <v>0</v>
      </c>
      <c r="R163" s="239">
        <v>18602</v>
      </c>
      <c r="S163" s="239">
        <v>-3278549</v>
      </c>
      <c r="T163" s="239">
        <v>0</v>
      </c>
      <c r="U163" s="239">
        <v>-3278549</v>
      </c>
      <c r="V163" s="239">
        <v>-7730</v>
      </c>
      <c r="W163" s="239">
        <v>0</v>
      </c>
      <c r="X163" s="239">
        <v>-7730</v>
      </c>
      <c r="Y163" s="239">
        <v>-288122</v>
      </c>
      <c r="Z163" s="239">
        <v>0</v>
      </c>
      <c r="AA163" s="239">
        <v>-288122</v>
      </c>
      <c r="AB163" s="239">
        <v>-215817</v>
      </c>
      <c r="AC163" s="239">
        <v>0</v>
      </c>
      <c r="AD163" s="239">
        <v>-215817</v>
      </c>
      <c r="AE163" s="239">
        <v>-431</v>
      </c>
      <c r="AF163" s="239">
        <v>0</v>
      </c>
      <c r="AG163" s="239">
        <v>-431</v>
      </c>
      <c r="AH163" s="239">
        <v>353709</v>
      </c>
      <c r="AI163" s="239">
        <v>0</v>
      </c>
      <c r="AJ163" s="239">
        <v>353709</v>
      </c>
      <c r="AK163" s="239">
        <v>-21773</v>
      </c>
      <c r="AL163" s="239">
        <v>0</v>
      </c>
      <c r="AM163" s="239">
        <v>-21773</v>
      </c>
      <c r="AN163" s="239">
        <v>-1972686</v>
      </c>
      <c r="AO163" s="239">
        <v>0</v>
      </c>
      <c r="AP163" s="239">
        <v>-1972686</v>
      </c>
      <c r="AQ163" s="239">
        <v>-6626</v>
      </c>
      <c r="AR163" s="239">
        <v>0</v>
      </c>
      <c r="AS163" s="239">
        <v>-6626</v>
      </c>
      <c r="AT163" s="239">
        <v>-149491</v>
      </c>
      <c r="AU163" s="239">
        <v>0</v>
      </c>
      <c r="AV163" s="239">
        <v>-149491</v>
      </c>
      <c r="AW163" s="239">
        <v>0</v>
      </c>
      <c r="AX163" s="239">
        <v>0</v>
      </c>
      <c r="AY163" s="239">
        <v>0</v>
      </c>
      <c r="AZ163" s="239">
        <v>-40571</v>
      </c>
      <c r="BA163" s="239">
        <v>0</v>
      </c>
      <c r="BB163" s="239">
        <v>-40571</v>
      </c>
      <c r="BC163" s="239">
        <v>1417</v>
      </c>
      <c r="BD163" s="239">
        <v>0</v>
      </c>
      <c r="BE163" s="239">
        <v>1417</v>
      </c>
      <c r="BF163" s="239">
        <v>-5402692</v>
      </c>
      <c r="BG163" s="239">
        <v>0</v>
      </c>
      <c r="BH163" s="239">
        <v>-5402692</v>
      </c>
      <c r="BI163" s="239">
        <v>-304</v>
      </c>
      <c r="BJ163" s="239">
        <v>0</v>
      </c>
      <c r="BK163" s="239">
        <v>-304</v>
      </c>
      <c r="BL163" s="239">
        <v>-1124</v>
      </c>
      <c r="BM163" s="239">
        <v>0</v>
      </c>
      <c r="BN163" s="239">
        <v>-1124</v>
      </c>
      <c r="BO163" s="239">
        <v>-481626</v>
      </c>
      <c r="BP163" s="239">
        <v>0</v>
      </c>
      <c r="BQ163" s="239">
        <v>-481626</v>
      </c>
      <c r="BR163" s="239">
        <v>14681</v>
      </c>
      <c r="BS163" s="239">
        <v>0</v>
      </c>
      <c r="BT163" s="239">
        <v>14681</v>
      </c>
      <c r="BU163" s="239">
        <v>-468373</v>
      </c>
      <c r="BV163" s="239">
        <v>0</v>
      </c>
      <c r="BW163" s="239">
        <v>-468373</v>
      </c>
      <c r="BX163" s="239">
        <v>-82881</v>
      </c>
      <c r="BY163" s="239">
        <v>0</v>
      </c>
      <c r="BZ163" s="239">
        <v>-82881</v>
      </c>
      <c r="CA163" s="239">
        <v>-903</v>
      </c>
      <c r="CB163" s="239">
        <v>0</v>
      </c>
      <c r="CC163" s="239">
        <v>-903</v>
      </c>
      <c r="CD163" s="239">
        <v>-36952</v>
      </c>
      <c r="CE163" s="239">
        <v>0</v>
      </c>
      <c r="CF163" s="239">
        <v>-36952</v>
      </c>
      <c r="CG163" s="239">
        <v>81008</v>
      </c>
      <c r="CH163" s="239">
        <v>0</v>
      </c>
      <c r="CI163" s="239">
        <v>81008</v>
      </c>
      <c r="CJ163" s="239">
        <v>-37278</v>
      </c>
      <c r="CK163" s="239">
        <v>0</v>
      </c>
      <c r="CL163" s="239">
        <v>-37278</v>
      </c>
      <c r="CM163" s="239">
        <v>0</v>
      </c>
      <c r="CN163" s="239">
        <v>0</v>
      </c>
      <c r="CO163" s="239">
        <v>0</v>
      </c>
      <c r="CP163" s="239">
        <v>-353</v>
      </c>
      <c r="CQ163" s="239">
        <v>0</v>
      </c>
      <c r="CR163" s="239">
        <v>-353</v>
      </c>
      <c r="CS163" s="239">
        <v>0</v>
      </c>
      <c r="CT163" s="239">
        <v>0</v>
      </c>
      <c r="CU163" s="239">
        <v>0</v>
      </c>
      <c r="CV163" s="239">
        <v>-505</v>
      </c>
      <c r="CW163" s="239">
        <v>0</v>
      </c>
      <c r="CX163" s="239">
        <v>-505</v>
      </c>
      <c r="CY163" s="239">
        <v>-1221</v>
      </c>
      <c r="CZ163" s="239">
        <v>0</v>
      </c>
      <c r="DA163" s="239">
        <v>-1221</v>
      </c>
      <c r="DB163" s="239">
        <v>0</v>
      </c>
      <c r="DC163" s="239">
        <v>0</v>
      </c>
      <c r="DD163" s="239">
        <v>0</v>
      </c>
      <c r="DE163" s="239">
        <v>0</v>
      </c>
      <c r="DF163" s="239">
        <v>0</v>
      </c>
      <c r="DG163" s="239">
        <v>0</v>
      </c>
      <c r="DH163" s="239">
        <v>0</v>
      </c>
      <c r="DI163" s="239">
        <v>0</v>
      </c>
      <c r="DJ163" s="239">
        <v>-79085</v>
      </c>
      <c r="DK163" s="239">
        <v>0</v>
      </c>
      <c r="DL163" s="239">
        <v>-79085</v>
      </c>
      <c r="DM163" s="239">
        <v>-11506</v>
      </c>
      <c r="DN163" s="239">
        <v>0</v>
      </c>
      <c r="DO163" s="239">
        <v>-11506</v>
      </c>
      <c r="DP163" s="239">
        <v>0</v>
      </c>
      <c r="DQ163" s="239">
        <v>0</v>
      </c>
      <c r="DR163" s="239">
        <v>0</v>
      </c>
      <c r="DS163" s="239">
        <v>0</v>
      </c>
      <c r="DT163" s="239">
        <v>0</v>
      </c>
      <c r="DU163" s="239">
        <v>0</v>
      </c>
      <c r="DV163" s="239">
        <v>0</v>
      </c>
      <c r="DW163" s="239">
        <v>0</v>
      </c>
      <c r="DX163" s="239">
        <v>0</v>
      </c>
      <c r="DY163" s="239">
        <v>10756</v>
      </c>
      <c r="DZ163" s="239">
        <v>0</v>
      </c>
      <c r="EA163" s="239">
        <v>10756</v>
      </c>
      <c r="EB163" s="239">
        <v>0</v>
      </c>
      <c r="EC163" s="239">
        <v>0</v>
      </c>
      <c r="ED163" s="239">
        <v>0</v>
      </c>
      <c r="EE163" s="239">
        <v>0</v>
      </c>
      <c r="EF163" s="239">
        <v>0</v>
      </c>
      <c r="EG163" s="239">
        <v>0</v>
      </c>
      <c r="EH163" s="239">
        <v>0</v>
      </c>
      <c r="EI163" s="239">
        <v>0</v>
      </c>
      <c r="EJ163" s="239">
        <v>0</v>
      </c>
      <c r="EK163" s="239">
        <v>-43322</v>
      </c>
      <c r="EL163" s="239">
        <v>0</v>
      </c>
      <c r="EM163" s="239">
        <v>-43322</v>
      </c>
      <c r="EN163" s="239">
        <v>0</v>
      </c>
      <c r="EO163" s="239">
        <v>0</v>
      </c>
      <c r="EP163" s="239">
        <v>0</v>
      </c>
      <c r="EQ163" s="239">
        <v>-25042</v>
      </c>
      <c r="ER163" s="239">
        <v>0</v>
      </c>
      <c r="ES163" s="239">
        <v>-25042</v>
      </c>
      <c r="ET163" s="239">
        <v>-123022</v>
      </c>
      <c r="EU163" s="239">
        <v>0</v>
      </c>
      <c r="EV163" s="239">
        <v>-123022</v>
      </c>
      <c r="EW163" s="239">
        <v>-45246</v>
      </c>
      <c r="EX163" s="239">
        <v>0</v>
      </c>
      <c r="EY163" s="239">
        <v>-45246</v>
      </c>
      <c r="EZ163" s="239">
        <v>-237382</v>
      </c>
      <c r="FA163" s="239">
        <v>0</v>
      </c>
      <c r="FB163" s="239">
        <v>-237382</v>
      </c>
      <c r="FC163" s="239">
        <v>0</v>
      </c>
      <c r="FD163" s="239">
        <v>0</v>
      </c>
      <c r="FE163" s="239">
        <v>0</v>
      </c>
      <c r="FF163" s="239">
        <v>0</v>
      </c>
      <c r="FG163" s="239">
        <v>0</v>
      </c>
      <c r="FH163" s="239">
        <v>0</v>
      </c>
      <c r="FI163" s="239">
        <v>0</v>
      </c>
      <c r="FJ163" s="239">
        <v>0</v>
      </c>
      <c r="FK163" s="239">
        <v>0</v>
      </c>
      <c r="FL163" s="239">
        <v>20743543</v>
      </c>
      <c r="FM163" s="239">
        <v>0</v>
      </c>
      <c r="FN163" s="239">
        <v>20743543</v>
      </c>
      <c r="FO163" s="239">
        <v>18602</v>
      </c>
      <c r="FP163" s="239">
        <v>0</v>
      </c>
      <c r="FQ163" s="239">
        <v>18602</v>
      </c>
      <c r="FR163" s="239">
        <v>-5402692</v>
      </c>
      <c r="FS163" s="239">
        <v>0</v>
      </c>
      <c r="FT163" s="239">
        <v>-5402692</v>
      </c>
      <c r="FU163" s="239">
        <v>-468373</v>
      </c>
      <c r="FV163" s="239">
        <v>0</v>
      </c>
      <c r="FW163" s="239">
        <v>-468373</v>
      </c>
      <c r="FX163" s="239">
        <v>-79085</v>
      </c>
      <c r="FY163" s="239">
        <v>0</v>
      </c>
      <c r="FZ163" s="239">
        <v>-79085</v>
      </c>
      <c r="GA163" s="239">
        <v>-237382</v>
      </c>
      <c r="GB163" s="239">
        <v>0</v>
      </c>
      <c r="GC163" s="239">
        <v>-237382</v>
      </c>
      <c r="GD163" s="239">
        <v>0</v>
      </c>
      <c r="GE163" s="239">
        <v>0</v>
      </c>
      <c r="GF163" s="239">
        <v>0</v>
      </c>
      <c r="GG163" s="239">
        <v>-6168930</v>
      </c>
      <c r="GH163" s="239">
        <v>0</v>
      </c>
      <c r="GI163" s="239">
        <v>-6168930</v>
      </c>
      <c r="GJ163" s="239">
        <v>14574613</v>
      </c>
      <c r="GK163" s="239">
        <v>0</v>
      </c>
      <c r="GL163" s="239">
        <v>14574613</v>
      </c>
      <c r="GM163" s="214" t="s">
        <v>1158</v>
      </c>
    </row>
    <row r="164" spans="1:195" s="214" customFormat="1" x14ac:dyDescent="0.2">
      <c r="B164" s="602" t="s">
        <v>411</v>
      </c>
      <c r="C164" s="602" t="s">
        <v>410</v>
      </c>
      <c r="D164" s="239">
        <v>-9318899</v>
      </c>
      <c r="E164" s="239">
        <v>-136614</v>
      </c>
      <c r="F164" s="239">
        <v>-9455513</v>
      </c>
      <c r="G164" s="239">
        <v>1059204</v>
      </c>
      <c r="H164" s="239">
        <v>15203</v>
      </c>
      <c r="I164" s="239">
        <v>1074407</v>
      </c>
      <c r="J164" s="239">
        <v>13805471</v>
      </c>
      <c r="K164" s="239">
        <v>789818</v>
      </c>
      <c r="L164" s="239">
        <v>14595289</v>
      </c>
      <c r="M164" s="239">
        <v>124904</v>
      </c>
      <c r="N164" s="239">
        <v>1604</v>
      </c>
      <c r="O164" s="239">
        <v>126508</v>
      </c>
      <c r="P164" s="239">
        <v>5670680</v>
      </c>
      <c r="Q164" s="239">
        <v>670011</v>
      </c>
      <c r="R164" s="239">
        <v>6340691</v>
      </c>
      <c r="S164" s="239">
        <v>-17011966</v>
      </c>
      <c r="T164" s="239">
        <v>-149846</v>
      </c>
      <c r="U164" s="239">
        <v>-17161812</v>
      </c>
      <c r="V164" s="239">
        <v>-2599</v>
      </c>
      <c r="W164" s="239">
        <v>0</v>
      </c>
      <c r="X164" s="239">
        <v>-2599</v>
      </c>
      <c r="Y164" s="239">
        <v>-687612</v>
      </c>
      <c r="Z164" s="239">
        <v>-19723</v>
      </c>
      <c r="AA164" s="239">
        <v>-707335</v>
      </c>
      <c r="AB164" s="239">
        <v>-687615</v>
      </c>
      <c r="AC164" s="239">
        <v>-19722</v>
      </c>
      <c r="AD164" s="239">
        <v>-707337</v>
      </c>
      <c r="AE164" s="239">
        <v>0</v>
      </c>
      <c r="AF164" s="239">
        <v>0</v>
      </c>
      <c r="AG164" s="239">
        <v>0</v>
      </c>
      <c r="AH164" s="239">
        <v>9040932</v>
      </c>
      <c r="AI164" s="239">
        <v>318877</v>
      </c>
      <c r="AJ164" s="239">
        <v>9359809</v>
      </c>
      <c r="AK164" s="239">
        <v>-510232</v>
      </c>
      <c r="AL164" s="239">
        <v>-1436</v>
      </c>
      <c r="AM164" s="239">
        <v>-511668</v>
      </c>
      <c r="AN164" s="239">
        <v>-29383042</v>
      </c>
      <c r="AO164" s="239">
        <v>-330890</v>
      </c>
      <c r="AP164" s="239">
        <v>-29713932</v>
      </c>
      <c r="AQ164" s="239">
        <v>-1037978</v>
      </c>
      <c r="AR164" s="239">
        <v>-33955</v>
      </c>
      <c r="AS164" s="239">
        <v>-1071933</v>
      </c>
      <c r="AT164" s="239">
        <v>-100224</v>
      </c>
      <c r="AU164" s="239">
        <v>0</v>
      </c>
      <c r="AV164" s="239">
        <v>-100224</v>
      </c>
      <c r="AW164" s="239">
        <v>0</v>
      </c>
      <c r="AX164" s="239">
        <v>0</v>
      </c>
      <c r="AY164" s="239">
        <v>0</v>
      </c>
      <c r="AZ164" s="239">
        <v>0</v>
      </c>
      <c r="BA164" s="239">
        <v>0</v>
      </c>
      <c r="BB164" s="239">
        <v>0</v>
      </c>
      <c r="BC164" s="239">
        <v>0</v>
      </c>
      <c r="BD164" s="239">
        <v>0</v>
      </c>
      <c r="BE164" s="239">
        <v>0</v>
      </c>
      <c r="BF164" s="239">
        <v>-39690122</v>
      </c>
      <c r="BG164" s="239">
        <v>-216973</v>
      </c>
      <c r="BH164" s="239">
        <v>-39907095</v>
      </c>
      <c r="BI164" s="239">
        <v>0</v>
      </c>
      <c r="BJ164" s="239">
        <v>0</v>
      </c>
      <c r="BK164" s="239">
        <v>0</v>
      </c>
      <c r="BL164" s="239">
        <v>998</v>
      </c>
      <c r="BM164" s="239">
        <v>0</v>
      </c>
      <c r="BN164" s="239">
        <v>998</v>
      </c>
      <c r="BO164" s="239">
        <v>-22949931</v>
      </c>
      <c r="BP164" s="239">
        <v>-456941</v>
      </c>
      <c r="BQ164" s="239">
        <v>-23406872</v>
      </c>
      <c r="BR164" s="239">
        <v>1658953</v>
      </c>
      <c r="BS164" s="239">
        <v>-573439</v>
      </c>
      <c r="BT164" s="239">
        <v>1085514</v>
      </c>
      <c r="BU164" s="239">
        <v>-21289980</v>
      </c>
      <c r="BV164" s="239">
        <v>-1030380</v>
      </c>
      <c r="BW164" s="239">
        <v>-22320360</v>
      </c>
      <c r="BX164" s="239">
        <v>-867476</v>
      </c>
      <c r="BY164" s="239">
        <v>-1054</v>
      </c>
      <c r="BZ164" s="239">
        <v>-868530</v>
      </c>
      <c r="CA164" s="239">
        <v>-17129</v>
      </c>
      <c r="CB164" s="239">
        <v>0</v>
      </c>
      <c r="CC164" s="239">
        <v>-17129</v>
      </c>
      <c r="CD164" s="239">
        <v>-1987714</v>
      </c>
      <c r="CE164" s="239">
        <v>0</v>
      </c>
      <c r="CF164" s="239">
        <v>-1987714</v>
      </c>
      <c r="CG164" s="239">
        <v>35325</v>
      </c>
      <c r="CH164" s="239">
        <v>0</v>
      </c>
      <c r="CI164" s="239">
        <v>35325</v>
      </c>
      <c r="CJ164" s="239">
        <v>0</v>
      </c>
      <c r="CK164" s="239">
        <v>0</v>
      </c>
      <c r="CL164" s="239">
        <v>0</v>
      </c>
      <c r="CM164" s="239">
        <v>0</v>
      </c>
      <c r="CN164" s="239">
        <v>0</v>
      </c>
      <c r="CO164" s="239">
        <v>0</v>
      </c>
      <c r="CP164" s="239">
        <v>0</v>
      </c>
      <c r="CQ164" s="239">
        <v>0</v>
      </c>
      <c r="CR164" s="239">
        <v>0</v>
      </c>
      <c r="CS164" s="239">
        <v>0</v>
      </c>
      <c r="CT164" s="239">
        <v>0</v>
      </c>
      <c r="CU164" s="239">
        <v>0</v>
      </c>
      <c r="CV164" s="239">
        <v>0</v>
      </c>
      <c r="CW164" s="239">
        <v>0</v>
      </c>
      <c r="CX164" s="239">
        <v>0</v>
      </c>
      <c r="CY164" s="239">
        <v>0</v>
      </c>
      <c r="CZ164" s="239">
        <v>0</v>
      </c>
      <c r="DA164" s="239">
        <v>0</v>
      </c>
      <c r="DB164" s="239">
        <v>-7771</v>
      </c>
      <c r="DC164" s="239">
        <v>-858624</v>
      </c>
      <c r="DD164" s="239">
        <v>-866395</v>
      </c>
      <c r="DE164" s="239">
        <v>0</v>
      </c>
      <c r="DF164" s="239">
        <v>149677</v>
      </c>
      <c r="DG164" s="239">
        <v>149677</v>
      </c>
      <c r="DH164" s="239">
        <v>-708947</v>
      </c>
      <c r="DI164" s="239">
        <v>0</v>
      </c>
      <c r="DJ164" s="239">
        <v>-2844765</v>
      </c>
      <c r="DK164" s="239">
        <v>-710001</v>
      </c>
      <c r="DL164" s="239">
        <v>-3554766</v>
      </c>
      <c r="DM164" s="239">
        <v>-11497</v>
      </c>
      <c r="DN164" s="239">
        <v>0</v>
      </c>
      <c r="DO164" s="239">
        <v>-11497</v>
      </c>
      <c r="DP164" s="239">
        <v>-176027</v>
      </c>
      <c r="DQ164" s="239">
        <v>0</v>
      </c>
      <c r="DR164" s="239">
        <v>-176027</v>
      </c>
      <c r="DS164" s="239">
        <v>-21104</v>
      </c>
      <c r="DT164" s="239">
        <v>0</v>
      </c>
      <c r="DU164" s="239">
        <v>-21104</v>
      </c>
      <c r="DV164" s="239">
        <v>-50783</v>
      </c>
      <c r="DW164" s="239">
        <v>0</v>
      </c>
      <c r="DX164" s="239">
        <v>-50783</v>
      </c>
      <c r="DY164" s="239">
        <v>0</v>
      </c>
      <c r="DZ164" s="239">
        <v>0</v>
      </c>
      <c r="EA164" s="239">
        <v>0</v>
      </c>
      <c r="EB164" s="239">
        <v>0</v>
      </c>
      <c r="EC164" s="239">
        <v>0</v>
      </c>
      <c r="ED164" s="239">
        <v>0</v>
      </c>
      <c r="EE164" s="239">
        <v>0</v>
      </c>
      <c r="EF164" s="239">
        <v>0</v>
      </c>
      <c r="EG164" s="239">
        <v>0</v>
      </c>
      <c r="EH164" s="239">
        <v>0</v>
      </c>
      <c r="EI164" s="239">
        <v>0</v>
      </c>
      <c r="EJ164" s="239">
        <v>0</v>
      </c>
      <c r="EK164" s="239">
        <v>0</v>
      </c>
      <c r="EL164" s="239">
        <v>0</v>
      </c>
      <c r="EM164" s="239">
        <v>0</v>
      </c>
      <c r="EN164" s="239">
        <v>0</v>
      </c>
      <c r="EO164" s="239">
        <v>0</v>
      </c>
      <c r="EP164" s="239">
        <v>0</v>
      </c>
      <c r="EQ164" s="239">
        <v>-145183</v>
      </c>
      <c r="ER164" s="239">
        <v>0</v>
      </c>
      <c r="ES164" s="239">
        <v>-145183</v>
      </c>
      <c r="ET164" s="239">
        <v>-1506997</v>
      </c>
      <c r="EU164" s="239">
        <v>-10105</v>
      </c>
      <c r="EV164" s="239">
        <v>-1517102</v>
      </c>
      <c r="EW164" s="239">
        <v>-151962</v>
      </c>
      <c r="EX164" s="239">
        <v>-1000</v>
      </c>
      <c r="EY164" s="239">
        <v>-152962</v>
      </c>
      <c r="EZ164" s="239">
        <v>-2063553</v>
      </c>
      <c r="FA164" s="239">
        <v>-11105</v>
      </c>
      <c r="FB164" s="239">
        <v>-2074658</v>
      </c>
      <c r="FC164" s="239">
        <v>0</v>
      </c>
      <c r="FD164" s="239">
        <v>0</v>
      </c>
      <c r="FE164" s="239">
        <v>0</v>
      </c>
      <c r="FF164" s="239">
        <v>-249</v>
      </c>
      <c r="FG164" s="239">
        <v>0</v>
      </c>
      <c r="FH164" s="239">
        <v>-249</v>
      </c>
      <c r="FI164" s="239">
        <v>-249</v>
      </c>
      <c r="FJ164" s="239">
        <v>0</v>
      </c>
      <c r="FK164" s="239">
        <v>-249</v>
      </c>
      <c r="FL164" s="239">
        <v>385951265</v>
      </c>
      <c r="FM164" s="239">
        <v>13651353</v>
      </c>
      <c r="FN164" s="239">
        <v>399602618</v>
      </c>
      <c r="FO164" s="239">
        <v>5670680</v>
      </c>
      <c r="FP164" s="239">
        <v>670011</v>
      </c>
      <c r="FQ164" s="239">
        <v>6340691</v>
      </c>
      <c r="FR164" s="239">
        <v>-39690122</v>
      </c>
      <c r="FS164" s="239">
        <v>-216973</v>
      </c>
      <c r="FT164" s="239">
        <v>-39907095</v>
      </c>
      <c r="FU164" s="239">
        <v>-21289980</v>
      </c>
      <c r="FV164" s="239">
        <v>-1030380</v>
      </c>
      <c r="FW164" s="239">
        <v>-22320360</v>
      </c>
      <c r="FX164" s="239">
        <v>-2844765</v>
      </c>
      <c r="FY164" s="239">
        <v>-710001</v>
      </c>
      <c r="FZ164" s="239">
        <v>-3554766</v>
      </c>
      <c r="GA164" s="239">
        <v>-2063553</v>
      </c>
      <c r="GB164" s="239">
        <v>-11105</v>
      </c>
      <c r="GC164" s="239">
        <v>-2074658</v>
      </c>
      <c r="GD164" s="239">
        <v>-249</v>
      </c>
      <c r="GE164" s="239">
        <v>0</v>
      </c>
      <c r="GF164" s="239">
        <v>-249</v>
      </c>
      <c r="GG164" s="239">
        <v>-60217989</v>
      </c>
      <c r="GH164" s="239">
        <v>-1298448</v>
      </c>
      <c r="GI164" s="239">
        <v>-61516437</v>
      </c>
      <c r="GJ164" s="239">
        <v>325733276</v>
      </c>
      <c r="GK164" s="239">
        <v>12352905</v>
      </c>
      <c r="GL164" s="239">
        <v>338086181</v>
      </c>
      <c r="GM164" s="214" t="s">
        <v>1160</v>
      </c>
    </row>
    <row r="165" spans="1:195" s="214" customFormat="1" x14ac:dyDescent="0.2">
      <c r="B165" s="602" t="s">
        <v>413</v>
      </c>
      <c r="C165" s="602" t="s">
        <v>412</v>
      </c>
      <c r="D165" s="239">
        <v>-1183199</v>
      </c>
      <c r="E165" s="239">
        <v>0</v>
      </c>
      <c r="F165" s="239">
        <v>-1183199</v>
      </c>
      <c r="G165" s="239">
        <v>6526</v>
      </c>
      <c r="H165" s="239">
        <v>0</v>
      </c>
      <c r="I165" s="239">
        <v>6526</v>
      </c>
      <c r="J165" s="239">
        <v>1449921</v>
      </c>
      <c r="K165" s="239">
        <v>0</v>
      </c>
      <c r="L165" s="239">
        <v>1449921</v>
      </c>
      <c r="M165" s="239">
        <v>120667</v>
      </c>
      <c r="N165" s="239">
        <v>0</v>
      </c>
      <c r="O165" s="239">
        <v>120667</v>
      </c>
      <c r="P165" s="239">
        <v>393915</v>
      </c>
      <c r="Q165" s="239">
        <v>0</v>
      </c>
      <c r="R165" s="239">
        <v>393915</v>
      </c>
      <c r="S165" s="239">
        <v>-2768566</v>
      </c>
      <c r="T165" s="239">
        <v>0</v>
      </c>
      <c r="U165" s="239">
        <v>-2768566</v>
      </c>
      <c r="V165" s="239">
        <v>-19981</v>
      </c>
      <c r="W165" s="239">
        <v>0</v>
      </c>
      <c r="X165" s="239">
        <v>-19981</v>
      </c>
      <c r="Y165" s="239">
        <v>-175798</v>
      </c>
      <c r="Z165" s="239">
        <v>0</v>
      </c>
      <c r="AA165" s="239">
        <v>-175798</v>
      </c>
      <c r="AB165" s="239">
        <v>-141338</v>
      </c>
      <c r="AC165" s="239">
        <v>0</v>
      </c>
      <c r="AD165" s="239">
        <v>-141338</v>
      </c>
      <c r="AE165" s="239">
        <v>828</v>
      </c>
      <c r="AF165" s="239">
        <v>0</v>
      </c>
      <c r="AG165" s="239">
        <v>828</v>
      </c>
      <c r="AH165" s="239">
        <v>662569</v>
      </c>
      <c r="AI165" s="239">
        <v>0</v>
      </c>
      <c r="AJ165" s="239">
        <v>662569</v>
      </c>
      <c r="AK165" s="239">
        <v>470075</v>
      </c>
      <c r="AL165" s="239">
        <v>0</v>
      </c>
      <c r="AM165" s="239">
        <v>470075</v>
      </c>
      <c r="AN165" s="239">
        <v>-2289514</v>
      </c>
      <c r="AO165" s="239">
        <v>0</v>
      </c>
      <c r="AP165" s="239">
        <v>-2289514</v>
      </c>
      <c r="AQ165" s="239">
        <v>19907</v>
      </c>
      <c r="AR165" s="239">
        <v>0</v>
      </c>
      <c r="AS165" s="239">
        <v>19907</v>
      </c>
      <c r="AT165" s="239">
        <v>-13836</v>
      </c>
      <c r="AU165" s="239">
        <v>0</v>
      </c>
      <c r="AV165" s="239">
        <v>-13836</v>
      </c>
      <c r="AW165" s="239">
        <v>157</v>
      </c>
      <c r="AX165" s="239">
        <v>0</v>
      </c>
      <c r="AY165" s="239">
        <v>157</v>
      </c>
      <c r="AZ165" s="239">
        <v>0</v>
      </c>
      <c r="BA165" s="239">
        <v>0</v>
      </c>
      <c r="BB165" s="239">
        <v>0</v>
      </c>
      <c r="BC165" s="239">
        <v>0</v>
      </c>
      <c r="BD165" s="239">
        <v>0</v>
      </c>
      <c r="BE165" s="239">
        <v>0</v>
      </c>
      <c r="BF165" s="239">
        <v>-4095006</v>
      </c>
      <c r="BG165" s="239">
        <v>0</v>
      </c>
      <c r="BH165" s="239">
        <v>-4095006</v>
      </c>
      <c r="BI165" s="239">
        <v>-35952</v>
      </c>
      <c r="BJ165" s="239">
        <v>0</v>
      </c>
      <c r="BK165" s="239">
        <v>-35952</v>
      </c>
      <c r="BL165" s="239">
        <v>-8415</v>
      </c>
      <c r="BM165" s="239">
        <v>0</v>
      </c>
      <c r="BN165" s="239">
        <v>-8415</v>
      </c>
      <c r="BO165" s="239">
        <v>-929548</v>
      </c>
      <c r="BP165" s="239">
        <v>0</v>
      </c>
      <c r="BQ165" s="239">
        <v>-929548</v>
      </c>
      <c r="BR165" s="239">
        <v>-42309</v>
      </c>
      <c r="BS165" s="239">
        <v>0</v>
      </c>
      <c r="BT165" s="239">
        <v>-42309</v>
      </c>
      <c r="BU165" s="239">
        <v>-1016224</v>
      </c>
      <c r="BV165" s="239">
        <v>0</v>
      </c>
      <c r="BW165" s="239">
        <v>-1016224</v>
      </c>
      <c r="BX165" s="239">
        <v>-12355</v>
      </c>
      <c r="BY165" s="239">
        <v>0</v>
      </c>
      <c r="BZ165" s="239">
        <v>-12355</v>
      </c>
      <c r="CA165" s="239">
        <v>0</v>
      </c>
      <c r="CB165" s="239">
        <v>0</v>
      </c>
      <c r="CC165" s="239">
        <v>0</v>
      </c>
      <c r="CD165" s="239">
        <v>-113745</v>
      </c>
      <c r="CE165" s="239">
        <v>0</v>
      </c>
      <c r="CF165" s="239">
        <v>-113745</v>
      </c>
      <c r="CG165" s="239">
        <v>4727</v>
      </c>
      <c r="CH165" s="239">
        <v>0</v>
      </c>
      <c r="CI165" s="239">
        <v>4727</v>
      </c>
      <c r="CJ165" s="239">
        <v>0</v>
      </c>
      <c r="CK165" s="239">
        <v>0</v>
      </c>
      <c r="CL165" s="239">
        <v>0</v>
      </c>
      <c r="CM165" s="239">
        <v>0</v>
      </c>
      <c r="CN165" s="239">
        <v>0</v>
      </c>
      <c r="CO165" s="239">
        <v>0</v>
      </c>
      <c r="CP165" s="239">
        <v>0</v>
      </c>
      <c r="CQ165" s="239">
        <v>0</v>
      </c>
      <c r="CR165" s="239">
        <v>0</v>
      </c>
      <c r="CS165" s="239">
        <v>0</v>
      </c>
      <c r="CT165" s="239">
        <v>0</v>
      </c>
      <c r="CU165" s="239">
        <v>0</v>
      </c>
      <c r="CV165" s="239">
        <v>0</v>
      </c>
      <c r="CW165" s="239">
        <v>0</v>
      </c>
      <c r="CX165" s="239">
        <v>0</v>
      </c>
      <c r="CY165" s="239">
        <v>0</v>
      </c>
      <c r="CZ165" s="239">
        <v>0</v>
      </c>
      <c r="DA165" s="239">
        <v>0</v>
      </c>
      <c r="DB165" s="239">
        <v>0</v>
      </c>
      <c r="DC165" s="239">
        <v>0</v>
      </c>
      <c r="DD165" s="239">
        <v>0</v>
      </c>
      <c r="DE165" s="239">
        <v>0</v>
      </c>
      <c r="DF165" s="239">
        <v>0</v>
      </c>
      <c r="DG165" s="239">
        <v>0</v>
      </c>
      <c r="DH165" s="239">
        <v>0</v>
      </c>
      <c r="DI165" s="239">
        <v>0</v>
      </c>
      <c r="DJ165" s="239">
        <v>-121373</v>
      </c>
      <c r="DK165" s="239">
        <v>0</v>
      </c>
      <c r="DL165" s="239">
        <v>-121373</v>
      </c>
      <c r="DM165" s="239">
        <v>-4553</v>
      </c>
      <c r="DN165" s="239">
        <v>0</v>
      </c>
      <c r="DO165" s="239">
        <v>-4553</v>
      </c>
      <c r="DP165" s="239">
        <v>0</v>
      </c>
      <c r="DQ165" s="239">
        <v>0</v>
      </c>
      <c r="DR165" s="239">
        <v>0</v>
      </c>
      <c r="DS165" s="239">
        <v>-2117</v>
      </c>
      <c r="DT165" s="239">
        <v>0</v>
      </c>
      <c r="DU165" s="239">
        <v>-2117</v>
      </c>
      <c r="DV165" s="239">
        <v>0</v>
      </c>
      <c r="DW165" s="239">
        <v>0</v>
      </c>
      <c r="DX165" s="239">
        <v>0</v>
      </c>
      <c r="DY165" s="239">
        <v>5858</v>
      </c>
      <c r="DZ165" s="239">
        <v>0</v>
      </c>
      <c r="EA165" s="239">
        <v>5858</v>
      </c>
      <c r="EB165" s="239">
        <v>0</v>
      </c>
      <c r="EC165" s="239">
        <v>0</v>
      </c>
      <c r="ED165" s="239">
        <v>0</v>
      </c>
      <c r="EE165" s="239">
        <v>0</v>
      </c>
      <c r="EF165" s="239">
        <v>0</v>
      </c>
      <c r="EG165" s="239">
        <v>0</v>
      </c>
      <c r="EH165" s="239">
        <v>0</v>
      </c>
      <c r="EI165" s="239">
        <v>0</v>
      </c>
      <c r="EJ165" s="239">
        <v>0</v>
      </c>
      <c r="EK165" s="239">
        <v>0</v>
      </c>
      <c r="EL165" s="239">
        <v>0</v>
      </c>
      <c r="EM165" s="239">
        <v>0</v>
      </c>
      <c r="EN165" s="239">
        <v>-1500</v>
      </c>
      <c r="EO165" s="239">
        <v>0</v>
      </c>
      <c r="EP165" s="239">
        <v>-1500</v>
      </c>
      <c r="EQ165" s="239">
        <v>-6908</v>
      </c>
      <c r="ER165" s="239">
        <v>0</v>
      </c>
      <c r="ES165" s="239">
        <v>-6908</v>
      </c>
      <c r="ET165" s="239">
        <v>-103287</v>
      </c>
      <c r="EU165" s="239">
        <v>0</v>
      </c>
      <c r="EV165" s="239">
        <v>-103287</v>
      </c>
      <c r="EW165" s="239">
        <v>-24219</v>
      </c>
      <c r="EX165" s="239">
        <v>0</v>
      </c>
      <c r="EY165" s="239">
        <v>-24219</v>
      </c>
      <c r="EZ165" s="239">
        <v>-136726</v>
      </c>
      <c r="FA165" s="239">
        <v>0</v>
      </c>
      <c r="FB165" s="239">
        <v>-136726</v>
      </c>
      <c r="FC165" s="239">
        <v>-1609</v>
      </c>
      <c r="FD165" s="239">
        <v>0</v>
      </c>
      <c r="FE165" s="239">
        <v>-1609</v>
      </c>
      <c r="FF165" s="239">
        <v>-1652</v>
      </c>
      <c r="FG165" s="239">
        <v>0</v>
      </c>
      <c r="FH165" s="239">
        <v>-1652</v>
      </c>
      <c r="FI165" s="239">
        <v>-3261</v>
      </c>
      <c r="FJ165" s="239">
        <v>0</v>
      </c>
      <c r="FK165" s="239">
        <v>-3261</v>
      </c>
      <c r="FL165" s="239">
        <v>31953058</v>
      </c>
      <c r="FM165" s="239">
        <v>0</v>
      </c>
      <c r="FN165" s="239">
        <v>31953058</v>
      </c>
      <c r="FO165" s="239">
        <v>393915</v>
      </c>
      <c r="FP165" s="239">
        <v>0</v>
      </c>
      <c r="FQ165" s="239">
        <v>393915</v>
      </c>
      <c r="FR165" s="239">
        <v>-4095006</v>
      </c>
      <c r="FS165" s="239">
        <v>0</v>
      </c>
      <c r="FT165" s="239">
        <v>-4095006</v>
      </c>
      <c r="FU165" s="239">
        <v>-1016224</v>
      </c>
      <c r="FV165" s="239">
        <v>0</v>
      </c>
      <c r="FW165" s="239">
        <v>-1016224</v>
      </c>
      <c r="FX165" s="239">
        <v>-121373</v>
      </c>
      <c r="FY165" s="239">
        <v>0</v>
      </c>
      <c r="FZ165" s="239">
        <v>-121373</v>
      </c>
      <c r="GA165" s="239">
        <v>-136726</v>
      </c>
      <c r="GB165" s="239">
        <v>0</v>
      </c>
      <c r="GC165" s="239">
        <v>-136726</v>
      </c>
      <c r="GD165" s="239">
        <v>-3261</v>
      </c>
      <c r="GE165" s="239">
        <v>0</v>
      </c>
      <c r="GF165" s="239">
        <v>-3261</v>
      </c>
      <c r="GG165" s="239">
        <v>-4978675</v>
      </c>
      <c r="GH165" s="239">
        <v>0</v>
      </c>
      <c r="GI165" s="239">
        <v>-4978675</v>
      </c>
      <c r="GJ165" s="239">
        <v>26974383</v>
      </c>
      <c r="GK165" s="239">
        <v>0</v>
      </c>
      <c r="GL165" s="239">
        <v>26974383</v>
      </c>
      <c r="GM165" s="214" t="s">
        <v>1158</v>
      </c>
    </row>
    <row r="166" spans="1:195" s="214" customFormat="1" x14ac:dyDescent="0.2">
      <c r="B166" s="602" t="s">
        <v>415</v>
      </c>
      <c r="C166" s="602" t="s">
        <v>414</v>
      </c>
      <c r="D166" s="239">
        <v>-3028847</v>
      </c>
      <c r="E166" s="239">
        <v>0</v>
      </c>
      <c r="F166" s="239">
        <v>-3028847</v>
      </c>
      <c r="G166" s="239">
        <v>3149417</v>
      </c>
      <c r="H166" s="239">
        <v>0</v>
      </c>
      <c r="I166" s="239">
        <v>3149417</v>
      </c>
      <c r="J166" s="239">
        <v>6951417</v>
      </c>
      <c r="K166" s="239">
        <v>0</v>
      </c>
      <c r="L166" s="239">
        <v>6951417</v>
      </c>
      <c r="M166" s="239">
        <v>621593</v>
      </c>
      <c r="N166" s="239">
        <v>0</v>
      </c>
      <c r="O166" s="239">
        <v>621593</v>
      </c>
      <c r="P166" s="239">
        <v>7693580</v>
      </c>
      <c r="Q166" s="239">
        <v>0</v>
      </c>
      <c r="R166" s="239">
        <v>7693580</v>
      </c>
      <c r="S166" s="239">
        <v>-6323206</v>
      </c>
      <c r="T166" s="239">
        <v>0</v>
      </c>
      <c r="U166" s="239">
        <v>-6323206</v>
      </c>
      <c r="V166" s="239">
        <v>-21748</v>
      </c>
      <c r="W166" s="239">
        <v>0</v>
      </c>
      <c r="X166" s="239">
        <v>-21748</v>
      </c>
      <c r="Y166" s="239">
        <v>-287555</v>
      </c>
      <c r="Z166" s="239">
        <v>0</v>
      </c>
      <c r="AA166" s="239">
        <v>-287555</v>
      </c>
      <c r="AB166" s="239">
        <v>-231639</v>
      </c>
      <c r="AC166" s="239">
        <v>0</v>
      </c>
      <c r="AD166" s="239">
        <v>-231639</v>
      </c>
      <c r="AE166" s="239">
        <v>5259</v>
      </c>
      <c r="AF166" s="239">
        <v>0</v>
      </c>
      <c r="AG166" s="239">
        <v>5259</v>
      </c>
      <c r="AH166" s="239">
        <v>2689723</v>
      </c>
      <c r="AI166" s="239">
        <v>0</v>
      </c>
      <c r="AJ166" s="239">
        <v>2689723</v>
      </c>
      <c r="AK166" s="239">
        <v>50796</v>
      </c>
      <c r="AL166" s="239">
        <v>0</v>
      </c>
      <c r="AM166" s="239">
        <v>50796</v>
      </c>
      <c r="AN166" s="239">
        <v>-8745493</v>
      </c>
      <c r="AO166" s="239">
        <v>0</v>
      </c>
      <c r="AP166" s="239">
        <v>-8745493</v>
      </c>
      <c r="AQ166" s="239">
        <v>696779</v>
      </c>
      <c r="AR166" s="239">
        <v>0</v>
      </c>
      <c r="AS166" s="239">
        <v>696779</v>
      </c>
      <c r="AT166" s="239">
        <v>-102021</v>
      </c>
      <c r="AU166" s="239">
        <v>0</v>
      </c>
      <c r="AV166" s="239">
        <v>-102021</v>
      </c>
      <c r="AW166" s="239">
        <v>0</v>
      </c>
      <c r="AX166" s="239">
        <v>0</v>
      </c>
      <c r="AY166" s="239">
        <v>0</v>
      </c>
      <c r="AZ166" s="239">
        <v>-3557</v>
      </c>
      <c r="BA166" s="239">
        <v>0</v>
      </c>
      <c r="BB166" s="239">
        <v>-3557</v>
      </c>
      <c r="BC166" s="239">
        <v>0</v>
      </c>
      <c r="BD166" s="239">
        <v>0</v>
      </c>
      <c r="BE166" s="239">
        <v>0</v>
      </c>
      <c r="BF166" s="239">
        <v>-12024534</v>
      </c>
      <c r="BG166" s="239">
        <v>0</v>
      </c>
      <c r="BH166" s="239">
        <v>-12024534</v>
      </c>
      <c r="BI166" s="239">
        <v>0</v>
      </c>
      <c r="BJ166" s="239">
        <v>0</v>
      </c>
      <c r="BK166" s="239">
        <v>0</v>
      </c>
      <c r="BL166" s="239">
        <v>341</v>
      </c>
      <c r="BM166" s="239">
        <v>0</v>
      </c>
      <c r="BN166" s="239">
        <v>341</v>
      </c>
      <c r="BO166" s="239">
        <v>-2723498</v>
      </c>
      <c r="BP166" s="239">
        <v>0</v>
      </c>
      <c r="BQ166" s="239">
        <v>-2723498</v>
      </c>
      <c r="BR166" s="239">
        <v>1063417</v>
      </c>
      <c r="BS166" s="239">
        <v>0</v>
      </c>
      <c r="BT166" s="239">
        <v>1063417</v>
      </c>
      <c r="BU166" s="239">
        <v>-1659740</v>
      </c>
      <c r="BV166" s="239">
        <v>0</v>
      </c>
      <c r="BW166" s="239">
        <v>-1659740</v>
      </c>
      <c r="BX166" s="239">
        <v>-94768</v>
      </c>
      <c r="BY166" s="239">
        <v>0</v>
      </c>
      <c r="BZ166" s="239">
        <v>-94768</v>
      </c>
      <c r="CA166" s="239">
        <v>4887</v>
      </c>
      <c r="CB166" s="239">
        <v>0</v>
      </c>
      <c r="CC166" s="239">
        <v>4887</v>
      </c>
      <c r="CD166" s="239">
        <v>-57112</v>
      </c>
      <c r="CE166" s="239">
        <v>0</v>
      </c>
      <c r="CF166" s="239">
        <v>-57112</v>
      </c>
      <c r="CG166" s="239">
        <v>-2805</v>
      </c>
      <c r="CH166" s="239">
        <v>0</v>
      </c>
      <c r="CI166" s="239">
        <v>-2805</v>
      </c>
      <c r="CJ166" s="239">
        <v>0</v>
      </c>
      <c r="CK166" s="239">
        <v>0</v>
      </c>
      <c r="CL166" s="239">
        <v>0</v>
      </c>
      <c r="CM166" s="239">
        <v>0</v>
      </c>
      <c r="CN166" s="239">
        <v>0</v>
      </c>
      <c r="CO166" s="239">
        <v>0</v>
      </c>
      <c r="CP166" s="239">
        <v>0</v>
      </c>
      <c r="CQ166" s="239">
        <v>0</v>
      </c>
      <c r="CR166" s="239">
        <v>0</v>
      </c>
      <c r="CS166" s="239">
        <v>0</v>
      </c>
      <c r="CT166" s="239">
        <v>0</v>
      </c>
      <c r="CU166" s="239">
        <v>0</v>
      </c>
      <c r="CV166" s="239">
        <v>0</v>
      </c>
      <c r="CW166" s="239">
        <v>0</v>
      </c>
      <c r="CX166" s="239">
        <v>0</v>
      </c>
      <c r="CY166" s="239">
        <v>0</v>
      </c>
      <c r="CZ166" s="239">
        <v>0</v>
      </c>
      <c r="DA166" s="239">
        <v>0</v>
      </c>
      <c r="DB166" s="239">
        <v>0</v>
      </c>
      <c r="DC166" s="239">
        <v>0</v>
      </c>
      <c r="DD166" s="239">
        <v>0</v>
      </c>
      <c r="DE166" s="239">
        <v>0</v>
      </c>
      <c r="DF166" s="239">
        <v>0</v>
      </c>
      <c r="DG166" s="239">
        <v>0</v>
      </c>
      <c r="DH166" s="239">
        <v>0</v>
      </c>
      <c r="DI166" s="239">
        <v>0</v>
      </c>
      <c r="DJ166" s="239">
        <v>-149798</v>
      </c>
      <c r="DK166" s="239">
        <v>0</v>
      </c>
      <c r="DL166" s="239">
        <v>-149798</v>
      </c>
      <c r="DM166" s="239">
        <v>0</v>
      </c>
      <c r="DN166" s="239">
        <v>0</v>
      </c>
      <c r="DO166" s="239">
        <v>0</v>
      </c>
      <c r="DP166" s="239">
        <v>-1738</v>
      </c>
      <c r="DQ166" s="239">
        <v>0</v>
      </c>
      <c r="DR166" s="239">
        <v>-1738</v>
      </c>
      <c r="DS166" s="239">
        <v>-788</v>
      </c>
      <c r="DT166" s="239">
        <v>0</v>
      </c>
      <c r="DU166" s="239">
        <v>-788</v>
      </c>
      <c r="DV166" s="239">
        <v>1458</v>
      </c>
      <c r="DW166" s="239">
        <v>0</v>
      </c>
      <c r="DX166" s="239">
        <v>1458</v>
      </c>
      <c r="DY166" s="239">
        <v>6156</v>
      </c>
      <c r="DZ166" s="239">
        <v>0</v>
      </c>
      <c r="EA166" s="239">
        <v>6156</v>
      </c>
      <c r="EB166" s="239">
        <v>0</v>
      </c>
      <c r="EC166" s="239">
        <v>0</v>
      </c>
      <c r="ED166" s="239">
        <v>0</v>
      </c>
      <c r="EE166" s="239">
        <v>0</v>
      </c>
      <c r="EF166" s="239">
        <v>0</v>
      </c>
      <c r="EG166" s="239">
        <v>0</v>
      </c>
      <c r="EH166" s="239">
        <v>0</v>
      </c>
      <c r="EI166" s="239">
        <v>0</v>
      </c>
      <c r="EJ166" s="239">
        <v>0</v>
      </c>
      <c r="EK166" s="239">
        <v>-3557</v>
      </c>
      <c r="EL166" s="239">
        <v>0</v>
      </c>
      <c r="EM166" s="239">
        <v>-3557</v>
      </c>
      <c r="EN166" s="239">
        <v>-1500</v>
      </c>
      <c r="EO166" s="239">
        <v>0</v>
      </c>
      <c r="EP166" s="239">
        <v>-1500</v>
      </c>
      <c r="EQ166" s="239">
        <v>-32889</v>
      </c>
      <c r="ER166" s="239">
        <v>0</v>
      </c>
      <c r="ES166" s="239">
        <v>-32889</v>
      </c>
      <c r="ET166" s="239">
        <v>-487071</v>
      </c>
      <c r="EU166" s="239">
        <v>0</v>
      </c>
      <c r="EV166" s="239">
        <v>-487071</v>
      </c>
      <c r="EW166" s="239">
        <v>-71233</v>
      </c>
      <c r="EX166" s="239">
        <v>0</v>
      </c>
      <c r="EY166" s="239">
        <v>-71233</v>
      </c>
      <c r="EZ166" s="239">
        <v>-591162</v>
      </c>
      <c r="FA166" s="239">
        <v>0</v>
      </c>
      <c r="FB166" s="239">
        <v>-591162</v>
      </c>
      <c r="FC166" s="239">
        <v>0</v>
      </c>
      <c r="FD166" s="239">
        <v>0</v>
      </c>
      <c r="FE166" s="239">
        <v>0</v>
      </c>
      <c r="FF166" s="239">
        <v>0</v>
      </c>
      <c r="FG166" s="239">
        <v>0</v>
      </c>
      <c r="FH166" s="239">
        <v>0</v>
      </c>
      <c r="FI166" s="239">
        <v>0</v>
      </c>
      <c r="FJ166" s="239">
        <v>0</v>
      </c>
      <c r="FK166" s="239">
        <v>0</v>
      </c>
      <c r="FL166" s="239">
        <v>95292696</v>
      </c>
      <c r="FM166" s="239">
        <v>0</v>
      </c>
      <c r="FN166" s="239">
        <v>95292696</v>
      </c>
      <c r="FO166" s="239">
        <v>7693580</v>
      </c>
      <c r="FP166" s="239">
        <v>0</v>
      </c>
      <c r="FQ166" s="239">
        <v>7693580</v>
      </c>
      <c r="FR166" s="239">
        <v>-12024534</v>
      </c>
      <c r="FS166" s="239">
        <v>0</v>
      </c>
      <c r="FT166" s="239">
        <v>-12024534</v>
      </c>
      <c r="FU166" s="239">
        <v>-1659740</v>
      </c>
      <c r="FV166" s="239">
        <v>0</v>
      </c>
      <c r="FW166" s="239">
        <v>-1659740</v>
      </c>
      <c r="FX166" s="239">
        <v>-149798</v>
      </c>
      <c r="FY166" s="239">
        <v>0</v>
      </c>
      <c r="FZ166" s="239">
        <v>-149798</v>
      </c>
      <c r="GA166" s="239">
        <v>-591162</v>
      </c>
      <c r="GB166" s="239">
        <v>0</v>
      </c>
      <c r="GC166" s="239">
        <v>-591162</v>
      </c>
      <c r="GD166" s="239">
        <v>0</v>
      </c>
      <c r="GE166" s="239">
        <v>0</v>
      </c>
      <c r="GF166" s="239">
        <v>0</v>
      </c>
      <c r="GG166" s="239">
        <v>-6731654</v>
      </c>
      <c r="GH166" s="239">
        <v>0</v>
      </c>
      <c r="GI166" s="239">
        <v>-6731654</v>
      </c>
      <c r="GJ166" s="239">
        <v>88561042</v>
      </c>
      <c r="GK166" s="239">
        <v>0</v>
      </c>
      <c r="GL166" s="239">
        <v>88561042</v>
      </c>
      <c r="GM166" s="214" t="s">
        <v>746</v>
      </c>
    </row>
    <row r="167" spans="1:195" s="214" customFormat="1" x14ac:dyDescent="0.2">
      <c r="B167" s="602" t="s">
        <v>417</v>
      </c>
      <c r="C167" s="602" t="s">
        <v>416</v>
      </c>
      <c r="D167" s="239">
        <v>-925527</v>
      </c>
      <c r="E167" s="239">
        <v>0</v>
      </c>
      <c r="F167" s="239">
        <v>-925527</v>
      </c>
      <c r="G167" s="239">
        <v>-188</v>
      </c>
      <c r="H167" s="239">
        <v>0</v>
      </c>
      <c r="I167" s="239">
        <v>-188</v>
      </c>
      <c r="J167" s="239">
        <v>365090</v>
      </c>
      <c r="K167" s="239">
        <v>0</v>
      </c>
      <c r="L167" s="239">
        <v>365090</v>
      </c>
      <c r="M167" s="239">
        <v>64894</v>
      </c>
      <c r="N167" s="239">
        <v>0</v>
      </c>
      <c r="O167" s="239">
        <v>64894</v>
      </c>
      <c r="P167" s="239">
        <v>-495731</v>
      </c>
      <c r="Q167" s="239">
        <v>0</v>
      </c>
      <c r="R167" s="239">
        <v>-495731</v>
      </c>
      <c r="S167" s="239">
        <v>-1610057</v>
      </c>
      <c r="T167" s="239">
        <v>0</v>
      </c>
      <c r="U167" s="239">
        <v>-1610057</v>
      </c>
      <c r="V167" s="239">
        <v>-7226</v>
      </c>
      <c r="W167" s="239">
        <v>0</v>
      </c>
      <c r="X167" s="239">
        <v>-7226</v>
      </c>
      <c r="Y167" s="239">
        <v>-51677</v>
      </c>
      <c r="Z167" s="239">
        <v>0</v>
      </c>
      <c r="AA167" s="239">
        <v>-51677</v>
      </c>
      <c r="AB167" s="239">
        <v>-44893</v>
      </c>
      <c r="AC167" s="239">
        <v>0</v>
      </c>
      <c r="AD167" s="239">
        <v>-44893</v>
      </c>
      <c r="AE167" s="239">
        <v>-2017</v>
      </c>
      <c r="AF167" s="239">
        <v>0</v>
      </c>
      <c r="AG167" s="239">
        <v>-2017</v>
      </c>
      <c r="AH167" s="239">
        <v>326708</v>
      </c>
      <c r="AI167" s="239">
        <v>0</v>
      </c>
      <c r="AJ167" s="239">
        <v>326708</v>
      </c>
      <c r="AK167" s="239">
        <v>105048</v>
      </c>
      <c r="AL167" s="239">
        <v>0</v>
      </c>
      <c r="AM167" s="239">
        <v>105048</v>
      </c>
      <c r="AN167" s="239">
        <v>-1346310</v>
      </c>
      <c r="AO167" s="239">
        <v>0</v>
      </c>
      <c r="AP167" s="239">
        <v>-1346310</v>
      </c>
      <c r="AQ167" s="239">
        <v>77136</v>
      </c>
      <c r="AR167" s="239">
        <v>0</v>
      </c>
      <c r="AS167" s="239">
        <v>77136</v>
      </c>
      <c r="AT167" s="239">
        <v>-34287</v>
      </c>
      <c r="AU167" s="239">
        <v>0</v>
      </c>
      <c r="AV167" s="239">
        <v>-34287</v>
      </c>
      <c r="AW167" s="239">
        <v>0</v>
      </c>
      <c r="AX167" s="239">
        <v>0</v>
      </c>
      <c r="AY167" s="239">
        <v>0</v>
      </c>
      <c r="AZ167" s="239">
        <v>-34311</v>
      </c>
      <c r="BA167" s="239">
        <v>0</v>
      </c>
      <c r="BB167" s="239">
        <v>-34311</v>
      </c>
      <c r="BC167" s="239">
        <v>0</v>
      </c>
      <c r="BD167" s="239">
        <v>0</v>
      </c>
      <c r="BE167" s="239">
        <v>0</v>
      </c>
      <c r="BF167" s="239">
        <v>-2567750</v>
      </c>
      <c r="BG167" s="239">
        <v>0</v>
      </c>
      <c r="BH167" s="239">
        <v>-2567750</v>
      </c>
      <c r="BI167" s="239">
        <v>0</v>
      </c>
      <c r="BJ167" s="239">
        <v>0</v>
      </c>
      <c r="BK167" s="239">
        <v>0</v>
      </c>
      <c r="BL167" s="239">
        <v>6448</v>
      </c>
      <c r="BM167" s="239">
        <v>0</v>
      </c>
      <c r="BN167" s="239">
        <v>6448</v>
      </c>
      <c r="BO167" s="239">
        <v>-284987</v>
      </c>
      <c r="BP167" s="239">
        <v>0</v>
      </c>
      <c r="BQ167" s="239">
        <v>-284987</v>
      </c>
      <c r="BR167" s="239">
        <v>-22038</v>
      </c>
      <c r="BS167" s="239">
        <v>0</v>
      </c>
      <c r="BT167" s="239">
        <v>-22038</v>
      </c>
      <c r="BU167" s="239">
        <v>-300577</v>
      </c>
      <c r="BV167" s="239">
        <v>0</v>
      </c>
      <c r="BW167" s="239">
        <v>-300577</v>
      </c>
      <c r="BX167" s="239">
        <v>-44076</v>
      </c>
      <c r="BY167" s="239">
        <v>0</v>
      </c>
      <c r="BZ167" s="239">
        <v>-44076</v>
      </c>
      <c r="CA167" s="239">
        <v>-109</v>
      </c>
      <c r="CB167" s="239">
        <v>0</v>
      </c>
      <c r="CC167" s="239">
        <v>-109</v>
      </c>
      <c r="CD167" s="239">
        <v>-23772</v>
      </c>
      <c r="CE167" s="239">
        <v>0</v>
      </c>
      <c r="CF167" s="239">
        <v>-23772</v>
      </c>
      <c r="CG167" s="239">
        <v>294</v>
      </c>
      <c r="CH167" s="239">
        <v>0</v>
      </c>
      <c r="CI167" s="239">
        <v>294</v>
      </c>
      <c r="CJ167" s="239">
        <v>-293</v>
      </c>
      <c r="CK167" s="239">
        <v>0</v>
      </c>
      <c r="CL167" s="239">
        <v>-293</v>
      </c>
      <c r="CM167" s="239">
        <v>0</v>
      </c>
      <c r="CN167" s="239">
        <v>0</v>
      </c>
      <c r="CO167" s="239">
        <v>0</v>
      </c>
      <c r="CP167" s="239">
        <v>0</v>
      </c>
      <c r="CQ167" s="239">
        <v>0</v>
      </c>
      <c r="CR167" s="239">
        <v>0</v>
      </c>
      <c r="CS167" s="239">
        <v>0</v>
      </c>
      <c r="CT167" s="239">
        <v>0</v>
      </c>
      <c r="CU167" s="239">
        <v>0</v>
      </c>
      <c r="CV167" s="239">
        <v>0</v>
      </c>
      <c r="CW167" s="239">
        <v>0</v>
      </c>
      <c r="CX167" s="239">
        <v>0</v>
      </c>
      <c r="CY167" s="239">
        <v>0</v>
      </c>
      <c r="CZ167" s="239">
        <v>0</v>
      </c>
      <c r="DA167" s="239">
        <v>0</v>
      </c>
      <c r="DB167" s="239">
        <v>0</v>
      </c>
      <c r="DC167" s="239">
        <v>0</v>
      </c>
      <c r="DD167" s="239">
        <v>0</v>
      </c>
      <c r="DE167" s="239">
        <v>0</v>
      </c>
      <c r="DF167" s="239">
        <v>0</v>
      </c>
      <c r="DG167" s="239">
        <v>0</v>
      </c>
      <c r="DH167" s="239">
        <v>0</v>
      </c>
      <c r="DI167" s="239">
        <v>0</v>
      </c>
      <c r="DJ167" s="239">
        <v>-67956</v>
      </c>
      <c r="DK167" s="239">
        <v>0</v>
      </c>
      <c r="DL167" s="239">
        <v>-67956</v>
      </c>
      <c r="DM167" s="239">
        <v>0</v>
      </c>
      <c r="DN167" s="239">
        <v>0</v>
      </c>
      <c r="DO167" s="239">
        <v>0</v>
      </c>
      <c r="DP167" s="239">
        <v>0</v>
      </c>
      <c r="DQ167" s="239">
        <v>0</v>
      </c>
      <c r="DR167" s="239">
        <v>0</v>
      </c>
      <c r="DS167" s="239">
        <v>0</v>
      </c>
      <c r="DT167" s="239">
        <v>0</v>
      </c>
      <c r="DU167" s="239">
        <v>0</v>
      </c>
      <c r="DV167" s="239">
        <v>0</v>
      </c>
      <c r="DW167" s="239">
        <v>0</v>
      </c>
      <c r="DX167" s="239">
        <v>0</v>
      </c>
      <c r="DY167" s="239">
        <v>2135</v>
      </c>
      <c r="DZ167" s="239">
        <v>0</v>
      </c>
      <c r="EA167" s="239">
        <v>2135</v>
      </c>
      <c r="EB167" s="239">
        <v>0</v>
      </c>
      <c r="EC167" s="239">
        <v>0</v>
      </c>
      <c r="ED167" s="239">
        <v>0</v>
      </c>
      <c r="EE167" s="239">
        <v>0</v>
      </c>
      <c r="EF167" s="239">
        <v>0</v>
      </c>
      <c r="EG167" s="239">
        <v>0</v>
      </c>
      <c r="EH167" s="239">
        <v>0</v>
      </c>
      <c r="EI167" s="239">
        <v>0</v>
      </c>
      <c r="EJ167" s="239">
        <v>0</v>
      </c>
      <c r="EK167" s="239">
        <v>-34311</v>
      </c>
      <c r="EL167" s="239">
        <v>0</v>
      </c>
      <c r="EM167" s="239">
        <v>-34311</v>
      </c>
      <c r="EN167" s="239">
        <v>-1500</v>
      </c>
      <c r="EO167" s="239">
        <v>0</v>
      </c>
      <c r="EP167" s="239">
        <v>-1500</v>
      </c>
      <c r="EQ167" s="239">
        <v>-19456</v>
      </c>
      <c r="ER167" s="239">
        <v>0</v>
      </c>
      <c r="ES167" s="239">
        <v>-19456</v>
      </c>
      <c r="ET167" s="239">
        <v>-144856</v>
      </c>
      <c r="EU167" s="239">
        <v>0</v>
      </c>
      <c r="EV167" s="239">
        <v>-144856</v>
      </c>
      <c r="EW167" s="239">
        <v>-26405</v>
      </c>
      <c r="EX167" s="239">
        <v>0</v>
      </c>
      <c r="EY167" s="239">
        <v>-26405</v>
      </c>
      <c r="EZ167" s="239">
        <v>-224393</v>
      </c>
      <c r="FA167" s="239">
        <v>0</v>
      </c>
      <c r="FB167" s="239">
        <v>-224393</v>
      </c>
      <c r="FC167" s="239">
        <v>0</v>
      </c>
      <c r="FD167" s="239">
        <v>0</v>
      </c>
      <c r="FE167" s="239">
        <v>0</v>
      </c>
      <c r="FF167" s="239">
        <v>0</v>
      </c>
      <c r="FG167" s="239">
        <v>0</v>
      </c>
      <c r="FH167" s="239">
        <v>0</v>
      </c>
      <c r="FI167" s="239">
        <v>0</v>
      </c>
      <c r="FJ167" s="239">
        <v>0</v>
      </c>
      <c r="FK167" s="239">
        <v>0</v>
      </c>
      <c r="FL167" s="239">
        <v>17206597</v>
      </c>
      <c r="FM167" s="239">
        <v>0</v>
      </c>
      <c r="FN167" s="239">
        <v>17206597</v>
      </c>
      <c r="FO167" s="239">
        <v>-495731</v>
      </c>
      <c r="FP167" s="239">
        <v>0</v>
      </c>
      <c r="FQ167" s="239">
        <v>-495731</v>
      </c>
      <c r="FR167" s="239">
        <v>-2567750</v>
      </c>
      <c r="FS167" s="239">
        <v>0</v>
      </c>
      <c r="FT167" s="239">
        <v>-2567750</v>
      </c>
      <c r="FU167" s="239">
        <v>-300577</v>
      </c>
      <c r="FV167" s="239">
        <v>0</v>
      </c>
      <c r="FW167" s="239">
        <v>-300577</v>
      </c>
      <c r="FX167" s="239">
        <v>-67956</v>
      </c>
      <c r="FY167" s="239">
        <v>0</v>
      </c>
      <c r="FZ167" s="239">
        <v>-67956</v>
      </c>
      <c r="GA167" s="239">
        <v>-224393</v>
      </c>
      <c r="GB167" s="239">
        <v>0</v>
      </c>
      <c r="GC167" s="239">
        <v>-224393</v>
      </c>
      <c r="GD167" s="239">
        <v>0</v>
      </c>
      <c r="GE167" s="239">
        <v>0</v>
      </c>
      <c r="GF167" s="239">
        <v>0</v>
      </c>
      <c r="GG167" s="239">
        <v>-3656407</v>
      </c>
      <c r="GH167" s="239">
        <v>0</v>
      </c>
      <c r="GI167" s="239">
        <v>-3656407</v>
      </c>
      <c r="GJ167" s="239">
        <v>13550190</v>
      </c>
      <c r="GK167" s="239">
        <v>0</v>
      </c>
      <c r="GL167" s="239">
        <v>13550190</v>
      </c>
      <c r="GM167" s="214" t="s">
        <v>1158</v>
      </c>
    </row>
    <row r="168" spans="1:195" s="214" customFormat="1" x14ac:dyDescent="0.2">
      <c r="B168" s="602" t="s">
        <v>419</v>
      </c>
      <c r="C168" s="602" t="s">
        <v>418</v>
      </c>
      <c r="D168" s="239">
        <v>-2216507</v>
      </c>
      <c r="E168" s="239">
        <v>0</v>
      </c>
      <c r="F168" s="239">
        <v>-2216507</v>
      </c>
      <c r="G168" s="239">
        <v>59918</v>
      </c>
      <c r="H168" s="239">
        <v>0</v>
      </c>
      <c r="I168" s="239">
        <v>59918</v>
      </c>
      <c r="J168" s="239">
        <v>1720940</v>
      </c>
      <c r="K168" s="239">
        <v>0</v>
      </c>
      <c r="L168" s="239">
        <v>1720940</v>
      </c>
      <c r="M168" s="239">
        <v>136</v>
      </c>
      <c r="N168" s="239">
        <v>0</v>
      </c>
      <c r="O168" s="239">
        <v>136</v>
      </c>
      <c r="P168" s="239">
        <v>-435513</v>
      </c>
      <c r="Q168" s="239">
        <v>0</v>
      </c>
      <c r="R168" s="239">
        <v>-435513</v>
      </c>
      <c r="S168" s="239">
        <v>-4673767</v>
      </c>
      <c r="T168" s="239">
        <v>0</v>
      </c>
      <c r="U168" s="239">
        <v>-4673767</v>
      </c>
      <c r="V168" s="239">
        <v>-3110</v>
      </c>
      <c r="W168" s="239">
        <v>0</v>
      </c>
      <c r="X168" s="239">
        <v>-3110</v>
      </c>
      <c r="Y168" s="239">
        <v>-224819</v>
      </c>
      <c r="Z168" s="239">
        <v>0</v>
      </c>
      <c r="AA168" s="239">
        <v>-224819</v>
      </c>
      <c r="AB168" s="239">
        <v>-168456</v>
      </c>
      <c r="AC168" s="239">
        <v>0</v>
      </c>
      <c r="AD168" s="239">
        <v>-168456</v>
      </c>
      <c r="AE168" s="239">
        <v>0</v>
      </c>
      <c r="AF168" s="239">
        <v>0</v>
      </c>
      <c r="AG168" s="239">
        <v>0</v>
      </c>
      <c r="AH168" s="239">
        <v>768167</v>
      </c>
      <c r="AI168" s="239">
        <v>0</v>
      </c>
      <c r="AJ168" s="239">
        <v>768167</v>
      </c>
      <c r="AK168" s="239">
        <v>-17301</v>
      </c>
      <c r="AL168" s="239">
        <v>0</v>
      </c>
      <c r="AM168" s="239">
        <v>-17301</v>
      </c>
      <c r="AN168" s="239">
        <v>-3291518</v>
      </c>
      <c r="AO168" s="239">
        <v>0</v>
      </c>
      <c r="AP168" s="239">
        <v>-3291518</v>
      </c>
      <c r="AQ168" s="239">
        <v>2829</v>
      </c>
      <c r="AR168" s="239">
        <v>0</v>
      </c>
      <c r="AS168" s="239">
        <v>2829</v>
      </c>
      <c r="AT168" s="239">
        <v>-40641</v>
      </c>
      <c r="AU168" s="239">
        <v>0</v>
      </c>
      <c r="AV168" s="239">
        <v>-40641</v>
      </c>
      <c r="AW168" s="239">
        <v>0</v>
      </c>
      <c r="AX168" s="239">
        <v>0</v>
      </c>
      <c r="AY168" s="239">
        <v>0</v>
      </c>
      <c r="AZ168" s="239">
        <v>-20314</v>
      </c>
      <c r="BA168" s="239">
        <v>0</v>
      </c>
      <c r="BB168" s="239">
        <v>-20314</v>
      </c>
      <c r="BC168" s="239">
        <v>0</v>
      </c>
      <c r="BD168" s="239">
        <v>0</v>
      </c>
      <c r="BE168" s="239">
        <v>0</v>
      </c>
      <c r="BF168" s="239">
        <v>-7497364</v>
      </c>
      <c r="BG168" s="239">
        <v>0</v>
      </c>
      <c r="BH168" s="239">
        <v>-7497364</v>
      </c>
      <c r="BI168" s="239">
        <v>0</v>
      </c>
      <c r="BJ168" s="239">
        <v>0</v>
      </c>
      <c r="BK168" s="239">
        <v>0</v>
      </c>
      <c r="BL168" s="239">
        <v>0</v>
      </c>
      <c r="BM168" s="239">
        <v>0</v>
      </c>
      <c r="BN168" s="239">
        <v>0</v>
      </c>
      <c r="BO168" s="239">
        <v>-799362</v>
      </c>
      <c r="BP168" s="239">
        <v>0</v>
      </c>
      <c r="BQ168" s="239">
        <v>-799362</v>
      </c>
      <c r="BR168" s="239">
        <v>515</v>
      </c>
      <c r="BS168" s="239">
        <v>0</v>
      </c>
      <c r="BT168" s="239">
        <v>515</v>
      </c>
      <c r="BU168" s="239">
        <v>-798847</v>
      </c>
      <c r="BV168" s="239">
        <v>0</v>
      </c>
      <c r="BW168" s="239">
        <v>-798847</v>
      </c>
      <c r="BX168" s="239">
        <v>-45533</v>
      </c>
      <c r="BY168" s="239">
        <v>0</v>
      </c>
      <c r="BZ168" s="239">
        <v>-45533</v>
      </c>
      <c r="CA168" s="239">
        <v>79</v>
      </c>
      <c r="CB168" s="239">
        <v>0</v>
      </c>
      <c r="CC168" s="239">
        <v>79</v>
      </c>
      <c r="CD168" s="239">
        <v>-30872</v>
      </c>
      <c r="CE168" s="239">
        <v>0</v>
      </c>
      <c r="CF168" s="239">
        <v>-30872</v>
      </c>
      <c r="CG168" s="239">
        <v>0</v>
      </c>
      <c r="CH168" s="239">
        <v>0</v>
      </c>
      <c r="CI168" s="239">
        <v>0</v>
      </c>
      <c r="CJ168" s="239">
        <v>-4663</v>
      </c>
      <c r="CK168" s="239">
        <v>0</v>
      </c>
      <c r="CL168" s="239">
        <v>-4663</v>
      </c>
      <c r="CM168" s="239">
        <v>0</v>
      </c>
      <c r="CN168" s="239">
        <v>0</v>
      </c>
      <c r="CO168" s="239">
        <v>0</v>
      </c>
      <c r="CP168" s="239">
        <v>0</v>
      </c>
      <c r="CQ168" s="239">
        <v>0</v>
      </c>
      <c r="CR168" s="239">
        <v>0</v>
      </c>
      <c r="CS168" s="239">
        <v>0</v>
      </c>
      <c r="CT168" s="239">
        <v>0</v>
      </c>
      <c r="CU168" s="239">
        <v>0</v>
      </c>
      <c r="CV168" s="239">
        <v>-12146</v>
      </c>
      <c r="CW168" s="239">
        <v>0</v>
      </c>
      <c r="CX168" s="239">
        <v>-12146</v>
      </c>
      <c r="CY168" s="239">
        <v>0</v>
      </c>
      <c r="CZ168" s="239">
        <v>0</v>
      </c>
      <c r="DA168" s="239">
        <v>0</v>
      </c>
      <c r="DB168" s="239">
        <v>0</v>
      </c>
      <c r="DC168" s="239">
        <v>0</v>
      </c>
      <c r="DD168" s="239">
        <v>0</v>
      </c>
      <c r="DE168" s="239">
        <v>0</v>
      </c>
      <c r="DF168" s="239">
        <v>0</v>
      </c>
      <c r="DG168" s="239">
        <v>0</v>
      </c>
      <c r="DH168" s="239">
        <v>0</v>
      </c>
      <c r="DI168" s="239">
        <v>0</v>
      </c>
      <c r="DJ168" s="239">
        <v>-93135</v>
      </c>
      <c r="DK168" s="239">
        <v>0</v>
      </c>
      <c r="DL168" s="239">
        <v>-93135</v>
      </c>
      <c r="DM168" s="239">
        <v>0</v>
      </c>
      <c r="DN168" s="239">
        <v>0</v>
      </c>
      <c r="DO168" s="239">
        <v>0</v>
      </c>
      <c r="DP168" s="239">
        <v>0</v>
      </c>
      <c r="DQ168" s="239">
        <v>0</v>
      </c>
      <c r="DR168" s="239">
        <v>0</v>
      </c>
      <c r="DS168" s="239">
        <v>0</v>
      </c>
      <c r="DT168" s="239">
        <v>0</v>
      </c>
      <c r="DU168" s="239">
        <v>0</v>
      </c>
      <c r="DV168" s="239">
        <v>0</v>
      </c>
      <c r="DW168" s="239">
        <v>0</v>
      </c>
      <c r="DX168" s="239">
        <v>0</v>
      </c>
      <c r="DY168" s="239">
        <v>12068</v>
      </c>
      <c r="DZ168" s="239">
        <v>0</v>
      </c>
      <c r="EA168" s="239">
        <v>12068</v>
      </c>
      <c r="EB168" s="239">
        <v>0</v>
      </c>
      <c r="EC168" s="239">
        <v>0</v>
      </c>
      <c r="ED168" s="239">
        <v>0</v>
      </c>
      <c r="EE168" s="239">
        <v>0</v>
      </c>
      <c r="EF168" s="239">
        <v>0</v>
      </c>
      <c r="EG168" s="239">
        <v>0</v>
      </c>
      <c r="EH168" s="239">
        <v>7324</v>
      </c>
      <c r="EI168" s="239">
        <v>0</v>
      </c>
      <c r="EJ168" s="239">
        <v>7324</v>
      </c>
      <c r="EK168" s="239">
        <v>-20314</v>
      </c>
      <c r="EL168" s="239">
        <v>0</v>
      </c>
      <c r="EM168" s="239">
        <v>-20314</v>
      </c>
      <c r="EN168" s="239">
        <v>0</v>
      </c>
      <c r="EO168" s="239">
        <v>0</v>
      </c>
      <c r="EP168" s="239">
        <v>0</v>
      </c>
      <c r="EQ168" s="239">
        <v>-51475</v>
      </c>
      <c r="ER168" s="239">
        <v>0</v>
      </c>
      <c r="ES168" s="239">
        <v>-51475</v>
      </c>
      <c r="ET168" s="239">
        <v>-109461</v>
      </c>
      <c r="EU168" s="239">
        <v>0</v>
      </c>
      <c r="EV168" s="239">
        <v>-109461</v>
      </c>
      <c r="EW168" s="239">
        <v>-53696</v>
      </c>
      <c r="EX168" s="239">
        <v>0</v>
      </c>
      <c r="EY168" s="239">
        <v>-53696</v>
      </c>
      <c r="EZ168" s="239">
        <v>-215554</v>
      </c>
      <c r="FA168" s="239">
        <v>0</v>
      </c>
      <c r="FB168" s="239">
        <v>-215554</v>
      </c>
      <c r="FC168" s="239">
        <v>-4217</v>
      </c>
      <c r="FD168" s="239">
        <v>0</v>
      </c>
      <c r="FE168" s="239">
        <v>-4217</v>
      </c>
      <c r="FF168" s="239">
        <v>0</v>
      </c>
      <c r="FG168" s="239">
        <v>0</v>
      </c>
      <c r="FH168" s="239">
        <v>0</v>
      </c>
      <c r="FI168" s="239">
        <v>-4217</v>
      </c>
      <c r="FJ168" s="239">
        <v>0</v>
      </c>
      <c r="FK168" s="239">
        <v>-4217</v>
      </c>
      <c r="FL168" s="239">
        <v>43392057</v>
      </c>
      <c r="FM168" s="239">
        <v>0</v>
      </c>
      <c r="FN168" s="239">
        <v>43392057</v>
      </c>
      <c r="FO168" s="239">
        <v>-435513</v>
      </c>
      <c r="FP168" s="239">
        <v>0</v>
      </c>
      <c r="FQ168" s="239">
        <v>-435513</v>
      </c>
      <c r="FR168" s="239">
        <v>-7497364</v>
      </c>
      <c r="FS168" s="239">
        <v>0</v>
      </c>
      <c r="FT168" s="239">
        <v>-7497364</v>
      </c>
      <c r="FU168" s="239">
        <v>-798847</v>
      </c>
      <c r="FV168" s="239">
        <v>0</v>
      </c>
      <c r="FW168" s="239">
        <v>-798847</v>
      </c>
      <c r="FX168" s="239">
        <v>-93135</v>
      </c>
      <c r="FY168" s="239">
        <v>0</v>
      </c>
      <c r="FZ168" s="239">
        <v>-93135</v>
      </c>
      <c r="GA168" s="239">
        <v>-215554</v>
      </c>
      <c r="GB168" s="239">
        <v>0</v>
      </c>
      <c r="GC168" s="239">
        <v>-215554</v>
      </c>
      <c r="GD168" s="239">
        <v>-4217</v>
      </c>
      <c r="GE168" s="239">
        <v>0</v>
      </c>
      <c r="GF168" s="239">
        <v>-4217</v>
      </c>
      <c r="GG168" s="239">
        <v>-9044630</v>
      </c>
      <c r="GH168" s="239">
        <v>0</v>
      </c>
      <c r="GI168" s="239">
        <v>-9044630</v>
      </c>
      <c r="GJ168" s="239">
        <v>34347427</v>
      </c>
      <c r="GK168" s="239">
        <v>0</v>
      </c>
      <c r="GL168" s="239">
        <v>34347427</v>
      </c>
      <c r="GM168" s="214" t="s">
        <v>1158</v>
      </c>
    </row>
    <row r="169" spans="1:195" s="214" customFormat="1" x14ac:dyDescent="0.2">
      <c r="B169" s="602" t="s">
        <v>421</v>
      </c>
      <c r="C169" s="602" t="s">
        <v>420</v>
      </c>
      <c r="D169" s="239">
        <v>-2184605</v>
      </c>
      <c r="E169" s="239">
        <v>0</v>
      </c>
      <c r="F169" s="239">
        <v>-2184605</v>
      </c>
      <c r="G169" s="239">
        <v>32406</v>
      </c>
      <c r="H169" s="239">
        <v>0</v>
      </c>
      <c r="I169" s="239">
        <v>32406</v>
      </c>
      <c r="J169" s="239">
        <v>3559278</v>
      </c>
      <c r="K169" s="239">
        <v>0</v>
      </c>
      <c r="L169" s="239">
        <v>3559278</v>
      </c>
      <c r="M169" s="239">
        <v>-36617</v>
      </c>
      <c r="N169" s="239">
        <v>0</v>
      </c>
      <c r="O169" s="239">
        <v>-36617</v>
      </c>
      <c r="P169" s="239">
        <v>1370462</v>
      </c>
      <c r="Q169" s="239">
        <v>0</v>
      </c>
      <c r="R169" s="239">
        <v>1370462</v>
      </c>
      <c r="S169" s="239">
        <v>-4490246</v>
      </c>
      <c r="T169" s="239">
        <v>0</v>
      </c>
      <c r="U169" s="239">
        <v>-4490246</v>
      </c>
      <c r="V169" s="239">
        <v>0</v>
      </c>
      <c r="W169" s="239">
        <v>0</v>
      </c>
      <c r="X169" s="239">
        <v>0</v>
      </c>
      <c r="Y169" s="239">
        <v>-128122</v>
      </c>
      <c r="Z169" s="239">
        <v>0</v>
      </c>
      <c r="AA169" s="239">
        <v>-128122</v>
      </c>
      <c r="AB169" s="239">
        <v>0</v>
      </c>
      <c r="AC169" s="239">
        <v>0</v>
      </c>
      <c r="AD169" s="239">
        <v>0</v>
      </c>
      <c r="AE169" s="239">
        <v>0</v>
      </c>
      <c r="AF169" s="239">
        <v>0</v>
      </c>
      <c r="AG169" s="239">
        <v>0</v>
      </c>
      <c r="AH169" s="239">
        <v>2155894</v>
      </c>
      <c r="AI169" s="239">
        <v>0</v>
      </c>
      <c r="AJ169" s="239">
        <v>2155894</v>
      </c>
      <c r="AK169" s="239">
        <v>-48925</v>
      </c>
      <c r="AL169" s="239">
        <v>0</v>
      </c>
      <c r="AM169" s="239">
        <v>-48925</v>
      </c>
      <c r="AN169" s="239">
        <v>-5713105</v>
      </c>
      <c r="AO169" s="239">
        <v>0</v>
      </c>
      <c r="AP169" s="239">
        <v>-5713105</v>
      </c>
      <c r="AQ169" s="239">
        <v>48138</v>
      </c>
      <c r="AR169" s="239">
        <v>0</v>
      </c>
      <c r="AS169" s="239">
        <v>48138</v>
      </c>
      <c r="AT169" s="239">
        <v>-116504</v>
      </c>
      <c r="AU169" s="239">
        <v>0</v>
      </c>
      <c r="AV169" s="239">
        <v>-116504</v>
      </c>
      <c r="AW169" s="239">
        <v>0</v>
      </c>
      <c r="AX169" s="239">
        <v>0</v>
      </c>
      <c r="AY169" s="239">
        <v>0</v>
      </c>
      <c r="AZ169" s="239">
        <v>0</v>
      </c>
      <c r="BA169" s="239">
        <v>0</v>
      </c>
      <c r="BB169" s="239">
        <v>0</v>
      </c>
      <c r="BC169" s="239">
        <v>0</v>
      </c>
      <c r="BD169" s="239">
        <v>0</v>
      </c>
      <c r="BE169" s="239">
        <v>0</v>
      </c>
      <c r="BF169" s="239">
        <v>-8292870</v>
      </c>
      <c r="BG169" s="239">
        <v>0</v>
      </c>
      <c r="BH169" s="239">
        <v>-8292870</v>
      </c>
      <c r="BI169" s="239">
        <v>0</v>
      </c>
      <c r="BJ169" s="239">
        <v>0</v>
      </c>
      <c r="BK169" s="239">
        <v>0</v>
      </c>
      <c r="BL169" s="239">
        <v>0</v>
      </c>
      <c r="BM169" s="239">
        <v>0</v>
      </c>
      <c r="BN169" s="239">
        <v>0</v>
      </c>
      <c r="BO169" s="239">
        <v>-1692500</v>
      </c>
      <c r="BP169" s="239">
        <v>0</v>
      </c>
      <c r="BQ169" s="239">
        <v>-1692500</v>
      </c>
      <c r="BR169" s="239">
        <v>33682</v>
      </c>
      <c r="BS169" s="239">
        <v>0</v>
      </c>
      <c r="BT169" s="239">
        <v>33682</v>
      </c>
      <c r="BU169" s="239">
        <v>-1658818</v>
      </c>
      <c r="BV169" s="239">
        <v>0</v>
      </c>
      <c r="BW169" s="239">
        <v>-1658818</v>
      </c>
      <c r="BX169" s="239">
        <v>-430938</v>
      </c>
      <c r="BY169" s="239">
        <v>0</v>
      </c>
      <c r="BZ169" s="239">
        <v>-430938</v>
      </c>
      <c r="CA169" s="239">
        <v>834</v>
      </c>
      <c r="CB169" s="239">
        <v>0</v>
      </c>
      <c r="CC169" s="239">
        <v>834</v>
      </c>
      <c r="CD169" s="239">
        <v>-124541</v>
      </c>
      <c r="CE169" s="239">
        <v>0</v>
      </c>
      <c r="CF169" s="239">
        <v>-124541</v>
      </c>
      <c r="CG169" s="239">
        <v>-95793</v>
      </c>
      <c r="CH169" s="239">
        <v>0</v>
      </c>
      <c r="CI169" s="239">
        <v>-95793</v>
      </c>
      <c r="CJ169" s="239">
        <v>-4833</v>
      </c>
      <c r="CK169" s="239">
        <v>0</v>
      </c>
      <c r="CL169" s="239">
        <v>-4833</v>
      </c>
      <c r="CM169" s="239">
        <v>0</v>
      </c>
      <c r="CN169" s="239">
        <v>0</v>
      </c>
      <c r="CO169" s="239">
        <v>0</v>
      </c>
      <c r="CP169" s="239">
        <v>0</v>
      </c>
      <c r="CQ169" s="239">
        <v>0</v>
      </c>
      <c r="CR169" s="239">
        <v>0</v>
      </c>
      <c r="CS169" s="239">
        <v>0</v>
      </c>
      <c r="CT169" s="239">
        <v>0</v>
      </c>
      <c r="CU169" s="239">
        <v>0</v>
      </c>
      <c r="CV169" s="239">
        <v>0</v>
      </c>
      <c r="CW169" s="239">
        <v>0</v>
      </c>
      <c r="CX169" s="239">
        <v>0</v>
      </c>
      <c r="CY169" s="239">
        <v>0</v>
      </c>
      <c r="CZ169" s="239">
        <v>0</v>
      </c>
      <c r="DA169" s="239">
        <v>0</v>
      </c>
      <c r="DB169" s="239">
        <v>-14625</v>
      </c>
      <c r="DC169" s="239">
        <v>0</v>
      </c>
      <c r="DD169" s="239">
        <v>-14625</v>
      </c>
      <c r="DE169" s="239">
        <v>0</v>
      </c>
      <c r="DF169" s="239">
        <v>0</v>
      </c>
      <c r="DG169" s="239">
        <v>0</v>
      </c>
      <c r="DH169" s="239">
        <v>0</v>
      </c>
      <c r="DI169" s="239">
        <v>0</v>
      </c>
      <c r="DJ169" s="239">
        <v>-669896</v>
      </c>
      <c r="DK169" s="239">
        <v>0</v>
      </c>
      <c r="DL169" s="239">
        <v>-669896</v>
      </c>
      <c r="DM169" s="239">
        <v>0</v>
      </c>
      <c r="DN169" s="239">
        <v>0</v>
      </c>
      <c r="DO169" s="239">
        <v>0</v>
      </c>
      <c r="DP169" s="239">
        <v>0</v>
      </c>
      <c r="DQ169" s="239">
        <v>0</v>
      </c>
      <c r="DR169" s="239">
        <v>0</v>
      </c>
      <c r="DS169" s="239">
        <v>0</v>
      </c>
      <c r="DT169" s="239">
        <v>0</v>
      </c>
      <c r="DU169" s="239">
        <v>0</v>
      </c>
      <c r="DV169" s="239">
        <v>0</v>
      </c>
      <c r="DW169" s="239">
        <v>0</v>
      </c>
      <c r="DX169" s="239">
        <v>0</v>
      </c>
      <c r="DY169" s="239">
        <v>-500</v>
      </c>
      <c r="DZ169" s="239">
        <v>0</v>
      </c>
      <c r="EA169" s="239">
        <v>-500</v>
      </c>
      <c r="EB169" s="239">
        <v>0</v>
      </c>
      <c r="EC169" s="239">
        <v>0</v>
      </c>
      <c r="ED169" s="239">
        <v>0</v>
      </c>
      <c r="EE169" s="239">
        <v>0</v>
      </c>
      <c r="EF169" s="239">
        <v>0</v>
      </c>
      <c r="EG169" s="239">
        <v>0</v>
      </c>
      <c r="EH169" s="239">
        <v>1790</v>
      </c>
      <c r="EI169" s="239">
        <v>0</v>
      </c>
      <c r="EJ169" s="239">
        <v>1790</v>
      </c>
      <c r="EK169" s="239">
        <v>0</v>
      </c>
      <c r="EL169" s="239">
        <v>0</v>
      </c>
      <c r="EM169" s="239">
        <v>0</v>
      </c>
      <c r="EN169" s="239">
        <v>0</v>
      </c>
      <c r="EO169" s="239">
        <v>0</v>
      </c>
      <c r="EP169" s="239">
        <v>0</v>
      </c>
      <c r="EQ169" s="239">
        <v>-25219</v>
      </c>
      <c r="ER169" s="239">
        <v>0</v>
      </c>
      <c r="ES169" s="239">
        <v>-25219</v>
      </c>
      <c r="ET169" s="239">
        <v>-452378</v>
      </c>
      <c r="EU169" s="239">
        <v>0</v>
      </c>
      <c r="EV169" s="239">
        <v>-452378</v>
      </c>
      <c r="EW169" s="239">
        <v>-26630</v>
      </c>
      <c r="EX169" s="239">
        <v>0</v>
      </c>
      <c r="EY169" s="239">
        <v>-26630</v>
      </c>
      <c r="EZ169" s="239">
        <v>-502937</v>
      </c>
      <c r="FA169" s="239">
        <v>0</v>
      </c>
      <c r="FB169" s="239">
        <v>-502937</v>
      </c>
      <c r="FC169" s="239">
        <v>0</v>
      </c>
      <c r="FD169" s="239">
        <v>0</v>
      </c>
      <c r="FE169" s="239">
        <v>0</v>
      </c>
      <c r="FF169" s="239">
        <v>0</v>
      </c>
      <c r="FG169" s="239">
        <v>0</v>
      </c>
      <c r="FH169" s="239">
        <v>0</v>
      </c>
      <c r="FI169" s="239">
        <v>0</v>
      </c>
      <c r="FJ169" s="239">
        <v>0</v>
      </c>
      <c r="FK169" s="239">
        <v>0</v>
      </c>
      <c r="FL169" s="239">
        <v>98591500</v>
      </c>
      <c r="FM169" s="239">
        <v>0</v>
      </c>
      <c r="FN169" s="239">
        <v>98591500</v>
      </c>
      <c r="FO169" s="239">
        <v>1370462</v>
      </c>
      <c r="FP169" s="239">
        <v>0</v>
      </c>
      <c r="FQ169" s="239">
        <v>1370462</v>
      </c>
      <c r="FR169" s="239">
        <v>-8292870</v>
      </c>
      <c r="FS169" s="239">
        <v>0</v>
      </c>
      <c r="FT169" s="239">
        <v>-8292870</v>
      </c>
      <c r="FU169" s="239">
        <v>-1658818</v>
      </c>
      <c r="FV169" s="239">
        <v>0</v>
      </c>
      <c r="FW169" s="239">
        <v>-1658818</v>
      </c>
      <c r="FX169" s="239">
        <v>-669896</v>
      </c>
      <c r="FY169" s="239">
        <v>0</v>
      </c>
      <c r="FZ169" s="239">
        <v>-669896</v>
      </c>
      <c r="GA169" s="239">
        <v>-502937</v>
      </c>
      <c r="GB169" s="239">
        <v>0</v>
      </c>
      <c r="GC169" s="239">
        <v>-502937</v>
      </c>
      <c r="GD169" s="239">
        <v>0</v>
      </c>
      <c r="GE169" s="239">
        <v>0</v>
      </c>
      <c r="GF169" s="239">
        <v>0</v>
      </c>
      <c r="GG169" s="239">
        <v>-9754059</v>
      </c>
      <c r="GH169" s="239">
        <v>0</v>
      </c>
      <c r="GI169" s="239">
        <v>-9754059</v>
      </c>
      <c r="GJ169" s="239">
        <v>88837441</v>
      </c>
      <c r="GK169" s="239">
        <v>0</v>
      </c>
      <c r="GL169" s="239">
        <v>88837441</v>
      </c>
      <c r="GM169" s="214" t="s">
        <v>1159</v>
      </c>
    </row>
    <row r="170" spans="1:195" s="214" customFormat="1" x14ac:dyDescent="0.2">
      <c r="B170" s="602" t="s">
        <v>423</v>
      </c>
      <c r="C170" s="602" t="s">
        <v>422</v>
      </c>
      <c r="D170" s="239">
        <v>-793386</v>
      </c>
      <c r="E170" s="239">
        <v>0</v>
      </c>
      <c r="F170" s="239">
        <v>-793386</v>
      </c>
      <c r="G170" s="239">
        <v>0</v>
      </c>
      <c r="H170" s="239">
        <v>0</v>
      </c>
      <c r="I170" s="239">
        <v>0</v>
      </c>
      <c r="J170" s="239">
        <v>749833</v>
      </c>
      <c r="K170" s="239">
        <v>0</v>
      </c>
      <c r="L170" s="239">
        <v>749833</v>
      </c>
      <c r="M170" s="239">
        <v>15801</v>
      </c>
      <c r="N170" s="239">
        <v>0</v>
      </c>
      <c r="O170" s="239">
        <v>15801</v>
      </c>
      <c r="P170" s="239">
        <v>-27752</v>
      </c>
      <c r="Q170" s="239">
        <v>0</v>
      </c>
      <c r="R170" s="239">
        <v>-27752</v>
      </c>
      <c r="S170" s="239">
        <v>-3500776</v>
      </c>
      <c r="T170" s="239">
        <v>0</v>
      </c>
      <c r="U170" s="239">
        <v>-3500776</v>
      </c>
      <c r="V170" s="239">
        <v>-7641</v>
      </c>
      <c r="W170" s="239">
        <v>0</v>
      </c>
      <c r="X170" s="239">
        <v>-7641</v>
      </c>
      <c r="Y170" s="239">
        <v>-233581</v>
      </c>
      <c r="Z170" s="239">
        <v>0</v>
      </c>
      <c r="AA170" s="239">
        <v>-233581</v>
      </c>
      <c r="AB170" s="239">
        <v>-131340</v>
      </c>
      <c r="AC170" s="239">
        <v>0</v>
      </c>
      <c r="AD170" s="239">
        <v>-131340</v>
      </c>
      <c r="AE170" s="239">
        <v>-259</v>
      </c>
      <c r="AF170" s="239">
        <v>0</v>
      </c>
      <c r="AG170" s="239">
        <v>-259</v>
      </c>
      <c r="AH170" s="239">
        <v>281882</v>
      </c>
      <c r="AI170" s="239">
        <v>0</v>
      </c>
      <c r="AJ170" s="239">
        <v>281882</v>
      </c>
      <c r="AK170" s="239">
        <v>97472</v>
      </c>
      <c r="AL170" s="239">
        <v>0</v>
      </c>
      <c r="AM170" s="239">
        <v>97472</v>
      </c>
      <c r="AN170" s="239">
        <v>-1404210</v>
      </c>
      <c r="AO170" s="239">
        <v>0</v>
      </c>
      <c r="AP170" s="239">
        <v>-1404210</v>
      </c>
      <c r="AQ170" s="239">
        <v>13970</v>
      </c>
      <c r="AR170" s="239">
        <v>0</v>
      </c>
      <c r="AS170" s="239">
        <v>13970</v>
      </c>
      <c r="AT170" s="239">
        <v>-33300</v>
      </c>
      <c r="AU170" s="239">
        <v>0</v>
      </c>
      <c r="AV170" s="239">
        <v>-33300</v>
      </c>
      <c r="AW170" s="239">
        <v>0</v>
      </c>
      <c r="AX170" s="239">
        <v>0</v>
      </c>
      <c r="AY170" s="239">
        <v>0</v>
      </c>
      <c r="AZ170" s="239">
        <v>-33181</v>
      </c>
      <c r="BA170" s="239">
        <v>0</v>
      </c>
      <c r="BB170" s="239">
        <v>-33181</v>
      </c>
      <c r="BC170" s="239">
        <v>-4917</v>
      </c>
      <c r="BD170" s="239">
        <v>0</v>
      </c>
      <c r="BE170" s="239">
        <v>-4917</v>
      </c>
      <c r="BF170" s="239">
        <v>-4816641</v>
      </c>
      <c r="BG170" s="239">
        <v>0</v>
      </c>
      <c r="BH170" s="239">
        <v>-4816641</v>
      </c>
      <c r="BI170" s="239">
        <v>-3926</v>
      </c>
      <c r="BJ170" s="239">
        <v>0</v>
      </c>
      <c r="BK170" s="239">
        <v>-3926</v>
      </c>
      <c r="BL170" s="239">
        <v>-6803</v>
      </c>
      <c r="BM170" s="239">
        <v>0</v>
      </c>
      <c r="BN170" s="239">
        <v>-6803</v>
      </c>
      <c r="BO170" s="239">
        <v>-353603</v>
      </c>
      <c r="BP170" s="239">
        <v>0</v>
      </c>
      <c r="BQ170" s="239">
        <v>-353603</v>
      </c>
      <c r="BR170" s="239">
        <v>65852</v>
      </c>
      <c r="BS170" s="239">
        <v>0</v>
      </c>
      <c r="BT170" s="239">
        <v>65852</v>
      </c>
      <c r="BU170" s="239">
        <v>-298480</v>
      </c>
      <c r="BV170" s="239">
        <v>0</v>
      </c>
      <c r="BW170" s="239">
        <v>-298480</v>
      </c>
      <c r="BX170" s="239">
        <v>-63542</v>
      </c>
      <c r="BY170" s="239">
        <v>0</v>
      </c>
      <c r="BZ170" s="239">
        <v>-63542</v>
      </c>
      <c r="CA170" s="239">
        <v>3585</v>
      </c>
      <c r="CB170" s="239">
        <v>0</v>
      </c>
      <c r="CC170" s="239">
        <v>3585</v>
      </c>
      <c r="CD170" s="239">
        <v>-1745</v>
      </c>
      <c r="CE170" s="239">
        <v>0</v>
      </c>
      <c r="CF170" s="239">
        <v>-1745</v>
      </c>
      <c r="CG170" s="239">
        <v>-821</v>
      </c>
      <c r="CH170" s="239">
        <v>0</v>
      </c>
      <c r="CI170" s="239">
        <v>-821</v>
      </c>
      <c r="CJ170" s="239">
        <v>-485</v>
      </c>
      <c r="CK170" s="239">
        <v>0</v>
      </c>
      <c r="CL170" s="239">
        <v>-485</v>
      </c>
      <c r="CM170" s="239">
        <v>-22723</v>
      </c>
      <c r="CN170" s="239">
        <v>0</v>
      </c>
      <c r="CO170" s="239">
        <v>-22723</v>
      </c>
      <c r="CP170" s="239">
        <v>-7810</v>
      </c>
      <c r="CQ170" s="239">
        <v>0</v>
      </c>
      <c r="CR170" s="239">
        <v>-7810</v>
      </c>
      <c r="CS170" s="239">
        <v>0</v>
      </c>
      <c r="CT170" s="239">
        <v>0</v>
      </c>
      <c r="CU170" s="239">
        <v>0</v>
      </c>
      <c r="CV170" s="239">
        <v>0</v>
      </c>
      <c r="CW170" s="239">
        <v>0</v>
      </c>
      <c r="CX170" s="239">
        <v>0</v>
      </c>
      <c r="CY170" s="239">
        <v>0</v>
      </c>
      <c r="CZ170" s="239">
        <v>0</v>
      </c>
      <c r="DA170" s="239">
        <v>0</v>
      </c>
      <c r="DB170" s="239">
        <v>0</v>
      </c>
      <c r="DC170" s="239">
        <v>0</v>
      </c>
      <c r="DD170" s="239">
        <v>0</v>
      </c>
      <c r="DE170" s="239">
        <v>0</v>
      </c>
      <c r="DF170" s="239">
        <v>0</v>
      </c>
      <c r="DG170" s="239">
        <v>0</v>
      </c>
      <c r="DH170" s="239">
        <v>0</v>
      </c>
      <c r="DI170" s="239">
        <v>0</v>
      </c>
      <c r="DJ170" s="239">
        <v>-93541</v>
      </c>
      <c r="DK170" s="239">
        <v>0</v>
      </c>
      <c r="DL170" s="239">
        <v>-93541</v>
      </c>
      <c r="DM170" s="239">
        <v>-1600</v>
      </c>
      <c r="DN170" s="239">
        <v>0</v>
      </c>
      <c r="DO170" s="239">
        <v>-1600</v>
      </c>
      <c r="DP170" s="239">
        <v>529</v>
      </c>
      <c r="DQ170" s="239">
        <v>0</v>
      </c>
      <c r="DR170" s="239">
        <v>529</v>
      </c>
      <c r="DS170" s="239">
        <v>-155</v>
      </c>
      <c r="DT170" s="239">
        <v>0</v>
      </c>
      <c r="DU170" s="239">
        <v>-155</v>
      </c>
      <c r="DV170" s="239">
        <v>0</v>
      </c>
      <c r="DW170" s="239">
        <v>0</v>
      </c>
      <c r="DX170" s="239">
        <v>0</v>
      </c>
      <c r="DY170" s="239">
        <v>-1207</v>
      </c>
      <c r="DZ170" s="239">
        <v>0</v>
      </c>
      <c r="EA170" s="239">
        <v>-1207</v>
      </c>
      <c r="EB170" s="239">
        <v>0</v>
      </c>
      <c r="EC170" s="239">
        <v>0</v>
      </c>
      <c r="ED170" s="239">
        <v>0</v>
      </c>
      <c r="EE170" s="239">
        <v>0</v>
      </c>
      <c r="EF170" s="239">
        <v>0</v>
      </c>
      <c r="EG170" s="239">
        <v>0</v>
      </c>
      <c r="EH170" s="239">
        <v>0</v>
      </c>
      <c r="EI170" s="239">
        <v>0</v>
      </c>
      <c r="EJ170" s="239">
        <v>0</v>
      </c>
      <c r="EK170" s="239">
        <v>-28749</v>
      </c>
      <c r="EL170" s="239">
        <v>0</v>
      </c>
      <c r="EM170" s="239">
        <v>-28749</v>
      </c>
      <c r="EN170" s="239">
        <v>0</v>
      </c>
      <c r="EO170" s="239">
        <v>0</v>
      </c>
      <c r="EP170" s="239">
        <v>0</v>
      </c>
      <c r="EQ170" s="239">
        <v>-25722</v>
      </c>
      <c r="ER170" s="239">
        <v>0</v>
      </c>
      <c r="ES170" s="239">
        <v>-25722</v>
      </c>
      <c r="ET170" s="239">
        <v>-76686</v>
      </c>
      <c r="EU170" s="239">
        <v>0</v>
      </c>
      <c r="EV170" s="239">
        <v>-76686</v>
      </c>
      <c r="EW170" s="239">
        <v>-35883</v>
      </c>
      <c r="EX170" s="239">
        <v>0</v>
      </c>
      <c r="EY170" s="239">
        <v>-35883</v>
      </c>
      <c r="EZ170" s="239">
        <v>-169473</v>
      </c>
      <c r="FA170" s="239">
        <v>0</v>
      </c>
      <c r="FB170" s="239">
        <v>-169473</v>
      </c>
      <c r="FC170" s="239">
        <v>0</v>
      </c>
      <c r="FD170" s="239">
        <v>0</v>
      </c>
      <c r="FE170" s="239">
        <v>0</v>
      </c>
      <c r="FF170" s="239">
        <v>0</v>
      </c>
      <c r="FG170" s="239">
        <v>0</v>
      </c>
      <c r="FH170" s="239">
        <v>0</v>
      </c>
      <c r="FI170" s="239">
        <v>0</v>
      </c>
      <c r="FJ170" s="239">
        <v>0</v>
      </c>
      <c r="FK170" s="239">
        <v>0</v>
      </c>
      <c r="FL170" s="239">
        <v>19954303</v>
      </c>
      <c r="FM170" s="239">
        <v>0</v>
      </c>
      <c r="FN170" s="239">
        <v>19954303</v>
      </c>
      <c r="FO170" s="239">
        <v>-27752</v>
      </c>
      <c r="FP170" s="239">
        <v>0</v>
      </c>
      <c r="FQ170" s="239">
        <v>-27752</v>
      </c>
      <c r="FR170" s="239">
        <v>-4816641</v>
      </c>
      <c r="FS170" s="239">
        <v>0</v>
      </c>
      <c r="FT170" s="239">
        <v>-4816641</v>
      </c>
      <c r="FU170" s="239">
        <v>-298480</v>
      </c>
      <c r="FV170" s="239">
        <v>0</v>
      </c>
      <c r="FW170" s="239">
        <v>-298480</v>
      </c>
      <c r="FX170" s="239">
        <v>-93541</v>
      </c>
      <c r="FY170" s="239">
        <v>0</v>
      </c>
      <c r="FZ170" s="239">
        <v>-93541</v>
      </c>
      <c r="GA170" s="239">
        <v>-169473</v>
      </c>
      <c r="GB170" s="239">
        <v>0</v>
      </c>
      <c r="GC170" s="239">
        <v>-169473</v>
      </c>
      <c r="GD170" s="239">
        <v>0</v>
      </c>
      <c r="GE170" s="239">
        <v>0</v>
      </c>
      <c r="GF170" s="239">
        <v>0</v>
      </c>
      <c r="GG170" s="239">
        <v>-5405887</v>
      </c>
      <c r="GH170" s="239">
        <v>0</v>
      </c>
      <c r="GI170" s="239">
        <v>-5405887</v>
      </c>
      <c r="GJ170" s="239">
        <v>14548416</v>
      </c>
      <c r="GK170" s="239">
        <v>0</v>
      </c>
      <c r="GL170" s="239">
        <v>14548416</v>
      </c>
      <c r="GM170" s="214" t="s">
        <v>1158</v>
      </c>
    </row>
    <row r="171" spans="1:195" s="214" customFormat="1" x14ac:dyDescent="0.2">
      <c r="B171" s="602" t="s">
        <v>425</v>
      </c>
      <c r="C171" s="602" t="s">
        <v>424</v>
      </c>
      <c r="D171" s="239">
        <v>-1240595</v>
      </c>
      <c r="E171" s="239">
        <v>0</v>
      </c>
      <c r="F171" s="239">
        <v>-1240595</v>
      </c>
      <c r="G171" s="239">
        <v>261088</v>
      </c>
      <c r="H171" s="239">
        <v>0</v>
      </c>
      <c r="I171" s="239">
        <v>261088</v>
      </c>
      <c r="J171" s="239">
        <v>834697</v>
      </c>
      <c r="K171" s="239">
        <v>0</v>
      </c>
      <c r="L171" s="239">
        <v>834697</v>
      </c>
      <c r="M171" s="239">
        <v>4929</v>
      </c>
      <c r="N171" s="239">
        <v>0</v>
      </c>
      <c r="O171" s="239">
        <v>4929</v>
      </c>
      <c r="P171" s="239">
        <v>-139881</v>
      </c>
      <c r="Q171" s="239">
        <v>0</v>
      </c>
      <c r="R171" s="239">
        <v>-139881</v>
      </c>
      <c r="S171" s="239">
        <v>-3086274</v>
      </c>
      <c r="T171" s="239">
        <v>0</v>
      </c>
      <c r="U171" s="239">
        <v>-3086274</v>
      </c>
      <c r="V171" s="239">
        <v>-13977</v>
      </c>
      <c r="W171" s="239">
        <v>0</v>
      </c>
      <c r="X171" s="239">
        <v>-13977</v>
      </c>
      <c r="Y171" s="239">
        <v>-120003</v>
      </c>
      <c r="Z171" s="239">
        <v>0</v>
      </c>
      <c r="AA171" s="239">
        <v>-120003</v>
      </c>
      <c r="AB171" s="239">
        <v>-91964</v>
      </c>
      <c r="AC171" s="239">
        <v>0</v>
      </c>
      <c r="AD171" s="239">
        <v>-91964</v>
      </c>
      <c r="AE171" s="239">
        <v>1261</v>
      </c>
      <c r="AF171" s="239">
        <v>0</v>
      </c>
      <c r="AG171" s="239">
        <v>1261</v>
      </c>
      <c r="AH171" s="239">
        <v>477479</v>
      </c>
      <c r="AI171" s="239">
        <v>0</v>
      </c>
      <c r="AJ171" s="239">
        <v>477479</v>
      </c>
      <c r="AK171" s="239">
        <v>15582</v>
      </c>
      <c r="AL171" s="239">
        <v>0</v>
      </c>
      <c r="AM171" s="239">
        <v>15582</v>
      </c>
      <c r="AN171" s="239">
        <v>-1227388</v>
      </c>
      <c r="AO171" s="239">
        <v>0</v>
      </c>
      <c r="AP171" s="239">
        <v>-1227388</v>
      </c>
      <c r="AQ171" s="239">
        <v>-52717</v>
      </c>
      <c r="AR171" s="239">
        <v>0</v>
      </c>
      <c r="AS171" s="239">
        <v>-52717</v>
      </c>
      <c r="AT171" s="239">
        <v>-42352</v>
      </c>
      <c r="AU171" s="239">
        <v>0</v>
      </c>
      <c r="AV171" s="239">
        <v>-42352</v>
      </c>
      <c r="AW171" s="239">
        <v>0</v>
      </c>
      <c r="AX171" s="239">
        <v>0</v>
      </c>
      <c r="AY171" s="239">
        <v>0</v>
      </c>
      <c r="AZ171" s="239">
        <v>-57587</v>
      </c>
      <c r="BA171" s="239">
        <v>0</v>
      </c>
      <c r="BB171" s="239">
        <v>-57587</v>
      </c>
      <c r="BC171" s="239">
        <v>-724</v>
      </c>
      <c r="BD171" s="239">
        <v>0</v>
      </c>
      <c r="BE171" s="239">
        <v>-724</v>
      </c>
      <c r="BF171" s="239">
        <v>-4093984</v>
      </c>
      <c r="BG171" s="239">
        <v>0</v>
      </c>
      <c r="BH171" s="239">
        <v>-4093984</v>
      </c>
      <c r="BI171" s="239">
        <v>-941</v>
      </c>
      <c r="BJ171" s="239">
        <v>0</v>
      </c>
      <c r="BK171" s="239">
        <v>-941</v>
      </c>
      <c r="BL171" s="239">
        <v>0</v>
      </c>
      <c r="BM171" s="239">
        <v>0</v>
      </c>
      <c r="BN171" s="239">
        <v>0</v>
      </c>
      <c r="BO171" s="239">
        <v>-602576</v>
      </c>
      <c r="BP171" s="239">
        <v>0</v>
      </c>
      <c r="BQ171" s="239">
        <v>-602576</v>
      </c>
      <c r="BR171" s="239">
        <v>-79216</v>
      </c>
      <c r="BS171" s="239">
        <v>0</v>
      </c>
      <c r="BT171" s="239">
        <v>-79216</v>
      </c>
      <c r="BU171" s="239">
        <v>-682733</v>
      </c>
      <c r="BV171" s="239">
        <v>0</v>
      </c>
      <c r="BW171" s="239">
        <v>-682733</v>
      </c>
      <c r="BX171" s="239">
        <v>-166892</v>
      </c>
      <c r="BY171" s="239">
        <v>0</v>
      </c>
      <c r="BZ171" s="239">
        <v>-166892</v>
      </c>
      <c r="CA171" s="239">
        <v>128</v>
      </c>
      <c r="CB171" s="239">
        <v>0</v>
      </c>
      <c r="CC171" s="239">
        <v>128</v>
      </c>
      <c r="CD171" s="239">
        <v>-34400</v>
      </c>
      <c r="CE171" s="239">
        <v>0</v>
      </c>
      <c r="CF171" s="239">
        <v>-34400</v>
      </c>
      <c r="CG171" s="239">
        <v>-1683</v>
      </c>
      <c r="CH171" s="239">
        <v>0</v>
      </c>
      <c r="CI171" s="239">
        <v>-1683</v>
      </c>
      <c r="CJ171" s="239">
        <v>-8078</v>
      </c>
      <c r="CK171" s="239">
        <v>0</v>
      </c>
      <c r="CL171" s="239">
        <v>-8078</v>
      </c>
      <c r="CM171" s="239">
        <v>0</v>
      </c>
      <c r="CN171" s="239">
        <v>0</v>
      </c>
      <c r="CO171" s="239">
        <v>0</v>
      </c>
      <c r="CP171" s="239">
        <v>0</v>
      </c>
      <c r="CQ171" s="239">
        <v>0</v>
      </c>
      <c r="CR171" s="239">
        <v>0</v>
      </c>
      <c r="CS171" s="239">
        <v>-724</v>
      </c>
      <c r="CT171" s="239">
        <v>0</v>
      </c>
      <c r="CU171" s="239">
        <v>-724</v>
      </c>
      <c r="CV171" s="239">
        <v>-12791</v>
      </c>
      <c r="CW171" s="239">
        <v>0</v>
      </c>
      <c r="CX171" s="239">
        <v>-12791</v>
      </c>
      <c r="CY171" s="239">
        <v>-1667</v>
      </c>
      <c r="CZ171" s="239">
        <v>0</v>
      </c>
      <c r="DA171" s="239">
        <v>-1667</v>
      </c>
      <c r="DB171" s="239">
        <v>0</v>
      </c>
      <c r="DC171" s="239">
        <v>0</v>
      </c>
      <c r="DD171" s="239">
        <v>0</v>
      </c>
      <c r="DE171" s="239">
        <v>0</v>
      </c>
      <c r="DF171" s="239">
        <v>0</v>
      </c>
      <c r="DG171" s="239">
        <v>0</v>
      </c>
      <c r="DH171" s="239">
        <v>0</v>
      </c>
      <c r="DI171" s="239">
        <v>0</v>
      </c>
      <c r="DJ171" s="239">
        <v>-226107</v>
      </c>
      <c r="DK171" s="239">
        <v>0</v>
      </c>
      <c r="DL171" s="239">
        <v>-226107</v>
      </c>
      <c r="DM171" s="239">
        <v>0</v>
      </c>
      <c r="DN171" s="239">
        <v>0</v>
      </c>
      <c r="DO171" s="239">
        <v>0</v>
      </c>
      <c r="DP171" s="239">
        <v>0</v>
      </c>
      <c r="DQ171" s="239">
        <v>0</v>
      </c>
      <c r="DR171" s="239">
        <v>0</v>
      </c>
      <c r="DS171" s="239">
        <v>-1774</v>
      </c>
      <c r="DT171" s="239">
        <v>0</v>
      </c>
      <c r="DU171" s="239">
        <v>-1774</v>
      </c>
      <c r="DV171" s="239">
        <v>0</v>
      </c>
      <c r="DW171" s="239">
        <v>0</v>
      </c>
      <c r="DX171" s="239">
        <v>0</v>
      </c>
      <c r="DY171" s="239">
        <v>0</v>
      </c>
      <c r="DZ171" s="239">
        <v>0</v>
      </c>
      <c r="EA171" s="239">
        <v>0</v>
      </c>
      <c r="EB171" s="239">
        <v>0</v>
      </c>
      <c r="EC171" s="239">
        <v>0</v>
      </c>
      <c r="ED171" s="239">
        <v>0</v>
      </c>
      <c r="EE171" s="239">
        <v>0</v>
      </c>
      <c r="EF171" s="239">
        <v>0</v>
      </c>
      <c r="EG171" s="239">
        <v>0</v>
      </c>
      <c r="EH171" s="239">
        <v>0</v>
      </c>
      <c r="EI171" s="239">
        <v>0</v>
      </c>
      <c r="EJ171" s="239">
        <v>0</v>
      </c>
      <c r="EK171" s="239">
        <v>-57587</v>
      </c>
      <c r="EL171" s="239">
        <v>0</v>
      </c>
      <c r="EM171" s="239">
        <v>-57587</v>
      </c>
      <c r="EN171" s="239">
        <v>0</v>
      </c>
      <c r="EO171" s="239">
        <v>0</v>
      </c>
      <c r="EP171" s="239">
        <v>0</v>
      </c>
      <c r="EQ171" s="239">
        <v>-58374</v>
      </c>
      <c r="ER171" s="239">
        <v>0</v>
      </c>
      <c r="ES171" s="239">
        <v>-58374</v>
      </c>
      <c r="ET171" s="239">
        <v>-202068</v>
      </c>
      <c r="EU171" s="239">
        <v>0</v>
      </c>
      <c r="EV171" s="239">
        <v>-202068</v>
      </c>
      <c r="EW171" s="239">
        <v>-41047</v>
      </c>
      <c r="EX171" s="239">
        <v>0</v>
      </c>
      <c r="EY171" s="239">
        <v>-41047</v>
      </c>
      <c r="EZ171" s="239">
        <v>-360850</v>
      </c>
      <c r="FA171" s="239">
        <v>0</v>
      </c>
      <c r="FB171" s="239">
        <v>-360850</v>
      </c>
      <c r="FC171" s="239">
        <v>0</v>
      </c>
      <c r="FD171" s="239">
        <v>0</v>
      </c>
      <c r="FE171" s="239">
        <v>0</v>
      </c>
      <c r="FF171" s="239">
        <v>0</v>
      </c>
      <c r="FG171" s="239">
        <v>0</v>
      </c>
      <c r="FH171" s="239">
        <v>0</v>
      </c>
      <c r="FI171" s="239">
        <v>0</v>
      </c>
      <c r="FJ171" s="239">
        <v>0</v>
      </c>
      <c r="FK171" s="239">
        <v>0</v>
      </c>
      <c r="FL171" s="239">
        <v>25606162</v>
      </c>
      <c r="FM171" s="239">
        <v>0</v>
      </c>
      <c r="FN171" s="239">
        <v>25606162</v>
      </c>
      <c r="FO171" s="239">
        <v>-139881</v>
      </c>
      <c r="FP171" s="239">
        <v>0</v>
      </c>
      <c r="FQ171" s="239">
        <v>-139881</v>
      </c>
      <c r="FR171" s="239">
        <v>-4093984</v>
      </c>
      <c r="FS171" s="239">
        <v>0</v>
      </c>
      <c r="FT171" s="239">
        <v>-4093984</v>
      </c>
      <c r="FU171" s="239">
        <v>-682733</v>
      </c>
      <c r="FV171" s="239">
        <v>0</v>
      </c>
      <c r="FW171" s="239">
        <v>-682733</v>
      </c>
      <c r="FX171" s="239">
        <v>-226107</v>
      </c>
      <c r="FY171" s="239">
        <v>0</v>
      </c>
      <c r="FZ171" s="239">
        <v>-226107</v>
      </c>
      <c r="GA171" s="239">
        <v>-360850</v>
      </c>
      <c r="GB171" s="239">
        <v>0</v>
      </c>
      <c r="GC171" s="239">
        <v>-360850</v>
      </c>
      <c r="GD171" s="239">
        <v>0</v>
      </c>
      <c r="GE171" s="239">
        <v>0</v>
      </c>
      <c r="GF171" s="239">
        <v>0</v>
      </c>
      <c r="GG171" s="239">
        <v>-5503555</v>
      </c>
      <c r="GH171" s="239">
        <v>0</v>
      </c>
      <c r="GI171" s="239">
        <v>-5503555</v>
      </c>
      <c r="GJ171" s="239">
        <v>20102607</v>
      </c>
      <c r="GK171" s="239">
        <v>0</v>
      </c>
      <c r="GL171" s="239">
        <v>20102607</v>
      </c>
      <c r="GM171" s="214" t="s">
        <v>1158</v>
      </c>
    </row>
    <row r="172" spans="1:195" s="214" customFormat="1" x14ac:dyDescent="0.2">
      <c r="B172" s="602" t="s">
        <v>427</v>
      </c>
      <c r="C172" s="602" t="s">
        <v>426</v>
      </c>
      <c r="D172" s="239">
        <v>-2280695</v>
      </c>
      <c r="E172" s="239">
        <v>0</v>
      </c>
      <c r="F172" s="239">
        <v>-2280695</v>
      </c>
      <c r="G172" s="239">
        <v>322898</v>
      </c>
      <c r="H172" s="239">
        <v>0</v>
      </c>
      <c r="I172" s="239">
        <v>322898</v>
      </c>
      <c r="J172" s="239">
        <v>1361607</v>
      </c>
      <c r="K172" s="239">
        <v>0</v>
      </c>
      <c r="L172" s="239">
        <v>1361607</v>
      </c>
      <c r="M172" s="239">
        <v>-29386</v>
      </c>
      <c r="N172" s="239">
        <v>0</v>
      </c>
      <c r="O172" s="239">
        <v>-29386</v>
      </c>
      <c r="P172" s="239">
        <v>-625576</v>
      </c>
      <c r="Q172" s="239">
        <v>0</v>
      </c>
      <c r="R172" s="239">
        <v>-625576</v>
      </c>
      <c r="S172" s="239">
        <v>-3894364</v>
      </c>
      <c r="T172" s="239">
        <v>0</v>
      </c>
      <c r="U172" s="239">
        <v>-3894364</v>
      </c>
      <c r="V172" s="239">
        <v>0</v>
      </c>
      <c r="W172" s="239">
        <v>0</v>
      </c>
      <c r="X172" s="239">
        <v>0</v>
      </c>
      <c r="Y172" s="239">
        <v>-149956</v>
      </c>
      <c r="Z172" s="239">
        <v>0</v>
      </c>
      <c r="AA172" s="239">
        <v>-149956</v>
      </c>
      <c r="AB172" s="239">
        <v>-114315</v>
      </c>
      <c r="AC172" s="239">
        <v>0</v>
      </c>
      <c r="AD172" s="239">
        <v>-114315</v>
      </c>
      <c r="AE172" s="239">
        <v>0</v>
      </c>
      <c r="AF172" s="239">
        <v>0</v>
      </c>
      <c r="AG172" s="239">
        <v>0</v>
      </c>
      <c r="AH172" s="239">
        <v>997573</v>
      </c>
      <c r="AI172" s="239">
        <v>0</v>
      </c>
      <c r="AJ172" s="239">
        <v>997573</v>
      </c>
      <c r="AK172" s="239">
        <v>-66616</v>
      </c>
      <c r="AL172" s="239">
        <v>0</v>
      </c>
      <c r="AM172" s="239">
        <v>-66616</v>
      </c>
      <c r="AN172" s="239">
        <v>-4010964</v>
      </c>
      <c r="AO172" s="239">
        <v>0</v>
      </c>
      <c r="AP172" s="239">
        <v>-4010964</v>
      </c>
      <c r="AQ172" s="239">
        <v>13317</v>
      </c>
      <c r="AR172" s="239">
        <v>0</v>
      </c>
      <c r="AS172" s="239">
        <v>13317</v>
      </c>
      <c r="AT172" s="239">
        <v>-54048</v>
      </c>
      <c r="AU172" s="239">
        <v>0</v>
      </c>
      <c r="AV172" s="239">
        <v>-54048</v>
      </c>
      <c r="AW172" s="239">
        <v>0</v>
      </c>
      <c r="AX172" s="239">
        <v>0</v>
      </c>
      <c r="AY172" s="239">
        <v>0</v>
      </c>
      <c r="AZ172" s="239">
        <v>-3366</v>
      </c>
      <c r="BA172" s="239">
        <v>0</v>
      </c>
      <c r="BB172" s="239">
        <v>-3366</v>
      </c>
      <c r="BC172" s="239">
        <v>0</v>
      </c>
      <c r="BD172" s="239">
        <v>0</v>
      </c>
      <c r="BE172" s="239">
        <v>0</v>
      </c>
      <c r="BF172" s="239">
        <v>-7168424</v>
      </c>
      <c r="BG172" s="239">
        <v>0</v>
      </c>
      <c r="BH172" s="239">
        <v>-7168424</v>
      </c>
      <c r="BI172" s="239">
        <v>0</v>
      </c>
      <c r="BJ172" s="239">
        <v>0</v>
      </c>
      <c r="BK172" s="239">
        <v>0</v>
      </c>
      <c r="BL172" s="239">
        <v>0</v>
      </c>
      <c r="BM172" s="239">
        <v>0</v>
      </c>
      <c r="BN172" s="239">
        <v>0</v>
      </c>
      <c r="BO172" s="239">
        <v>-1204921</v>
      </c>
      <c r="BP172" s="239">
        <v>0</v>
      </c>
      <c r="BQ172" s="239">
        <v>-1204921</v>
      </c>
      <c r="BR172" s="239">
        <v>8079</v>
      </c>
      <c r="BS172" s="239">
        <v>0</v>
      </c>
      <c r="BT172" s="239">
        <v>8079</v>
      </c>
      <c r="BU172" s="239">
        <v>-1196842</v>
      </c>
      <c r="BV172" s="239">
        <v>0</v>
      </c>
      <c r="BW172" s="239">
        <v>-1196842</v>
      </c>
      <c r="BX172" s="239">
        <v>-73181</v>
      </c>
      <c r="BY172" s="239">
        <v>0</v>
      </c>
      <c r="BZ172" s="239">
        <v>-73181</v>
      </c>
      <c r="CA172" s="239">
        <v>-1998</v>
      </c>
      <c r="CB172" s="239">
        <v>0</v>
      </c>
      <c r="CC172" s="239">
        <v>-1998</v>
      </c>
      <c r="CD172" s="239">
        <v>-705079</v>
      </c>
      <c r="CE172" s="239">
        <v>0</v>
      </c>
      <c r="CF172" s="239">
        <v>-705079</v>
      </c>
      <c r="CG172" s="239">
        <v>-4390</v>
      </c>
      <c r="CH172" s="239">
        <v>0</v>
      </c>
      <c r="CI172" s="239">
        <v>-4390</v>
      </c>
      <c r="CJ172" s="239">
        <v>-4251</v>
      </c>
      <c r="CK172" s="239">
        <v>0</v>
      </c>
      <c r="CL172" s="239">
        <v>-4251</v>
      </c>
      <c r="CM172" s="239">
        <v>0</v>
      </c>
      <c r="CN172" s="239">
        <v>0</v>
      </c>
      <c r="CO172" s="239">
        <v>0</v>
      </c>
      <c r="CP172" s="239">
        <v>0</v>
      </c>
      <c r="CQ172" s="239">
        <v>0</v>
      </c>
      <c r="CR172" s="239">
        <v>0</v>
      </c>
      <c r="CS172" s="239">
        <v>0</v>
      </c>
      <c r="CT172" s="239">
        <v>0</v>
      </c>
      <c r="CU172" s="239">
        <v>0</v>
      </c>
      <c r="CV172" s="239">
        <v>0</v>
      </c>
      <c r="CW172" s="239">
        <v>0</v>
      </c>
      <c r="CX172" s="239">
        <v>0</v>
      </c>
      <c r="CY172" s="239">
        <v>0</v>
      </c>
      <c r="CZ172" s="239">
        <v>0</v>
      </c>
      <c r="DA172" s="239">
        <v>0</v>
      </c>
      <c r="DB172" s="239">
        <v>0</v>
      </c>
      <c r="DC172" s="239">
        <v>0</v>
      </c>
      <c r="DD172" s="239">
        <v>0</v>
      </c>
      <c r="DE172" s="239">
        <v>0</v>
      </c>
      <c r="DF172" s="239">
        <v>0</v>
      </c>
      <c r="DG172" s="239">
        <v>0</v>
      </c>
      <c r="DH172" s="239">
        <v>0</v>
      </c>
      <c r="DI172" s="239">
        <v>0</v>
      </c>
      <c r="DJ172" s="239">
        <v>-788899</v>
      </c>
      <c r="DK172" s="239">
        <v>0</v>
      </c>
      <c r="DL172" s="239">
        <v>-788899</v>
      </c>
      <c r="DM172" s="239">
        <v>-6402</v>
      </c>
      <c r="DN172" s="239">
        <v>0</v>
      </c>
      <c r="DO172" s="239">
        <v>-6402</v>
      </c>
      <c r="DP172" s="239">
        <v>-2337</v>
      </c>
      <c r="DQ172" s="239">
        <v>0</v>
      </c>
      <c r="DR172" s="239">
        <v>-2337</v>
      </c>
      <c r="DS172" s="239">
        <v>-3249</v>
      </c>
      <c r="DT172" s="239">
        <v>0</v>
      </c>
      <c r="DU172" s="239">
        <v>-3249</v>
      </c>
      <c r="DV172" s="239">
        <v>-8497</v>
      </c>
      <c r="DW172" s="239">
        <v>0</v>
      </c>
      <c r="DX172" s="239">
        <v>-8497</v>
      </c>
      <c r="DY172" s="239">
        <v>4687</v>
      </c>
      <c r="DZ172" s="239">
        <v>0</v>
      </c>
      <c r="EA172" s="239">
        <v>4687</v>
      </c>
      <c r="EB172" s="239">
        <v>0</v>
      </c>
      <c r="EC172" s="239">
        <v>0</v>
      </c>
      <c r="ED172" s="239">
        <v>0</v>
      </c>
      <c r="EE172" s="239">
        <v>0</v>
      </c>
      <c r="EF172" s="239">
        <v>0</v>
      </c>
      <c r="EG172" s="239">
        <v>0</v>
      </c>
      <c r="EH172" s="239">
        <v>3379</v>
      </c>
      <c r="EI172" s="239">
        <v>0</v>
      </c>
      <c r="EJ172" s="239">
        <v>3379</v>
      </c>
      <c r="EK172" s="239">
        <v>-5904</v>
      </c>
      <c r="EL172" s="239">
        <v>0</v>
      </c>
      <c r="EM172" s="239">
        <v>-5904</v>
      </c>
      <c r="EN172" s="239">
        <v>0</v>
      </c>
      <c r="EO172" s="239">
        <v>0</v>
      </c>
      <c r="EP172" s="239">
        <v>0</v>
      </c>
      <c r="EQ172" s="239">
        <v>-58834</v>
      </c>
      <c r="ER172" s="239">
        <v>0</v>
      </c>
      <c r="ES172" s="239">
        <v>-58834</v>
      </c>
      <c r="ET172" s="239">
        <v>-292442</v>
      </c>
      <c r="EU172" s="239">
        <v>0</v>
      </c>
      <c r="EV172" s="239">
        <v>-292442</v>
      </c>
      <c r="EW172" s="239">
        <v>-39827</v>
      </c>
      <c r="EX172" s="239">
        <v>0</v>
      </c>
      <c r="EY172" s="239">
        <v>-39827</v>
      </c>
      <c r="EZ172" s="239">
        <v>-409426</v>
      </c>
      <c r="FA172" s="239">
        <v>0</v>
      </c>
      <c r="FB172" s="239">
        <v>-409426</v>
      </c>
      <c r="FC172" s="239">
        <v>-13861</v>
      </c>
      <c r="FD172" s="239">
        <v>0</v>
      </c>
      <c r="FE172" s="239">
        <v>-13861</v>
      </c>
      <c r="FF172" s="239">
        <v>0</v>
      </c>
      <c r="FG172" s="239">
        <v>0</v>
      </c>
      <c r="FH172" s="239">
        <v>0</v>
      </c>
      <c r="FI172" s="239">
        <v>-13861</v>
      </c>
      <c r="FJ172" s="239">
        <v>0</v>
      </c>
      <c r="FK172" s="239">
        <v>-13861</v>
      </c>
      <c r="FL172" s="239">
        <v>52808720</v>
      </c>
      <c r="FM172" s="239">
        <v>0</v>
      </c>
      <c r="FN172" s="239">
        <v>52808720</v>
      </c>
      <c r="FO172" s="239">
        <v>-625576</v>
      </c>
      <c r="FP172" s="239">
        <v>0</v>
      </c>
      <c r="FQ172" s="239">
        <v>-625576</v>
      </c>
      <c r="FR172" s="239">
        <v>-7168424</v>
      </c>
      <c r="FS172" s="239">
        <v>0</v>
      </c>
      <c r="FT172" s="239">
        <v>-7168424</v>
      </c>
      <c r="FU172" s="239">
        <v>-1196842</v>
      </c>
      <c r="FV172" s="239">
        <v>0</v>
      </c>
      <c r="FW172" s="239">
        <v>-1196842</v>
      </c>
      <c r="FX172" s="239">
        <v>-788899</v>
      </c>
      <c r="FY172" s="239">
        <v>0</v>
      </c>
      <c r="FZ172" s="239">
        <v>-788899</v>
      </c>
      <c r="GA172" s="239">
        <v>-409426</v>
      </c>
      <c r="GB172" s="239">
        <v>0</v>
      </c>
      <c r="GC172" s="239">
        <v>-409426</v>
      </c>
      <c r="GD172" s="239">
        <v>-13861</v>
      </c>
      <c r="GE172" s="239">
        <v>0</v>
      </c>
      <c r="GF172" s="239">
        <v>-13861</v>
      </c>
      <c r="GG172" s="239">
        <v>-10203028</v>
      </c>
      <c r="GH172" s="239">
        <v>0</v>
      </c>
      <c r="GI172" s="239">
        <v>-10203028</v>
      </c>
      <c r="GJ172" s="239">
        <v>42605692</v>
      </c>
      <c r="GK172" s="239">
        <v>0</v>
      </c>
      <c r="GL172" s="239">
        <v>42605692</v>
      </c>
      <c r="GM172" s="214" t="s">
        <v>1158</v>
      </c>
    </row>
    <row r="173" spans="1:195" s="214" customFormat="1" x14ac:dyDescent="0.2">
      <c r="B173" s="602" t="s">
        <v>429</v>
      </c>
      <c r="C173" s="602" t="s">
        <v>428</v>
      </c>
      <c r="D173" s="239">
        <v>-1336508</v>
      </c>
      <c r="E173" s="239">
        <v>-117570</v>
      </c>
      <c r="F173" s="239">
        <v>-1454078</v>
      </c>
      <c r="G173" s="239">
        <v>16673</v>
      </c>
      <c r="H173" s="239">
        <v>0</v>
      </c>
      <c r="I173" s="239">
        <v>16673</v>
      </c>
      <c r="J173" s="239">
        <v>6084664</v>
      </c>
      <c r="K173" s="239">
        <v>653812</v>
      </c>
      <c r="L173" s="239">
        <v>6738476</v>
      </c>
      <c r="M173" s="239">
        <v>206767</v>
      </c>
      <c r="N173" s="239">
        <v>0</v>
      </c>
      <c r="O173" s="239">
        <v>206767</v>
      </c>
      <c r="P173" s="239">
        <v>4971596</v>
      </c>
      <c r="Q173" s="239">
        <v>536242</v>
      </c>
      <c r="R173" s="239">
        <v>5507838</v>
      </c>
      <c r="S173" s="239">
        <v>-3274737</v>
      </c>
      <c r="T173" s="239">
        <v>-221147</v>
      </c>
      <c r="U173" s="239">
        <v>-3495884</v>
      </c>
      <c r="V173" s="239">
        <v>0</v>
      </c>
      <c r="W173" s="239">
        <v>0</v>
      </c>
      <c r="X173" s="239">
        <v>0</v>
      </c>
      <c r="Y173" s="239">
        <v>-272875</v>
      </c>
      <c r="Z173" s="239">
        <v>-13931</v>
      </c>
      <c r="AA173" s="239">
        <v>-286806</v>
      </c>
      <c r="AB173" s="239">
        <v>-267994</v>
      </c>
      <c r="AC173" s="239">
        <v>-13499</v>
      </c>
      <c r="AD173" s="239">
        <v>-281493</v>
      </c>
      <c r="AE173" s="239">
        <v>0</v>
      </c>
      <c r="AF173" s="239">
        <v>0</v>
      </c>
      <c r="AG173" s="239">
        <v>0</v>
      </c>
      <c r="AH173" s="239">
        <v>868998</v>
      </c>
      <c r="AI173" s="239">
        <v>53703</v>
      </c>
      <c r="AJ173" s="239">
        <v>922701</v>
      </c>
      <c r="AK173" s="239">
        <v>-18580</v>
      </c>
      <c r="AL173" s="239">
        <v>-8347</v>
      </c>
      <c r="AM173" s="239">
        <v>-26927</v>
      </c>
      <c r="AN173" s="239">
        <v>-5964531</v>
      </c>
      <c r="AO173" s="239">
        <v>-99886</v>
      </c>
      <c r="AP173" s="239">
        <v>-6064417</v>
      </c>
      <c r="AQ173" s="239">
        <v>71818</v>
      </c>
      <c r="AR173" s="239">
        <v>-7600</v>
      </c>
      <c r="AS173" s="239">
        <v>64218</v>
      </c>
      <c r="AT173" s="239">
        <v>-46604</v>
      </c>
      <c r="AU173" s="239">
        <v>0</v>
      </c>
      <c r="AV173" s="239">
        <v>-46604</v>
      </c>
      <c r="AW173" s="239">
        <v>-17721</v>
      </c>
      <c r="AX173" s="239">
        <v>0</v>
      </c>
      <c r="AY173" s="239">
        <v>-17721</v>
      </c>
      <c r="AZ173" s="239">
        <v>0</v>
      </c>
      <c r="BA173" s="239">
        <v>0</v>
      </c>
      <c r="BB173" s="239">
        <v>0</v>
      </c>
      <c r="BC173" s="239">
        <v>0</v>
      </c>
      <c r="BD173" s="239">
        <v>0</v>
      </c>
      <c r="BE173" s="239">
        <v>0</v>
      </c>
      <c r="BF173" s="239">
        <v>-8654232</v>
      </c>
      <c r="BG173" s="239">
        <v>-297208</v>
      </c>
      <c r="BH173" s="239">
        <v>-8951440</v>
      </c>
      <c r="BI173" s="239">
        <v>-20286</v>
      </c>
      <c r="BJ173" s="239">
        <v>0</v>
      </c>
      <c r="BK173" s="239">
        <v>-20286</v>
      </c>
      <c r="BL173" s="239">
        <v>0</v>
      </c>
      <c r="BM173" s="239">
        <v>0</v>
      </c>
      <c r="BN173" s="239">
        <v>0</v>
      </c>
      <c r="BO173" s="239">
        <v>-1369890</v>
      </c>
      <c r="BP173" s="239">
        <v>-337364</v>
      </c>
      <c r="BQ173" s="239">
        <v>-1707254</v>
      </c>
      <c r="BR173" s="239">
        <v>-108260</v>
      </c>
      <c r="BS173" s="239">
        <v>26721</v>
      </c>
      <c r="BT173" s="239">
        <v>-81539</v>
      </c>
      <c r="BU173" s="239">
        <v>-1498436</v>
      </c>
      <c r="BV173" s="239">
        <v>-310643</v>
      </c>
      <c r="BW173" s="239">
        <v>-1809079</v>
      </c>
      <c r="BX173" s="239">
        <v>-8279</v>
      </c>
      <c r="BY173" s="239">
        <v>0</v>
      </c>
      <c r="BZ173" s="239">
        <v>-8279</v>
      </c>
      <c r="CA173" s="239">
        <v>1416</v>
      </c>
      <c r="CB173" s="239">
        <v>0</v>
      </c>
      <c r="CC173" s="239">
        <v>1416</v>
      </c>
      <c r="CD173" s="239">
        <v>-24297</v>
      </c>
      <c r="CE173" s="239">
        <v>-4334</v>
      </c>
      <c r="CF173" s="239">
        <v>-28631</v>
      </c>
      <c r="CG173" s="239">
        <v>-1090</v>
      </c>
      <c r="CH173" s="239">
        <v>0</v>
      </c>
      <c r="CI173" s="239">
        <v>-1090</v>
      </c>
      <c r="CJ173" s="239">
        <v>-1365</v>
      </c>
      <c r="CK173" s="239">
        <v>0</v>
      </c>
      <c r="CL173" s="239">
        <v>-1365</v>
      </c>
      <c r="CM173" s="239">
        <v>-1416</v>
      </c>
      <c r="CN173" s="239">
        <v>0</v>
      </c>
      <c r="CO173" s="239">
        <v>-1416</v>
      </c>
      <c r="CP173" s="239">
        <v>0</v>
      </c>
      <c r="CQ173" s="239">
        <v>0</v>
      </c>
      <c r="CR173" s="239">
        <v>0</v>
      </c>
      <c r="CS173" s="239">
        <v>0</v>
      </c>
      <c r="CT173" s="239">
        <v>0</v>
      </c>
      <c r="CU173" s="239">
        <v>0</v>
      </c>
      <c r="CV173" s="239">
        <v>0</v>
      </c>
      <c r="CW173" s="239">
        <v>0</v>
      </c>
      <c r="CX173" s="239">
        <v>0</v>
      </c>
      <c r="CY173" s="239">
        <v>0</v>
      </c>
      <c r="CZ173" s="239">
        <v>0</v>
      </c>
      <c r="DA173" s="239">
        <v>0</v>
      </c>
      <c r="DB173" s="239">
        <v>0</v>
      </c>
      <c r="DC173" s="239">
        <v>-75345</v>
      </c>
      <c r="DD173" s="239">
        <v>-75345</v>
      </c>
      <c r="DE173" s="239">
        <v>0</v>
      </c>
      <c r="DF173" s="239">
        <v>-21979</v>
      </c>
      <c r="DG173" s="239">
        <v>-21979</v>
      </c>
      <c r="DH173" s="239">
        <v>-97324</v>
      </c>
      <c r="DI173" s="239">
        <v>0</v>
      </c>
      <c r="DJ173" s="239">
        <v>-35031</v>
      </c>
      <c r="DK173" s="239">
        <v>-101658</v>
      </c>
      <c r="DL173" s="239">
        <v>-136689</v>
      </c>
      <c r="DM173" s="239">
        <v>0</v>
      </c>
      <c r="DN173" s="239">
        <v>0</v>
      </c>
      <c r="DO173" s="239">
        <v>0</v>
      </c>
      <c r="DP173" s="239">
        <v>0</v>
      </c>
      <c r="DQ173" s="239">
        <v>0</v>
      </c>
      <c r="DR173" s="239">
        <v>0</v>
      </c>
      <c r="DS173" s="239">
        <v>-1030</v>
      </c>
      <c r="DT173" s="239">
        <v>-2602</v>
      </c>
      <c r="DU173" s="239">
        <v>-3632</v>
      </c>
      <c r="DV173" s="239">
        <v>-68504</v>
      </c>
      <c r="DW173" s="239">
        <v>0</v>
      </c>
      <c r="DX173" s="239">
        <v>-68504</v>
      </c>
      <c r="DY173" s="239">
        <v>972</v>
      </c>
      <c r="DZ173" s="239">
        <v>0</v>
      </c>
      <c r="EA173" s="239">
        <v>972</v>
      </c>
      <c r="EB173" s="239">
        <v>0</v>
      </c>
      <c r="EC173" s="239">
        <v>0</v>
      </c>
      <c r="ED173" s="239">
        <v>0</v>
      </c>
      <c r="EE173" s="239">
        <v>0</v>
      </c>
      <c r="EF173" s="239">
        <v>0</v>
      </c>
      <c r="EG173" s="239">
        <v>0</v>
      </c>
      <c r="EH173" s="239">
        <v>0</v>
      </c>
      <c r="EI173" s="239">
        <v>0</v>
      </c>
      <c r="EJ173" s="239">
        <v>0</v>
      </c>
      <c r="EK173" s="239">
        <v>0</v>
      </c>
      <c r="EL173" s="239">
        <v>0</v>
      </c>
      <c r="EM173" s="239">
        <v>0</v>
      </c>
      <c r="EN173" s="239">
        <v>-1500</v>
      </c>
      <c r="EO173" s="239">
        <v>0</v>
      </c>
      <c r="EP173" s="239">
        <v>-1500</v>
      </c>
      <c r="EQ173" s="239">
        <v>-12794</v>
      </c>
      <c r="ER173" s="239">
        <v>-1030</v>
      </c>
      <c r="ES173" s="239">
        <v>-13824</v>
      </c>
      <c r="ET173" s="239">
        <v>-193307</v>
      </c>
      <c r="EU173" s="239">
        <v>-19825</v>
      </c>
      <c r="EV173" s="239">
        <v>-213132</v>
      </c>
      <c r="EW173" s="239">
        <v>-12674</v>
      </c>
      <c r="EX173" s="239">
        <v>-6353</v>
      </c>
      <c r="EY173" s="239">
        <v>-19027</v>
      </c>
      <c r="EZ173" s="239">
        <v>-288837</v>
      </c>
      <c r="FA173" s="239">
        <v>-29810</v>
      </c>
      <c r="FB173" s="239">
        <v>-318647</v>
      </c>
      <c r="FC173" s="239">
        <v>0</v>
      </c>
      <c r="FD173" s="239">
        <v>0</v>
      </c>
      <c r="FE173" s="239">
        <v>0</v>
      </c>
      <c r="FF173" s="239">
        <v>-9080</v>
      </c>
      <c r="FG173" s="239">
        <v>0</v>
      </c>
      <c r="FH173" s="239">
        <v>-9080</v>
      </c>
      <c r="FI173" s="239">
        <v>-9080</v>
      </c>
      <c r="FJ173" s="239">
        <v>0</v>
      </c>
      <c r="FK173" s="239">
        <v>-9080</v>
      </c>
      <c r="FL173" s="239">
        <v>42963244</v>
      </c>
      <c r="FM173" s="239">
        <v>3028944</v>
      </c>
      <c r="FN173" s="239">
        <v>45992188</v>
      </c>
      <c r="FO173" s="239">
        <v>4971596</v>
      </c>
      <c r="FP173" s="239">
        <v>536242</v>
      </c>
      <c r="FQ173" s="239">
        <v>5507838</v>
      </c>
      <c r="FR173" s="239">
        <v>-8654232</v>
      </c>
      <c r="FS173" s="239">
        <v>-297208</v>
      </c>
      <c r="FT173" s="239">
        <v>-8951440</v>
      </c>
      <c r="FU173" s="239">
        <v>-1498436</v>
      </c>
      <c r="FV173" s="239">
        <v>-310643</v>
      </c>
      <c r="FW173" s="239">
        <v>-1809079</v>
      </c>
      <c r="FX173" s="239">
        <v>-35031</v>
      </c>
      <c r="FY173" s="239">
        <v>-101658</v>
      </c>
      <c r="FZ173" s="239">
        <v>-136689</v>
      </c>
      <c r="GA173" s="239">
        <v>-288837</v>
      </c>
      <c r="GB173" s="239">
        <v>-29810</v>
      </c>
      <c r="GC173" s="239">
        <v>-318647</v>
      </c>
      <c r="GD173" s="239">
        <v>-9080</v>
      </c>
      <c r="GE173" s="239">
        <v>0</v>
      </c>
      <c r="GF173" s="239">
        <v>-9080</v>
      </c>
      <c r="GG173" s="239">
        <v>-5514020</v>
      </c>
      <c r="GH173" s="239">
        <v>-203077</v>
      </c>
      <c r="GI173" s="239">
        <v>-5717097</v>
      </c>
      <c r="GJ173" s="239">
        <v>37449224</v>
      </c>
      <c r="GK173" s="239">
        <v>2825867</v>
      </c>
      <c r="GL173" s="239">
        <v>40275091</v>
      </c>
      <c r="GM173" s="214" t="s">
        <v>746</v>
      </c>
    </row>
    <row r="174" spans="1:195" s="214" customFormat="1" x14ac:dyDescent="0.2">
      <c r="B174" s="602" t="s">
        <v>431</v>
      </c>
      <c r="C174" s="602" t="s">
        <v>430</v>
      </c>
      <c r="D174" s="239">
        <v>-4318885</v>
      </c>
      <c r="E174" s="239">
        <v>0</v>
      </c>
      <c r="F174" s="239">
        <v>-4318885</v>
      </c>
      <c r="G174" s="239">
        <v>0</v>
      </c>
      <c r="H174" s="239">
        <v>0</v>
      </c>
      <c r="I174" s="239">
        <v>0</v>
      </c>
      <c r="J174" s="239">
        <v>5019297</v>
      </c>
      <c r="K174" s="239">
        <v>0</v>
      </c>
      <c r="L174" s="239">
        <v>5019297</v>
      </c>
      <c r="M174" s="239">
        <v>224010</v>
      </c>
      <c r="N174" s="239">
        <v>0</v>
      </c>
      <c r="O174" s="239">
        <v>224010</v>
      </c>
      <c r="P174" s="239">
        <v>924422</v>
      </c>
      <c r="Q174" s="239">
        <v>0</v>
      </c>
      <c r="R174" s="239">
        <v>924422</v>
      </c>
      <c r="S174" s="239">
        <v>-6102733</v>
      </c>
      <c r="T174" s="239">
        <v>0</v>
      </c>
      <c r="U174" s="239">
        <v>-6102733</v>
      </c>
      <c r="V174" s="239">
        <v>-37081</v>
      </c>
      <c r="W174" s="239">
        <v>0</v>
      </c>
      <c r="X174" s="239">
        <v>-37081</v>
      </c>
      <c r="Y174" s="239">
        <v>-241010</v>
      </c>
      <c r="Z174" s="239">
        <v>0</v>
      </c>
      <c r="AA174" s="239">
        <v>-241010</v>
      </c>
      <c r="AB174" s="239">
        <v>-9539</v>
      </c>
      <c r="AC174" s="239">
        <v>0</v>
      </c>
      <c r="AD174" s="239">
        <v>-9539</v>
      </c>
      <c r="AE174" s="239">
        <v>0</v>
      </c>
      <c r="AF174" s="239">
        <v>0</v>
      </c>
      <c r="AG174" s="239">
        <v>0</v>
      </c>
      <c r="AH174" s="239">
        <v>2062826</v>
      </c>
      <c r="AI174" s="239">
        <v>0</v>
      </c>
      <c r="AJ174" s="239">
        <v>2062826</v>
      </c>
      <c r="AK174" s="239">
        <v>2453597</v>
      </c>
      <c r="AL174" s="239">
        <v>0</v>
      </c>
      <c r="AM174" s="239">
        <v>2453597</v>
      </c>
      <c r="AN174" s="239">
        <v>-10192247</v>
      </c>
      <c r="AO174" s="239">
        <v>0</v>
      </c>
      <c r="AP174" s="239">
        <v>-10192247</v>
      </c>
      <c r="AQ174" s="239">
        <v>-232318</v>
      </c>
      <c r="AR174" s="239">
        <v>0</v>
      </c>
      <c r="AS174" s="239">
        <v>-232318</v>
      </c>
      <c r="AT174" s="239">
        <v>-50257</v>
      </c>
      <c r="AU174" s="239">
        <v>0</v>
      </c>
      <c r="AV174" s="239">
        <v>-50257</v>
      </c>
      <c r="AW174" s="239">
        <v>-199</v>
      </c>
      <c r="AX174" s="239">
        <v>0</v>
      </c>
      <c r="AY174" s="239">
        <v>-199</v>
      </c>
      <c r="AZ174" s="239">
        <v>-12571</v>
      </c>
      <c r="BA174" s="239">
        <v>0</v>
      </c>
      <c r="BB174" s="239">
        <v>-12571</v>
      </c>
      <c r="BC174" s="239">
        <v>0</v>
      </c>
      <c r="BD174" s="239">
        <v>0</v>
      </c>
      <c r="BE174" s="239">
        <v>0</v>
      </c>
      <c r="BF174" s="239">
        <v>-12314912</v>
      </c>
      <c r="BG174" s="239">
        <v>0</v>
      </c>
      <c r="BH174" s="239">
        <v>-12314912</v>
      </c>
      <c r="BI174" s="239">
        <v>0</v>
      </c>
      <c r="BJ174" s="239">
        <v>0</v>
      </c>
      <c r="BK174" s="239">
        <v>0</v>
      </c>
      <c r="BL174" s="239">
        <v>-98</v>
      </c>
      <c r="BM174" s="239">
        <v>0</v>
      </c>
      <c r="BN174" s="239">
        <v>-98</v>
      </c>
      <c r="BO174" s="239">
        <v>-6445881</v>
      </c>
      <c r="BP174" s="239">
        <v>0</v>
      </c>
      <c r="BQ174" s="239">
        <v>-6445881</v>
      </c>
      <c r="BR174" s="239">
        <v>589769</v>
      </c>
      <c r="BS174" s="239">
        <v>0</v>
      </c>
      <c r="BT174" s="239">
        <v>589769</v>
      </c>
      <c r="BU174" s="239">
        <v>-5856210</v>
      </c>
      <c r="BV174" s="239">
        <v>0</v>
      </c>
      <c r="BW174" s="239">
        <v>-5856210</v>
      </c>
      <c r="BX174" s="239">
        <v>-508900</v>
      </c>
      <c r="BY174" s="239">
        <v>0</v>
      </c>
      <c r="BZ174" s="239">
        <v>-508900</v>
      </c>
      <c r="CA174" s="239">
        <v>-6564</v>
      </c>
      <c r="CB174" s="239">
        <v>0</v>
      </c>
      <c r="CC174" s="239">
        <v>-6564</v>
      </c>
      <c r="CD174" s="239">
        <v>0</v>
      </c>
      <c r="CE174" s="239">
        <v>0</v>
      </c>
      <c r="CF174" s="239">
        <v>0</v>
      </c>
      <c r="CG174" s="239">
        <v>0</v>
      </c>
      <c r="CH174" s="239">
        <v>0</v>
      </c>
      <c r="CI174" s="239">
        <v>0</v>
      </c>
      <c r="CJ174" s="239">
        <v>-10051</v>
      </c>
      <c r="CK174" s="239">
        <v>0</v>
      </c>
      <c r="CL174" s="239">
        <v>-10051</v>
      </c>
      <c r="CM174" s="239">
        <v>0</v>
      </c>
      <c r="CN174" s="239">
        <v>0</v>
      </c>
      <c r="CO174" s="239">
        <v>0</v>
      </c>
      <c r="CP174" s="239">
        <v>0</v>
      </c>
      <c r="CQ174" s="239">
        <v>0</v>
      </c>
      <c r="CR174" s="239">
        <v>0</v>
      </c>
      <c r="CS174" s="239">
        <v>0</v>
      </c>
      <c r="CT174" s="239">
        <v>0</v>
      </c>
      <c r="CU174" s="239">
        <v>0</v>
      </c>
      <c r="CV174" s="239">
        <v>0</v>
      </c>
      <c r="CW174" s="239">
        <v>0</v>
      </c>
      <c r="CX174" s="239">
        <v>0</v>
      </c>
      <c r="CY174" s="239">
        <v>0</v>
      </c>
      <c r="CZ174" s="239">
        <v>0</v>
      </c>
      <c r="DA174" s="239">
        <v>0</v>
      </c>
      <c r="DB174" s="239">
        <v>-46545</v>
      </c>
      <c r="DC174" s="239">
        <v>0</v>
      </c>
      <c r="DD174" s="239">
        <v>-46545</v>
      </c>
      <c r="DE174" s="239">
        <v>-194</v>
      </c>
      <c r="DF174" s="239">
        <v>0</v>
      </c>
      <c r="DG174" s="239">
        <v>-194</v>
      </c>
      <c r="DH174" s="239">
        <v>0</v>
      </c>
      <c r="DI174" s="239">
        <v>0</v>
      </c>
      <c r="DJ174" s="239">
        <v>-572254</v>
      </c>
      <c r="DK174" s="239">
        <v>0</v>
      </c>
      <c r="DL174" s="239">
        <v>-572254</v>
      </c>
      <c r="DM174" s="239">
        <v>-3816</v>
      </c>
      <c r="DN174" s="239">
        <v>0</v>
      </c>
      <c r="DO174" s="239">
        <v>-3816</v>
      </c>
      <c r="DP174" s="239">
        <v>-3724</v>
      </c>
      <c r="DQ174" s="239">
        <v>0</v>
      </c>
      <c r="DR174" s="239">
        <v>-3724</v>
      </c>
      <c r="DS174" s="239">
        <v>0</v>
      </c>
      <c r="DT174" s="239">
        <v>0</v>
      </c>
      <c r="DU174" s="239">
        <v>0</v>
      </c>
      <c r="DV174" s="239">
        <v>-107083</v>
      </c>
      <c r="DW174" s="239">
        <v>0</v>
      </c>
      <c r="DX174" s="239">
        <v>-107083</v>
      </c>
      <c r="DY174" s="239">
        <v>3006</v>
      </c>
      <c r="DZ174" s="239">
        <v>0</v>
      </c>
      <c r="EA174" s="239">
        <v>3006</v>
      </c>
      <c r="EB174" s="239">
        <v>0</v>
      </c>
      <c r="EC174" s="239">
        <v>0</v>
      </c>
      <c r="ED174" s="239">
        <v>0</v>
      </c>
      <c r="EE174" s="239">
        <v>0</v>
      </c>
      <c r="EF174" s="239">
        <v>0</v>
      </c>
      <c r="EG174" s="239">
        <v>0</v>
      </c>
      <c r="EH174" s="239">
        <v>0</v>
      </c>
      <c r="EI174" s="239">
        <v>0</v>
      </c>
      <c r="EJ174" s="239">
        <v>0</v>
      </c>
      <c r="EK174" s="239">
        <v>-12571</v>
      </c>
      <c r="EL174" s="239">
        <v>0</v>
      </c>
      <c r="EM174" s="239">
        <v>-12571</v>
      </c>
      <c r="EN174" s="239">
        <v>0</v>
      </c>
      <c r="EO174" s="239">
        <v>0</v>
      </c>
      <c r="EP174" s="239">
        <v>0</v>
      </c>
      <c r="EQ174" s="239">
        <v>-42908</v>
      </c>
      <c r="ER174" s="239">
        <v>0</v>
      </c>
      <c r="ES174" s="239">
        <v>-42908</v>
      </c>
      <c r="ET174" s="239">
        <v>-672949</v>
      </c>
      <c r="EU174" s="239">
        <v>0</v>
      </c>
      <c r="EV174" s="239">
        <v>-672949</v>
      </c>
      <c r="EW174" s="239">
        <v>-45833</v>
      </c>
      <c r="EX174" s="239">
        <v>0</v>
      </c>
      <c r="EY174" s="239">
        <v>-45833</v>
      </c>
      <c r="EZ174" s="239">
        <v>-885878</v>
      </c>
      <c r="FA174" s="239">
        <v>0</v>
      </c>
      <c r="FB174" s="239">
        <v>-885878</v>
      </c>
      <c r="FC174" s="239">
        <v>0</v>
      </c>
      <c r="FD174" s="239">
        <v>0</v>
      </c>
      <c r="FE174" s="239">
        <v>0</v>
      </c>
      <c r="FF174" s="239">
        <v>0</v>
      </c>
      <c r="FG174" s="239">
        <v>0</v>
      </c>
      <c r="FH174" s="239">
        <v>0</v>
      </c>
      <c r="FI174" s="239">
        <v>0</v>
      </c>
      <c r="FJ174" s="239">
        <v>0</v>
      </c>
      <c r="FK174" s="239">
        <v>0</v>
      </c>
      <c r="FL174" s="239">
        <v>190788738</v>
      </c>
      <c r="FM174" s="239">
        <v>0</v>
      </c>
      <c r="FN174" s="239">
        <v>190788738</v>
      </c>
      <c r="FO174" s="239">
        <v>924422</v>
      </c>
      <c r="FP174" s="239">
        <v>0</v>
      </c>
      <c r="FQ174" s="239">
        <v>924422</v>
      </c>
      <c r="FR174" s="239">
        <v>-12314912</v>
      </c>
      <c r="FS174" s="239">
        <v>0</v>
      </c>
      <c r="FT174" s="239">
        <v>-12314912</v>
      </c>
      <c r="FU174" s="239">
        <v>-5856210</v>
      </c>
      <c r="FV174" s="239">
        <v>0</v>
      </c>
      <c r="FW174" s="239">
        <v>-5856210</v>
      </c>
      <c r="FX174" s="239">
        <v>-572254</v>
      </c>
      <c r="FY174" s="239">
        <v>0</v>
      </c>
      <c r="FZ174" s="239">
        <v>-572254</v>
      </c>
      <c r="GA174" s="239">
        <v>-885878</v>
      </c>
      <c r="GB174" s="239">
        <v>0</v>
      </c>
      <c r="GC174" s="239">
        <v>-885878</v>
      </c>
      <c r="GD174" s="239">
        <v>0</v>
      </c>
      <c r="GE174" s="239">
        <v>0</v>
      </c>
      <c r="GF174" s="239">
        <v>0</v>
      </c>
      <c r="GG174" s="239">
        <v>-18704832</v>
      </c>
      <c r="GH174" s="239">
        <v>0</v>
      </c>
      <c r="GI174" s="239">
        <v>-18704832</v>
      </c>
      <c r="GJ174" s="239">
        <v>172083906</v>
      </c>
      <c r="GK174" s="239">
        <v>0</v>
      </c>
      <c r="GL174" s="239">
        <v>172083906</v>
      </c>
      <c r="GM174" s="214" t="s">
        <v>746</v>
      </c>
    </row>
    <row r="175" spans="1:195" s="214" customFormat="1" x14ac:dyDescent="0.2">
      <c r="B175" s="602" t="s">
        <v>433</v>
      </c>
      <c r="C175" s="602" t="s">
        <v>432</v>
      </c>
      <c r="D175" s="239">
        <v>-3065997</v>
      </c>
      <c r="E175" s="239">
        <v>0</v>
      </c>
      <c r="F175" s="239">
        <v>-3065997</v>
      </c>
      <c r="G175" s="239">
        <v>-16662</v>
      </c>
      <c r="H175" s="239">
        <v>0</v>
      </c>
      <c r="I175" s="239">
        <v>-16662</v>
      </c>
      <c r="J175" s="239">
        <v>816725</v>
      </c>
      <c r="K175" s="239">
        <v>0</v>
      </c>
      <c r="L175" s="239">
        <v>816725</v>
      </c>
      <c r="M175" s="239">
        <v>15153</v>
      </c>
      <c r="N175" s="239">
        <v>0</v>
      </c>
      <c r="O175" s="239">
        <v>15153</v>
      </c>
      <c r="P175" s="239">
        <v>-2250781</v>
      </c>
      <c r="Q175" s="239">
        <v>0</v>
      </c>
      <c r="R175" s="239">
        <v>-2250781</v>
      </c>
      <c r="S175" s="239">
        <v>-2944821</v>
      </c>
      <c r="T175" s="239">
        <v>0</v>
      </c>
      <c r="U175" s="239">
        <v>-2944821</v>
      </c>
      <c r="V175" s="239">
        <v>-31977</v>
      </c>
      <c r="W175" s="239">
        <v>0</v>
      </c>
      <c r="X175" s="239">
        <v>-31977</v>
      </c>
      <c r="Y175" s="239">
        <v>-101499</v>
      </c>
      <c r="Z175" s="239">
        <v>0</v>
      </c>
      <c r="AA175" s="239">
        <v>-101499</v>
      </c>
      <c r="AB175" s="239">
        <v>-102917</v>
      </c>
      <c r="AC175" s="239">
        <v>0</v>
      </c>
      <c r="AD175" s="239">
        <v>-102917</v>
      </c>
      <c r="AE175" s="239">
        <v>1418</v>
      </c>
      <c r="AF175" s="239">
        <v>0</v>
      </c>
      <c r="AG175" s="239">
        <v>1418</v>
      </c>
      <c r="AH175" s="239">
        <v>1037132</v>
      </c>
      <c r="AI175" s="239">
        <v>0</v>
      </c>
      <c r="AJ175" s="239">
        <v>1037132</v>
      </c>
      <c r="AK175" s="239">
        <v>-17403</v>
      </c>
      <c r="AL175" s="239">
        <v>0</v>
      </c>
      <c r="AM175" s="239">
        <v>-17403</v>
      </c>
      <c r="AN175" s="239">
        <v>-2649040</v>
      </c>
      <c r="AO175" s="239">
        <v>0</v>
      </c>
      <c r="AP175" s="239">
        <v>-2649040</v>
      </c>
      <c r="AQ175" s="239">
        <v>-57156</v>
      </c>
      <c r="AR175" s="239">
        <v>0</v>
      </c>
      <c r="AS175" s="239">
        <v>-57156</v>
      </c>
      <c r="AT175" s="239">
        <v>-39592</v>
      </c>
      <c r="AU175" s="239">
        <v>0</v>
      </c>
      <c r="AV175" s="239">
        <v>-39592</v>
      </c>
      <c r="AW175" s="239">
        <v>0</v>
      </c>
      <c r="AX175" s="239">
        <v>0</v>
      </c>
      <c r="AY175" s="239">
        <v>0</v>
      </c>
      <c r="AZ175" s="239">
        <v>-7568</v>
      </c>
      <c r="BA175" s="239">
        <v>0</v>
      </c>
      <c r="BB175" s="239">
        <v>-7568</v>
      </c>
      <c r="BC175" s="239">
        <v>0</v>
      </c>
      <c r="BD175" s="239">
        <v>0</v>
      </c>
      <c r="BE175" s="239">
        <v>0</v>
      </c>
      <c r="BF175" s="239">
        <v>-4779947</v>
      </c>
      <c r="BG175" s="239">
        <v>0</v>
      </c>
      <c r="BH175" s="239">
        <v>-4779947</v>
      </c>
      <c r="BI175" s="239">
        <v>0</v>
      </c>
      <c r="BJ175" s="239">
        <v>0</v>
      </c>
      <c r="BK175" s="239">
        <v>0</v>
      </c>
      <c r="BL175" s="239">
        <v>0</v>
      </c>
      <c r="BM175" s="239">
        <v>0</v>
      </c>
      <c r="BN175" s="239">
        <v>0</v>
      </c>
      <c r="BO175" s="239">
        <v>-1364292</v>
      </c>
      <c r="BP175" s="239">
        <v>0</v>
      </c>
      <c r="BQ175" s="239">
        <v>-1364292</v>
      </c>
      <c r="BR175" s="239">
        <v>10270</v>
      </c>
      <c r="BS175" s="239">
        <v>0</v>
      </c>
      <c r="BT175" s="239">
        <v>10270</v>
      </c>
      <c r="BU175" s="239">
        <v>-1354022</v>
      </c>
      <c r="BV175" s="239">
        <v>0</v>
      </c>
      <c r="BW175" s="239">
        <v>-1354022</v>
      </c>
      <c r="BX175" s="239">
        <v>-25919</v>
      </c>
      <c r="BY175" s="239">
        <v>0</v>
      </c>
      <c r="BZ175" s="239">
        <v>-25919</v>
      </c>
      <c r="CA175" s="239">
        <v>-2344</v>
      </c>
      <c r="CB175" s="239">
        <v>0</v>
      </c>
      <c r="CC175" s="239">
        <v>-2344</v>
      </c>
      <c r="CD175" s="239">
        <v>-10089</v>
      </c>
      <c r="CE175" s="239">
        <v>0</v>
      </c>
      <c r="CF175" s="239">
        <v>-10089</v>
      </c>
      <c r="CG175" s="239">
        <v>0</v>
      </c>
      <c r="CH175" s="239">
        <v>0</v>
      </c>
      <c r="CI175" s="239">
        <v>0</v>
      </c>
      <c r="CJ175" s="239">
        <v>-2965</v>
      </c>
      <c r="CK175" s="239">
        <v>0</v>
      </c>
      <c r="CL175" s="239">
        <v>-2965</v>
      </c>
      <c r="CM175" s="239">
        <v>0</v>
      </c>
      <c r="CN175" s="239">
        <v>0</v>
      </c>
      <c r="CO175" s="239">
        <v>0</v>
      </c>
      <c r="CP175" s="239">
        <v>-7568</v>
      </c>
      <c r="CQ175" s="239">
        <v>0</v>
      </c>
      <c r="CR175" s="239">
        <v>-7568</v>
      </c>
      <c r="CS175" s="239">
        <v>0</v>
      </c>
      <c r="CT175" s="239">
        <v>0</v>
      </c>
      <c r="CU175" s="239">
        <v>0</v>
      </c>
      <c r="CV175" s="239">
        <v>-18443</v>
      </c>
      <c r="CW175" s="239">
        <v>0</v>
      </c>
      <c r="CX175" s="239">
        <v>-18443</v>
      </c>
      <c r="CY175" s="239">
        <v>5543</v>
      </c>
      <c r="CZ175" s="239">
        <v>0</v>
      </c>
      <c r="DA175" s="239">
        <v>5543</v>
      </c>
      <c r="DB175" s="239">
        <v>0</v>
      </c>
      <c r="DC175" s="239">
        <v>0</v>
      </c>
      <c r="DD175" s="239">
        <v>0</v>
      </c>
      <c r="DE175" s="239">
        <v>0</v>
      </c>
      <c r="DF175" s="239">
        <v>0</v>
      </c>
      <c r="DG175" s="239">
        <v>0</v>
      </c>
      <c r="DH175" s="239">
        <v>0</v>
      </c>
      <c r="DI175" s="239">
        <v>0</v>
      </c>
      <c r="DJ175" s="239">
        <v>-61785</v>
      </c>
      <c r="DK175" s="239">
        <v>0</v>
      </c>
      <c r="DL175" s="239">
        <v>-61785</v>
      </c>
      <c r="DM175" s="239">
        <v>0</v>
      </c>
      <c r="DN175" s="239">
        <v>0</v>
      </c>
      <c r="DO175" s="239">
        <v>0</v>
      </c>
      <c r="DP175" s="239">
        <v>0</v>
      </c>
      <c r="DQ175" s="239">
        <v>0</v>
      </c>
      <c r="DR175" s="239">
        <v>0</v>
      </c>
      <c r="DS175" s="239">
        <v>0</v>
      </c>
      <c r="DT175" s="239">
        <v>0</v>
      </c>
      <c r="DU175" s="239">
        <v>0</v>
      </c>
      <c r="DV175" s="239">
        <v>0</v>
      </c>
      <c r="DW175" s="239">
        <v>0</v>
      </c>
      <c r="DX175" s="239">
        <v>0</v>
      </c>
      <c r="DY175" s="239">
        <v>0</v>
      </c>
      <c r="DZ175" s="239">
        <v>0</v>
      </c>
      <c r="EA175" s="239">
        <v>0</v>
      </c>
      <c r="EB175" s="239">
        <v>0</v>
      </c>
      <c r="EC175" s="239">
        <v>0</v>
      </c>
      <c r="ED175" s="239">
        <v>0</v>
      </c>
      <c r="EE175" s="239">
        <v>0</v>
      </c>
      <c r="EF175" s="239">
        <v>0</v>
      </c>
      <c r="EG175" s="239">
        <v>0</v>
      </c>
      <c r="EH175" s="239">
        <v>0</v>
      </c>
      <c r="EI175" s="239">
        <v>0</v>
      </c>
      <c r="EJ175" s="239">
        <v>0</v>
      </c>
      <c r="EK175" s="239">
        <v>0</v>
      </c>
      <c r="EL175" s="239">
        <v>0</v>
      </c>
      <c r="EM175" s="239">
        <v>0</v>
      </c>
      <c r="EN175" s="239">
        <v>0</v>
      </c>
      <c r="EO175" s="239">
        <v>0</v>
      </c>
      <c r="EP175" s="239">
        <v>0</v>
      </c>
      <c r="EQ175" s="239">
        <v>-50120</v>
      </c>
      <c r="ER175" s="239">
        <v>0</v>
      </c>
      <c r="ES175" s="239">
        <v>-50120</v>
      </c>
      <c r="ET175" s="239">
        <v>-352755</v>
      </c>
      <c r="EU175" s="239">
        <v>0</v>
      </c>
      <c r="EV175" s="239">
        <v>-352755</v>
      </c>
      <c r="EW175" s="239">
        <v>-38375</v>
      </c>
      <c r="EX175" s="239">
        <v>0</v>
      </c>
      <c r="EY175" s="239">
        <v>-38375</v>
      </c>
      <c r="EZ175" s="239">
        <v>-441250</v>
      </c>
      <c r="FA175" s="239">
        <v>0</v>
      </c>
      <c r="FB175" s="239">
        <v>-441250</v>
      </c>
      <c r="FC175" s="239">
        <v>0</v>
      </c>
      <c r="FD175" s="239">
        <v>0</v>
      </c>
      <c r="FE175" s="239">
        <v>0</v>
      </c>
      <c r="FF175" s="239">
        <v>0</v>
      </c>
      <c r="FG175" s="239">
        <v>0</v>
      </c>
      <c r="FH175" s="239">
        <v>0</v>
      </c>
      <c r="FI175" s="239">
        <v>0</v>
      </c>
      <c r="FJ175" s="239">
        <v>0</v>
      </c>
      <c r="FK175" s="239">
        <v>0</v>
      </c>
      <c r="FL175" s="239">
        <v>49778779</v>
      </c>
      <c r="FM175" s="239">
        <v>0</v>
      </c>
      <c r="FN175" s="239">
        <v>49778779</v>
      </c>
      <c r="FO175" s="239">
        <v>-2250781</v>
      </c>
      <c r="FP175" s="239">
        <v>0</v>
      </c>
      <c r="FQ175" s="239">
        <v>-2250781</v>
      </c>
      <c r="FR175" s="239">
        <v>-4779947</v>
      </c>
      <c r="FS175" s="239">
        <v>0</v>
      </c>
      <c r="FT175" s="239">
        <v>-4779947</v>
      </c>
      <c r="FU175" s="239">
        <v>-1354022</v>
      </c>
      <c r="FV175" s="239">
        <v>0</v>
      </c>
      <c r="FW175" s="239">
        <v>-1354022</v>
      </c>
      <c r="FX175" s="239">
        <v>-61785</v>
      </c>
      <c r="FY175" s="239">
        <v>0</v>
      </c>
      <c r="FZ175" s="239">
        <v>-61785</v>
      </c>
      <c r="GA175" s="239">
        <v>-441250</v>
      </c>
      <c r="GB175" s="239">
        <v>0</v>
      </c>
      <c r="GC175" s="239">
        <v>-441250</v>
      </c>
      <c r="GD175" s="239">
        <v>0</v>
      </c>
      <c r="GE175" s="239">
        <v>0</v>
      </c>
      <c r="GF175" s="239">
        <v>0</v>
      </c>
      <c r="GG175" s="239">
        <v>-8887785</v>
      </c>
      <c r="GH175" s="239">
        <v>0</v>
      </c>
      <c r="GI175" s="239">
        <v>-8887785</v>
      </c>
      <c r="GJ175" s="239">
        <v>40890994</v>
      </c>
      <c r="GK175" s="239">
        <v>0</v>
      </c>
      <c r="GL175" s="239">
        <v>40890994</v>
      </c>
      <c r="GM175" s="214" t="s">
        <v>1158</v>
      </c>
    </row>
    <row r="176" spans="1:195" s="214" customFormat="1" x14ac:dyDescent="0.2">
      <c r="B176" s="602" t="s">
        <v>435</v>
      </c>
      <c r="C176" s="602" t="s">
        <v>434</v>
      </c>
      <c r="D176" s="239">
        <v>-2936463</v>
      </c>
      <c r="E176" s="239">
        <v>0</v>
      </c>
      <c r="F176" s="239">
        <v>-2936463</v>
      </c>
      <c r="G176" s="239">
        <v>24488</v>
      </c>
      <c r="H176" s="239">
        <v>0</v>
      </c>
      <c r="I176" s="239">
        <v>24488</v>
      </c>
      <c r="J176" s="239">
        <v>1924914</v>
      </c>
      <c r="K176" s="239">
        <v>0</v>
      </c>
      <c r="L176" s="239">
        <v>1924914</v>
      </c>
      <c r="M176" s="239">
        <v>0</v>
      </c>
      <c r="N176" s="239">
        <v>0</v>
      </c>
      <c r="O176" s="239">
        <v>0</v>
      </c>
      <c r="P176" s="239">
        <v>-987061</v>
      </c>
      <c r="Q176" s="239">
        <v>0</v>
      </c>
      <c r="R176" s="239">
        <v>-987061</v>
      </c>
      <c r="S176" s="239">
        <v>-6989754</v>
      </c>
      <c r="T176" s="239">
        <v>0</v>
      </c>
      <c r="U176" s="239">
        <v>-6989754</v>
      </c>
      <c r="V176" s="239">
        <v>-17167</v>
      </c>
      <c r="W176" s="239">
        <v>0</v>
      </c>
      <c r="X176" s="239">
        <v>-17167</v>
      </c>
      <c r="Y176" s="239">
        <v>-164863</v>
      </c>
      <c r="Z176" s="239">
        <v>0</v>
      </c>
      <c r="AA176" s="239">
        <v>-164863</v>
      </c>
      <c r="AB176" s="239">
        <v>-133337</v>
      </c>
      <c r="AC176" s="239">
        <v>0</v>
      </c>
      <c r="AD176" s="239">
        <v>-133337</v>
      </c>
      <c r="AE176" s="239">
        <v>-2456</v>
      </c>
      <c r="AF176" s="239">
        <v>0</v>
      </c>
      <c r="AG176" s="239">
        <v>-2456</v>
      </c>
      <c r="AH176" s="239">
        <v>1463156</v>
      </c>
      <c r="AI176" s="239">
        <v>0</v>
      </c>
      <c r="AJ176" s="239">
        <v>1463156</v>
      </c>
      <c r="AK176" s="239">
        <v>7547</v>
      </c>
      <c r="AL176" s="239">
        <v>0</v>
      </c>
      <c r="AM176" s="239">
        <v>7547</v>
      </c>
      <c r="AN176" s="239">
        <v>-3560594</v>
      </c>
      <c r="AO176" s="239">
        <v>0</v>
      </c>
      <c r="AP176" s="239">
        <v>-3560594</v>
      </c>
      <c r="AQ176" s="239">
        <v>-52525</v>
      </c>
      <c r="AR176" s="239">
        <v>0</v>
      </c>
      <c r="AS176" s="239">
        <v>-52525</v>
      </c>
      <c r="AT176" s="239">
        <v>-51691</v>
      </c>
      <c r="AU176" s="239">
        <v>0</v>
      </c>
      <c r="AV176" s="239">
        <v>-51691</v>
      </c>
      <c r="AW176" s="239">
        <v>2564</v>
      </c>
      <c r="AX176" s="239">
        <v>0</v>
      </c>
      <c r="AY176" s="239">
        <v>2564</v>
      </c>
      <c r="AZ176" s="239">
        <v>-11555</v>
      </c>
      <c r="BA176" s="239">
        <v>0</v>
      </c>
      <c r="BB176" s="239">
        <v>-11555</v>
      </c>
      <c r="BC176" s="239">
        <v>0</v>
      </c>
      <c r="BD176" s="239">
        <v>0</v>
      </c>
      <c r="BE176" s="239">
        <v>0</v>
      </c>
      <c r="BF176" s="239">
        <v>-9357715</v>
      </c>
      <c r="BG176" s="239">
        <v>0</v>
      </c>
      <c r="BH176" s="239">
        <v>-9357715</v>
      </c>
      <c r="BI176" s="239">
        <v>-794</v>
      </c>
      <c r="BJ176" s="239">
        <v>0</v>
      </c>
      <c r="BK176" s="239">
        <v>-794</v>
      </c>
      <c r="BL176" s="239">
        <v>103540</v>
      </c>
      <c r="BM176" s="239">
        <v>0</v>
      </c>
      <c r="BN176" s="239">
        <v>103540</v>
      </c>
      <c r="BO176" s="239">
        <v>-1216674</v>
      </c>
      <c r="BP176" s="239">
        <v>0</v>
      </c>
      <c r="BQ176" s="239">
        <v>-1216674</v>
      </c>
      <c r="BR176" s="239">
        <v>-57063</v>
      </c>
      <c r="BS176" s="239">
        <v>0</v>
      </c>
      <c r="BT176" s="239">
        <v>-57063</v>
      </c>
      <c r="BU176" s="239">
        <v>-1170991</v>
      </c>
      <c r="BV176" s="239">
        <v>0</v>
      </c>
      <c r="BW176" s="239">
        <v>-1170991</v>
      </c>
      <c r="BX176" s="239">
        <v>-96271</v>
      </c>
      <c r="BY176" s="239">
        <v>0</v>
      </c>
      <c r="BZ176" s="239">
        <v>-96271</v>
      </c>
      <c r="CA176" s="239">
        <v>37</v>
      </c>
      <c r="CB176" s="239">
        <v>0</v>
      </c>
      <c r="CC176" s="239">
        <v>37</v>
      </c>
      <c r="CD176" s="239">
        <v>-25544</v>
      </c>
      <c r="CE176" s="239">
        <v>0</v>
      </c>
      <c r="CF176" s="239">
        <v>-25544</v>
      </c>
      <c r="CG176" s="239">
        <v>2782</v>
      </c>
      <c r="CH176" s="239">
        <v>0</v>
      </c>
      <c r="CI176" s="239">
        <v>2782</v>
      </c>
      <c r="CJ176" s="239">
        <v>0</v>
      </c>
      <c r="CK176" s="239">
        <v>0</v>
      </c>
      <c r="CL176" s="239">
        <v>0</v>
      </c>
      <c r="CM176" s="239">
        <v>0</v>
      </c>
      <c r="CN176" s="239">
        <v>0</v>
      </c>
      <c r="CO176" s="239">
        <v>0</v>
      </c>
      <c r="CP176" s="239">
        <v>0</v>
      </c>
      <c r="CQ176" s="239">
        <v>0</v>
      </c>
      <c r="CR176" s="239">
        <v>0</v>
      </c>
      <c r="CS176" s="239">
        <v>0</v>
      </c>
      <c r="CT176" s="239">
        <v>0</v>
      </c>
      <c r="CU176" s="239">
        <v>0</v>
      </c>
      <c r="CV176" s="239">
        <v>0</v>
      </c>
      <c r="CW176" s="239">
        <v>0</v>
      </c>
      <c r="CX176" s="239">
        <v>0</v>
      </c>
      <c r="CY176" s="239">
        <v>0</v>
      </c>
      <c r="CZ176" s="239">
        <v>0</v>
      </c>
      <c r="DA176" s="239">
        <v>0</v>
      </c>
      <c r="DB176" s="239">
        <v>-28342</v>
      </c>
      <c r="DC176" s="239">
        <v>0</v>
      </c>
      <c r="DD176" s="239">
        <v>-28342</v>
      </c>
      <c r="DE176" s="239">
        <v>0</v>
      </c>
      <c r="DF176" s="239">
        <v>0</v>
      </c>
      <c r="DG176" s="239">
        <v>0</v>
      </c>
      <c r="DH176" s="239">
        <v>0</v>
      </c>
      <c r="DI176" s="239">
        <v>0</v>
      </c>
      <c r="DJ176" s="239">
        <v>-147338</v>
      </c>
      <c r="DK176" s="239">
        <v>0</v>
      </c>
      <c r="DL176" s="239">
        <v>-147338</v>
      </c>
      <c r="DM176" s="239">
        <v>-15446</v>
      </c>
      <c r="DN176" s="239">
        <v>0</v>
      </c>
      <c r="DO176" s="239">
        <v>-15446</v>
      </c>
      <c r="DP176" s="239">
        <v>974</v>
      </c>
      <c r="DQ176" s="239">
        <v>0</v>
      </c>
      <c r="DR176" s="239">
        <v>974</v>
      </c>
      <c r="DS176" s="239">
        <v>-4093</v>
      </c>
      <c r="DT176" s="239">
        <v>0</v>
      </c>
      <c r="DU176" s="239">
        <v>-4093</v>
      </c>
      <c r="DV176" s="239">
        <v>0</v>
      </c>
      <c r="DW176" s="239">
        <v>0</v>
      </c>
      <c r="DX176" s="239">
        <v>0</v>
      </c>
      <c r="DY176" s="239">
        <v>3000</v>
      </c>
      <c r="DZ176" s="239">
        <v>0</v>
      </c>
      <c r="EA176" s="239">
        <v>3000</v>
      </c>
      <c r="EB176" s="239">
        <v>0</v>
      </c>
      <c r="EC176" s="239">
        <v>0</v>
      </c>
      <c r="ED176" s="239">
        <v>0</v>
      </c>
      <c r="EE176" s="239">
        <v>0</v>
      </c>
      <c r="EF176" s="239">
        <v>0</v>
      </c>
      <c r="EG176" s="239">
        <v>0</v>
      </c>
      <c r="EH176" s="239">
        <v>0</v>
      </c>
      <c r="EI176" s="239">
        <v>0</v>
      </c>
      <c r="EJ176" s="239">
        <v>0</v>
      </c>
      <c r="EK176" s="239">
        <v>-11555</v>
      </c>
      <c r="EL176" s="239">
        <v>0</v>
      </c>
      <c r="EM176" s="239">
        <v>-11555</v>
      </c>
      <c r="EN176" s="239">
        <v>0</v>
      </c>
      <c r="EO176" s="239">
        <v>0</v>
      </c>
      <c r="EP176" s="239">
        <v>0</v>
      </c>
      <c r="EQ176" s="239">
        <v>-24962</v>
      </c>
      <c r="ER176" s="239">
        <v>0</v>
      </c>
      <c r="ES176" s="239">
        <v>-24962</v>
      </c>
      <c r="ET176" s="239">
        <v>-413183</v>
      </c>
      <c r="EU176" s="239">
        <v>0</v>
      </c>
      <c r="EV176" s="239">
        <v>-413183</v>
      </c>
      <c r="EW176" s="239">
        <v>-79934</v>
      </c>
      <c r="EX176" s="239">
        <v>0</v>
      </c>
      <c r="EY176" s="239">
        <v>-79934</v>
      </c>
      <c r="EZ176" s="239">
        <v>-545199</v>
      </c>
      <c r="FA176" s="239">
        <v>0</v>
      </c>
      <c r="FB176" s="239">
        <v>-545199</v>
      </c>
      <c r="FC176" s="239">
        <v>-4157</v>
      </c>
      <c r="FD176" s="239">
        <v>0</v>
      </c>
      <c r="FE176" s="239">
        <v>-4157</v>
      </c>
      <c r="FF176" s="239">
        <v>0</v>
      </c>
      <c r="FG176" s="239">
        <v>0</v>
      </c>
      <c r="FH176" s="239">
        <v>0</v>
      </c>
      <c r="FI176" s="239">
        <v>-4157</v>
      </c>
      <c r="FJ176" s="239">
        <v>0</v>
      </c>
      <c r="FK176" s="239">
        <v>-4157</v>
      </c>
      <c r="FL176" s="239">
        <v>78163373</v>
      </c>
      <c r="FM176" s="239">
        <v>0</v>
      </c>
      <c r="FN176" s="239">
        <v>78163373</v>
      </c>
      <c r="FO176" s="239">
        <v>-987061</v>
      </c>
      <c r="FP176" s="239">
        <v>0</v>
      </c>
      <c r="FQ176" s="239">
        <v>-987061</v>
      </c>
      <c r="FR176" s="239">
        <v>-9357715</v>
      </c>
      <c r="FS176" s="239">
        <v>0</v>
      </c>
      <c r="FT176" s="239">
        <v>-9357715</v>
      </c>
      <c r="FU176" s="239">
        <v>-1170991</v>
      </c>
      <c r="FV176" s="239">
        <v>0</v>
      </c>
      <c r="FW176" s="239">
        <v>-1170991</v>
      </c>
      <c r="FX176" s="239">
        <v>-147338</v>
      </c>
      <c r="FY176" s="239">
        <v>0</v>
      </c>
      <c r="FZ176" s="239">
        <v>-147338</v>
      </c>
      <c r="GA176" s="239">
        <v>-545199</v>
      </c>
      <c r="GB176" s="239">
        <v>0</v>
      </c>
      <c r="GC176" s="239">
        <v>-545199</v>
      </c>
      <c r="GD176" s="239">
        <v>-4157</v>
      </c>
      <c r="GE176" s="239">
        <v>0</v>
      </c>
      <c r="GF176" s="239">
        <v>-4157</v>
      </c>
      <c r="GG176" s="239">
        <v>-12212461</v>
      </c>
      <c r="GH176" s="239">
        <v>0</v>
      </c>
      <c r="GI176" s="239">
        <v>-12212461</v>
      </c>
      <c r="GJ176" s="239">
        <v>65950912</v>
      </c>
      <c r="GK176" s="239">
        <v>0</v>
      </c>
      <c r="GL176" s="239">
        <v>65950912</v>
      </c>
      <c r="GM176" s="214" t="s">
        <v>1158</v>
      </c>
    </row>
    <row r="177" spans="2:195" s="214" customFormat="1" x14ac:dyDescent="0.2">
      <c r="B177" s="602" t="s">
        <v>437</v>
      </c>
      <c r="C177" s="602" t="s">
        <v>436</v>
      </c>
      <c r="D177" s="239">
        <v>-2232941</v>
      </c>
      <c r="E177" s="239">
        <v>0</v>
      </c>
      <c r="F177" s="239">
        <v>-2232941</v>
      </c>
      <c r="G177" s="239">
        <v>-46723</v>
      </c>
      <c r="H177" s="239">
        <v>0</v>
      </c>
      <c r="I177" s="239">
        <v>-46723</v>
      </c>
      <c r="J177" s="239">
        <v>1032709</v>
      </c>
      <c r="K177" s="239">
        <v>0</v>
      </c>
      <c r="L177" s="239">
        <v>1032709</v>
      </c>
      <c r="M177" s="239">
        <v>-112789</v>
      </c>
      <c r="N177" s="239">
        <v>0</v>
      </c>
      <c r="O177" s="239">
        <v>-112789</v>
      </c>
      <c r="P177" s="239">
        <v>-1359744</v>
      </c>
      <c r="Q177" s="239">
        <v>0</v>
      </c>
      <c r="R177" s="239">
        <v>-1359744</v>
      </c>
      <c r="S177" s="239">
        <v>-4018991</v>
      </c>
      <c r="T177" s="239">
        <v>0</v>
      </c>
      <c r="U177" s="239">
        <v>-4018991</v>
      </c>
      <c r="V177" s="239">
        <v>0</v>
      </c>
      <c r="W177" s="239">
        <v>0</v>
      </c>
      <c r="X177" s="239">
        <v>0</v>
      </c>
      <c r="Y177" s="239">
        <v>-144672</v>
      </c>
      <c r="Z177" s="239">
        <v>0</v>
      </c>
      <c r="AA177" s="239">
        <v>-144672</v>
      </c>
      <c r="AB177" s="239">
        <v>-126519</v>
      </c>
      <c r="AC177" s="239">
        <v>0</v>
      </c>
      <c r="AD177" s="239">
        <v>-126519</v>
      </c>
      <c r="AE177" s="239">
        <v>0</v>
      </c>
      <c r="AF177" s="239">
        <v>0</v>
      </c>
      <c r="AG177" s="239">
        <v>0</v>
      </c>
      <c r="AH177" s="239">
        <v>969006</v>
      </c>
      <c r="AI177" s="239">
        <v>0</v>
      </c>
      <c r="AJ177" s="239">
        <v>969006</v>
      </c>
      <c r="AK177" s="239">
        <v>-25731</v>
      </c>
      <c r="AL177" s="239">
        <v>0</v>
      </c>
      <c r="AM177" s="239">
        <v>-25731</v>
      </c>
      <c r="AN177" s="239">
        <v>-1906968</v>
      </c>
      <c r="AO177" s="239">
        <v>0</v>
      </c>
      <c r="AP177" s="239">
        <v>-1906968</v>
      </c>
      <c r="AQ177" s="239">
        <v>-130128</v>
      </c>
      <c r="AR177" s="239">
        <v>0</v>
      </c>
      <c r="AS177" s="239">
        <v>-130128</v>
      </c>
      <c r="AT177" s="239">
        <v>-80364</v>
      </c>
      <c r="AU177" s="239">
        <v>0</v>
      </c>
      <c r="AV177" s="239">
        <v>-80364</v>
      </c>
      <c r="AW177" s="239">
        <v>515</v>
      </c>
      <c r="AX177" s="239">
        <v>0</v>
      </c>
      <c r="AY177" s="239">
        <v>515</v>
      </c>
      <c r="AZ177" s="239">
        <v>-28104</v>
      </c>
      <c r="BA177" s="239">
        <v>0</v>
      </c>
      <c r="BB177" s="239">
        <v>-28104</v>
      </c>
      <c r="BC177" s="239">
        <v>323</v>
      </c>
      <c r="BD177" s="239">
        <v>0</v>
      </c>
      <c r="BE177" s="239">
        <v>323</v>
      </c>
      <c r="BF177" s="239">
        <v>-5365114</v>
      </c>
      <c r="BG177" s="239">
        <v>0</v>
      </c>
      <c r="BH177" s="239">
        <v>-5365114</v>
      </c>
      <c r="BI177" s="239">
        <v>-22726</v>
      </c>
      <c r="BJ177" s="239">
        <v>0</v>
      </c>
      <c r="BK177" s="239">
        <v>-22726</v>
      </c>
      <c r="BL177" s="239">
        <v>628</v>
      </c>
      <c r="BM177" s="239">
        <v>0</v>
      </c>
      <c r="BN177" s="239">
        <v>628</v>
      </c>
      <c r="BO177" s="239">
        <v>-967586</v>
      </c>
      <c r="BP177" s="239">
        <v>0</v>
      </c>
      <c r="BQ177" s="239">
        <v>-967586</v>
      </c>
      <c r="BR177" s="239">
        <v>-152880</v>
      </c>
      <c r="BS177" s="239">
        <v>0</v>
      </c>
      <c r="BT177" s="239">
        <v>-152880</v>
      </c>
      <c r="BU177" s="239">
        <v>-1142564</v>
      </c>
      <c r="BV177" s="239">
        <v>0</v>
      </c>
      <c r="BW177" s="239">
        <v>-1142564</v>
      </c>
      <c r="BX177" s="239">
        <v>-61466</v>
      </c>
      <c r="BY177" s="239">
        <v>0</v>
      </c>
      <c r="BZ177" s="239">
        <v>-61466</v>
      </c>
      <c r="CA177" s="239">
        <v>-3</v>
      </c>
      <c r="CB177" s="239">
        <v>0</v>
      </c>
      <c r="CC177" s="239">
        <v>-3</v>
      </c>
      <c r="CD177" s="239">
        <v>-259040</v>
      </c>
      <c r="CE177" s="239">
        <v>0</v>
      </c>
      <c r="CF177" s="239">
        <v>-259040</v>
      </c>
      <c r="CG177" s="239">
        <v>-88107</v>
      </c>
      <c r="CH177" s="239">
        <v>0</v>
      </c>
      <c r="CI177" s="239">
        <v>-88107</v>
      </c>
      <c r="CJ177" s="239">
        <v>0</v>
      </c>
      <c r="CK177" s="239">
        <v>0</v>
      </c>
      <c r="CL177" s="239">
        <v>0</v>
      </c>
      <c r="CM177" s="239">
        <v>0</v>
      </c>
      <c r="CN177" s="239">
        <v>0</v>
      </c>
      <c r="CO177" s="239">
        <v>0</v>
      </c>
      <c r="CP177" s="239">
        <v>0</v>
      </c>
      <c r="CQ177" s="239">
        <v>0</v>
      </c>
      <c r="CR177" s="239">
        <v>0</v>
      </c>
      <c r="CS177" s="239">
        <v>-1541</v>
      </c>
      <c r="CT177" s="239">
        <v>0</v>
      </c>
      <c r="CU177" s="239">
        <v>-1541</v>
      </c>
      <c r="CV177" s="239">
        <v>0</v>
      </c>
      <c r="CW177" s="239">
        <v>0</v>
      </c>
      <c r="CX177" s="239">
        <v>0</v>
      </c>
      <c r="CY177" s="239">
        <v>0</v>
      </c>
      <c r="CZ177" s="239">
        <v>0</v>
      </c>
      <c r="DA177" s="239">
        <v>0</v>
      </c>
      <c r="DB177" s="239">
        <v>0</v>
      </c>
      <c r="DC177" s="239">
        <v>0</v>
      </c>
      <c r="DD177" s="239">
        <v>0</v>
      </c>
      <c r="DE177" s="239">
        <v>0</v>
      </c>
      <c r="DF177" s="239">
        <v>0</v>
      </c>
      <c r="DG177" s="239">
        <v>0</v>
      </c>
      <c r="DH177" s="239">
        <v>0</v>
      </c>
      <c r="DI177" s="239">
        <v>0</v>
      </c>
      <c r="DJ177" s="239">
        <v>-410157</v>
      </c>
      <c r="DK177" s="239">
        <v>0</v>
      </c>
      <c r="DL177" s="239">
        <v>-410157</v>
      </c>
      <c r="DM177" s="239">
        <v>0</v>
      </c>
      <c r="DN177" s="239">
        <v>0</v>
      </c>
      <c r="DO177" s="239">
        <v>0</v>
      </c>
      <c r="DP177" s="239">
        <v>0</v>
      </c>
      <c r="DQ177" s="239">
        <v>0</v>
      </c>
      <c r="DR177" s="239">
        <v>0</v>
      </c>
      <c r="DS177" s="239">
        <v>0</v>
      </c>
      <c r="DT177" s="239">
        <v>0</v>
      </c>
      <c r="DU177" s="239">
        <v>0</v>
      </c>
      <c r="DV177" s="239">
        <v>0</v>
      </c>
      <c r="DW177" s="239">
        <v>0</v>
      </c>
      <c r="DX177" s="239">
        <v>0</v>
      </c>
      <c r="DY177" s="239">
        <v>-365</v>
      </c>
      <c r="DZ177" s="239">
        <v>0</v>
      </c>
      <c r="EA177" s="239">
        <v>-365</v>
      </c>
      <c r="EB177" s="239">
        <v>0</v>
      </c>
      <c r="EC177" s="239">
        <v>0</v>
      </c>
      <c r="ED177" s="239">
        <v>0</v>
      </c>
      <c r="EE177" s="239">
        <v>0</v>
      </c>
      <c r="EF177" s="239">
        <v>0</v>
      </c>
      <c r="EG177" s="239">
        <v>0</v>
      </c>
      <c r="EH177" s="239">
        <v>3307</v>
      </c>
      <c r="EI177" s="239">
        <v>0</v>
      </c>
      <c r="EJ177" s="239">
        <v>3307</v>
      </c>
      <c r="EK177" s="239">
        <v>-20070</v>
      </c>
      <c r="EL177" s="239">
        <v>0</v>
      </c>
      <c r="EM177" s="239">
        <v>-20070</v>
      </c>
      <c r="EN177" s="239">
        <v>-1500</v>
      </c>
      <c r="EO177" s="239">
        <v>0</v>
      </c>
      <c r="EP177" s="239">
        <v>-1500</v>
      </c>
      <c r="EQ177" s="239">
        <v>-25647</v>
      </c>
      <c r="ER177" s="239">
        <v>0</v>
      </c>
      <c r="ES177" s="239">
        <v>-25647</v>
      </c>
      <c r="ET177" s="239">
        <v>-85697</v>
      </c>
      <c r="EU177" s="239">
        <v>0</v>
      </c>
      <c r="EV177" s="239">
        <v>-85697</v>
      </c>
      <c r="EW177" s="239">
        <v>-45129</v>
      </c>
      <c r="EX177" s="239">
        <v>0</v>
      </c>
      <c r="EY177" s="239">
        <v>-45129</v>
      </c>
      <c r="EZ177" s="239">
        <v>-175101</v>
      </c>
      <c r="FA177" s="239">
        <v>0</v>
      </c>
      <c r="FB177" s="239">
        <v>-175101</v>
      </c>
      <c r="FC177" s="239">
        <v>0</v>
      </c>
      <c r="FD177" s="239">
        <v>0</v>
      </c>
      <c r="FE177" s="239">
        <v>0</v>
      </c>
      <c r="FF177" s="239">
        <v>-3112</v>
      </c>
      <c r="FG177" s="239">
        <v>0</v>
      </c>
      <c r="FH177" s="239">
        <v>-3112</v>
      </c>
      <c r="FI177" s="239">
        <v>-3112</v>
      </c>
      <c r="FJ177" s="239">
        <v>0</v>
      </c>
      <c r="FK177" s="239">
        <v>-3112</v>
      </c>
      <c r="FL177" s="239">
        <v>47622005</v>
      </c>
      <c r="FM177" s="239">
        <v>0</v>
      </c>
      <c r="FN177" s="239">
        <v>47622005</v>
      </c>
      <c r="FO177" s="239">
        <v>-1359744</v>
      </c>
      <c r="FP177" s="239">
        <v>0</v>
      </c>
      <c r="FQ177" s="239">
        <v>-1359744</v>
      </c>
      <c r="FR177" s="239">
        <v>-5365114</v>
      </c>
      <c r="FS177" s="239">
        <v>0</v>
      </c>
      <c r="FT177" s="239">
        <v>-5365114</v>
      </c>
      <c r="FU177" s="239">
        <v>-1142564</v>
      </c>
      <c r="FV177" s="239">
        <v>0</v>
      </c>
      <c r="FW177" s="239">
        <v>-1142564</v>
      </c>
      <c r="FX177" s="239">
        <v>-410157</v>
      </c>
      <c r="FY177" s="239">
        <v>0</v>
      </c>
      <c r="FZ177" s="239">
        <v>-410157</v>
      </c>
      <c r="GA177" s="239">
        <v>-175101</v>
      </c>
      <c r="GB177" s="239">
        <v>0</v>
      </c>
      <c r="GC177" s="239">
        <v>-175101</v>
      </c>
      <c r="GD177" s="239">
        <v>-3112</v>
      </c>
      <c r="GE177" s="239">
        <v>0</v>
      </c>
      <c r="GF177" s="239">
        <v>-3112</v>
      </c>
      <c r="GG177" s="239">
        <v>-8455792</v>
      </c>
      <c r="GH177" s="239">
        <v>0</v>
      </c>
      <c r="GI177" s="239">
        <v>-8455792</v>
      </c>
      <c r="GJ177" s="239">
        <v>39166213</v>
      </c>
      <c r="GK177" s="239">
        <v>0</v>
      </c>
      <c r="GL177" s="239">
        <v>39166213</v>
      </c>
      <c r="GM177" s="214" t="s">
        <v>1158</v>
      </c>
    </row>
    <row r="178" spans="2:195" s="214" customFormat="1" x14ac:dyDescent="0.2">
      <c r="B178" s="602" t="s">
        <v>439</v>
      </c>
      <c r="C178" s="602" t="s">
        <v>1065</v>
      </c>
      <c r="D178" s="239">
        <v>-4005929</v>
      </c>
      <c r="E178" s="239">
        <v>-129196</v>
      </c>
      <c r="F178" s="239">
        <v>-4135125</v>
      </c>
      <c r="G178" s="239">
        <v>188890</v>
      </c>
      <c r="H178" s="239">
        <v>1147</v>
      </c>
      <c r="I178" s="239">
        <v>190037</v>
      </c>
      <c r="J178" s="239">
        <v>13745797</v>
      </c>
      <c r="K178" s="239">
        <v>1149779</v>
      </c>
      <c r="L178" s="239">
        <v>14895576</v>
      </c>
      <c r="M178" s="239">
        <v>218302</v>
      </c>
      <c r="N178" s="239">
        <v>0</v>
      </c>
      <c r="O178" s="239">
        <v>218302</v>
      </c>
      <c r="P178" s="239">
        <v>10147060</v>
      </c>
      <c r="Q178" s="239">
        <v>1021730</v>
      </c>
      <c r="R178" s="239">
        <v>11168790</v>
      </c>
      <c r="S178" s="239">
        <v>-7800592</v>
      </c>
      <c r="T178" s="239">
        <v>-45192</v>
      </c>
      <c r="U178" s="239">
        <v>-7845784</v>
      </c>
      <c r="V178" s="239">
        <v>-28991</v>
      </c>
      <c r="W178" s="239">
        <v>-364</v>
      </c>
      <c r="X178" s="239">
        <v>-29355</v>
      </c>
      <c r="Y178" s="239">
        <v>-236794</v>
      </c>
      <c r="Z178" s="239">
        <v>-3555</v>
      </c>
      <c r="AA178" s="239">
        <v>-240349</v>
      </c>
      <c r="AB178" s="239">
        <v>-236334</v>
      </c>
      <c r="AC178" s="239">
        <v>-3555</v>
      </c>
      <c r="AD178" s="239">
        <v>-239889</v>
      </c>
      <c r="AE178" s="239">
        <v>-460</v>
      </c>
      <c r="AF178" s="239">
        <v>0</v>
      </c>
      <c r="AG178" s="239">
        <v>-460</v>
      </c>
      <c r="AH178" s="239">
        <v>3737202</v>
      </c>
      <c r="AI178" s="239">
        <v>172850</v>
      </c>
      <c r="AJ178" s="239">
        <v>3910052</v>
      </c>
      <c r="AK178" s="239">
        <v>2911572</v>
      </c>
      <c r="AL178" s="239">
        <v>53200</v>
      </c>
      <c r="AM178" s="239">
        <v>2964772</v>
      </c>
      <c r="AN178" s="239">
        <v>-15379780</v>
      </c>
      <c r="AO178" s="239">
        <v>-887843</v>
      </c>
      <c r="AP178" s="239">
        <v>-16267623</v>
      </c>
      <c r="AQ178" s="239">
        <v>652111</v>
      </c>
      <c r="AR178" s="239">
        <v>976</v>
      </c>
      <c r="AS178" s="239">
        <v>653087</v>
      </c>
      <c r="AT178" s="239">
        <v>-138023</v>
      </c>
      <c r="AU178" s="239">
        <v>0</v>
      </c>
      <c r="AV178" s="239">
        <v>-138023</v>
      </c>
      <c r="AW178" s="239">
        <v>0</v>
      </c>
      <c r="AX178" s="239">
        <v>0</v>
      </c>
      <c r="AY178" s="239">
        <v>0</v>
      </c>
      <c r="AZ178" s="239">
        <v>-1468</v>
      </c>
      <c r="BA178" s="239">
        <v>0</v>
      </c>
      <c r="BB178" s="239">
        <v>-1468</v>
      </c>
      <c r="BC178" s="239">
        <v>0</v>
      </c>
      <c r="BD178" s="239">
        <v>0</v>
      </c>
      <c r="BE178" s="239">
        <v>0</v>
      </c>
      <c r="BF178" s="239">
        <v>-16255772</v>
      </c>
      <c r="BG178" s="239">
        <v>-709564</v>
      </c>
      <c r="BH178" s="239">
        <v>-16965336</v>
      </c>
      <c r="BI178" s="239">
        <v>-71827</v>
      </c>
      <c r="BJ178" s="239">
        <v>0</v>
      </c>
      <c r="BK178" s="239">
        <v>-71827</v>
      </c>
      <c r="BL178" s="239">
        <v>-124847</v>
      </c>
      <c r="BM178" s="239">
        <v>-64469</v>
      </c>
      <c r="BN178" s="239">
        <v>-189316</v>
      </c>
      <c r="BO178" s="239">
        <v>-6845989</v>
      </c>
      <c r="BP178" s="239">
        <v>-764711</v>
      </c>
      <c r="BQ178" s="239">
        <v>-7610700</v>
      </c>
      <c r="BR178" s="239">
        <v>523054</v>
      </c>
      <c r="BS178" s="239">
        <v>-31903</v>
      </c>
      <c r="BT178" s="239">
        <v>491151</v>
      </c>
      <c r="BU178" s="239">
        <v>-6519609</v>
      </c>
      <c r="BV178" s="239">
        <v>-861083</v>
      </c>
      <c r="BW178" s="239">
        <v>-7380692</v>
      </c>
      <c r="BX178" s="239">
        <v>-213276</v>
      </c>
      <c r="BY178" s="239">
        <v>-493</v>
      </c>
      <c r="BZ178" s="239">
        <v>-213769</v>
      </c>
      <c r="CA178" s="239">
        <v>969</v>
      </c>
      <c r="CB178" s="239">
        <v>0</v>
      </c>
      <c r="CC178" s="239">
        <v>969</v>
      </c>
      <c r="CD178" s="239">
        <v>-912439</v>
      </c>
      <c r="CE178" s="239">
        <v>0</v>
      </c>
      <c r="CF178" s="239">
        <v>-912439</v>
      </c>
      <c r="CG178" s="239">
        <v>617</v>
      </c>
      <c r="CH178" s="239">
        <v>0</v>
      </c>
      <c r="CI178" s="239">
        <v>617</v>
      </c>
      <c r="CJ178" s="239">
        <v>-3209</v>
      </c>
      <c r="CK178" s="239">
        <v>0</v>
      </c>
      <c r="CL178" s="239">
        <v>-3209</v>
      </c>
      <c r="CM178" s="239">
        <v>0</v>
      </c>
      <c r="CN178" s="239">
        <v>0</v>
      </c>
      <c r="CO178" s="239">
        <v>0</v>
      </c>
      <c r="CP178" s="239">
        <v>0</v>
      </c>
      <c r="CQ178" s="239">
        <v>0</v>
      </c>
      <c r="CR178" s="239">
        <v>0</v>
      </c>
      <c r="CS178" s="239">
        <v>0</v>
      </c>
      <c r="CT178" s="239">
        <v>0</v>
      </c>
      <c r="CU178" s="239">
        <v>0</v>
      </c>
      <c r="CV178" s="239">
        <v>0</v>
      </c>
      <c r="CW178" s="239">
        <v>0</v>
      </c>
      <c r="CX178" s="239">
        <v>0</v>
      </c>
      <c r="CY178" s="239">
        <v>0</v>
      </c>
      <c r="CZ178" s="239">
        <v>0</v>
      </c>
      <c r="DA178" s="239">
        <v>0</v>
      </c>
      <c r="DB178" s="239">
        <v>0</v>
      </c>
      <c r="DC178" s="239">
        <v>0</v>
      </c>
      <c r="DD178" s="239">
        <v>0</v>
      </c>
      <c r="DE178" s="239">
        <v>0</v>
      </c>
      <c r="DF178" s="239">
        <v>0</v>
      </c>
      <c r="DG178" s="239">
        <v>0</v>
      </c>
      <c r="DH178" s="239">
        <v>0</v>
      </c>
      <c r="DI178" s="239">
        <v>0</v>
      </c>
      <c r="DJ178" s="239">
        <v>-1127338</v>
      </c>
      <c r="DK178" s="239">
        <v>-493</v>
      </c>
      <c r="DL178" s="239">
        <v>-1127831</v>
      </c>
      <c r="DM178" s="239">
        <v>-13158</v>
      </c>
      <c r="DN178" s="239">
        <v>0</v>
      </c>
      <c r="DO178" s="239">
        <v>-13158</v>
      </c>
      <c r="DP178" s="239">
        <v>-59607</v>
      </c>
      <c r="DQ178" s="239">
        <v>0</v>
      </c>
      <c r="DR178" s="239">
        <v>-59607</v>
      </c>
      <c r="DS178" s="239">
        <v>0</v>
      </c>
      <c r="DT178" s="239">
        <v>0</v>
      </c>
      <c r="DU178" s="239">
        <v>0</v>
      </c>
      <c r="DV178" s="239">
        <v>0</v>
      </c>
      <c r="DW178" s="239">
        <v>0</v>
      </c>
      <c r="DX178" s="239">
        <v>0</v>
      </c>
      <c r="DY178" s="239">
        <v>5894</v>
      </c>
      <c r="DZ178" s="239">
        <v>0</v>
      </c>
      <c r="EA178" s="239">
        <v>5894</v>
      </c>
      <c r="EB178" s="239">
        <v>0</v>
      </c>
      <c r="EC178" s="239">
        <v>0</v>
      </c>
      <c r="ED178" s="239">
        <v>0</v>
      </c>
      <c r="EE178" s="239">
        <v>0</v>
      </c>
      <c r="EF178" s="239">
        <v>0</v>
      </c>
      <c r="EG178" s="239">
        <v>0</v>
      </c>
      <c r="EH178" s="239">
        <v>0</v>
      </c>
      <c r="EI178" s="239">
        <v>0</v>
      </c>
      <c r="EJ178" s="239">
        <v>0</v>
      </c>
      <c r="EK178" s="239">
        <v>0</v>
      </c>
      <c r="EL178" s="239">
        <v>0</v>
      </c>
      <c r="EM178" s="239">
        <v>0</v>
      </c>
      <c r="EN178" s="239">
        <v>0</v>
      </c>
      <c r="EO178" s="239">
        <v>0</v>
      </c>
      <c r="EP178" s="239">
        <v>0</v>
      </c>
      <c r="EQ178" s="239">
        <v>-57543</v>
      </c>
      <c r="ER178" s="239">
        <v>0</v>
      </c>
      <c r="ES178" s="239">
        <v>-57543</v>
      </c>
      <c r="ET178" s="239">
        <v>-597165</v>
      </c>
      <c r="EU178" s="239">
        <v>-67139</v>
      </c>
      <c r="EV178" s="239">
        <v>-664304</v>
      </c>
      <c r="EW178" s="239">
        <v>-98696</v>
      </c>
      <c r="EX178" s="239">
        <v>-3000</v>
      </c>
      <c r="EY178" s="239">
        <v>-101696</v>
      </c>
      <c r="EZ178" s="239">
        <v>-820275</v>
      </c>
      <c r="FA178" s="239">
        <v>-70139</v>
      </c>
      <c r="FB178" s="239">
        <v>-890414</v>
      </c>
      <c r="FC178" s="239">
        <v>0</v>
      </c>
      <c r="FD178" s="239">
        <v>0</v>
      </c>
      <c r="FE178" s="239">
        <v>0</v>
      </c>
      <c r="FF178" s="239">
        <v>0</v>
      </c>
      <c r="FG178" s="239">
        <v>0</v>
      </c>
      <c r="FH178" s="239">
        <v>0</v>
      </c>
      <c r="FI178" s="239">
        <v>0</v>
      </c>
      <c r="FJ178" s="239">
        <v>0</v>
      </c>
      <c r="FK178" s="239">
        <v>0</v>
      </c>
      <c r="FL178" s="239">
        <v>152440676</v>
      </c>
      <c r="FM178" s="239">
        <v>8875728</v>
      </c>
      <c r="FN178" s="239">
        <v>161316404</v>
      </c>
      <c r="FO178" s="239">
        <v>10147060</v>
      </c>
      <c r="FP178" s="239">
        <v>1021730</v>
      </c>
      <c r="FQ178" s="239">
        <v>11168790</v>
      </c>
      <c r="FR178" s="239">
        <v>-16255772</v>
      </c>
      <c r="FS178" s="239">
        <v>-709564</v>
      </c>
      <c r="FT178" s="239">
        <v>-16965336</v>
      </c>
      <c r="FU178" s="239">
        <v>-6519609</v>
      </c>
      <c r="FV178" s="239">
        <v>-861083</v>
      </c>
      <c r="FW178" s="239">
        <v>-7380692</v>
      </c>
      <c r="FX178" s="239">
        <v>-1127338</v>
      </c>
      <c r="FY178" s="239">
        <v>-493</v>
      </c>
      <c r="FZ178" s="239">
        <v>-1127831</v>
      </c>
      <c r="GA178" s="239">
        <v>-820275</v>
      </c>
      <c r="GB178" s="239">
        <v>-70139</v>
      </c>
      <c r="GC178" s="239">
        <v>-890414</v>
      </c>
      <c r="GD178" s="239">
        <v>0</v>
      </c>
      <c r="GE178" s="239">
        <v>0</v>
      </c>
      <c r="GF178" s="239">
        <v>0</v>
      </c>
      <c r="GG178" s="239">
        <v>-14575934</v>
      </c>
      <c r="GH178" s="239">
        <v>-619549</v>
      </c>
      <c r="GI178" s="239">
        <v>-15195483</v>
      </c>
      <c r="GJ178" s="239">
        <v>137864742</v>
      </c>
      <c r="GK178" s="239">
        <v>8256179</v>
      </c>
      <c r="GL178" s="239">
        <v>146120921</v>
      </c>
      <c r="GM178" s="214" t="s">
        <v>1160</v>
      </c>
    </row>
    <row r="179" spans="2:195" s="214" customFormat="1" x14ac:dyDescent="0.2">
      <c r="B179" s="602" t="s">
        <v>441</v>
      </c>
      <c r="C179" s="602" t="s">
        <v>440</v>
      </c>
      <c r="D179" s="239">
        <v>-1433375</v>
      </c>
      <c r="E179" s="239">
        <v>0</v>
      </c>
      <c r="F179" s="239">
        <v>-1433375</v>
      </c>
      <c r="G179" s="239">
        <v>4236.32</v>
      </c>
      <c r="H179" s="239">
        <v>0</v>
      </c>
      <c r="I179" s="239">
        <v>4236.32</v>
      </c>
      <c r="J179" s="239">
        <v>2337863</v>
      </c>
      <c r="K179" s="239">
        <v>0</v>
      </c>
      <c r="L179" s="239">
        <v>2337863</v>
      </c>
      <c r="M179" s="239">
        <v>-1623</v>
      </c>
      <c r="N179" s="239">
        <v>0</v>
      </c>
      <c r="O179" s="239">
        <v>-1623</v>
      </c>
      <c r="P179" s="239">
        <v>907101</v>
      </c>
      <c r="Q179" s="239">
        <v>0</v>
      </c>
      <c r="R179" s="239">
        <v>907101</v>
      </c>
      <c r="S179" s="239">
        <v>-3539923</v>
      </c>
      <c r="T179" s="239">
        <v>0</v>
      </c>
      <c r="U179" s="239">
        <v>-3539923</v>
      </c>
      <c r="V179" s="239">
        <v>0</v>
      </c>
      <c r="W179" s="239">
        <v>0</v>
      </c>
      <c r="X179" s="239">
        <v>0</v>
      </c>
      <c r="Y179" s="239">
        <v>-170503</v>
      </c>
      <c r="Z179" s="239">
        <v>0</v>
      </c>
      <c r="AA179" s="239">
        <v>-170503</v>
      </c>
      <c r="AB179" s="239">
        <v>-170503</v>
      </c>
      <c r="AC179" s="239">
        <v>0</v>
      </c>
      <c r="AD179" s="239">
        <v>-170503</v>
      </c>
      <c r="AE179" s="239">
        <v>0</v>
      </c>
      <c r="AF179" s="239">
        <v>0</v>
      </c>
      <c r="AG179" s="239">
        <v>0</v>
      </c>
      <c r="AH179" s="239">
        <v>809208</v>
      </c>
      <c r="AI179" s="239">
        <v>0</v>
      </c>
      <c r="AJ179" s="239">
        <v>809208</v>
      </c>
      <c r="AK179" s="239">
        <v>317059</v>
      </c>
      <c r="AL179" s="239">
        <v>0</v>
      </c>
      <c r="AM179" s="239">
        <v>317059</v>
      </c>
      <c r="AN179" s="239">
        <v>-3469329</v>
      </c>
      <c r="AO179" s="239">
        <v>0</v>
      </c>
      <c r="AP179" s="239">
        <v>-3469329</v>
      </c>
      <c r="AQ179" s="239">
        <v>6823.22</v>
      </c>
      <c r="AR179" s="239">
        <v>0</v>
      </c>
      <c r="AS179" s="239">
        <v>6823.22</v>
      </c>
      <c r="AT179" s="239">
        <v>-21171</v>
      </c>
      <c r="AU179" s="239">
        <v>0</v>
      </c>
      <c r="AV179" s="239">
        <v>-21171</v>
      </c>
      <c r="AW179" s="239">
        <v>0</v>
      </c>
      <c r="AX179" s="239">
        <v>0</v>
      </c>
      <c r="AY179" s="239">
        <v>0</v>
      </c>
      <c r="AZ179" s="239">
        <v>0</v>
      </c>
      <c r="BA179" s="239">
        <v>0</v>
      </c>
      <c r="BB179" s="239">
        <v>0</v>
      </c>
      <c r="BC179" s="239">
        <v>0</v>
      </c>
      <c r="BD179" s="239">
        <v>0</v>
      </c>
      <c r="BE179" s="239">
        <v>0</v>
      </c>
      <c r="BF179" s="239">
        <v>-6067836</v>
      </c>
      <c r="BG179" s="239">
        <v>0</v>
      </c>
      <c r="BH179" s="239">
        <v>-6067836</v>
      </c>
      <c r="BI179" s="239">
        <v>-571621</v>
      </c>
      <c r="BJ179" s="239">
        <v>0</v>
      </c>
      <c r="BK179" s="239">
        <v>-571621</v>
      </c>
      <c r="BL179" s="239">
        <v>0</v>
      </c>
      <c r="BM179" s="239">
        <v>0</v>
      </c>
      <c r="BN179" s="239">
        <v>0</v>
      </c>
      <c r="BO179" s="239">
        <v>-870632</v>
      </c>
      <c r="BP179" s="239">
        <v>0</v>
      </c>
      <c r="BQ179" s="239">
        <v>-870632</v>
      </c>
      <c r="BR179" s="239">
        <v>-76351</v>
      </c>
      <c r="BS179" s="239">
        <v>0</v>
      </c>
      <c r="BT179" s="239">
        <v>-76351</v>
      </c>
      <c r="BU179" s="239">
        <v>-1518604</v>
      </c>
      <c r="BV179" s="239">
        <v>0</v>
      </c>
      <c r="BW179" s="239">
        <v>-1518604</v>
      </c>
      <c r="BX179" s="239">
        <v>-14882</v>
      </c>
      <c r="BY179" s="239">
        <v>0</v>
      </c>
      <c r="BZ179" s="239">
        <v>-14882</v>
      </c>
      <c r="CA179" s="239">
        <v>-25</v>
      </c>
      <c r="CB179" s="239">
        <v>0</v>
      </c>
      <c r="CC179" s="239">
        <v>-25</v>
      </c>
      <c r="CD179" s="239">
        <v>-16635</v>
      </c>
      <c r="CE179" s="239">
        <v>0</v>
      </c>
      <c r="CF179" s="239">
        <v>-16635</v>
      </c>
      <c r="CG179" s="239">
        <v>-3962</v>
      </c>
      <c r="CH179" s="239">
        <v>0</v>
      </c>
      <c r="CI179" s="239">
        <v>-3962</v>
      </c>
      <c r="CJ179" s="239">
        <v>-204</v>
      </c>
      <c r="CK179" s="239">
        <v>0</v>
      </c>
      <c r="CL179" s="239">
        <v>-204</v>
      </c>
      <c r="CM179" s="239">
        <v>0</v>
      </c>
      <c r="CN179" s="239">
        <v>0</v>
      </c>
      <c r="CO179" s="239">
        <v>0</v>
      </c>
      <c r="CP179" s="239">
        <v>0</v>
      </c>
      <c r="CQ179" s="239">
        <v>0</v>
      </c>
      <c r="CR179" s="239">
        <v>0</v>
      </c>
      <c r="CS179" s="239">
        <v>0</v>
      </c>
      <c r="CT179" s="239">
        <v>0</v>
      </c>
      <c r="CU179" s="239">
        <v>0</v>
      </c>
      <c r="CV179" s="239">
        <v>0</v>
      </c>
      <c r="CW179" s="239">
        <v>0</v>
      </c>
      <c r="CX179" s="239">
        <v>0</v>
      </c>
      <c r="CY179" s="239">
        <v>0</v>
      </c>
      <c r="CZ179" s="239">
        <v>0</v>
      </c>
      <c r="DA179" s="239">
        <v>0</v>
      </c>
      <c r="DB179" s="239">
        <v>0</v>
      </c>
      <c r="DC179" s="239">
        <v>0</v>
      </c>
      <c r="DD179" s="239">
        <v>0</v>
      </c>
      <c r="DE179" s="239">
        <v>0</v>
      </c>
      <c r="DF179" s="239">
        <v>0</v>
      </c>
      <c r="DG179" s="239">
        <v>0</v>
      </c>
      <c r="DH179" s="239">
        <v>0</v>
      </c>
      <c r="DI179" s="239">
        <v>0</v>
      </c>
      <c r="DJ179" s="239">
        <v>-35708</v>
      </c>
      <c r="DK179" s="239">
        <v>0</v>
      </c>
      <c r="DL179" s="239">
        <v>-35708</v>
      </c>
      <c r="DM179" s="239">
        <v>0</v>
      </c>
      <c r="DN179" s="239">
        <v>0</v>
      </c>
      <c r="DO179" s="239">
        <v>0</v>
      </c>
      <c r="DP179" s="239">
        <v>0</v>
      </c>
      <c r="DQ179" s="239">
        <v>0</v>
      </c>
      <c r="DR179" s="239">
        <v>0</v>
      </c>
      <c r="DS179" s="239">
        <v>0</v>
      </c>
      <c r="DT179" s="239">
        <v>0</v>
      </c>
      <c r="DU179" s="239">
        <v>0</v>
      </c>
      <c r="DV179" s="239">
        <v>0</v>
      </c>
      <c r="DW179" s="239">
        <v>0</v>
      </c>
      <c r="DX179" s="239">
        <v>0</v>
      </c>
      <c r="DY179" s="239">
        <v>6048</v>
      </c>
      <c r="DZ179" s="239">
        <v>0</v>
      </c>
      <c r="EA179" s="239">
        <v>6048</v>
      </c>
      <c r="EB179" s="239">
        <v>0</v>
      </c>
      <c r="EC179" s="239">
        <v>0</v>
      </c>
      <c r="ED179" s="239">
        <v>0</v>
      </c>
      <c r="EE179" s="239">
        <v>0</v>
      </c>
      <c r="EF179" s="239">
        <v>0</v>
      </c>
      <c r="EG179" s="239">
        <v>0</v>
      </c>
      <c r="EH179" s="239">
        <v>0</v>
      </c>
      <c r="EI179" s="239">
        <v>0</v>
      </c>
      <c r="EJ179" s="239">
        <v>0</v>
      </c>
      <c r="EK179" s="239">
        <v>0</v>
      </c>
      <c r="EL179" s="239">
        <v>0</v>
      </c>
      <c r="EM179" s="239">
        <v>0</v>
      </c>
      <c r="EN179" s="239">
        <v>0</v>
      </c>
      <c r="EO179" s="239">
        <v>0</v>
      </c>
      <c r="EP179" s="239">
        <v>0</v>
      </c>
      <c r="EQ179" s="239">
        <v>-21049</v>
      </c>
      <c r="ER179" s="239">
        <v>0</v>
      </c>
      <c r="ES179" s="239">
        <v>-21049</v>
      </c>
      <c r="ET179" s="239">
        <v>-273303</v>
      </c>
      <c r="EU179" s="239">
        <v>0</v>
      </c>
      <c r="EV179" s="239">
        <v>-273303</v>
      </c>
      <c r="EW179" s="239">
        <v>-44827</v>
      </c>
      <c r="EX179" s="239">
        <v>0</v>
      </c>
      <c r="EY179" s="239">
        <v>-44827</v>
      </c>
      <c r="EZ179" s="239">
        <v>-333131</v>
      </c>
      <c r="FA179" s="239">
        <v>0</v>
      </c>
      <c r="FB179" s="239">
        <v>-333131</v>
      </c>
      <c r="FC179" s="239">
        <v>0</v>
      </c>
      <c r="FD179" s="239">
        <v>0</v>
      </c>
      <c r="FE179" s="239">
        <v>0</v>
      </c>
      <c r="FF179" s="239">
        <v>0</v>
      </c>
      <c r="FG179" s="239">
        <v>0</v>
      </c>
      <c r="FH179" s="239">
        <v>0</v>
      </c>
      <c r="FI179" s="239">
        <v>0</v>
      </c>
      <c r="FJ179" s="239">
        <v>0</v>
      </c>
      <c r="FK179" s="239">
        <v>0</v>
      </c>
      <c r="FL179" s="239">
        <v>41825273</v>
      </c>
      <c r="FM179" s="239">
        <v>0</v>
      </c>
      <c r="FN179" s="239">
        <v>41825273</v>
      </c>
      <c r="FO179" s="239">
        <v>907101</v>
      </c>
      <c r="FP179" s="239">
        <v>0</v>
      </c>
      <c r="FQ179" s="239">
        <v>907101</v>
      </c>
      <c r="FR179" s="239">
        <v>-6067836</v>
      </c>
      <c r="FS179" s="239">
        <v>0</v>
      </c>
      <c r="FT179" s="239">
        <v>-6067836</v>
      </c>
      <c r="FU179" s="239">
        <v>-1518604</v>
      </c>
      <c r="FV179" s="239">
        <v>0</v>
      </c>
      <c r="FW179" s="239">
        <v>-1518604</v>
      </c>
      <c r="FX179" s="239">
        <v>-35708</v>
      </c>
      <c r="FY179" s="239">
        <v>0</v>
      </c>
      <c r="FZ179" s="239">
        <v>-35708</v>
      </c>
      <c r="GA179" s="239">
        <v>-333131</v>
      </c>
      <c r="GB179" s="239">
        <v>0</v>
      </c>
      <c r="GC179" s="239">
        <v>-333131</v>
      </c>
      <c r="GD179" s="239">
        <v>0</v>
      </c>
      <c r="GE179" s="239">
        <v>0</v>
      </c>
      <c r="GF179" s="239">
        <v>0</v>
      </c>
      <c r="GG179" s="239">
        <v>-7048178</v>
      </c>
      <c r="GH179" s="239">
        <v>0</v>
      </c>
      <c r="GI179" s="239">
        <v>-7048178</v>
      </c>
      <c r="GJ179" s="239">
        <v>34777095</v>
      </c>
      <c r="GK179" s="239">
        <v>0</v>
      </c>
      <c r="GL179" s="239">
        <v>34777095</v>
      </c>
      <c r="GM179" s="214" t="s">
        <v>1158</v>
      </c>
    </row>
    <row r="180" spans="2:195" s="214" customFormat="1" x14ac:dyDescent="0.2">
      <c r="B180" s="602" t="s">
        <v>443</v>
      </c>
      <c r="C180" s="602" t="s">
        <v>442</v>
      </c>
      <c r="D180" s="239">
        <v>-8674041</v>
      </c>
      <c r="E180" s="239">
        <v>-68172</v>
      </c>
      <c r="F180" s="239">
        <v>-8742213</v>
      </c>
      <c r="G180" s="239">
        <v>130499</v>
      </c>
      <c r="H180" s="239">
        <v>0</v>
      </c>
      <c r="I180" s="239">
        <v>130499</v>
      </c>
      <c r="J180" s="239">
        <v>3515404</v>
      </c>
      <c r="K180" s="239">
        <v>62680</v>
      </c>
      <c r="L180" s="239">
        <v>3578084</v>
      </c>
      <c r="M180" s="239">
        <v>81599</v>
      </c>
      <c r="N180" s="239">
        <v>0</v>
      </c>
      <c r="O180" s="239">
        <v>81599</v>
      </c>
      <c r="P180" s="239">
        <v>-4946539</v>
      </c>
      <c r="Q180" s="239">
        <v>-5492</v>
      </c>
      <c r="R180" s="239">
        <v>-4952031</v>
      </c>
      <c r="S180" s="239">
        <v>-7659532</v>
      </c>
      <c r="T180" s="239">
        <v>-11402</v>
      </c>
      <c r="U180" s="239">
        <v>-7670934</v>
      </c>
      <c r="V180" s="239">
        <v>0</v>
      </c>
      <c r="W180" s="239">
        <v>0</v>
      </c>
      <c r="X180" s="239">
        <v>0</v>
      </c>
      <c r="Y180" s="239">
        <v>-156786</v>
      </c>
      <c r="Z180" s="239">
        <v>0</v>
      </c>
      <c r="AA180" s="239">
        <v>-156786</v>
      </c>
      <c r="AB180" s="239">
        <v>0</v>
      </c>
      <c r="AC180" s="239">
        <v>0</v>
      </c>
      <c r="AD180" s="239">
        <v>0</v>
      </c>
      <c r="AE180" s="239">
        <v>0</v>
      </c>
      <c r="AF180" s="239">
        <v>0</v>
      </c>
      <c r="AG180" s="239">
        <v>0</v>
      </c>
      <c r="AH180" s="239">
        <v>3939986</v>
      </c>
      <c r="AI180" s="239">
        <v>41734</v>
      </c>
      <c r="AJ180" s="239">
        <v>3981720</v>
      </c>
      <c r="AK180" s="239">
        <v>110838</v>
      </c>
      <c r="AL180" s="239">
        <v>-4336</v>
      </c>
      <c r="AM180" s="239">
        <v>106502</v>
      </c>
      <c r="AN180" s="239">
        <v>-11871994</v>
      </c>
      <c r="AO180" s="239">
        <v>-83921</v>
      </c>
      <c r="AP180" s="239">
        <v>-11955915</v>
      </c>
      <c r="AQ180" s="239">
        <v>-243444</v>
      </c>
      <c r="AR180" s="239">
        <v>0</v>
      </c>
      <c r="AS180" s="239">
        <v>-243444</v>
      </c>
      <c r="AT180" s="239">
        <v>0</v>
      </c>
      <c r="AU180" s="239">
        <v>0</v>
      </c>
      <c r="AV180" s="239">
        <v>0</v>
      </c>
      <c r="AW180" s="239">
        <v>0</v>
      </c>
      <c r="AX180" s="239">
        <v>0</v>
      </c>
      <c r="AY180" s="239">
        <v>0</v>
      </c>
      <c r="AZ180" s="239">
        <v>0</v>
      </c>
      <c r="BA180" s="239">
        <v>0</v>
      </c>
      <c r="BB180" s="239">
        <v>0</v>
      </c>
      <c r="BC180" s="239">
        <v>0</v>
      </c>
      <c r="BD180" s="239">
        <v>0</v>
      </c>
      <c r="BE180" s="239">
        <v>0</v>
      </c>
      <c r="BF180" s="239">
        <v>-15880932</v>
      </c>
      <c r="BG180" s="239">
        <v>-57925</v>
      </c>
      <c r="BH180" s="239">
        <v>-15938857</v>
      </c>
      <c r="BI180" s="239">
        <v>-177979</v>
      </c>
      <c r="BJ180" s="239">
        <v>0</v>
      </c>
      <c r="BK180" s="239">
        <v>-177979</v>
      </c>
      <c r="BL180" s="239">
        <v>219</v>
      </c>
      <c r="BM180" s="239">
        <v>0</v>
      </c>
      <c r="BN180" s="239">
        <v>219</v>
      </c>
      <c r="BO180" s="239">
        <v>-5032291</v>
      </c>
      <c r="BP180" s="239">
        <v>-77246</v>
      </c>
      <c r="BQ180" s="239">
        <v>-5109537</v>
      </c>
      <c r="BR180" s="239">
        <v>677752</v>
      </c>
      <c r="BS180" s="239">
        <v>134687</v>
      </c>
      <c r="BT180" s="239">
        <v>812439</v>
      </c>
      <c r="BU180" s="239">
        <v>-4532299</v>
      </c>
      <c r="BV180" s="239">
        <v>57441</v>
      </c>
      <c r="BW180" s="239">
        <v>-4474858</v>
      </c>
      <c r="BX180" s="239">
        <v>0</v>
      </c>
      <c r="BY180" s="239">
        <v>0</v>
      </c>
      <c r="BZ180" s="239">
        <v>0</v>
      </c>
      <c r="CA180" s="239">
        <v>0</v>
      </c>
      <c r="CB180" s="239">
        <v>0</v>
      </c>
      <c r="CC180" s="239">
        <v>0</v>
      </c>
      <c r="CD180" s="239">
        <v>0</v>
      </c>
      <c r="CE180" s="239">
        <v>0</v>
      </c>
      <c r="CF180" s="239">
        <v>0</v>
      </c>
      <c r="CG180" s="239">
        <v>0</v>
      </c>
      <c r="CH180" s="239">
        <v>0</v>
      </c>
      <c r="CI180" s="239">
        <v>0</v>
      </c>
      <c r="CJ180" s="239">
        <v>0</v>
      </c>
      <c r="CK180" s="239">
        <v>0</v>
      </c>
      <c r="CL180" s="239">
        <v>0</v>
      </c>
      <c r="CM180" s="239">
        <v>0</v>
      </c>
      <c r="CN180" s="239">
        <v>0</v>
      </c>
      <c r="CO180" s="239">
        <v>0</v>
      </c>
      <c r="CP180" s="239">
        <v>0</v>
      </c>
      <c r="CQ180" s="239">
        <v>0</v>
      </c>
      <c r="CR180" s="239">
        <v>0</v>
      </c>
      <c r="CS180" s="239">
        <v>0</v>
      </c>
      <c r="CT180" s="239">
        <v>0</v>
      </c>
      <c r="CU180" s="239">
        <v>0</v>
      </c>
      <c r="CV180" s="239">
        <v>0</v>
      </c>
      <c r="CW180" s="239">
        <v>0</v>
      </c>
      <c r="CX180" s="239">
        <v>0</v>
      </c>
      <c r="CY180" s="239">
        <v>0</v>
      </c>
      <c r="CZ180" s="239">
        <v>0</v>
      </c>
      <c r="DA180" s="239">
        <v>0</v>
      </c>
      <c r="DB180" s="239">
        <v>0</v>
      </c>
      <c r="DC180" s="239">
        <v>0</v>
      </c>
      <c r="DD180" s="239">
        <v>0</v>
      </c>
      <c r="DE180" s="239">
        <v>0</v>
      </c>
      <c r="DF180" s="239">
        <v>0</v>
      </c>
      <c r="DG180" s="239">
        <v>0</v>
      </c>
      <c r="DH180" s="239">
        <v>0</v>
      </c>
      <c r="DI180" s="239">
        <v>0</v>
      </c>
      <c r="DJ180" s="239">
        <v>0</v>
      </c>
      <c r="DK180" s="239">
        <v>0</v>
      </c>
      <c r="DL180" s="239">
        <v>0</v>
      </c>
      <c r="DM180" s="239">
        <v>0</v>
      </c>
      <c r="DN180" s="239">
        <v>0</v>
      </c>
      <c r="DO180" s="239">
        <v>0</v>
      </c>
      <c r="DP180" s="239">
        <v>-12316</v>
      </c>
      <c r="DQ180" s="239">
        <v>0</v>
      </c>
      <c r="DR180" s="239">
        <v>-12316</v>
      </c>
      <c r="DS180" s="239">
        <v>-2323</v>
      </c>
      <c r="DT180" s="239">
        <v>0</v>
      </c>
      <c r="DU180" s="239">
        <v>-2323</v>
      </c>
      <c r="DV180" s="239">
        <v>9457</v>
      </c>
      <c r="DW180" s="239">
        <v>0</v>
      </c>
      <c r="DX180" s="239">
        <v>9457</v>
      </c>
      <c r="DY180" s="239">
        <v>4306</v>
      </c>
      <c r="DZ180" s="239">
        <v>0</v>
      </c>
      <c r="EA180" s="239">
        <v>4306</v>
      </c>
      <c r="EB180" s="239">
        <v>0</v>
      </c>
      <c r="EC180" s="239">
        <v>0</v>
      </c>
      <c r="ED180" s="239">
        <v>0</v>
      </c>
      <c r="EE180" s="239">
        <v>0</v>
      </c>
      <c r="EF180" s="239">
        <v>0</v>
      </c>
      <c r="EG180" s="239">
        <v>0</v>
      </c>
      <c r="EH180" s="239">
        <v>1597</v>
      </c>
      <c r="EI180" s="239">
        <v>0</v>
      </c>
      <c r="EJ180" s="239">
        <v>1597</v>
      </c>
      <c r="EK180" s="239">
        <v>0</v>
      </c>
      <c r="EL180" s="239">
        <v>0</v>
      </c>
      <c r="EM180" s="239">
        <v>0</v>
      </c>
      <c r="EN180" s="239">
        <v>0</v>
      </c>
      <c r="EO180" s="239">
        <v>0</v>
      </c>
      <c r="EP180" s="239">
        <v>0</v>
      </c>
      <c r="EQ180" s="239">
        <v>-104046.51</v>
      </c>
      <c r="ER180" s="239">
        <v>0</v>
      </c>
      <c r="ES180" s="239">
        <v>-104046.51</v>
      </c>
      <c r="ET180" s="239">
        <v>-1542022</v>
      </c>
      <c r="EU180" s="239">
        <v>-1934</v>
      </c>
      <c r="EV180" s="239">
        <v>-1543956</v>
      </c>
      <c r="EW180" s="239">
        <v>-16069</v>
      </c>
      <c r="EX180" s="239">
        <v>0</v>
      </c>
      <c r="EY180" s="239">
        <v>-16069</v>
      </c>
      <c r="EZ180" s="239">
        <v>-1661417</v>
      </c>
      <c r="FA180" s="239">
        <v>-1934</v>
      </c>
      <c r="FB180" s="239">
        <v>-1663351</v>
      </c>
      <c r="FC180" s="239">
        <v>0</v>
      </c>
      <c r="FD180" s="239">
        <v>0</v>
      </c>
      <c r="FE180" s="239">
        <v>0</v>
      </c>
      <c r="FF180" s="239">
        <v>0</v>
      </c>
      <c r="FG180" s="239">
        <v>0</v>
      </c>
      <c r="FH180" s="239">
        <v>0</v>
      </c>
      <c r="FI180" s="239">
        <v>0</v>
      </c>
      <c r="FJ180" s="239">
        <v>0</v>
      </c>
      <c r="FK180" s="239">
        <v>0</v>
      </c>
      <c r="FL180" s="239">
        <v>178364555</v>
      </c>
      <c r="FM180" s="239">
        <v>809852</v>
      </c>
      <c r="FN180" s="239">
        <v>179174407</v>
      </c>
      <c r="FO180" s="239">
        <v>-4946539</v>
      </c>
      <c r="FP180" s="239">
        <v>-5492</v>
      </c>
      <c r="FQ180" s="239">
        <v>-4952031</v>
      </c>
      <c r="FR180" s="239">
        <v>-15880932</v>
      </c>
      <c r="FS180" s="239">
        <v>-57925</v>
      </c>
      <c r="FT180" s="239">
        <v>-15938857</v>
      </c>
      <c r="FU180" s="239">
        <v>-4532299</v>
      </c>
      <c r="FV180" s="239">
        <v>57441</v>
      </c>
      <c r="FW180" s="239">
        <v>-4474858</v>
      </c>
      <c r="FX180" s="239">
        <v>0</v>
      </c>
      <c r="FY180" s="239">
        <v>0</v>
      </c>
      <c r="FZ180" s="239">
        <v>0</v>
      </c>
      <c r="GA180" s="239">
        <v>-1661417</v>
      </c>
      <c r="GB180" s="239">
        <v>-1934</v>
      </c>
      <c r="GC180" s="239">
        <v>-1663351</v>
      </c>
      <c r="GD180" s="239">
        <v>0</v>
      </c>
      <c r="GE180" s="239">
        <v>0</v>
      </c>
      <c r="GF180" s="239">
        <v>0</v>
      </c>
      <c r="GG180" s="239">
        <v>-27021187</v>
      </c>
      <c r="GH180" s="239">
        <v>-7910</v>
      </c>
      <c r="GI180" s="239">
        <v>-27029097</v>
      </c>
      <c r="GJ180" s="239">
        <v>151343368</v>
      </c>
      <c r="GK180" s="239">
        <v>801942</v>
      </c>
      <c r="GL180" s="239">
        <v>152145310</v>
      </c>
      <c r="GM180" s="214" t="s">
        <v>1159</v>
      </c>
    </row>
    <row r="181" spans="2:195" s="214" customFormat="1" x14ac:dyDescent="0.2">
      <c r="B181" s="602" t="s">
        <v>445</v>
      </c>
      <c r="C181" s="602" t="s">
        <v>444</v>
      </c>
      <c r="D181" s="239">
        <v>-1607484</v>
      </c>
      <c r="E181" s="239">
        <v>0</v>
      </c>
      <c r="F181" s="239">
        <v>-1607484</v>
      </c>
      <c r="G181" s="239">
        <v>74253</v>
      </c>
      <c r="H181" s="239">
        <v>0</v>
      </c>
      <c r="I181" s="239">
        <v>74253</v>
      </c>
      <c r="J181" s="239">
        <v>2668521</v>
      </c>
      <c r="K181" s="239">
        <v>0</v>
      </c>
      <c r="L181" s="239">
        <v>2668521</v>
      </c>
      <c r="M181" s="239">
        <v>3951</v>
      </c>
      <c r="N181" s="239">
        <v>0</v>
      </c>
      <c r="O181" s="239">
        <v>3951</v>
      </c>
      <c r="P181" s="239">
        <v>1139241</v>
      </c>
      <c r="Q181" s="239">
        <v>0</v>
      </c>
      <c r="R181" s="239">
        <v>1139241</v>
      </c>
      <c r="S181" s="239">
        <v>-6598947</v>
      </c>
      <c r="T181" s="239">
        <v>0</v>
      </c>
      <c r="U181" s="239">
        <v>-6598947</v>
      </c>
      <c r="V181" s="239">
        <v>-20430</v>
      </c>
      <c r="W181" s="239">
        <v>0</v>
      </c>
      <c r="X181" s="239">
        <v>-20430</v>
      </c>
      <c r="Y181" s="239">
        <v>-396772</v>
      </c>
      <c r="Z181" s="239">
        <v>0</v>
      </c>
      <c r="AA181" s="239">
        <v>-396772</v>
      </c>
      <c r="AB181" s="239">
        <v>-302917</v>
      </c>
      <c r="AC181" s="239">
        <v>0</v>
      </c>
      <c r="AD181" s="239">
        <v>-302917</v>
      </c>
      <c r="AE181" s="239">
        <v>0</v>
      </c>
      <c r="AF181" s="239">
        <v>0</v>
      </c>
      <c r="AG181" s="239">
        <v>0</v>
      </c>
      <c r="AH181" s="239">
        <v>640938</v>
      </c>
      <c r="AI181" s="239">
        <v>0</v>
      </c>
      <c r="AJ181" s="239">
        <v>640938</v>
      </c>
      <c r="AK181" s="239">
        <v>-12527</v>
      </c>
      <c r="AL181" s="239">
        <v>0</v>
      </c>
      <c r="AM181" s="239">
        <v>-12527</v>
      </c>
      <c r="AN181" s="239">
        <v>-2549100</v>
      </c>
      <c r="AO181" s="239">
        <v>0</v>
      </c>
      <c r="AP181" s="239">
        <v>-2549100</v>
      </c>
      <c r="AQ181" s="239">
        <v>-23574</v>
      </c>
      <c r="AR181" s="239">
        <v>0</v>
      </c>
      <c r="AS181" s="239">
        <v>-23574</v>
      </c>
      <c r="AT181" s="239">
        <v>-120273</v>
      </c>
      <c r="AU181" s="239">
        <v>0</v>
      </c>
      <c r="AV181" s="239">
        <v>-120273</v>
      </c>
      <c r="AW181" s="239">
        <v>-39</v>
      </c>
      <c r="AX181" s="239">
        <v>0</v>
      </c>
      <c r="AY181" s="239">
        <v>-39</v>
      </c>
      <c r="AZ181" s="239">
        <v>-28558</v>
      </c>
      <c r="BA181" s="239">
        <v>0</v>
      </c>
      <c r="BB181" s="239">
        <v>-28558</v>
      </c>
      <c r="BC181" s="239">
        <v>1125</v>
      </c>
      <c r="BD181" s="239">
        <v>0</v>
      </c>
      <c r="BE181" s="239">
        <v>1125</v>
      </c>
      <c r="BF181" s="239">
        <v>-9087727</v>
      </c>
      <c r="BG181" s="239">
        <v>0</v>
      </c>
      <c r="BH181" s="239">
        <v>-9087727</v>
      </c>
      <c r="BI181" s="239">
        <v>-13375</v>
      </c>
      <c r="BJ181" s="239">
        <v>0</v>
      </c>
      <c r="BK181" s="239">
        <v>-13375</v>
      </c>
      <c r="BL181" s="239">
        <v>-1139</v>
      </c>
      <c r="BM181" s="239">
        <v>0</v>
      </c>
      <c r="BN181" s="239">
        <v>-1139</v>
      </c>
      <c r="BO181" s="239">
        <v>-730059</v>
      </c>
      <c r="BP181" s="239">
        <v>0</v>
      </c>
      <c r="BQ181" s="239">
        <v>-730059</v>
      </c>
      <c r="BR181" s="239">
        <v>-64845</v>
      </c>
      <c r="BS181" s="239">
        <v>0</v>
      </c>
      <c r="BT181" s="239">
        <v>-64845</v>
      </c>
      <c r="BU181" s="239">
        <v>-809418</v>
      </c>
      <c r="BV181" s="239">
        <v>0</v>
      </c>
      <c r="BW181" s="239">
        <v>-809418</v>
      </c>
      <c r="BX181" s="239">
        <v>-109731</v>
      </c>
      <c r="BY181" s="239">
        <v>0</v>
      </c>
      <c r="BZ181" s="239">
        <v>-109731</v>
      </c>
      <c r="CA181" s="239">
        <v>-19330</v>
      </c>
      <c r="CB181" s="239">
        <v>0</v>
      </c>
      <c r="CC181" s="239">
        <v>-19330</v>
      </c>
      <c r="CD181" s="239">
        <v>-172224</v>
      </c>
      <c r="CE181" s="239">
        <v>0</v>
      </c>
      <c r="CF181" s="239">
        <v>-172224</v>
      </c>
      <c r="CG181" s="239">
        <v>12444</v>
      </c>
      <c r="CH181" s="239">
        <v>0</v>
      </c>
      <c r="CI181" s="239">
        <v>12444</v>
      </c>
      <c r="CJ181" s="239">
        <v>-8467</v>
      </c>
      <c r="CK181" s="239">
        <v>0</v>
      </c>
      <c r="CL181" s="239">
        <v>-8467</v>
      </c>
      <c r="CM181" s="239">
        <v>-3</v>
      </c>
      <c r="CN181" s="239">
        <v>0</v>
      </c>
      <c r="CO181" s="239">
        <v>-3</v>
      </c>
      <c r="CP181" s="239">
        <v>0</v>
      </c>
      <c r="CQ181" s="239">
        <v>0</v>
      </c>
      <c r="CR181" s="239">
        <v>0</v>
      </c>
      <c r="CS181" s="239">
        <v>-714</v>
      </c>
      <c r="CT181" s="239">
        <v>0</v>
      </c>
      <c r="CU181" s="239">
        <v>-714</v>
      </c>
      <c r="CV181" s="239">
        <v>-8098</v>
      </c>
      <c r="CW181" s="239">
        <v>0</v>
      </c>
      <c r="CX181" s="239">
        <v>-8098</v>
      </c>
      <c r="CY181" s="239">
        <v>0</v>
      </c>
      <c r="CZ181" s="239">
        <v>0</v>
      </c>
      <c r="DA181" s="239">
        <v>0</v>
      </c>
      <c r="DB181" s="239">
        <v>0</v>
      </c>
      <c r="DC181" s="239">
        <v>0</v>
      </c>
      <c r="DD181" s="239">
        <v>0</v>
      </c>
      <c r="DE181" s="239">
        <v>0</v>
      </c>
      <c r="DF181" s="239">
        <v>0</v>
      </c>
      <c r="DG181" s="239">
        <v>0</v>
      </c>
      <c r="DH181" s="239">
        <v>0</v>
      </c>
      <c r="DI181" s="239">
        <v>0</v>
      </c>
      <c r="DJ181" s="239">
        <v>-306123</v>
      </c>
      <c r="DK181" s="239">
        <v>0</v>
      </c>
      <c r="DL181" s="239">
        <v>-306123</v>
      </c>
      <c r="DM181" s="239">
        <v>0</v>
      </c>
      <c r="DN181" s="239">
        <v>0</v>
      </c>
      <c r="DO181" s="239">
        <v>0</v>
      </c>
      <c r="DP181" s="239">
        <v>0</v>
      </c>
      <c r="DQ181" s="239">
        <v>0</v>
      </c>
      <c r="DR181" s="239">
        <v>0</v>
      </c>
      <c r="DS181" s="239">
        <v>-2284</v>
      </c>
      <c r="DT181" s="239">
        <v>0</v>
      </c>
      <c r="DU181" s="239">
        <v>-2284</v>
      </c>
      <c r="DV181" s="239">
        <v>0</v>
      </c>
      <c r="DW181" s="239">
        <v>0</v>
      </c>
      <c r="DX181" s="239">
        <v>0</v>
      </c>
      <c r="DY181" s="239">
        <v>8161</v>
      </c>
      <c r="DZ181" s="239">
        <v>0</v>
      </c>
      <c r="EA181" s="239">
        <v>8161</v>
      </c>
      <c r="EB181" s="239">
        <v>0</v>
      </c>
      <c r="EC181" s="239">
        <v>0</v>
      </c>
      <c r="ED181" s="239">
        <v>0</v>
      </c>
      <c r="EE181" s="239">
        <v>0</v>
      </c>
      <c r="EF181" s="239">
        <v>0</v>
      </c>
      <c r="EG181" s="239">
        <v>0</v>
      </c>
      <c r="EH181" s="239">
        <v>-355</v>
      </c>
      <c r="EI181" s="239">
        <v>0</v>
      </c>
      <c r="EJ181" s="239">
        <v>-355</v>
      </c>
      <c r="EK181" s="239">
        <v>-28559</v>
      </c>
      <c r="EL181" s="239">
        <v>0</v>
      </c>
      <c r="EM181" s="239">
        <v>-28559</v>
      </c>
      <c r="EN181" s="239">
        <v>-3000</v>
      </c>
      <c r="EO181" s="239">
        <v>0</v>
      </c>
      <c r="EP181" s="239">
        <v>-3000</v>
      </c>
      <c r="EQ181" s="239">
        <v>-25905</v>
      </c>
      <c r="ER181" s="239">
        <v>0</v>
      </c>
      <c r="ES181" s="239">
        <v>-25905</v>
      </c>
      <c r="ET181" s="239">
        <v>-216027</v>
      </c>
      <c r="EU181" s="239">
        <v>0</v>
      </c>
      <c r="EV181" s="239">
        <v>-216027</v>
      </c>
      <c r="EW181" s="239">
        <v>-76876</v>
      </c>
      <c r="EX181" s="239">
        <v>0</v>
      </c>
      <c r="EY181" s="239">
        <v>-76876</v>
      </c>
      <c r="EZ181" s="239">
        <v>-344845</v>
      </c>
      <c r="FA181" s="239">
        <v>0</v>
      </c>
      <c r="FB181" s="239">
        <v>-344845</v>
      </c>
      <c r="FC181" s="239">
        <v>0</v>
      </c>
      <c r="FD181" s="239">
        <v>0</v>
      </c>
      <c r="FE181" s="239">
        <v>0</v>
      </c>
      <c r="FF181" s="239">
        <v>0</v>
      </c>
      <c r="FG181" s="239">
        <v>0</v>
      </c>
      <c r="FH181" s="239">
        <v>0</v>
      </c>
      <c r="FI181" s="239">
        <v>0</v>
      </c>
      <c r="FJ181" s="239">
        <v>0</v>
      </c>
      <c r="FK181" s="239">
        <v>0</v>
      </c>
      <c r="FL181" s="239">
        <v>41179021</v>
      </c>
      <c r="FM181" s="239">
        <v>0</v>
      </c>
      <c r="FN181" s="239">
        <v>41179021</v>
      </c>
      <c r="FO181" s="239">
        <v>1139241</v>
      </c>
      <c r="FP181" s="239">
        <v>0</v>
      </c>
      <c r="FQ181" s="239">
        <v>1139241</v>
      </c>
      <c r="FR181" s="239">
        <v>-9087727</v>
      </c>
      <c r="FS181" s="239">
        <v>0</v>
      </c>
      <c r="FT181" s="239">
        <v>-9087727</v>
      </c>
      <c r="FU181" s="239">
        <v>-809418</v>
      </c>
      <c r="FV181" s="239">
        <v>0</v>
      </c>
      <c r="FW181" s="239">
        <v>-809418</v>
      </c>
      <c r="FX181" s="239">
        <v>-306123</v>
      </c>
      <c r="FY181" s="239">
        <v>0</v>
      </c>
      <c r="FZ181" s="239">
        <v>-306123</v>
      </c>
      <c r="GA181" s="239">
        <v>-344845</v>
      </c>
      <c r="GB181" s="239">
        <v>0</v>
      </c>
      <c r="GC181" s="239">
        <v>-344845</v>
      </c>
      <c r="GD181" s="239">
        <v>0</v>
      </c>
      <c r="GE181" s="239">
        <v>0</v>
      </c>
      <c r="GF181" s="239">
        <v>0</v>
      </c>
      <c r="GG181" s="239">
        <v>-9408872</v>
      </c>
      <c r="GH181" s="239">
        <v>0</v>
      </c>
      <c r="GI181" s="239">
        <v>-9408872</v>
      </c>
      <c r="GJ181" s="239">
        <v>31770149</v>
      </c>
      <c r="GK181" s="239">
        <v>0</v>
      </c>
      <c r="GL181" s="239">
        <v>31770149</v>
      </c>
      <c r="GM181" s="214" t="s">
        <v>1158</v>
      </c>
    </row>
    <row r="182" spans="2:195" s="214" customFormat="1" x14ac:dyDescent="0.2">
      <c r="B182" s="602" t="s">
        <v>447</v>
      </c>
      <c r="C182" s="602" t="s">
        <v>446</v>
      </c>
      <c r="D182" s="239">
        <v>-885148</v>
      </c>
      <c r="E182" s="239">
        <v>0</v>
      </c>
      <c r="F182" s="239">
        <v>-885148</v>
      </c>
      <c r="G182" s="239">
        <v>-3558</v>
      </c>
      <c r="H182" s="239">
        <v>0</v>
      </c>
      <c r="I182" s="239">
        <v>-3558</v>
      </c>
      <c r="J182" s="239">
        <v>742667</v>
      </c>
      <c r="K182" s="239">
        <v>0</v>
      </c>
      <c r="L182" s="239">
        <v>742667</v>
      </c>
      <c r="M182" s="239">
        <v>-7680</v>
      </c>
      <c r="N182" s="239">
        <v>0</v>
      </c>
      <c r="O182" s="239">
        <v>-7680</v>
      </c>
      <c r="P182" s="239">
        <v>-153719</v>
      </c>
      <c r="Q182" s="239">
        <v>0</v>
      </c>
      <c r="R182" s="239">
        <v>-153719</v>
      </c>
      <c r="S182" s="239">
        <v>-2782806</v>
      </c>
      <c r="T182" s="239">
        <v>0</v>
      </c>
      <c r="U182" s="239">
        <v>-2782806</v>
      </c>
      <c r="V182" s="239">
        <v>-3386</v>
      </c>
      <c r="W182" s="239">
        <v>0</v>
      </c>
      <c r="X182" s="239">
        <v>-3386</v>
      </c>
      <c r="Y182" s="239">
        <v>-169709</v>
      </c>
      <c r="Z182" s="239">
        <v>0</v>
      </c>
      <c r="AA182" s="239">
        <v>-169709</v>
      </c>
      <c r="AB182" s="239">
        <v>-127975</v>
      </c>
      <c r="AC182" s="239">
        <v>0</v>
      </c>
      <c r="AD182" s="239">
        <v>-127975</v>
      </c>
      <c r="AE182" s="239">
        <v>0</v>
      </c>
      <c r="AF182" s="239">
        <v>0</v>
      </c>
      <c r="AG182" s="239">
        <v>0</v>
      </c>
      <c r="AH182" s="239">
        <v>300206</v>
      </c>
      <c r="AI182" s="239">
        <v>0</v>
      </c>
      <c r="AJ182" s="239">
        <v>300206</v>
      </c>
      <c r="AK182" s="239">
        <v>-19500</v>
      </c>
      <c r="AL182" s="239">
        <v>0</v>
      </c>
      <c r="AM182" s="239">
        <v>-19500</v>
      </c>
      <c r="AN182" s="239">
        <v>-2675079</v>
      </c>
      <c r="AO182" s="239">
        <v>0</v>
      </c>
      <c r="AP182" s="239">
        <v>-2675079</v>
      </c>
      <c r="AQ182" s="239">
        <v>117238</v>
      </c>
      <c r="AR182" s="239">
        <v>0</v>
      </c>
      <c r="AS182" s="239">
        <v>117238</v>
      </c>
      <c r="AT182" s="239">
        <v>-94565</v>
      </c>
      <c r="AU182" s="239">
        <v>0</v>
      </c>
      <c r="AV182" s="239">
        <v>-94565</v>
      </c>
      <c r="AW182" s="239">
        <v>0</v>
      </c>
      <c r="AX182" s="239">
        <v>0</v>
      </c>
      <c r="AY182" s="239">
        <v>0</v>
      </c>
      <c r="AZ182" s="239">
        <v>-26188</v>
      </c>
      <c r="BA182" s="239">
        <v>0</v>
      </c>
      <c r="BB182" s="239">
        <v>-26188</v>
      </c>
      <c r="BC182" s="239">
        <v>0</v>
      </c>
      <c r="BD182" s="239">
        <v>0</v>
      </c>
      <c r="BE182" s="239">
        <v>0</v>
      </c>
      <c r="BF182" s="239">
        <v>-5350403</v>
      </c>
      <c r="BG182" s="239">
        <v>0</v>
      </c>
      <c r="BH182" s="239">
        <v>-5350403</v>
      </c>
      <c r="BI182" s="239">
        <v>-56227</v>
      </c>
      <c r="BJ182" s="239">
        <v>0</v>
      </c>
      <c r="BK182" s="239">
        <v>-56227</v>
      </c>
      <c r="BL182" s="239">
        <v>-6157</v>
      </c>
      <c r="BM182" s="239">
        <v>0</v>
      </c>
      <c r="BN182" s="239">
        <v>-6157</v>
      </c>
      <c r="BO182" s="239">
        <v>-466166</v>
      </c>
      <c r="BP182" s="239">
        <v>0</v>
      </c>
      <c r="BQ182" s="239">
        <v>-466166</v>
      </c>
      <c r="BR182" s="239">
        <v>-5865</v>
      </c>
      <c r="BS182" s="239">
        <v>0</v>
      </c>
      <c r="BT182" s="239">
        <v>-5865</v>
      </c>
      <c r="BU182" s="239">
        <v>-534415</v>
      </c>
      <c r="BV182" s="239">
        <v>0</v>
      </c>
      <c r="BW182" s="239">
        <v>-534415</v>
      </c>
      <c r="BX182" s="239">
        <v>-33705</v>
      </c>
      <c r="BY182" s="239">
        <v>0</v>
      </c>
      <c r="BZ182" s="239">
        <v>-33705</v>
      </c>
      <c r="CA182" s="239">
        <v>-1095</v>
      </c>
      <c r="CB182" s="239">
        <v>0</v>
      </c>
      <c r="CC182" s="239">
        <v>-1095</v>
      </c>
      <c r="CD182" s="239">
        <v>-1464</v>
      </c>
      <c r="CE182" s="239">
        <v>0</v>
      </c>
      <c r="CF182" s="239">
        <v>-1464</v>
      </c>
      <c r="CG182" s="239">
        <v>0</v>
      </c>
      <c r="CH182" s="239">
        <v>0</v>
      </c>
      <c r="CI182" s="239">
        <v>0</v>
      </c>
      <c r="CJ182" s="239">
        <v>-22896</v>
      </c>
      <c r="CK182" s="239">
        <v>0</v>
      </c>
      <c r="CL182" s="239">
        <v>-22896</v>
      </c>
      <c r="CM182" s="239">
        <v>0</v>
      </c>
      <c r="CN182" s="239">
        <v>0</v>
      </c>
      <c r="CO182" s="239">
        <v>0</v>
      </c>
      <c r="CP182" s="239">
        <v>0</v>
      </c>
      <c r="CQ182" s="239">
        <v>0</v>
      </c>
      <c r="CR182" s="239">
        <v>0</v>
      </c>
      <c r="CS182" s="239">
        <v>0</v>
      </c>
      <c r="CT182" s="239">
        <v>0</v>
      </c>
      <c r="CU182" s="239">
        <v>0</v>
      </c>
      <c r="CV182" s="239">
        <v>0</v>
      </c>
      <c r="CW182" s="239">
        <v>0</v>
      </c>
      <c r="CX182" s="239">
        <v>0</v>
      </c>
      <c r="CY182" s="239">
        <v>0</v>
      </c>
      <c r="CZ182" s="239">
        <v>0</v>
      </c>
      <c r="DA182" s="239">
        <v>0</v>
      </c>
      <c r="DB182" s="239">
        <v>0</v>
      </c>
      <c r="DC182" s="239">
        <v>0</v>
      </c>
      <c r="DD182" s="239">
        <v>0</v>
      </c>
      <c r="DE182" s="239">
        <v>0</v>
      </c>
      <c r="DF182" s="239">
        <v>0</v>
      </c>
      <c r="DG182" s="239">
        <v>0</v>
      </c>
      <c r="DH182" s="239">
        <v>0</v>
      </c>
      <c r="DI182" s="239">
        <v>0</v>
      </c>
      <c r="DJ182" s="239">
        <v>-59160</v>
      </c>
      <c r="DK182" s="239">
        <v>0</v>
      </c>
      <c r="DL182" s="239">
        <v>-59160</v>
      </c>
      <c r="DM182" s="239">
        <v>0</v>
      </c>
      <c r="DN182" s="239">
        <v>0</v>
      </c>
      <c r="DO182" s="239">
        <v>0</v>
      </c>
      <c r="DP182" s="239">
        <v>4079</v>
      </c>
      <c r="DQ182" s="239">
        <v>0</v>
      </c>
      <c r="DR182" s="239">
        <v>4079</v>
      </c>
      <c r="DS182" s="239">
        <v>0</v>
      </c>
      <c r="DT182" s="239">
        <v>0</v>
      </c>
      <c r="DU182" s="239">
        <v>0</v>
      </c>
      <c r="DV182" s="239">
        <v>0</v>
      </c>
      <c r="DW182" s="239">
        <v>0</v>
      </c>
      <c r="DX182" s="239">
        <v>0</v>
      </c>
      <c r="DY182" s="239">
        <v>4757</v>
      </c>
      <c r="DZ182" s="239">
        <v>0</v>
      </c>
      <c r="EA182" s="239">
        <v>4757</v>
      </c>
      <c r="EB182" s="239">
        <v>0</v>
      </c>
      <c r="EC182" s="239">
        <v>0</v>
      </c>
      <c r="ED182" s="239">
        <v>0</v>
      </c>
      <c r="EE182" s="239">
        <v>0</v>
      </c>
      <c r="EF182" s="239">
        <v>0</v>
      </c>
      <c r="EG182" s="239">
        <v>0</v>
      </c>
      <c r="EH182" s="239">
        <v>0</v>
      </c>
      <c r="EI182" s="239">
        <v>0</v>
      </c>
      <c r="EJ182" s="239">
        <v>0</v>
      </c>
      <c r="EK182" s="239">
        <v>-24639</v>
      </c>
      <c r="EL182" s="239">
        <v>0</v>
      </c>
      <c r="EM182" s="239">
        <v>-24639</v>
      </c>
      <c r="EN182" s="239">
        <v>0</v>
      </c>
      <c r="EO182" s="239">
        <v>0</v>
      </c>
      <c r="EP182" s="239">
        <v>0</v>
      </c>
      <c r="EQ182" s="239">
        <v>-17198</v>
      </c>
      <c r="ER182" s="239">
        <v>0</v>
      </c>
      <c r="ES182" s="239">
        <v>-17198</v>
      </c>
      <c r="ET182" s="239">
        <v>-146281</v>
      </c>
      <c r="EU182" s="239">
        <v>0</v>
      </c>
      <c r="EV182" s="239">
        <v>-146281</v>
      </c>
      <c r="EW182" s="239">
        <v>-40650</v>
      </c>
      <c r="EX182" s="239">
        <v>0</v>
      </c>
      <c r="EY182" s="239">
        <v>-40650</v>
      </c>
      <c r="EZ182" s="239">
        <v>-219932</v>
      </c>
      <c r="FA182" s="239">
        <v>0</v>
      </c>
      <c r="FB182" s="239">
        <v>-219932</v>
      </c>
      <c r="FC182" s="239">
        <v>0</v>
      </c>
      <c r="FD182" s="239">
        <v>0</v>
      </c>
      <c r="FE182" s="239">
        <v>0</v>
      </c>
      <c r="FF182" s="239">
        <v>0</v>
      </c>
      <c r="FG182" s="239">
        <v>0</v>
      </c>
      <c r="FH182" s="239">
        <v>0</v>
      </c>
      <c r="FI182" s="239">
        <v>0</v>
      </c>
      <c r="FJ182" s="239">
        <v>0</v>
      </c>
      <c r="FK182" s="239">
        <v>0</v>
      </c>
      <c r="FL182" s="239">
        <v>19122096</v>
      </c>
      <c r="FM182" s="239">
        <v>0</v>
      </c>
      <c r="FN182" s="239">
        <v>19122096</v>
      </c>
      <c r="FO182" s="239">
        <v>-153719</v>
      </c>
      <c r="FP182" s="239">
        <v>0</v>
      </c>
      <c r="FQ182" s="239">
        <v>-153719</v>
      </c>
      <c r="FR182" s="239">
        <v>-5350403</v>
      </c>
      <c r="FS182" s="239">
        <v>0</v>
      </c>
      <c r="FT182" s="239">
        <v>-5350403</v>
      </c>
      <c r="FU182" s="239">
        <v>-534415</v>
      </c>
      <c r="FV182" s="239">
        <v>0</v>
      </c>
      <c r="FW182" s="239">
        <v>-534415</v>
      </c>
      <c r="FX182" s="239">
        <v>-59160</v>
      </c>
      <c r="FY182" s="239">
        <v>0</v>
      </c>
      <c r="FZ182" s="239">
        <v>-59160</v>
      </c>
      <c r="GA182" s="239">
        <v>-219932</v>
      </c>
      <c r="GB182" s="239">
        <v>0</v>
      </c>
      <c r="GC182" s="239">
        <v>-219932</v>
      </c>
      <c r="GD182" s="239">
        <v>0</v>
      </c>
      <c r="GE182" s="239">
        <v>0</v>
      </c>
      <c r="GF182" s="239">
        <v>0</v>
      </c>
      <c r="GG182" s="239">
        <v>-6317629</v>
      </c>
      <c r="GH182" s="239">
        <v>0</v>
      </c>
      <c r="GI182" s="239">
        <v>-6317629</v>
      </c>
      <c r="GJ182" s="239">
        <v>12804467</v>
      </c>
      <c r="GK182" s="239">
        <v>0</v>
      </c>
      <c r="GL182" s="239">
        <v>12804467</v>
      </c>
      <c r="GM182" s="214" t="s">
        <v>1158</v>
      </c>
    </row>
    <row r="183" spans="2:195" s="214" customFormat="1" x14ac:dyDescent="0.2">
      <c r="B183" s="602" t="s">
        <v>449</v>
      </c>
      <c r="C183" s="602" t="s">
        <v>448</v>
      </c>
      <c r="D183" s="239">
        <v>-1203929</v>
      </c>
      <c r="E183" s="239">
        <v>0</v>
      </c>
      <c r="F183" s="239">
        <v>-1203929</v>
      </c>
      <c r="G183" s="239">
        <v>27649</v>
      </c>
      <c r="H183" s="239">
        <v>0</v>
      </c>
      <c r="I183" s="239">
        <v>27649</v>
      </c>
      <c r="J183" s="239">
        <v>417809</v>
      </c>
      <c r="K183" s="239">
        <v>0</v>
      </c>
      <c r="L183" s="239">
        <v>417809</v>
      </c>
      <c r="M183" s="239">
        <v>-7810</v>
      </c>
      <c r="N183" s="239">
        <v>0</v>
      </c>
      <c r="O183" s="239">
        <v>-7810</v>
      </c>
      <c r="P183" s="239">
        <v>-766281</v>
      </c>
      <c r="Q183" s="239">
        <v>0</v>
      </c>
      <c r="R183" s="239">
        <v>-766281</v>
      </c>
      <c r="S183" s="239">
        <v>-2631337</v>
      </c>
      <c r="T183" s="239">
        <v>0</v>
      </c>
      <c r="U183" s="239">
        <v>-2631337</v>
      </c>
      <c r="V183" s="239">
        <v>-1259</v>
      </c>
      <c r="W183" s="239">
        <v>0</v>
      </c>
      <c r="X183" s="239">
        <v>-1259</v>
      </c>
      <c r="Y183" s="239">
        <v>-149625</v>
      </c>
      <c r="Z183" s="239">
        <v>0</v>
      </c>
      <c r="AA183" s="239">
        <v>-149625</v>
      </c>
      <c r="AB183" s="239">
        <v>-126425</v>
      </c>
      <c r="AC183" s="239">
        <v>0</v>
      </c>
      <c r="AD183" s="239">
        <v>-126425</v>
      </c>
      <c r="AE183" s="239">
        <v>0</v>
      </c>
      <c r="AF183" s="239">
        <v>0</v>
      </c>
      <c r="AG183" s="239">
        <v>0</v>
      </c>
      <c r="AH183" s="239">
        <v>323555</v>
      </c>
      <c r="AI183" s="239">
        <v>0</v>
      </c>
      <c r="AJ183" s="239">
        <v>323555</v>
      </c>
      <c r="AK183" s="239">
        <v>-20271</v>
      </c>
      <c r="AL183" s="239">
        <v>0</v>
      </c>
      <c r="AM183" s="239">
        <v>-20271</v>
      </c>
      <c r="AN183" s="239">
        <v>-628424</v>
      </c>
      <c r="AO183" s="239">
        <v>0</v>
      </c>
      <c r="AP183" s="239">
        <v>-628424</v>
      </c>
      <c r="AQ183" s="239">
        <v>-11930</v>
      </c>
      <c r="AR183" s="239">
        <v>0</v>
      </c>
      <c r="AS183" s="239">
        <v>-11930</v>
      </c>
      <c r="AT183" s="239">
        <v>-18583</v>
      </c>
      <c r="AU183" s="239">
        <v>0</v>
      </c>
      <c r="AV183" s="239">
        <v>-18583</v>
      </c>
      <c r="AW183" s="239">
        <v>0</v>
      </c>
      <c r="AX183" s="239">
        <v>0</v>
      </c>
      <c r="AY183" s="239">
        <v>0</v>
      </c>
      <c r="AZ183" s="239">
        <v>-1319</v>
      </c>
      <c r="BA183" s="239">
        <v>0</v>
      </c>
      <c r="BB183" s="239">
        <v>-1319</v>
      </c>
      <c r="BC183" s="239">
        <v>0</v>
      </c>
      <c r="BD183" s="239">
        <v>0</v>
      </c>
      <c r="BE183" s="239">
        <v>0</v>
      </c>
      <c r="BF183" s="239">
        <v>-3137934</v>
      </c>
      <c r="BG183" s="239">
        <v>0</v>
      </c>
      <c r="BH183" s="239">
        <v>-3137934</v>
      </c>
      <c r="BI183" s="239">
        <v>-3214</v>
      </c>
      <c r="BJ183" s="239">
        <v>0</v>
      </c>
      <c r="BK183" s="239">
        <v>-3214</v>
      </c>
      <c r="BL183" s="239">
        <v>286228</v>
      </c>
      <c r="BM183" s="239">
        <v>0</v>
      </c>
      <c r="BN183" s="239">
        <v>286228</v>
      </c>
      <c r="BO183" s="239">
        <v>-504923</v>
      </c>
      <c r="BP183" s="239">
        <v>0</v>
      </c>
      <c r="BQ183" s="239">
        <v>-504923</v>
      </c>
      <c r="BR183" s="239">
        <v>-6678</v>
      </c>
      <c r="BS183" s="239">
        <v>0</v>
      </c>
      <c r="BT183" s="239">
        <v>-6678</v>
      </c>
      <c r="BU183" s="239">
        <v>-228587</v>
      </c>
      <c r="BV183" s="239">
        <v>0</v>
      </c>
      <c r="BW183" s="239">
        <v>-228587</v>
      </c>
      <c r="BX183" s="239">
        <v>-35433</v>
      </c>
      <c r="BY183" s="239">
        <v>0</v>
      </c>
      <c r="BZ183" s="239">
        <v>-35433</v>
      </c>
      <c r="CA183" s="239">
        <v>-574</v>
      </c>
      <c r="CB183" s="239">
        <v>0</v>
      </c>
      <c r="CC183" s="239">
        <v>-574</v>
      </c>
      <c r="CD183" s="239">
        <v>-17922</v>
      </c>
      <c r="CE183" s="239">
        <v>0</v>
      </c>
      <c r="CF183" s="239">
        <v>-17922</v>
      </c>
      <c r="CG183" s="239">
        <v>-3601</v>
      </c>
      <c r="CH183" s="239">
        <v>0</v>
      </c>
      <c r="CI183" s="239">
        <v>-3601</v>
      </c>
      <c r="CJ183" s="239">
        <v>-220</v>
      </c>
      <c r="CK183" s="239">
        <v>0</v>
      </c>
      <c r="CL183" s="239">
        <v>-220</v>
      </c>
      <c r="CM183" s="239">
        <v>0</v>
      </c>
      <c r="CN183" s="239">
        <v>0</v>
      </c>
      <c r="CO183" s="239">
        <v>0</v>
      </c>
      <c r="CP183" s="239">
        <v>0</v>
      </c>
      <c r="CQ183" s="239">
        <v>0</v>
      </c>
      <c r="CR183" s="239">
        <v>0</v>
      </c>
      <c r="CS183" s="239">
        <v>0</v>
      </c>
      <c r="CT183" s="239">
        <v>0</v>
      </c>
      <c r="CU183" s="239">
        <v>0</v>
      </c>
      <c r="CV183" s="239">
        <v>0</v>
      </c>
      <c r="CW183" s="239">
        <v>0</v>
      </c>
      <c r="CX183" s="239">
        <v>0</v>
      </c>
      <c r="CY183" s="239">
        <v>0</v>
      </c>
      <c r="CZ183" s="239">
        <v>0</v>
      </c>
      <c r="DA183" s="239">
        <v>0</v>
      </c>
      <c r="DB183" s="239">
        <v>0</v>
      </c>
      <c r="DC183" s="239">
        <v>0</v>
      </c>
      <c r="DD183" s="239">
        <v>0</v>
      </c>
      <c r="DE183" s="239">
        <v>0</v>
      </c>
      <c r="DF183" s="239">
        <v>0</v>
      </c>
      <c r="DG183" s="239">
        <v>0</v>
      </c>
      <c r="DH183" s="239">
        <v>0</v>
      </c>
      <c r="DI183" s="239">
        <v>0</v>
      </c>
      <c r="DJ183" s="239">
        <v>-57750</v>
      </c>
      <c r="DK183" s="239">
        <v>0</v>
      </c>
      <c r="DL183" s="239">
        <v>-57750</v>
      </c>
      <c r="DM183" s="239">
        <v>0</v>
      </c>
      <c r="DN183" s="239">
        <v>0</v>
      </c>
      <c r="DO183" s="239">
        <v>0</v>
      </c>
      <c r="DP183" s="239">
        <v>0</v>
      </c>
      <c r="DQ183" s="239">
        <v>0</v>
      </c>
      <c r="DR183" s="239">
        <v>0</v>
      </c>
      <c r="DS183" s="239">
        <v>0</v>
      </c>
      <c r="DT183" s="239">
        <v>0</v>
      </c>
      <c r="DU183" s="239">
        <v>0</v>
      </c>
      <c r="DV183" s="239">
        <v>0</v>
      </c>
      <c r="DW183" s="239">
        <v>0</v>
      </c>
      <c r="DX183" s="239">
        <v>0</v>
      </c>
      <c r="DY183" s="239">
        <v>5369</v>
      </c>
      <c r="DZ183" s="239">
        <v>0</v>
      </c>
      <c r="EA183" s="239">
        <v>5369</v>
      </c>
      <c r="EB183" s="239">
        <v>0</v>
      </c>
      <c r="EC183" s="239">
        <v>0</v>
      </c>
      <c r="ED183" s="239">
        <v>0</v>
      </c>
      <c r="EE183" s="239">
        <v>0</v>
      </c>
      <c r="EF183" s="239">
        <v>0</v>
      </c>
      <c r="EG183" s="239">
        <v>0</v>
      </c>
      <c r="EH183" s="239">
        <v>0</v>
      </c>
      <c r="EI183" s="239">
        <v>0</v>
      </c>
      <c r="EJ183" s="239">
        <v>0</v>
      </c>
      <c r="EK183" s="239">
        <v>-1319</v>
      </c>
      <c r="EL183" s="239">
        <v>0</v>
      </c>
      <c r="EM183" s="239">
        <v>-1319</v>
      </c>
      <c r="EN183" s="239">
        <v>0</v>
      </c>
      <c r="EO183" s="239">
        <v>0</v>
      </c>
      <c r="EP183" s="239">
        <v>0</v>
      </c>
      <c r="EQ183" s="239">
        <v>-28923</v>
      </c>
      <c r="ER183" s="239">
        <v>0</v>
      </c>
      <c r="ES183" s="239">
        <v>-28923</v>
      </c>
      <c r="ET183" s="239">
        <v>-163941</v>
      </c>
      <c r="EU183" s="239">
        <v>0</v>
      </c>
      <c r="EV183" s="239">
        <v>-163941</v>
      </c>
      <c r="EW183" s="239">
        <v>-50215</v>
      </c>
      <c r="EX183" s="239">
        <v>0</v>
      </c>
      <c r="EY183" s="239">
        <v>-50215</v>
      </c>
      <c r="EZ183" s="239">
        <v>-239029</v>
      </c>
      <c r="FA183" s="239">
        <v>0</v>
      </c>
      <c r="FB183" s="239">
        <v>-239029</v>
      </c>
      <c r="FC183" s="239">
        <v>0</v>
      </c>
      <c r="FD183" s="239">
        <v>0</v>
      </c>
      <c r="FE183" s="239">
        <v>0</v>
      </c>
      <c r="FF183" s="239">
        <v>0</v>
      </c>
      <c r="FG183" s="239">
        <v>0</v>
      </c>
      <c r="FH183" s="239">
        <v>0</v>
      </c>
      <c r="FI183" s="239">
        <v>0</v>
      </c>
      <c r="FJ183" s="239">
        <v>0</v>
      </c>
      <c r="FK183" s="239">
        <v>0</v>
      </c>
      <c r="FL183" s="239">
        <v>20294553</v>
      </c>
      <c r="FM183" s="239">
        <v>0</v>
      </c>
      <c r="FN183" s="239">
        <v>20294553</v>
      </c>
      <c r="FO183" s="239">
        <v>-766281</v>
      </c>
      <c r="FP183" s="239">
        <v>0</v>
      </c>
      <c r="FQ183" s="239">
        <v>-766281</v>
      </c>
      <c r="FR183" s="239">
        <v>-3137934</v>
      </c>
      <c r="FS183" s="239">
        <v>0</v>
      </c>
      <c r="FT183" s="239">
        <v>-3137934</v>
      </c>
      <c r="FU183" s="239">
        <v>-228587</v>
      </c>
      <c r="FV183" s="239">
        <v>0</v>
      </c>
      <c r="FW183" s="239">
        <v>-228587</v>
      </c>
      <c r="FX183" s="239">
        <v>-57750</v>
      </c>
      <c r="FY183" s="239">
        <v>0</v>
      </c>
      <c r="FZ183" s="239">
        <v>-57750</v>
      </c>
      <c r="GA183" s="239">
        <v>-239029</v>
      </c>
      <c r="GB183" s="239">
        <v>0</v>
      </c>
      <c r="GC183" s="239">
        <v>-239029</v>
      </c>
      <c r="GD183" s="239">
        <v>0</v>
      </c>
      <c r="GE183" s="239">
        <v>0</v>
      </c>
      <c r="GF183" s="239">
        <v>0</v>
      </c>
      <c r="GG183" s="239">
        <v>-4429581</v>
      </c>
      <c r="GH183" s="239">
        <v>0</v>
      </c>
      <c r="GI183" s="239">
        <v>-4429581</v>
      </c>
      <c r="GJ183" s="239">
        <v>15864972</v>
      </c>
      <c r="GK183" s="239">
        <v>0</v>
      </c>
      <c r="GL183" s="239">
        <v>15864972</v>
      </c>
      <c r="GM183" s="214" t="s">
        <v>1158</v>
      </c>
    </row>
    <row r="184" spans="2:195" s="214" customFormat="1" x14ac:dyDescent="0.2">
      <c r="B184" s="602" t="s">
        <v>451</v>
      </c>
      <c r="C184" s="602" t="s">
        <v>450</v>
      </c>
      <c r="D184" s="239">
        <v>-2213203</v>
      </c>
      <c r="E184" s="239">
        <v>0</v>
      </c>
      <c r="F184" s="239">
        <v>-2213203</v>
      </c>
      <c r="G184" s="239">
        <v>1213835</v>
      </c>
      <c r="H184" s="239">
        <v>0</v>
      </c>
      <c r="I184" s="239">
        <v>1213835</v>
      </c>
      <c r="J184" s="239">
        <v>9845060</v>
      </c>
      <c r="K184" s="239">
        <v>1737</v>
      </c>
      <c r="L184" s="239">
        <v>9846797</v>
      </c>
      <c r="M184" s="239">
        <v>8942</v>
      </c>
      <c r="N184" s="239">
        <v>0</v>
      </c>
      <c r="O184" s="239">
        <v>8942</v>
      </c>
      <c r="P184" s="239">
        <v>8854634</v>
      </c>
      <c r="Q184" s="239">
        <v>1737</v>
      </c>
      <c r="R184" s="239">
        <v>8856371</v>
      </c>
      <c r="S184" s="239">
        <v>-4586253</v>
      </c>
      <c r="T184" s="239">
        <v>0</v>
      </c>
      <c r="U184" s="239">
        <v>-4586253</v>
      </c>
      <c r="V184" s="239">
        <v>-44540</v>
      </c>
      <c r="W184" s="239">
        <v>0</v>
      </c>
      <c r="X184" s="239">
        <v>-44540</v>
      </c>
      <c r="Y184" s="239">
        <v>-121088</v>
      </c>
      <c r="Z184" s="239">
        <v>0</v>
      </c>
      <c r="AA184" s="239">
        <v>-121088</v>
      </c>
      <c r="AB184" s="239">
        <v>-86930</v>
      </c>
      <c r="AC184" s="239">
        <v>0</v>
      </c>
      <c r="AD184" s="239">
        <v>-86930</v>
      </c>
      <c r="AE184" s="239">
        <v>-511</v>
      </c>
      <c r="AF184" s="239">
        <v>0</v>
      </c>
      <c r="AG184" s="239">
        <v>-511</v>
      </c>
      <c r="AH184" s="239">
        <v>1468990</v>
      </c>
      <c r="AI184" s="239">
        <v>0</v>
      </c>
      <c r="AJ184" s="239">
        <v>1468990</v>
      </c>
      <c r="AK184" s="239">
        <v>1478976</v>
      </c>
      <c r="AL184" s="239">
        <v>0</v>
      </c>
      <c r="AM184" s="239">
        <v>1478976</v>
      </c>
      <c r="AN184" s="239">
        <v>-4186638</v>
      </c>
      <c r="AO184" s="239">
        <v>0</v>
      </c>
      <c r="AP184" s="239">
        <v>-4186638</v>
      </c>
      <c r="AQ184" s="239">
        <v>100293</v>
      </c>
      <c r="AR184" s="239">
        <v>0</v>
      </c>
      <c r="AS184" s="239">
        <v>100293</v>
      </c>
      <c r="AT184" s="239">
        <v>-94821</v>
      </c>
      <c r="AU184" s="239">
        <v>0</v>
      </c>
      <c r="AV184" s="239">
        <v>-94821</v>
      </c>
      <c r="AW184" s="239">
        <v>-351</v>
      </c>
      <c r="AX184" s="239">
        <v>0</v>
      </c>
      <c r="AY184" s="239">
        <v>-351</v>
      </c>
      <c r="AZ184" s="239">
        <v>-555</v>
      </c>
      <c r="BA184" s="239">
        <v>0</v>
      </c>
      <c r="BB184" s="239">
        <v>-555</v>
      </c>
      <c r="BC184" s="239">
        <v>0</v>
      </c>
      <c r="BD184" s="239">
        <v>0</v>
      </c>
      <c r="BE184" s="239">
        <v>0</v>
      </c>
      <c r="BF184" s="239">
        <v>-5941447</v>
      </c>
      <c r="BG184" s="239">
        <v>0</v>
      </c>
      <c r="BH184" s="239">
        <v>-5941447</v>
      </c>
      <c r="BI184" s="239">
        <v>-653</v>
      </c>
      <c r="BJ184" s="239">
        <v>0</v>
      </c>
      <c r="BK184" s="239">
        <v>-653</v>
      </c>
      <c r="BL184" s="239">
        <v>-334</v>
      </c>
      <c r="BM184" s="239">
        <v>0</v>
      </c>
      <c r="BN184" s="239">
        <v>-334</v>
      </c>
      <c r="BO184" s="239">
        <v>-2131441</v>
      </c>
      <c r="BP184" s="239">
        <v>0</v>
      </c>
      <c r="BQ184" s="239">
        <v>-2131441</v>
      </c>
      <c r="BR184" s="239">
        <v>-63856</v>
      </c>
      <c r="BS184" s="239">
        <v>0</v>
      </c>
      <c r="BT184" s="239">
        <v>-63856</v>
      </c>
      <c r="BU184" s="239">
        <v>-2196284</v>
      </c>
      <c r="BV184" s="239">
        <v>0</v>
      </c>
      <c r="BW184" s="239">
        <v>-2196284</v>
      </c>
      <c r="BX184" s="239">
        <v>-112238</v>
      </c>
      <c r="BY184" s="239">
        <v>0</v>
      </c>
      <c r="BZ184" s="239">
        <v>-112238</v>
      </c>
      <c r="CA184" s="239">
        <v>8878</v>
      </c>
      <c r="CB184" s="239">
        <v>0</v>
      </c>
      <c r="CC184" s="239">
        <v>8878</v>
      </c>
      <c r="CD184" s="239">
        <v>-198303</v>
      </c>
      <c r="CE184" s="239">
        <v>0</v>
      </c>
      <c r="CF184" s="239">
        <v>-198303</v>
      </c>
      <c r="CG184" s="239">
        <v>241487</v>
      </c>
      <c r="CH184" s="239">
        <v>0</v>
      </c>
      <c r="CI184" s="239">
        <v>241487</v>
      </c>
      <c r="CJ184" s="239">
        <v>-2568</v>
      </c>
      <c r="CK184" s="239">
        <v>0</v>
      </c>
      <c r="CL184" s="239">
        <v>-2568</v>
      </c>
      <c r="CM184" s="239">
        <v>0</v>
      </c>
      <c r="CN184" s="239">
        <v>0</v>
      </c>
      <c r="CO184" s="239">
        <v>0</v>
      </c>
      <c r="CP184" s="239">
        <v>0</v>
      </c>
      <c r="CQ184" s="239">
        <v>0</v>
      </c>
      <c r="CR184" s="239">
        <v>0</v>
      </c>
      <c r="CS184" s="239">
        <v>0</v>
      </c>
      <c r="CT184" s="239">
        <v>0</v>
      </c>
      <c r="CU184" s="239">
        <v>0</v>
      </c>
      <c r="CV184" s="239">
        <v>0</v>
      </c>
      <c r="CW184" s="239">
        <v>0</v>
      </c>
      <c r="CX184" s="239">
        <v>0</v>
      </c>
      <c r="CY184" s="239">
        <v>0</v>
      </c>
      <c r="CZ184" s="239">
        <v>0</v>
      </c>
      <c r="DA184" s="239">
        <v>0</v>
      </c>
      <c r="DB184" s="239">
        <v>-80523</v>
      </c>
      <c r="DC184" s="239">
        <v>-200582</v>
      </c>
      <c r="DD184" s="239">
        <v>-281105</v>
      </c>
      <c r="DE184" s="239">
        <v>-20897</v>
      </c>
      <c r="DF184" s="239">
        <v>0</v>
      </c>
      <c r="DG184" s="239">
        <v>-20897</v>
      </c>
      <c r="DH184" s="239">
        <v>-200582</v>
      </c>
      <c r="DI184" s="239">
        <v>0</v>
      </c>
      <c r="DJ184" s="239">
        <v>-164164</v>
      </c>
      <c r="DK184" s="239">
        <v>-200582</v>
      </c>
      <c r="DL184" s="239">
        <v>-364746</v>
      </c>
      <c r="DM184" s="239">
        <v>0</v>
      </c>
      <c r="DN184" s="239">
        <v>0</v>
      </c>
      <c r="DO184" s="239">
        <v>0</v>
      </c>
      <c r="DP184" s="239">
        <v>20261</v>
      </c>
      <c r="DQ184" s="239">
        <v>0</v>
      </c>
      <c r="DR184" s="239">
        <v>20261</v>
      </c>
      <c r="DS184" s="239">
        <v>-1041</v>
      </c>
      <c r="DT184" s="239">
        <v>0</v>
      </c>
      <c r="DU184" s="239">
        <v>-1041</v>
      </c>
      <c r="DV184" s="239">
        <v>1209</v>
      </c>
      <c r="DW184" s="239">
        <v>0</v>
      </c>
      <c r="DX184" s="239">
        <v>1209</v>
      </c>
      <c r="DY184" s="239">
        <v>5960</v>
      </c>
      <c r="DZ184" s="239">
        <v>0</v>
      </c>
      <c r="EA184" s="239">
        <v>5960</v>
      </c>
      <c r="EB184" s="239">
        <v>0</v>
      </c>
      <c r="EC184" s="239">
        <v>0</v>
      </c>
      <c r="ED184" s="239">
        <v>0</v>
      </c>
      <c r="EE184" s="239">
        <v>0</v>
      </c>
      <c r="EF184" s="239">
        <v>0</v>
      </c>
      <c r="EG184" s="239">
        <v>0</v>
      </c>
      <c r="EH184" s="239">
        <v>5065</v>
      </c>
      <c r="EI184" s="239">
        <v>0</v>
      </c>
      <c r="EJ184" s="239">
        <v>5065</v>
      </c>
      <c r="EK184" s="239">
        <v>-555</v>
      </c>
      <c r="EL184" s="239">
        <v>0</v>
      </c>
      <c r="EM184" s="239">
        <v>-555</v>
      </c>
      <c r="EN184" s="239">
        <v>-1500</v>
      </c>
      <c r="EO184" s="239">
        <v>0</v>
      </c>
      <c r="EP184" s="239">
        <v>-1500</v>
      </c>
      <c r="EQ184" s="239">
        <v>-25532</v>
      </c>
      <c r="ER184" s="239">
        <v>0</v>
      </c>
      <c r="ES184" s="239">
        <v>-25532</v>
      </c>
      <c r="ET184" s="239">
        <v>-210650</v>
      </c>
      <c r="EU184" s="239">
        <v>0</v>
      </c>
      <c r="EV184" s="239">
        <v>-210650</v>
      </c>
      <c r="EW184" s="239">
        <v>-44000</v>
      </c>
      <c r="EX184" s="239">
        <v>0</v>
      </c>
      <c r="EY184" s="239">
        <v>-44000</v>
      </c>
      <c r="EZ184" s="239">
        <v>-250783</v>
      </c>
      <c r="FA184" s="239">
        <v>0</v>
      </c>
      <c r="FB184" s="239">
        <v>-250783</v>
      </c>
      <c r="FC184" s="239">
        <v>0</v>
      </c>
      <c r="FD184" s="239">
        <v>0</v>
      </c>
      <c r="FE184" s="239">
        <v>0</v>
      </c>
      <c r="FF184" s="239">
        <v>0</v>
      </c>
      <c r="FG184" s="239">
        <v>0</v>
      </c>
      <c r="FH184" s="239">
        <v>0</v>
      </c>
      <c r="FI184" s="239">
        <v>0</v>
      </c>
      <c r="FJ184" s="239">
        <v>0</v>
      </c>
      <c r="FK184" s="239">
        <v>0</v>
      </c>
      <c r="FL184" s="239">
        <v>65118256</v>
      </c>
      <c r="FM184" s="239">
        <v>198845</v>
      </c>
      <c r="FN184" s="239">
        <v>65317101</v>
      </c>
      <c r="FO184" s="239">
        <v>8854634</v>
      </c>
      <c r="FP184" s="239">
        <v>1737</v>
      </c>
      <c r="FQ184" s="239">
        <v>8856371</v>
      </c>
      <c r="FR184" s="239">
        <v>-5941447</v>
      </c>
      <c r="FS184" s="239">
        <v>0</v>
      </c>
      <c r="FT184" s="239">
        <v>-5941447</v>
      </c>
      <c r="FU184" s="239">
        <v>-2196284</v>
      </c>
      <c r="FV184" s="239">
        <v>0</v>
      </c>
      <c r="FW184" s="239">
        <v>-2196284</v>
      </c>
      <c r="FX184" s="239">
        <v>-164164</v>
      </c>
      <c r="FY184" s="239">
        <v>-200582</v>
      </c>
      <c r="FZ184" s="239">
        <v>-364746</v>
      </c>
      <c r="GA184" s="239">
        <v>-250783</v>
      </c>
      <c r="GB184" s="239">
        <v>0</v>
      </c>
      <c r="GC184" s="239">
        <v>-250783</v>
      </c>
      <c r="GD184" s="239">
        <v>0</v>
      </c>
      <c r="GE184" s="239">
        <v>0</v>
      </c>
      <c r="GF184" s="239">
        <v>0</v>
      </c>
      <c r="GG184" s="239">
        <v>301956</v>
      </c>
      <c r="GH184" s="239">
        <v>-198845</v>
      </c>
      <c r="GI184" s="239">
        <v>103111</v>
      </c>
      <c r="GJ184" s="239">
        <v>65420212</v>
      </c>
      <c r="GK184" s="239">
        <v>0</v>
      </c>
      <c r="GL184" s="239">
        <v>65420212</v>
      </c>
      <c r="GM184" s="214" t="s">
        <v>746</v>
      </c>
    </row>
    <row r="185" spans="2:195" s="214" customFormat="1" x14ac:dyDescent="0.2">
      <c r="B185" s="602" t="s">
        <v>453</v>
      </c>
      <c r="C185" s="602" t="s">
        <v>452</v>
      </c>
      <c r="D185" s="239">
        <v>-1779092</v>
      </c>
      <c r="E185" s="239">
        <v>0</v>
      </c>
      <c r="F185" s="239">
        <v>-1779092</v>
      </c>
      <c r="G185" s="239">
        <v>11701</v>
      </c>
      <c r="H185" s="239">
        <v>0</v>
      </c>
      <c r="I185" s="239">
        <v>11701</v>
      </c>
      <c r="J185" s="239">
        <v>2126133</v>
      </c>
      <c r="K185" s="239">
        <v>0</v>
      </c>
      <c r="L185" s="239">
        <v>2126133</v>
      </c>
      <c r="M185" s="239">
        <v>20594</v>
      </c>
      <c r="N185" s="239">
        <v>0</v>
      </c>
      <c r="O185" s="239">
        <v>20594</v>
      </c>
      <c r="P185" s="239">
        <v>379336</v>
      </c>
      <c r="Q185" s="239">
        <v>0</v>
      </c>
      <c r="R185" s="239">
        <v>379336</v>
      </c>
      <c r="S185" s="239">
        <v>-4384377</v>
      </c>
      <c r="T185" s="239">
        <v>0</v>
      </c>
      <c r="U185" s="239">
        <v>-4384377</v>
      </c>
      <c r="V185" s="239">
        <v>0</v>
      </c>
      <c r="W185" s="239">
        <v>0</v>
      </c>
      <c r="X185" s="239">
        <v>0</v>
      </c>
      <c r="Y185" s="239">
        <v>-232982</v>
      </c>
      <c r="Z185" s="239">
        <v>0</v>
      </c>
      <c r="AA185" s="239">
        <v>-232982</v>
      </c>
      <c r="AB185" s="239">
        <v>-200882</v>
      </c>
      <c r="AC185" s="239">
        <v>0</v>
      </c>
      <c r="AD185" s="239">
        <v>-200882</v>
      </c>
      <c r="AE185" s="239">
        <v>0</v>
      </c>
      <c r="AF185" s="239">
        <v>0</v>
      </c>
      <c r="AG185" s="239">
        <v>0</v>
      </c>
      <c r="AH185" s="239">
        <v>752344</v>
      </c>
      <c r="AI185" s="239">
        <v>0</v>
      </c>
      <c r="AJ185" s="239">
        <v>752344</v>
      </c>
      <c r="AK185" s="239">
        <v>201946</v>
      </c>
      <c r="AL185" s="239">
        <v>0</v>
      </c>
      <c r="AM185" s="239">
        <v>201946</v>
      </c>
      <c r="AN185" s="239">
        <v>-3231629</v>
      </c>
      <c r="AO185" s="239">
        <v>0</v>
      </c>
      <c r="AP185" s="239">
        <v>-3231629</v>
      </c>
      <c r="AQ185" s="239">
        <v>-358421</v>
      </c>
      <c r="AR185" s="239">
        <v>0</v>
      </c>
      <c r="AS185" s="239">
        <v>-358421</v>
      </c>
      <c r="AT185" s="239">
        <v>-35708</v>
      </c>
      <c r="AU185" s="239">
        <v>0</v>
      </c>
      <c r="AV185" s="239">
        <v>-35708</v>
      </c>
      <c r="AW185" s="239">
        <v>-508</v>
      </c>
      <c r="AX185" s="239">
        <v>0</v>
      </c>
      <c r="AY185" s="239">
        <v>-508</v>
      </c>
      <c r="AZ185" s="239">
        <v>-9549</v>
      </c>
      <c r="BA185" s="239">
        <v>0</v>
      </c>
      <c r="BB185" s="239">
        <v>-9549</v>
      </c>
      <c r="BC185" s="239">
        <v>261</v>
      </c>
      <c r="BD185" s="239">
        <v>0</v>
      </c>
      <c r="BE185" s="239">
        <v>261</v>
      </c>
      <c r="BF185" s="239">
        <v>-7298623</v>
      </c>
      <c r="BG185" s="239">
        <v>0</v>
      </c>
      <c r="BH185" s="239">
        <v>-7298623</v>
      </c>
      <c r="BI185" s="239">
        <v>-53495</v>
      </c>
      <c r="BJ185" s="239">
        <v>0</v>
      </c>
      <c r="BK185" s="239">
        <v>-53495</v>
      </c>
      <c r="BL185" s="239">
        <v>2910</v>
      </c>
      <c r="BM185" s="239">
        <v>0</v>
      </c>
      <c r="BN185" s="239">
        <v>2910</v>
      </c>
      <c r="BO185" s="239">
        <v>-1284676</v>
      </c>
      <c r="BP185" s="239">
        <v>0</v>
      </c>
      <c r="BQ185" s="239">
        <v>-1284676</v>
      </c>
      <c r="BR185" s="239">
        <v>85003</v>
      </c>
      <c r="BS185" s="239">
        <v>0</v>
      </c>
      <c r="BT185" s="239">
        <v>85003</v>
      </c>
      <c r="BU185" s="239">
        <v>-1250258</v>
      </c>
      <c r="BV185" s="239">
        <v>0</v>
      </c>
      <c r="BW185" s="239">
        <v>-1250258</v>
      </c>
      <c r="BX185" s="239">
        <v>-177715</v>
      </c>
      <c r="BY185" s="239">
        <v>0</v>
      </c>
      <c r="BZ185" s="239">
        <v>-177715</v>
      </c>
      <c r="CA185" s="239">
        <v>-4110</v>
      </c>
      <c r="CB185" s="239">
        <v>0</v>
      </c>
      <c r="CC185" s="239">
        <v>-4110</v>
      </c>
      <c r="CD185" s="239">
        <v>-98865</v>
      </c>
      <c r="CE185" s="239">
        <v>0</v>
      </c>
      <c r="CF185" s="239">
        <v>-98865</v>
      </c>
      <c r="CG185" s="239">
        <v>-7044</v>
      </c>
      <c r="CH185" s="239">
        <v>0</v>
      </c>
      <c r="CI185" s="239">
        <v>-7044</v>
      </c>
      <c r="CJ185" s="239">
        <v>-7548</v>
      </c>
      <c r="CK185" s="239">
        <v>0</v>
      </c>
      <c r="CL185" s="239">
        <v>-7548</v>
      </c>
      <c r="CM185" s="239">
        <v>69</v>
      </c>
      <c r="CN185" s="239">
        <v>0</v>
      </c>
      <c r="CO185" s="239">
        <v>69</v>
      </c>
      <c r="CP185" s="239">
        <v>0</v>
      </c>
      <c r="CQ185" s="239">
        <v>0</v>
      </c>
      <c r="CR185" s="239">
        <v>0</v>
      </c>
      <c r="CS185" s="239">
        <v>0</v>
      </c>
      <c r="CT185" s="239">
        <v>0</v>
      </c>
      <c r="CU185" s="239">
        <v>0</v>
      </c>
      <c r="CV185" s="239">
        <v>-4131</v>
      </c>
      <c r="CW185" s="239">
        <v>0</v>
      </c>
      <c r="CX185" s="239">
        <v>-4131</v>
      </c>
      <c r="CY185" s="239">
        <v>-5</v>
      </c>
      <c r="CZ185" s="239">
        <v>0</v>
      </c>
      <c r="DA185" s="239">
        <v>-5</v>
      </c>
      <c r="DB185" s="239">
        <v>0</v>
      </c>
      <c r="DC185" s="239">
        <v>0</v>
      </c>
      <c r="DD185" s="239">
        <v>0</v>
      </c>
      <c r="DE185" s="239">
        <v>0</v>
      </c>
      <c r="DF185" s="239">
        <v>0</v>
      </c>
      <c r="DG185" s="239">
        <v>0</v>
      </c>
      <c r="DH185" s="239">
        <v>0</v>
      </c>
      <c r="DI185" s="239">
        <v>0</v>
      </c>
      <c r="DJ185" s="239">
        <v>-299349</v>
      </c>
      <c r="DK185" s="239">
        <v>0</v>
      </c>
      <c r="DL185" s="239">
        <v>-299349</v>
      </c>
      <c r="DM185" s="239">
        <v>0</v>
      </c>
      <c r="DN185" s="239">
        <v>0</v>
      </c>
      <c r="DO185" s="239">
        <v>0</v>
      </c>
      <c r="DP185" s="239">
        <v>0</v>
      </c>
      <c r="DQ185" s="239">
        <v>0</v>
      </c>
      <c r="DR185" s="239">
        <v>0</v>
      </c>
      <c r="DS185" s="239">
        <v>-3992</v>
      </c>
      <c r="DT185" s="239">
        <v>0</v>
      </c>
      <c r="DU185" s="239">
        <v>-3992</v>
      </c>
      <c r="DV185" s="239">
        <v>-4798</v>
      </c>
      <c r="DW185" s="239">
        <v>0</v>
      </c>
      <c r="DX185" s="239">
        <v>-4798</v>
      </c>
      <c r="DY185" s="239">
        <v>5204</v>
      </c>
      <c r="DZ185" s="239">
        <v>0</v>
      </c>
      <c r="EA185" s="239">
        <v>5204</v>
      </c>
      <c r="EB185" s="239">
        <v>0</v>
      </c>
      <c r="EC185" s="239">
        <v>0</v>
      </c>
      <c r="ED185" s="239">
        <v>0</v>
      </c>
      <c r="EE185" s="239">
        <v>0</v>
      </c>
      <c r="EF185" s="239">
        <v>0</v>
      </c>
      <c r="EG185" s="239">
        <v>0</v>
      </c>
      <c r="EH185" s="239">
        <v>0</v>
      </c>
      <c r="EI185" s="239">
        <v>0</v>
      </c>
      <c r="EJ185" s="239">
        <v>0</v>
      </c>
      <c r="EK185" s="239">
        <v>-9549</v>
      </c>
      <c r="EL185" s="239">
        <v>0</v>
      </c>
      <c r="EM185" s="239">
        <v>-9549</v>
      </c>
      <c r="EN185" s="239">
        <v>0</v>
      </c>
      <c r="EO185" s="239">
        <v>0</v>
      </c>
      <c r="EP185" s="239">
        <v>0</v>
      </c>
      <c r="EQ185" s="239">
        <v>-27108</v>
      </c>
      <c r="ER185" s="239">
        <v>0</v>
      </c>
      <c r="ES185" s="239">
        <v>-27108</v>
      </c>
      <c r="ET185" s="239">
        <v>-309522</v>
      </c>
      <c r="EU185" s="239">
        <v>0</v>
      </c>
      <c r="EV185" s="239">
        <v>-309522</v>
      </c>
      <c r="EW185" s="239">
        <v>-43006</v>
      </c>
      <c r="EX185" s="239">
        <v>0</v>
      </c>
      <c r="EY185" s="239">
        <v>-43006</v>
      </c>
      <c r="EZ185" s="239">
        <v>-392771</v>
      </c>
      <c r="FA185" s="239">
        <v>0</v>
      </c>
      <c r="FB185" s="239">
        <v>-392771</v>
      </c>
      <c r="FC185" s="239">
        <v>0</v>
      </c>
      <c r="FD185" s="239">
        <v>0</v>
      </c>
      <c r="FE185" s="239">
        <v>0</v>
      </c>
      <c r="FF185" s="239">
        <v>0</v>
      </c>
      <c r="FG185" s="239">
        <v>0</v>
      </c>
      <c r="FH185" s="239">
        <v>0</v>
      </c>
      <c r="FI185" s="239">
        <v>0</v>
      </c>
      <c r="FJ185" s="239">
        <v>0</v>
      </c>
      <c r="FK185" s="239">
        <v>0</v>
      </c>
      <c r="FL185" s="239">
        <v>46555942</v>
      </c>
      <c r="FM185" s="239">
        <v>0</v>
      </c>
      <c r="FN185" s="239">
        <v>46555942</v>
      </c>
      <c r="FO185" s="239">
        <v>379336</v>
      </c>
      <c r="FP185" s="239">
        <v>0</v>
      </c>
      <c r="FQ185" s="239">
        <v>379336</v>
      </c>
      <c r="FR185" s="239">
        <v>-7298623</v>
      </c>
      <c r="FS185" s="239">
        <v>0</v>
      </c>
      <c r="FT185" s="239">
        <v>-7298623</v>
      </c>
      <c r="FU185" s="239">
        <v>-1250258</v>
      </c>
      <c r="FV185" s="239">
        <v>0</v>
      </c>
      <c r="FW185" s="239">
        <v>-1250258</v>
      </c>
      <c r="FX185" s="239">
        <v>-299349</v>
      </c>
      <c r="FY185" s="239">
        <v>0</v>
      </c>
      <c r="FZ185" s="239">
        <v>-299349</v>
      </c>
      <c r="GA185" s="239">
        <v>-392771</v>
      </c>
      <c r="GB185" s="239">
        <v>0</v>
      </c>
      <c r="GC185" s="239">
        <v>-392771</v>
      </c>
      <c r="GD185" s="239">
        <v>0</v>
      </c>
      <c r="GE185" s="239">
        <v>0</v>
      </c>
      <c r="GF185" s="239">
        <v>0</v>
      </c>
      <c r="GG185" s="239">
        <v>-8861665</v>
      </c>
      <c r="GH185" s="239">
        <v>0</v>
      </c>
      <c r="GI185" s="239">
        <v>-8861665</v>
      </c>
      <c r="GJ185" s="239">
        <v>37694277</v>
      </c>
      <c r="GK185" s="239">
        <v>0</v>
      </c>
      <c r="GL185" s="239">
        <v>37694277</v>
      </c>
      <c r="GM185" s="214" t="s">
        <v>1158</v>
      </c>
    </row>
    <row r="186" spans="2:195" s="214" customFormat="1" x14ac:dyDescent="0.2">
      <c r="B186" s="602" t="s">
        <v>455</v>
      </c>
      <c r="C186" s="602" t="s">
        <v>454</v>
      </c>
      <c r="D186" s="239">
        <v>-1407855</v>
      </c>
      <c r="E186" s="239">
        <v>0</v>
      </c>
      <c r="F186" s="239">
        <v>-1407855</v>
      </c>
      <c r="G186" s="239">
        <v>3436</v>
      </c>
      <c r="H186" s="239">
        <v>0</v>
      </c>
      <c r="I186" s="239">
        <v>3436</v>
      </c>
      <c r="J186" s="239">
        <v>676833</v>
      </c>
      <c r="K186" s="239">
        <v>0</v>
      </c>
      <c r="L186" s="239">
        <v>676833</v>
      </c>
      <c r="M186" s="239">
        <v>3590</v>
      </c>
      <c r="N186" s="239">
        <v>0</v>
      </c>
      <c r="O186" s="239">
        <v>3590</v>
      </c>
      <c r="P186" s="239">
        <v>-723996</v>
      </c>
      <c r="Q186" s="239">
        <v>0</v>
      </c>
      <c r="R186" s="239">
        <v>-723996</v>
      </c>
      <c r="S186" s="239">
        <v>-3427090</v>
      </c>
      <c r="T186" s="239">
        <v>0</v>
      </c>
      <c r="U186" s="239">
        <v>-3427090</v>
      </c>
      <c r="V186" s="239">
        <v>-26486</v>
      </c>
      <c r="W186" s="239">
        <v>0</v>
      </c>
      <c r="X186" s="239">
        <v>-26486</v>
      </c>
      <c r="Y186" s="239">
        <v>-159020</v>
      </c>
      <c r="Z186" s="239">
        <v>0</v>
      </c>
      <c r="AA186" s="239">
        <v>-159020</v>
      </c>
      <c r="AB186" s="239">
        <v>-161767</v>
      </c>
      <c r="AC186" s="239">
        <v>0</v>
      </c>
      <c r="AD186" s="239">
        <v>-161767</v>
      </c>
      <c r="AE186" s="239">
        <v>2747</v>
      </c>
      <c r="AF186" s="239">
        <v>0</v>
      </c>
      <c r="AG186" s="239">
        <v>2747</v>
      </c>
      <c r="AH186" s="239">
        <v>606874</v>
      </c>
      <c r="AI186" s="239">
        <v>0</v>
      </c>
      <c r="AJ186" s="239">
        <v>606874</v>
      </c>
      <c r="AK186" s="239">
        <v>-231936</v>
      </c>
      <c r="AL186" s="239">
        <v>0</v>
      </c>
      <c r="AM186" s="239">
        <v>-231936</v>
      </c>
      <c r="AN186" s="239">
        <v>-1861493</v>
      </c>
      <c r="AO186" s="239">
        <v>0</v>
      </c>
      <c r="AP186" s="239">
        <v>-1861493</v>
      </c>
      <c r="AQ186" s="239">
        <v>-3998</v>
      </c>
      <c r="AR186" s="239">
        <v>0</v>
      </c>
      <c r="AS186" s="239">
        <v>-3998</v>
      </c>
      <c r="AT186" s="239">
        <v>-42980</v>
      </c>
      <c r="AU186" s="239">
        <v>0</v>
      </c>
      <c r="AV186" s="239">
        <v>-42980</v>
      </c>
      <c r="AW186" s="239">
        <v>-3193</v>
      </c>
      <c r="AX186" s="239">
        <v>0</v>
      </c>
      <c r="AY186" s="239">
        <v>-3193</v>
      </c>
      <c r="AZ186" s="239">
        <v>-26638</v>
      </c>
      <c r="BA186" s="239">
        <v>0</v>
      </c>
      <c r="BB186" s="239">
        <v>-26638</v>
      </c>
      <c r="BC186" s="239">
        <v>0</v>
      </c>
      <c r="BD186" s="239">
        <v>0</v>
      </c>
      <c r="BE186" s="239">
        <v>0</v>
      </c>
      <c r="BF186" s="239">
        <v>-5149474</v>
      </c>
      <c r="BG186" s="239">
        <v>0</v>
      </c>
      <c r="BH186" s="239">
        <v>-5149474</v>
      </c>
      <c r="BI186" s="239">
        <v>0</v>
      </c>
      <c r="BJ186" s="239">
        <v>0</v>
      </c>
      <c r="BK186" s="239">
        <v>0</v>
      </c>
      <c r="BL186" s="239">
        <v>0</v>
      </c>
      <c r="BM186" s="239">
        <v>0</v>
      </c>
      <c r="BN186" s="239">
        <v>0</v>
      </c>
      <c r="BO186" s="239">
        <v>-747056</v>
      </c>
      <c r="BP186" s="239">
        <v>0</v>
      </c>
      <c r="BQ186" s="239">
        <v>-747056</v>
      </c>
      <c r="BR186" s="239">
        <v>-1071</v>
      </c>
      <c r="BS186" s="239">
        <v>0</v>
      </c>
      <c r="BT186" s="239">
        <v>-1071</v>
      </c>
      <c r="BU186" s="239">
        <v>-748127</v>
      </c>
      <c r="BV186" s="239">
        <v>0</v>
      </c>
      <c r="BW186" s="239">
        <v>-748127</v>
      </c>
      <c r="BX186" s="239">
        <v>-55487</v>
      </c>
      <c r="BY186" s="239">
        <v>0</v>
      </c>
      <c r="BZ186" s="239">
        <v>-55487</v>
      </c>
      <c r="CA186" s="239">
        <v>89</v>
      </c>
      <c r="CB186" s="239">
        <v>0</v>
      </c>
      <c r="CC186" s="239">
        <v>89</v>
      </c>
      <c r="CD186" s="239">
        <v>-10485</v>
      </c>
      <c r="CE186" s="239">
        <v>0</v>
      </c>
      <c r="CF186" s="239">
        <v>-10485</v>
      </c>
      <c r="CG186" s="239">
        <v>0</v>
      </c>
      <c r="CH186" s="239">
        <v>0</v>
      </c>
      <c r="CI186" s="239">
        <v>0</v>
      </c>
      <c r="CJ186" s="239">
        <v>-94</v>
      </c>
      <c r="CK186" s="239">
        <v>0</v>
      </c>
      <c r="CL186" s="239">
        <v>-94</v>
      </c>
      <c r="CM186" s="239">
        <v>0</v>
      </c>
      <c r="CN186" s="239">
        <v>0</v>
      </c>
      <c r="CO186" s="239">
        <v>0</v>
      </c>
      <c r="CP186" s="239">
        <v>0</v>
      </c>
      <c r="CQ186" s="239">
        <v>0</v>
      </c>
      <c r="CR186" s="239">
        <v>0</v>
      </c>
      <c r="CS186" s="239">
        <v>0</v>
      </c>
      <c r="CT186" s="239">
        <v>0</v>
      </c>
      <c r="CU186" s="239">
        <v>0</v>
      </c>
      <c r="CV186" s="239">
        <v>-26638</v>
      </c>
      <c r="CW186" s="239">
        <v>0</v>
      </c>
      <c r="CX186" s="239">
        <v>-26638</v>
      </c>
      <c r="CY186" s="239">
        <v>0</v>
      </c>
      <c r="CZ186" s="239">
        <v>0</v>
      </c>
      <c r="DA186" s="239">
        <v>0</v>
      </c>
      <c r="DB186" s="239">
        <v>-119726</v>
      </c>
      <c r="DC186" s="239">
        <v>0</v>
      </c>
      <c r="DD186" s="239">
        <v>-119726</v>
      </c>
      <c r="DE186" s="239">
        <v>0</v>
      </c>
      <c r="DF186" s="239">
        <v>0</v>
      </c>
      <c r="DG186" s="239">
        <v>0</v>
      </c>
      <c r="DH186" s="239">
        <v>0</v>
      </c>
      <c r="DI186" s="239">
        <v>0</v>
      </c>
      <c r="DJ186" s="239">
        <v>-212341</v>
      </c>
      <c r="DK186" s="239">
        <v>0</v>
      </c>
      <c r="DL186" s="239">
        <v>-212341</v>
      </c>
      <c r="DM186" s="239">
        <v>-847</v>
      </c>
      <c r="DN186" s="239">
        <v>0</v>
      </c>
      <c r="DO186" s="239">
        <v>-847</v>
      </c>
      <c r="DP186" s="239">
        <v>17598</v>
      </c>
      <c r="DQ186" s="239">
        <v>0</v>
      </c>
      <c r="DR186" s="239">
        <v>17598</v>
      </c>
      <c r="DS186" s="239">
        <v>0</v>
      </c>
      <c r="DT186" s="239">
        <v>0</v>
      </c>
      <c r="DU186" s="239">
        <v>0</v>
      </c>
      <c r="DV186" s="239">
        <v>0</v>
      </c>
      <c r="DW186" s="239">
        <v>0</v>
      </c>
      <c r="DX186" s="239">
        <v>0</v>
      </c>
      <c r="DY186" s="239">
        <v>-1500</v>
      </c>
      <c r="DZ186" s="239">
        <v>0</v>
      </c>
      <c r="EA186" s="239">
        <v>-1500</v>
      </c>
      <c r="EB186" s="239">
        <v>0</v>
      </c>
      <c r="EC186" s="239">
        <v>0</v>
      </c>
      <c r="ED186" s="239">
        <v>0</v>
      </c>
      <c r="EE186" s="239">
        <v>0</v>
      </c>
      <c r="EF186" s="239">
        <v>0</v>
      </c>
      <c r="EG186" s="239">
        <v>0</v>
      </c>
      <c r="EH186" s="239">
        <v>0</v>
      </c>
      <c r="EI186" s="239">
        <v>0</v>
      </c>
      <c r="EJ186" s="239">
        <v>0</v>
      </c>
      <c r="EK186" s="239">
        <v>0</v>
      </c>
      <c r="EL186" s="239">
        <v>0</v>
      </c>
      <c r="EM186" s="239">
        <v>0</v>
      </c>
      <c r="EN186" s="239">
        <v>-1500</v>
      </c>
      <c r="EO186" s="239">
        <v>0</v>
      </c>
      <c r="EP186" s="239">
        <v>-1500</v>
      </c>
      <c r="EQ186" s="239">
        <v>-29607</v>
      </c>
      <c r="ER186" s="239">
        <v>0</v>
      </c>
      <c r="ES186" s="239">
        <v>-29607</v>
      </c>
      <c r="ET186" s="239">
        <v>-119273</v>
      </c>
      <c r="EU186" s="239">
        <v>0</v>
      </c>
      <c r="EV186" s="239">
        <v>-119273</v>
      </c>
      <c r="EW186" s="239">
        <v>-31689</v>
      </c>
      <c r="EX186" s="239">
        <v>0</v>
      </c>
      <c r="EY186" s="239">
        <v>-31689</v>
      </c>
      <c r="EZ186" s="239">
        <v>-166818</v>
      </c>
      <c r="FA186" s="239">
        <v>0</v>
      </c>
      <c r="FB186" s="239">
        <v>-166818</v>
      </c>
      <c r="FC186" s="239">
        <v>-431</v>
      </c>
      <c r="FD186" s="239">
        <v>0</v>
      </c>
      <c r="FE186" s="239">
        <v>-431</v>
      </c>
      <c r="FF186" s="239">
        <v>0</v>
      </c>
      <c r="FG186" s="239">
        <v>0</v>
      </c>
      <c r="FH186" s="239">
        <v>0</v>
      </c>
      <c r="FI186" s="239">
        <v>-431</v>
      </c>
      <c r="FJ186" s="239">
        <v>0</v>
      </c>
      <c r="FK186" s="239">
        <v>-431</v>
      </c>
      <c r="FL186" s="239">
        <v>32759655</v>
      </c>
      <c r="FM186" s="239">
        <v>0</v>
      </c>
      <c r="FN186" s="239">
        <v>32759655</v>
      </c>
      <c r="FO186" s="239">
        <v>-723996</v>
      </c>
      <c r="FP186" s="239">
        <v>0</v>
      </c>
      <c r="FQ186" s="239">
        <v>-723996</v>
      </c>
      <c r="FR186" s="239">
        <v>-5149474</v>
      </c>
      <c r="FS186" s="239">
        <v>0</v>
      </c>
      <c r="FT186" s="239">
        <v>-5149474</v>
      </c>
      <c r="FU186" s="239">
        <v>-748127</v>
      </c>
      <c r="FV186" s="239">
        <v>0</v>
      </c>
      <c r="FW186" s="239">
        <v>-748127</v>
      </c>
      <c r="FX186" s="239">
        <v>-212341</v>
      </c>
      <c r="FY186" s="239">
        <v>0</v>
      </c>
      <c r="FZ186" s="239">
        <v>-212341</v>
      </c>
      <c r="GA186" s="239">
        <v>-166818</v>
      </c>
      <c r="GB186" s="239">
        <v>0</v>
      </c>
      <c r="GC186" s="239">
        <v>-166818</v>
      </c>
      <c r="GD186" s="239">
        <v>-431</v>
      </c>
      <c r="GE186" s="239">
        <v>0</v>
      </c>
      <c r="GF186" s="239">
        <v>-431</v>
      </c>
      <c r="GG186" s="239">
        <v>-7001187</v>
      </c>
      <c r="GH186" s="239">
        <v>0</v>
      </c>
      <c r="GI186" s="239">
        <v>-7001187</v>
      </c>
      <c r="GJ186" s="239">
        <v>25758468</v>
      </c>
      <c r="GK186" s="239">
        <v>0</v>
      </c>
      <c r="GL186" s="239">
        <v>25758468</v>
      </c>
      <c r="GM186" s="214" t="s">
        <v>1158</v>
      </c>
    </row>
    <row r="187" spans="2:195" s="214" customFormat="1" x14ac:dyDescent="0.2">
      <c r="B187" s="602" t="s">
        <v>457</v>
      </c>
      <c r="C187" s="602" t="s">
        <v>456</v>
      </c>
      <c r="D187" s="239">
        <v>-1890955</v>
      </c>
      <c r="E187" s="239">
        <v>-48472</v>
      </c>
      <c r="F187" s="239">
        <v>-1939427</v>
      </c>
      <c r="G187" s="239">
        <v>5240224</v>
      </c>
      <c r="H187" s="239">
        <v>0</v>
      </c>
      <c r="I187" s="239">
        <v>5240224</v>
      </c>
      <c r="J187" s="239">
        <v>9337963</v>
      </c>
      <c r="K187" s="239">
        <v>59678</v>
      </c>
      <c r="L187" s="239">
        <v>9397641</v>
      </c>
      <c r="M187" s="239">
        <v>37623</v>
      </c>
      <c r="N187" s="239">
        <v>11718</v>
      </c>
      <c r="O187" s="239">
        <v>49341</v>
      </c>
      <c r="P187" s="239">
        <v>12724855</v>
      </c>
      <c r="Q187" s="239">
        <v>22924</v>
      </c>
      <c r="R187" s="239">
        <v>12747779</v>
      </c>
      <c r="S187" s="239">
        <v>-5174320</v>
      </c>
      <c r="T187" s="239">
        <v>-9340</v>
      </c>
      <c r="U187" s="239">
        <v>-5183660</v>
      </c>
      <c r="V187" s="239">
        <v>-15284</v>
      </c>
      <c r="W187" s="239">
        <v>0</v>
      </c>
      <c r="X187" s="239">
        <v>-15284</v>
      </c>
      <c r="Y187" s="239">
        <v>-222508</v>
      </c>
      <c r="Z187" s="239">
        <v>0</v>
      </c>
      <c r="AA187" s="239">
        <v>-222508</v>
      </c>
      <c r="AB187" s="239">
        <v>-199672</v>
      </c>
      <c r="AC187" s="239">
        <v>0</v>
      </c>
      <c r="AD187" s="239">
        <v>-199672</v>
      </c>
      <c r="AE187" s="239">
        <v>-2464</v>
      </c>
      <c r="AF187" s="239">
        <v>0</v>
      </c>
      <c r="AG187" s="239">
        <v>-2464</v>
      </c>
      <c r="AH187" s="239">
        <v>2002526</v>
      </c>
      <c r="AI187" s="239">
        <v>0</v>
      </c>
      <c r="AJ187" s="239">
        <v>2002526</v>
      </c>
      <c r="AK187" s="239">
        <v>2167554</v>
      </c>
      <c r="AL187" s="239">
        <v>0</v>
      </c>
      <c r="AM187" s="239">
        <v>2167554</v>
      </c>
      <c r="AN187" s="239">
        <v>-2571852</v>
      </c>
      <c r="AO187" s="239">
        <v>0</v>
      </c>
      <c r="AP187" s="239">
        <v>-2571852</v>
      </c>
      <c r="AQ187" s="239">
        <v>-322</v>
      </c>
      <c r="AR187" s="239">
        <v>0</v>
      </c>
      <c r="AS187" s="239">
        <v>-322</v>
      </c>
      <c r="AT187" s="239">
        <v>-44841</v>
      </c>
      <c r="AU187" s="239">
        <v>0</v>
      </c>
      <c r="AV187" s="239">
        <v>-44841</v>
      </c>
      <c r="AW187" s="239">
        <v>-18782</v>
      </c>
      <c r="AX187" s="239">
        <v>0</v>
      </c>
      <c r="AY187" s="239">
        <v>-18782</v>
      </c>
      <c r="AZ187" s="239">
        <v>-14728</v>
      </c>
      <c r="BA187" s="239">
        <v>0</v>
      </c>
      <c r="BB187" s="239">
        <v>-14728</v>
      </c>
      <c r="BC187" s="239">
        <v>4571</v>
      </c>
      <c r="BD187" s="239">
        <v>0</v>
      </c>
      <c r="BE187" s="239">
        <v>4571</v>
      </c>
      <c r="BF187" s="239">
        <v>-3872702</v>
      </c>
      <c r="BG187" s="239">
        <v>-9340</v>
      </c>
      <c r="BH187" s="239">
        <v>-3882042</v>
      </c>
      <c r="BI187" s="239">
        <v>0</v>
      </c>
      <c r="BJ187" s="239">
        <v>0</v>
      </c>
      <c r="BK187" s="239">
        <v>0</v>
      </c>
      <c r="BL187" s="239">
        <v>8364</v>
      </c>
      <c r="BM187" s="239">
        <v>0</v>
      </c>
      <c r="BN187" s="239">
        <v>8364</v>
      </c>
      <c r="BO187" s="239">
        <v>-2180330</v>
      </c>
      <c r="BP187" s="239">
        <v>-988598</v>
      </c>
      <c r="BQ187" s="239">
        <v>-3168928</v>
      </c>
      <c r="BR187" s="239">
        <v>882071</v>
      </c>
      <c r="BS187" s="239">
        <v>0</v>
      </c>
      <c r="BT187" s="239">
        <v>882071</v>
      </c>
      <c r="BU187" s="239">
        <v>-1289895</v>
      </c>
      <c r="BV187" s="239">
        <v>-988598</v>
      </c>
      <c r="BW187" s="239">
        <v>-2278493</v>
      </c>
      <c r="BX187" s="239">
        <v>-79097</v>
      </c>
      <c r="BY187" s="239">
        <v>0</v>
      </c>
      <c r="BZ187" s="239">
        <v>-79097</v>
      </c>
      <c r="CA187" s="239">
        <v>3549</v>
      </c>
      <c r="CB187" s="239">
        <v>0</v>
      </c>
      <c r="CC187" s="239">
        <v>3549</v>
      </c>
      <c r="CD187" s="239">
        <v>-117327</v>
      </c>
      <c r="CE187" s="239">
        <v>0</v>
      </c>
      <c r="CF187" s="239">
        <v>-117327</v>
      </c>
      <c r="CG187" s="239">
        <v>5675</v>
      </c>
      <c r="CH187" s="239">
        <v>0</v>
      </c>
      <c r="CI187" s="239">
        <v>5675</v>
      </c>
      <c r="CJ187" s="239">
        <v>-6542</v>
      </c>
      <c r="CK187" s="239">
        <v>0</v>
      </c>
      <c r="CL187" s="239">
        <v>-6542</v>
      </c>
      <c r="CM187" s="239">
        <v>-6007</v>
      </c>
      <c r="CN187" s="239">
        <v>0</v>
      </c>
      <c r="CO187" s="239">
        <v>-6007</v>
      </c>
      <c r="CP187" s="239">
        <v>0</v>
      </c>
      <c r="CQ187" s="239">
        <v>0</v>
      </c>
      <c r="CR187" s="239">
        <v>0</v>
      </c>
      <c r="CS187" s="239">
        <v>4799</v>
      </c>
      <c r="CT187" s="239">
        <v>0</v>
      </c>
      <c r="CU187" s="239">
        <v>4799</v>
      </c>
      <c r="CV187" s="239">
        <v>0</v>
      </c>
      <c r="CW187" s="239">
        <v>0</v>
      </c>
      <c r="CX187" s="239">
        <v>0</v>
      </c>
      <c r="CY187" s="239">
        <v>0</v>
      </c>
      <c r="CZ187" s="239">
        <v>0</v>
      </c>
      <c r="DA187" s="239">
        <v>0</v>
      </c>
      <c r="DB187" s="239">
        <v>0</v>
      </c>
      <c r="DC187" s="239">
        <v>-14473</v>
      </c>
      <c r="DD187" s="239">
        <v>-14473</v>
      </c>
      <c r="DE187" s="239">
        <v>0</v>
      </c>
      <c r="DF187" s="239">
        <v>0</v>
      </c>
      <c r="DG187" s="239">
        <v>0</v>
      </c>
      <c r="DH187" s="239">
        <v>-14473</v>
      </c>
      <c r="DI187" s="239">
        <v>0</v>
      </c>
      <c r="DJ187" s="239">
        <v>-194950</v>
      </c>
      <c r="DK187" s="239">
        <v>-14473</v>
      </c>
      <c r="DL187" s="239">
        <v>-209423</v>
      </c>
      <c r="DM187" s="239">
        <v>-41620</v>
      </c>
      <c r="DN187" s="239">
        <v>0</v>
      </c>
      <c r="DO187" s="239">
        <v>-41620</v>
      </c>
      <c r="DP187" s="239">
        <v>2368</v>
      </c>
      <c r="DQ187" s="239">
        <v>0</v>
      </c>
      <c r="DR187" s="239">
        <v>2368</v>
      </c>
      <c r="DS187" s="239">
        <v>-9183</v>
      </c>
      <c r="DT187" s="239">
        <v>0</v>
      </c>
      <c r="DU187" s="239">
        <v>-9183</v>
      </c>
      <c r="DV187" s="239">
        <v>1331</v>
      </c>
      <c r="DW187" s="239">
        <v>0</v>
      </c>
      <c r="DX187" s="239">
        <v>1331</v>
      </c>
      <c r="DY187" s="239">
        <v>6044</v>
      </c>
      <c r="DZ187" s="239">
        <v>0</v>
      </c>
      <c r="EA187" s="239">
        <v>6044</v>
      </c>
      <c r="EB187" s="239">
        <v>0</v>
      </c>
      <c r="EC187" s="239">
        <v>0</v>
      </c>
      <c r="ED187" s="239">
        <v>0</v>
      </c>
      <c r="EE187" s="239">
        <v>0</v>
      </c>
      <c r="EF187" s="239">
        <v>0</v>
      </c>
      <c r="EG187" s="239">
        <v>0</v>
      </c>
      <c r="EH187" s="239">
        <v>0</v>
      </c>
      <c r="EI187" s="239">
        <v>0</v>
      </c>
      <c r="EJ187" s="239">
        <v>0</v>
      </c>
      <c r="EK187" s="239">
        <v>-14728</v>
      </c>
      <c r="EL187" s="239">
        <v>0</v>
      </c>
      <c r="EM187" s="239">
        <v>-14728</v>
      </c>
      <c r="EN187" s="239">
        <v>-1500</v>
      </c>
      <c r="EO187" s="239">
        <v>0</v>
      </c>
      <c r="EP187" s="239">
        <v>-1500</v>
      </c>
      <c r="EQ187" s="239">
        <v>-32228</v>
      </c>
      <c r="ER187" s="239">
        <v>0</v>
      </c>
      <c r="ES187" s="239">
        <v>-32228</v>
      </c>
      <c r="ET187" s="239">
        <v>-243221</v>
      </c>
      <c r="EU187" s="239">
        <v>0</v>
      </c>
      <c r="EV187" s="239">
        <v>-243221</v>
      </c>
      <c r="EW187" s="239">
        <v>-61301</v>
      </c>
      <c r="EX187" s="239">
        <v>0</v>
      </c>
      <c r="EY187" s="239">
        <v>-61301</v>
      </c>
      <c r="EZ187" s="239">
        <v>-394038</v>
      </c>
      <c r="FA187" s="239">
        <v>0</v>
      </c>
      <c r="FB187" s="239">
        <v>-394038</v>
      </c>
      <c r="FC187" s="239">
        <v>0</v>
      </c>
      <c r="FD187" s="239">
        <v>0</v>
      </c>
      <c r="FE187" s="239">
        <v>0</v>
      </c>
      <c r="FF187" s="239">
        <v>0</v>
      </c>
      <c r="FG187" s="239">
        <v>0</v>
      </c>
      <c r="FH187" s="239">
        <v>0</v>
      </c>
      <c r="FI187" s="239">
        <v>0</v>
      </c>
      <c r="FJ187" s="239">
        <v>0</v>
      </c>
      <c r="FK187" s="239">
        <v>0</v>
      </c>
      <c r="FL187" s="239">
        <v>73299802</v>
      </c>
      <c r="FM187" s="239">
        <v>3045619</v>
      </c>
      <c r="FN187" s="239">
        <v>76345421</v>
      </c>
      <c r="FO187" s="239">
        <v>12724855</v>
      </c>
      <c r="FP187" s="239">
        <v>22924</v>
      </c>
      <c r="FQ187" s="239">
        <v>12747779</v>
      </c>
      <c r="FR187" s="239">
        <v>-3872702</v>
      </c>
      <c r="FS187" s="239">
        <v>-9340</v>
      </c>
      <c r="FT187" s="239">
        <v>-3882042</v>
      </c>
      <c r="FU187" s="239">
        <v>-1289895</v>
      </c>
      <c r="FV187" s="239">
        <v>-988598</v>
      </c>
      <c r="FW187" s="239">
        <v>-2278493</v>
      </c>
      <c r="FX187" s="239">
        <v>-194950</v>
      </c>
      <c r="FY187" s="239">
        <v>-14473</v>
      </c>
      <c r="FZ187" s="239">
        <v>-209423</v>
      </c>
      <c r="GA187" s="239">
        <v>-394038</v>
      </c>
      <c r="GB187" s="239">
        <v>0</v>
      </c>
      <c r="GC187" s="239">
        <v>-394038</v>
      </c>
      <c r="GD187" s="239">
        <v>0</v>
      </c>
      <c r="GE187" s="239">
        <v>0</v>
      </c>
      <c r="GF187" s="239">
        <v>0</v>
      </c>
      <c r="GG187" s="239">
        <v>6973270</v>
      </c>
      <c r="GH187" s="239">
        <v>-989487</v>
      </c>
      <c r="GI187" s="239">
        <v>5983783</v>
      </c>
      <c r="GJ187" s="239">
        <v>80273072</v>
      </c>
      <c r="GK187" s="239">
        <v>2056132</v>
      </c>
      <c r="GL187" s="239">
        <v>82329204</v>
      </c>
      <c r="GM187" s="214" t="s">
        <v>746</v>
      </c>
    </row>
    <row r="188" spans="2:195" s="214" customFormat="1" x14ac:dyDescent="0.2">
      <c r="B188" s="602" t="s">
        <v>459</v>
      </c>
      <c r="C188" s="602" t="s">
        <v>458</v>
      </c>
      <c r="D188" s="239">
        <v>-3225908</v>
      </c>
      <c r="E188" s="239">
        <v>-75030</v>
      </c>
      <c r="F188" s="239">
        <v>-3300938</v>
      </c>
      <c r="G188" s="239">
        <v>108983</v>
      </c>
      <c r="H188" s="239">
        <v>0</v>
      </c>
      <c r="I188" s="239">
        <v>108983</v>
      </c>
      <c r="J188" s="239">
        <v>719234</v>
      </c>
      <c r="K188" s="239">
        <v>0</v>
      </c>
      <c r="L188" s="239">
        <v>719234</v>
      </c>
      <c r="M188" s="239">
        <v>6020</v>
      </c>
      <c r="N188" s="239">
        <v>0</v>
      </c>
      <c r="O188" s="239">
        <v>6020</v>
      </c>
      <c r="P188" s="239">
        <v>-2391671</v>
      </c>
      <c r="Q188" s="239">
        <v>-75030</v>
      </c>
      <c r="R188" s="239">
        <v>-2466701</v>
      </c>
      <c r="S188" s="239">
        <v>-6168350</v>
      </c>
      <c r="T188" s="239">
        <v>-41787</v>
      </c>
      <c r="U188" s="239">
        <v>-6210137</v>
      </c>
      <c r="V188" s="239">
        <v>-1978</v>
      </c>
      <c r="W188" s="239">
        <v>0</v>
      </c>
      <c r="X188" s="239">
        <v>-1978</v>
      </c>
      <c r="Y188" s="239">
        <v>-599772</v>
      </c>
      <c r="Z188" s="239">
        <v>-12658</v>
      </c>
      <c r="AA188" s="239">
        <v>-612430</v>
      </c>
      <c r="AB188" s="239">
        <v>-476449</v>
      </c>
      <c r="AC188" s="239">
        <v>0</v>
      </c>
      <c r="AD188" s="239">
        <v>-476449</v>
      </c>
      <c r="AE188" s="239">
        <v>0</v>
      </c>
      <c r="AF188" s="239">
        <v>0</v>
      </c>
      <c r="AG188" s="239">
        <v>0</v>
      </c>
      <c r="AH188" s="239">
        <v>534481</v>
      </c>
      <c r="AI188" s="239">
        <v>5210</v>
      </c>
      <c r="AJ188" s="239">
        <v>539691</v>
      </c>
      <c r="AK188" s="239">
        <v>-28055</v>
      </c>
      <c r="AL188" s="239">
        <v>1700</v>
      </c>
      <c r="AM188" s="239">
        <v>-26355</v>
      </c>
      <c r="AN188" s="239">
        <v>-1982456</v>
      </c>
      <c r="AO188" s="239">
        <v>0</v>
      </c>
      <c r="AP188" s="239">
        <v>-1982456</v>
      </c>
      <c r="AQ188" s="239">
        <v>-31832</v>
      </c>
      <c r="AR188" s="239">
        <v>0</v>
      </c>
      <c r="AS188" s="239">
        <v>-31832</v>
      </c>
      <c r="AT188" s="239">
        <v>-38440</v>
      </c>
      <c r="AU188" s="239">
        <v>0</v>
      </c>
      <c r="AV188" s="239">
        <v>-38440</v>
      </c>
      <c r="AW188" s="239">
        <v>0</v>
      </c>
      <c r="AX188" s="239">
        <v>0</v>
      </c>
      <c r="AY188" s="239">
        <v>0</v>
      </c>
      <c r="AZ188" s="239">
        <v>-77901</v>
      </c>
      <c r="BA188" s="239">
        <v>0</v>
      </c>
      <c r="BB188" s="239">
        <v>-77901</v>
      </c>
      <c r="BC188" s="239">
        <v>6727</v>
      </c>
      <c r="BD188" s="239">
        <v>0</v>
      </c>
      <c r="BE188" s="239">
        <v>6727</v>
      </c>
      <c r="BF188" s="239">
        <v>-8385598</v>
      </c>
      <c r="BG188" s="239">
        <v>-47535</v>
      </c>
      <c r="BH188" s="239">
        <v>-8433133</v>
      </c>
      <c r="BI188" s="239">
        <v>0</v>
      </c>
      <c r="BJ188" s="239">
        <v>0</v>
      </c>
      <c r="BK188" s="239">
        <v>0</v>
      </c>
      <c r="BL188" s="239">
        <v>0</v>
      </c>
      <c r="BM188" s="239">
        <v>0</v>
      </c>
      <c r="BN188" s="239">
        <v>0</v>
      </c>
      <c r="BO188" s="239">
        <v>-489337</v>
      </c>
      <c r="BP188" s="239">
        <v>-6234</v>
      </c>
      <c r="BQ188" s="239">
        <v>-495571</v>
      </c>
      <c r="BR188" s="239">
        <v>-57329</v>
      </c>
      <c r="BS188" s="239">
        <v>-4765</v>
      </c>
      <c r="BT188" s="239">
        <v>-62094</v>
      </c>
      <c r="BU188" s="239">
        <v>-546666</v>
      </c>
      <c r="BV188" s="239">
        <v>-10999</v>
      </c>
      <c r="BW188" s="239">
        <v>-557665</v>
      </c>
      <c r="BX188" s="239">
        <v>-7825</v>
      </c>
      <c r="BY188" s="239">
        <v>0</v>
      </c>
      <c r="BZ188" s="239">
        <v>-7825</v>
      </c>
      <c r="CA188" s="239">
        <v>-1645</v>
      </c>
      <c r="CB188" s="239">
        <v>0</v>
      </c>
      <c r="CC188" s="239">
        <v>-1645</v>
      </c>
      <c r="CD188" s="239">
        <v>0</v>
      </c>
      <c r="CE188" s="239">
        <v>0</v>
      </c>
      <c r="CF188" s="239">
        <v>0</v>
      </c>
      <c r="CG188" s="239">
        <v>107</v>
      </c>
      <c r="CH188" s="239">
        <v>0</v>
      </c>
      <c r="CI188" s="239">
        <v>107</v>
      </c>
      <c r="CJ188" s="239">
        <v>0</v>
      </c>
      <c r="CK188" s="239">
        <v>0</v>
      </c>
      <c r="CL188" s="239">
        <v>0</v>
      </c>
      <c r="CM188" s="239">
        <v>0</v>
      </c>
      <c r="CN188" s="239">
        <v>0</v>
      </c>
      <c r="CO188" s="239">
        <v>0</v>
      </c>
      <c r="CP188" s="239">
        <v>-81571</v>
      </c>
      <c r="CQ188" s="239">
        <v>0</v>
      </c>
      <c r="CR188" s="239">
        <v>-81571</v>
      </c>
      <c r="CS188" s="239">
        <v>0</v>
      </c>
      <c r="CT188" s="239">
        <v>0</v>
      </c>
      <c r="CU188" s="239">
        <v>0</v>
      </c>
      <c r="CV188" s="239">
        <v>0</v>
      </c>
      <c r="CW188" s="239">
        <v>0</v>
      </c>
      <c r="CX188" s="239">
        <v>0</v>
      </c>
      <c r="CY188" s="239">
        <v>0</v>
      </c>
      <c r="CZ188" s="239">
        <v>0</v>
      </c>
      <c r="DA188" s="239">
        <v>0</v>
      </c>
      <c r="DB188" s="239">
        <v>0</v>
      </c>
      <c r="DC188" s="239">
        <v>-168501</v>
      </c>
      <c r="DD188" s="239">
        <v>-168501</v>
      </c>
      <c r="DE188" s="239">
        <v>0</v>
      </c>
      <c r="DF188" s="239">
        <v>-37701</v>
      </c>
      <c r="DG188" s="239">
        <v>-37701</v>
      </c>
      <c r="DH188" s="239">
        <v>-206202</v>
      </c>
      <c r="DI188" s="239">
        <v>0</v>
      </c>
      <c r="DJ188" s="239">
        <v>-90934</v>
      </c>
      <c r="DK188" s="239">
        <v>-206202</v>
      </c>
      <c r="DL188" s="239">
        <v>-297136</v>
      </c>
      <c r="DM188" s="239">
        <v>0</v>
      </c>
      <c r="DN188" s="239">
        <v>0</v>
      </c>
      <c r="DO188" s="239">
        <v>0</v>
      </c>
      <c r="DP188" s="239">
        <v>8610</v>
      </c>
      <c r="DQ188" s="239">
        <v>0</v>
      </c>
      <c r="DR188" s="239">
        <v>8610</v>
      </c>
      <c r="DS188" s="239">
        <v>0</v>
      </c>
      <c r="DT188" s="239">
        <v>0</v>
      </c>
      <c r="DU188" s="239">
        <v>0</v>
      </c>
      <c r="DV188" s="239">
        <v>0</v>
      </c>
      <c r="DW188" s="239">
        <v>0</v>
      </c>
      <c r="DX188" s="239">
        <v>0</v>
      </c>
      <c r="DY188" s="239">
        <v>16678</v>
      </c>
      <c r="DZ188" s="239">
        <v>0</v>
      </c>
      <c r="EA188" s="239">
        <v>16678</v>
      </c>
      <c r="EB188" s="239">
        <v>0</v>
      </c>
      <c r="EC188" s="239">
        <v>0</v>
      </c>
      <c r="ED188" s="239">
        <v>0</v>
      </c>
      <c r="EE188" s="239">
        <v>253</v>
      </c>
      <c r="EF188" s="239">
        <v>0</v>
      </c>
      <c r="EG188" s="239">
        <v>253</v>
      </c>
      <c r="EH188" s="239">
        <v>3145</v>
      </c>
      <c r="EI188" s="239">
        <v>0</v>
      </c>
      <c r="EJ188" s="239">
        <v>3145</v>
      </c>
      <c r="EK188" s="239">
        <v>-81571</v>
      </c>
      <c r="EL188" s="239">
        <v>0</v>
      </c>
      <c r="EM188" s="239">
        <v>-81571</v>
      </c>
      <c r="EN188" s="239">
        <v>-1500</v>
      </c>
      <c r="EO188" s="239">
        <v>0</v>
      </c>
      <c r="EP188" s="239">
        <v>-1500</v>
      </c>
      <c r="EQ188" s="239">
        <v>-117473</v>
      </c>
      <c r="ER188" s="239">
        <v>0</v>
      </c>
      <c r="ES188" s="239">
        <v>-117473</v>
      </c>
      <c r="ET188" s="239">
        <v>-501678</v>
      </c>
      <c r="EU188" s="239">
        <v>0</v>
      </c>
      <c r="EV188" s="239">
        <v>-501678</v>
      </c>
      <c r="EW188" s="239">
        <v>-62711</v>
      </c>
      <c r="EX188" s="239">
        <v>0</v>
      </c>
      <c r="EY188" s="239">
        <v>-62711</v>
      </c>
      <c r="EZ188" s="239">
        <v>-736247</v>
      </c>
      <c r="FA188" s="239">
        <v>0</v>
      </c>
      <c r="FB188" s="239">
        <v>-736247</v>
      </c>
      <c r="FC188" s="239">
        <v>0</v>
      </c>
      <c r="FD188" s="239">
        <v>0</v>
      </c>
      <c r="FE188" s="239">
        <v>0</v>
      </c>
      <c r="FF188" s="239">
        <v>0</v>
      </c>
      <c r="FG188" s="239">
        <v>0</v>
      </c>
      <c r="FH188" s="239">
        <v>0</v>
      </c>
      <c r="FI188" s="239">
        <v>0</v>
      </c>
      <c r="FJ188" s="239">
        <v>0</v>
      </c>
      <c r="FK188" s="239">
        <v>0</v>
      </c>
      <c r="FL188" s="239">
        <v>35977038</v>
      </c>
      <c r="FM188" s="239">
        <v>404504</v>
      </c>
      <c r="FN188" s="239">
        <v>36381542</v>
      </c>
      <c r="FO188" s="239">
        <v>-2391671</v>
      </c>
      <c r="FP188" s="239">
        <v>-75030</v>
      </c>
      <c r="FQ188" s="239">
        <v>-2466701</v>
      </c>
      <c r="FR188" s="239">
        <v>-8385598</v>
      </c>
      <c r="FS188" s="239">
        <v>-47535</v>
      </c>
      <c r="FT188" s="239">
        <v>-8433133</v>
      </c>
      <c r="FU188" s="239">
        <v>-546666</v>
      </c>
      <c r="FV188" s="239">
        <v>-10999</v>
      </c>
      <c r="FW188" s="239">
        <v>-557665</v>
      </c>
      <c r="FX188" s="239">
        <v>-90934</v>
      </c>
      <c r="FY188" s="239">
        <v>-206202</v>
      </c>
      <c r="FZ188" s="239">
        <v>-297136</v>
      </c>
      <c r="GA188" s="239">
        <v>-736247</v>
      </c>
      <c r="GB188" s="239">
        <v>0</v>
      </c>
      <c r="GC188" s="239">
        <v>-736247</v>
      </c>
      <c r="GD188" s="239">
        <v>0</v>
      </c>
      <c r="GE188" s="239">
        <v>0</v>
      </c>
      <c r="GF188" s="239">
        <v>0</v>
      </c>
      <c r="GG188" s="239">
        <v>-12151116</v>
      </c>
      <c r="GH188" s="239">
        <v>-339766</v>
      </c>
      <c r="GI188" s="239">
        <v>-12490882</v>
      </c>
      <c r="GJ188" s="239">
        <v>23825922</v>
      </c>
      <c r="GK188" s="239">
        <v>64738</v>
      </c>
      <c r="GL188" s="239">
        <v>23890660</v>
      </c>
      <c r="GM188" s="214" t="s">
        <v>1158</v>
      </c>
    </row>
    <row r="189" spans="2:195" s="214" customFormat="1" x14ac:dyDescent="0.2">
      <c r="B189" s="602" t="s">
        <v>461</v>
      </c>
      <c r="C189" s="602" t="s">
        <v>460</v>
      </c>
      <c r="D189" s="239">
        <v>-1451899</v>
      </c>
      <c r="E189" s="239">
        <v>-17370</v>
      </c>
      <c r="F189" s="239">
        <v>-1469269</v>
      </c>
      <c r="G189" s="239">
        <v>6411</v>
      </c>
      <c r="H189" s="239">
        <v>0</v>
      </c>
      <c r="I189" s="239">
        <v>6411</v>
      </c>
      <c r="J189" s="239">
        <v>2760418</v>
      </c>
      <c r="K189" s="239">
        <v>110020</v>
      </c>
      <c r="L189" s="239">
        <v>2870438</v>
      </c>
      <c r="M189" s="239">
        <v>-84899</v>
      </c>
      <c r="N189" s="239">
        <v>-79</v>
      </c>
      <c r="O189" s="239">
        <v>-84978</v>
      </c>
      <c r="P189" s="239">
        <v>1230031</v>
      </c>
      <c r="Q189" s="239">
        <v>92571</v>
      </c>
      <c r="R189" s="239">
        <v>1322602</v>
      </c>
      <c r="S189" s="239">
        <v>-6176795</v>
      </c>
      <c r="T189" s="239">
        <v>-65317</v>
      </c>
      <c r="U189" s="239">
        <v>-6242112</v>
      </c>
      <c r="V189" s="239">
        <v>-16105</v>
      </c>
      <c r="W189" s="239">
        <v>0</v>
      </c>
      <c r="X189" s="239">
        <v>-16105</v>
      </c>
      <c r="Y189" s="239">
        <v>-218386</v>
      </c>
      <c r="Z189" s="239">
        <v>614</v>
      </c>
      <c r="AA189" s="239">
        <v>-217772</v>
      </c>
      <c r="AB189" s="239">
        <v>-179894</v>
      </c>
      <c r="AC189" s="239">
        <v>614</v>
      </c>
      <c r="AD189" s="239">
        <v>-179280</v>
      </c>
      <c r="AE189" s="239">
        <v>3576</v>
      </c>
      <c r="AF189" s="239">
        <v>0</v>
      </c>
      <c r="AG189" s="239">
        <v>3576</v>
      </c>
      <c r="AH189" s="239">
        <v>1410451</v>
      </c>
      <c r="AI189" s="239">
        <v>21923</v>
      </c>
      <c r="AJ189" s="239">
        <v>1432374</v>
      </c>
      <c r="AK189" s="239">
        <v>114874</v>
      </c>
      <c r="AL189" s="239">
        <v>904</v>
      </c>
      <c r="AM189" s="239">
        <v>115778</v>
      </c>
      <c r="AN189" s="239">
        <v>-5262592</v>
      </c>
      <c r="AO189" s="239">
        <v>-313199</v>
      </c>
      <c r="AP189" s="239">
        <v>-5575791</v>
      </c>
      <c r="AQ189" s="239">
        <v>-24017</v>
      </c>
      <c r="AR189" s="239">
        <v>-90908</v>
      </c>
      <c r="AS189" s="239">
        <v>-114925</v>
      </c>
      <c r="AT189" s="239">
        <v>-90105</v>
      </c>
      <c r="AU189" s="239">
        <v>0</v>
      </c>
      <c r="AV189" s="239">
        <v>-90105</v>
      </c>
      <c r="AW189" s="239">
        <v>28832</v>
      </c>
      <c r="AX189" s="239">
        <v>0</v>
      </c>
      <c r="AY189" s="239">
        <v>28832</v>
      </c>
      <c r="AZ189" s="239">
        <v>-11685</v>
      </c>
      <c r="BA189" s="239">
        <v>0</v>
      </c>
      <c r="BB189" s="239">
        <v>-11685</v>
      </c>
      <c r="BC189" s="239">
        <v>-4997</v>
      </c>
      <c r="BD189" s="239">
        <v>0</v>
      </c>
      <c r="BE189" s="239">
        <v>-4997</v>
      </c>
      <c r="BF189" s="239">
        <v>-10234420</v>
      </c>
      <c r="BG189" s="239">
        <v>-445983</v>
      </c>
      <c r="BH189" s="239">
        <v>-10680403</v>
      </c>
      <c r="BI189" s="239">
        <v>-28921</v>
      </c>
      <c r="BJ189" s="239">
        <v>0</v>
      </c>
      <c r="BK189" s="239">
        <v>-28921</v>
      </c>
      <c r="BL189" s="239">
        <v>-46447</v>
      </c>
      <c r="BM189" s="239">
        <v>0</v>
      </c>
      <c r="BN189" s="239">
        <v>-46447</v>
      </c>
      <c r="BO189" s="239">
        <v>-1845973</v>
      </c>
      <c r="BP189" s="239">
        <v>-11840</v>
      </c>
      <c r="BQ189" s="239">
        <v>-1857813</v>
      </c>
      <c r="BR189" s="239">
        <v>210063</v>
      </c>
      <c r="BS189" s="239">
        <v>-271</v>
      </c>
      <c r="BT189" s="239">
        <v>209792</v>
      </c>
      <c r="BU189" s="239">
        <v>-1711278</v>
      </c>
      <c r="BV189" s="239">
        <v>-12111</v>
      </c>
      <c r="BW189" s="239">
        <v>-1723389</v>
      </c>
      <c r="BX189" s="239">
        <v>-65118</v>
      </c>
      <c r="BY189" s="239">
        <v>0</v>
      </c>
      <c r="BZ189" s="239">
        <v>-65118</v>
      </c>
      <c r="CA189" s="239">
        <v>464</v>
      </c>
      <c r="CB189" s="239">
        <v>0</v>
      </c>
      <c r="CC189" s="239">
        <v>464</v>
      </c>
      <c r="CD189" s="239">
        <v>-308538</v>
      </c>
      <c r="CE189" s="239">
        <v>0</v>
      </c>
      <c r="CF189" s="239">
        <v>-308538</v>
      </c>
      <c r="CG189" s="239">
        <v>-25687</v>
      </c>
      <c r="CH189" s="239">
        <v>0</v>
      </c>
      <c r="CI189" s="239">
        <v>-25687</v>
      </c>
      <c r="CJ189" s="239">
        <v>0</v>
      </c>
      <c r="CK189" s="239">
        <v>0</v>
      </c>
      <c r="CL189" s="239">
        <v>0</v>
      </c>
      <c r="CM189" s="239">
        <v>0</v>
      </c>
      <c r="CN189" s="239">
        <v>0</v>
      </c>
      <c r="CO189" s="239">
        <v>0</v>
      </c>
      <c r="CP189" s="239">
        <v>0</v>
      </c>
      <c r="CQ189" s="239">
        <v>0</v>
      </c>
      <c r="CR189" s="239">
        <v>0</v>
      </c>
      <c r="CS189" s="239">
        <v>0</v>
      </c>
      <c r="CT189" s="239">
        <v>0</v>
      </c>
      <c r="CU189" s="239">
        <v>0</v>
      </c>
      <c r="CV189" s="239">
        <v>0</v>
      </c>
      <c r="CW189" s="239">
        <v>0</v>
      </c>
      <c r="CX189" s="239">
        <v>0</v>
      </c>
      <c r="CY189" s="239">
        <v>0</v>
      </c>
      <c r="CZ189" s="239">
        <v>0</v>
      </c>
      <c r="DA189" s="239">
        <v>0</v>
      </c>
      <c r="DB189" s="239">
        <v>0</v>
      </c>
      <c r="DC189" s="239">
        <v>0</v>
      </c>
      <c r="DD189" s="239">
        <v>0</v>
      </c>
      <c r="DE189" s="239">
        <v>0</v>
      </c>
      <c r="DF189" s="239">
        <v>0</v>
      </c>
      <c r="DG189" s="239">
        <v>0</v>
      </c>
      <c r="DH189" s="239">
        <v>0</v>
      </c>
      <c r="DI189" s="239">
        <v>0</v>
      </c>
      <c r="DJ189" s="239">
        <v>-398879</v>
      </c>
      <c r="DK189" s="239">
        <v>0</v>
      </c>
      <c r="DL189" s="239">
        <v>-398879</v>
      </c>
      <c r="DM189" s="239">
        <v>0</v>
      </c>
      <c r="DN189" s="239">
        <v>0</v>
      </c>
      <c r="DO189" s="239">
        <v>0</v>
      </c>
      <c r="DP189" s="239">
        <v>0</v>
      </c>
      <c r="DQ189" s="239">
        <v>0</v>
      </c>
      <c r="DR189" s="239">
        <v>0</v>
      </c>
      <c r="DS189" s="239">
        <v>0</v>
      </c>
      <c r="DT189" s="239">
        <v>0</v>
      </c>
      <c r="DU189" s="239">
        <v>0</v>
      </c>
      <c r="DV189" s="239">
        <v>0</v>
      </c>
      <c r="DW189" s="239">
        <v>0</v>
      </c>
      <c r="DX189" s="239">
        <v>0</v>
      </c>
      <c r="DY189" s="239">
        <v>-949</v>
      </c>
      <c r="DZ189" s="239">
        <v>0</v>
      </c>
      <c r="EA189" s="239">
        <v>-949</v>
      </c>
      <c r="EB189" s="239">
        <v>0</v>
      </c>
      <c r="EC189" s="239">
        <v>0</v>
      </c>
      <c r="ED189" s="239">
        <v>0</v>
      </c>
      <c r="EE189" s="239">
        <v>0</v>
      </c>
      <c r="EF189" s="239">
        <v>0</v>
      </c>
      <c r="EG189" s="239">
        <v>0</v>
      </c>
      <c r="EH189" s="239">
        <v>0</v>
      </c>
      <c r="EI189" s="239">
        <v>0</v>
      </c>
      <c r="EJ189" s="239">
        <v>0</v>
      </c>
      <c r="EK189" s="239">
        <v>-10094</v>
      </c>
      <c r="EL189" s="239">
        <v>0</v>
      </c>
      <c r="EM189" s="239">
        <v>-10094</v>
      </c>
      <c r="EN189" s="239">
        <v>-1500</v>
      </c>
      <c r="EO189" s="239">
        <v>0</v>
      </c>
      <c r="EP189" s="239">
        <v>-1500</v>
      </c>
      <c r="EQ189" s="239">
        <v>-31727</v>
      </c>
      <c r="ER189" s="239">
        <v>0</v>
      </c>
      <c r="ES189" s="239">
        <v>-31727</v>
      </c>
      <c r="ET189" s="239">
        <v>-289126</v>
      </c>
      <c r="EU189" s="239">
        <v>-1787</v>
      </c>
      <c r="EV189" s="239">
        <v>-290913</v>
      </c>
      <c r="EW189" s="239">
        <v>-66051</v>
      </c>
      <c r="EX189" s="239">
        <v>0</v>
      </c>
      <c r="EY189" s="239">
        <v>-66051</v>
      </c>
      <c r="EZ189" s="239">
        <v>-399447</v>
      </c>
      <c r="FA189" s="239">
        <v>-1787</v>
      </c>
      <c r="FB189" s="239">
        <v>-401234</v>
      </c>
      <c r="FC189" s="239">
        <v>0</v>
      </c>
      <c r="FD189" s="239">
        <v>0</v>
      </c>
      <c r="FE189" s="239">
        <v>0</v>
      </c>
      <c r="FF189" s="239">
        <v>0</v>
      </c>
      <c r="FG189" s="239">
        <v>0</v>
      </c>
      <c r="FH189" s="239">
        <v>0</v>
      </c>
      <c r="FI189" s="239">
        <v>0</v>
      </c>
      <c r="FJ189" s="239">
        <v>0</v>
      </c>
      <c r="FK189" s="239">
        <v>0</v>
      </c>
      <c r="FL189" s="239">
        <v>73444441</v>
      </c>
      <c r="FM189" s="239">
        <v>991656</v>
      </c>
      <c r="FN189" s="239">
        <v>74436097</v>
      </c>
      <c r="FO189" s="239">
        <v>1230031</v>
      </c>
      <c r="FP189" s="239">
        <v>92571</v>
      </c>
      <c r="FQ189" s="239">
        <v>1322602</v>
      </c>
      <c r="FR189" s="239">
        <v>-10234420</v>
      </c>
      <c r="FS189" s="239">
        <v>-445983</v>
      </c>
      <c r="FT189" s="239">
        <v>-10680403</v>
      </c>
      <c r="FU189" s="239">
        <v>-1711278</v>
      </c>
      <c r="FV189" s="239">
        <v>-12111</v>
      </c>
      <c r="FW189" s="239">
        <v>-1723389</v>
      </c>
      <c r="FX189" s="239">
        <v>-398879</v>
      </c>
      <c r="FY189" s="239">
        <v>0</v>
      </c>
      <c r="FZ189" s="239">
        <v>-398879</v>
      </c>
      <c r="GA189" s="239">
        <v>-399447</v>
      </c>
      <c r="GB189" s="239">
        <v>-1787</v>
      </c>
      <c r="GC189" s="239">
        <v>-401234</v>
      </c>
      <c r="GD189" s="239">
        <v>0</v>
      </c>
      <c r="GE189" s="239">
        <v>0</v>
      </c>
      <c r="GF189" s="239">
        <v>0</v>
      </c>
      <c r="GG189" s="239">
        <v>-11513993</v>
      </c>
      <c r="GH189" s="239">
        <v>-367310</v>
      </c>
      <c r="GI189" s="239">
        <v>-11881303</v>
      </c>
      <c r="GJ189" s="239">
        <v>61930448</v>
      </c>
      <c r="GK189" s="239">
        <v>624346</v>
      </c>
      <c r="GL189" s="239">
        <v>62554794</v>
      </c>
      <c r="GM189" s="214" t="s">
        <v>746</v>
      </c>
    </row>
    <row r="190" spans="2:195" s="214" customFormat="1" x14ac:dyDescent="0.2">
      <c r="B190" s="602" t="s">
        <v>463</v>
      </c>
      <c r="C190" s="602" t="s">
        <v>462</v>
      </c>
      <c r="D190" s="239">
        <v>-1951824</v>
      </c>
      <c r="E190" s="239">
        <v>-13872</v>
      </c>
      <c r="F190" s="239">
        <v>-1965696</v>
      </c>
      <c r="G190" s="239">
        <v>102110</v>
      </c>
      <c r="H190" s="239">
        <v>0</v>
      </c>
      <c r="I190" s="239">
        <v>102110</v>
      </c>
      <c r="J190" s="239">
        <v>4489116</v>
      </c>
      <c r="K190" s="239">
        <v>0</v>
      </c>
      <c r="L190" s="239">
        <v>4489116</v>
      </c>
      <c r="M190" s="239">
        <v>225419</v>
      </c>
      <c r="N190" s="239">
        <v>0</v>
      </c>
      <c r="O190" s="239">
        <v>225419</v>
      </c>
      <c r="P190" s="239">
        <v>2864821</v>
      </c>
      <c r="Q190" s="239">
        <v>-13872</v>
      </c>
      <c r="R190" s="239">
        <v>2850949</v>
      </c>
      <c r="S190" s="239">
        <v>-5456988</v>
      </c>
      <c r="T190" s="239">
        <v>-14683</v>
      </c>
      <c r="U190" s="239">
        <v>-5471671</v>
      </c>
      <c r="V190" s="239">
        <v>-18893</v>
      </c>
      <c r="W190" s="239">
        <v>0</v>
      </c>
      <c r="X190" s="239">
        <v>-18893</v>
      </c>
      <c r="Y190" s="239">
        <v>-90057</v>
      </c>
      <c r="Z190" s="239">
        <v>0</v>
      </c>
      <c r="AA190" s="239">
        <v>-90057</v>
      </c>
      <c r="AB190" s="239">
        <v>-80452</v>
      </c>
      <c r="AC190" s="239">
        <v>0</v>
      </c>
      <c r="AD190" s="239">
        <v>-80452</v>
      </c>
      <c r="AE190" s="239">
        <v>13631</v>
      </c>
      <c r="AF190" s="239">
        <v>0</v>
      </c>
      <c r="AG190" s="239">
        <v>13631</v>
      </c>
      <c r="AH190" s="239">
        <v>1411237</v>
      </c>
      <c r="AI190" s="239">
        <v>18393</v>
      </c>
      <c r="AJ190" s="239">
        <v>1429630</v>
      </c>
      <c r="AK190" s="239">
        <v>0</v>
      </c>
      <c r="AL190" s="239">
        <v>0</v>
      </c>
      <c r="AM190" s="239">
        <v>0</v>
      </c>
      <c r="AN190" s="239">
        <v>-4615742</v>
      </c>
      <c r="AO190" s="239">
        <v>0</v>
      </c>
      <c r="AP190" s="239">
        <v>-4615742</v>
      </c>
      <c r="AQ190" s="239">
        <v>12975</v>
      </c>
      <c r="AR190" s="239">
        <v>0</v>
      </c>
      <c r="AS190" s="239">
        <v>12975</v>
      </c>
      <c r="AT190" s="239">
        <v>-62919</v>
      </c>
      <c r="AU190" s="239">
        <v>0</v>
      </c>
      <c r="AV190" s="239">
        <v>-62919</v>
      </c>
      <c r="AW190" s="239">
        <v>494</v>
      </c>
      <c r="AX190" s="239">
        <v>0</v>
      </c>
      <c r="AY190" s="239">
        <v>494</v>
      </c>
      <c r="AZ190" s="239">
        <v>0</v>
      </c>
      <c r="BA190" s="239">
        <v>0</v>
      </c>
      <c r="BB190" s="239">
        <v>0</v>
      </c>
      <c r="BC190" s="239">
        <v>0</v>
      </c>
      <c r="BD190" s="239">
        <v>0</v>
      </c>
      <c r="BE190" s="239">
        <v>0</v>
      </c>
      <c r="BF190" s="239">
        <v>-8801000</v>
      </c>
      <c r="BG190" s="239">
        <v>3710</v>
      </c>
      <c r="BH190" s="239">
        <v>-8797290</v>
      </c>
      <c r="BI190" s="239">
        <v>-1663</v>
      </c>
      <c r="BJ190" s="239">
        <v>0</v>
      </c>
      <c r="BK190" s="239">
        <v>-1663</v>
      </c>
      <c r="BL190" s="239">
        <v>-33575</v>
      </c>
      <c r="BM190" s="239">
        <v>0</v>
      </c>
      <c r="BN190" s="239">
        <v>-33575</v>
      </c>
      <c r="BO190" s="239">
        <v>-2660786</v>
      </c>
      <c r="BP190" s="239">
        <v>-14767</v>
      </c>
      <c r="BQ190" s="239">
        <v>-2675553</v>
      </c>
      <c r="BR190" s="239">
        <v>83293</v>
      </c>
      <c r="BS190" s="239">
        <v>0</v>
      </c>
      <c r="BT190" s="239">
        <v>83293</v>
      </c>
      <c r="BU190" s="239">
        <v>-2612731</v>
      </c>
      <c r="BV190" s="239">
        <v>-14767</v>
      </c>
      <c r="BW190" s="239">
        <v>-2627498</v>
      </c>
      <c r="BX190" s="239">
        <v>-298225</v>
      </c>
      <c r="BY190" s="239">
        <v>0</v>
      </c>
      <c r="BZ190" s="239">
        <v>-298225</v>
      </c>
      <c r="CA190" s="239">
        <v>-1213</v>
      </c>
      <c r="CB190" s="239">
        <v>0</v>
      </c>
      <c r="CC190" s="239">
        <v>-1213</v>
      </c>
      <c r="CD190" s="239">
        <v>-19270</v>
      </c>
      <c r="CE190" s="239">
        <v>0</v>
      </c>
      <c r="CF190" s="239">
        <v>-19270</v>
      </c>
      <c r="CG190" s="239">
        <v>9102</v>
      </c>
      <c r="CH190" s="239">
        <v>0</v>
      </c>
      <c r="CI190" s="239">
        <v>9102</v>
      </c>
      <c r="CJ190" s="239">
        <v>-15730</v>
      </c>
      <c r="CK190" s="239">
        <v>0</v>
      </c>
      <c r="CL190" s="239">
        <v>-15730</v>
      </c>
      <c r="CM190" s="239">
        <v>124</v>
      </c>
      <c r="CN190" s="239">
        <v>0</v>
      </c>
      <c r="CO190" s="239">
        <v>124</v>
      </c>
      <c r="CP190" s="239">
        <v>0</v>
      </c>
      <c r="CQ190" s="239">
        <v>0</v>
      </c>
      <c r="CR190" s="239">
        <v>0</v>
      </c>
      <c r="CS190" s="239">
        <v>0</v>
      </c>
      <c r="CT190" s="239">
        <v>0</v>
      </c>
      <c r="CU190" s="239">
        <v>0</v>
      </c>
      <c r="CV190" s="239">
        <v>0</v>
      </c>
      <c r="CW190" s="239">
        <v>0</v>
      </c>
      <c r="CX190" s="239">
        <v>0</v>
      </c>
      <c r="CY190" s="239">
        <v>0</v>
      </c>
      <c r="CZ190" s="239">
        <v>0</v>
      </c>
      <c r="DA190" s="239">
        <v>0</v>
      </c>
      <c r="DB190" s="239">
        <v>-3261</v>
      </c>
      <c r="DC190" s="239">
        <v>-15151</v>
      </c>
      <c r="DD190" s="239">
        <v>-18412</v>
      </c>
      <c r="DE190" s="239">
        <v>-3780</v>
      </c>
      <c r="DF190" s="239">
        <v>-6</v>
      </c>
      <c r="DG190" s="239">
        <v>-3786</v>
      </c>
      <c r="DH190" s="239">
        <v>-15157</v>
      </c>
      <c r="DI190" s="239">
        <v>0</v>
      </c>
      <c r="DJ190" s="239">
        <v>-332253</v>
      </c>
      <c r="DK190" s="239">
        <v>-15157</v>
      </c>
      <c r="DL190" s="239">
        <v>-347410</v>
      </c>
      <c r="DM190" s="239">
        <v>0</v>
      </c>
      <c r="DN190" s="239">
        <v>0</v>
      </c>
      <c r="DO190" s="239">
        <v>0</v>
      </c>
      <c r="DP190" s="239">
        <v>0</v>
      </c>
      <c r="DQ190" s="239">
        <v>0</v>
      </c>
      <c r="DR190" s="239">
        <v>0</v>
      </c>
      <c r="DS190" s="239">
        <v>-1364</v>
      </c>
      <c r="DT190" s="239">
        <v>0</v>
      </c>
      <c r="DU190" s="239">
        <v>-1364</v>
      </c>
      <c r="DV190" s="239">
        <v>393</v>
      </c>
      <c r="DW190" s="239">
        <v>0</v>
      </c>
      <c r="DX190" s="239">
        <v>393</v>
      </c>
      <c r="DY190" s="239">
        <v>707</v>
      </c>
      <c r="DZ190" s="239">
        <v>0</v>
      </c>
      <c r="EA190" s="239">
        <v>707</v>
      </c>
      <c r="EB190" s="239">
        <v>0</v>
      </c>
      <c r="EC190" s="239">
        <v>0</v>
      </c>
      <c r="ED190" s="239">
        <v>0</v>
      </c>
      <c r="EE190" s="239">
        <v>0</v>
      </c>
      <c r="EF190" s="239">
        <v>0</v>
      </c>
      <c r="EG190" s="239">
        <v>0</v>
      </c>
      <c r="EH190" s="239">
        <v>178</v>
      </c>
      <c r="EI190" s="239">
        <v>0</v>
      </c>
      <c r="EJ190" s="239">
        <v>178</v>
      </c>
      <c r="EK190" s="239">
        <v>0</v>
      </c>
      <c r="EL190" s="239">
        <v>0</v>
      </c>
      <c r="EM190" s="239">
        <v>0</v>
      </c>
      <c r="EN190" s="239">
        <v>0</v>
      </c>
      <c r="EO190" s="239">
        <v>0</v>
      </c>
      <c r="EP190" s="239">
        <v>0</v>
      </c>
      <c r="EQ190" s="239">
        <v>-33804</v>
      </c>
      <c r="ER190" s="239">
        <v>0</v>
      </c>
      <c r="ES190" s="239">
        <v>-33804</v>
      </c>
      <c r="ET190" s="239">
        <v>-238501</v>
      </c>
      <c r="EU190" s="239">
        <v>0</v>
      </c>
      <c r="EV190" s="239">
        <v>-238501</v>
      </c>
      <c r="EW190" s="239">
        <v>-68710</v>
      </c>
      <c r="EX190" s="239">
        <v>0</v>
      </c>
      <c r="EY190" s="239">
        <v>-68710</v>
      </c>
      <c r="EZ190" s="239">
        <v>-341101</v>
      </c>
      <c r="FA190" s="239">
        <v>0</v>
      </c>
      <c r="FB190" s="239">
        <v>-341101</v>
      </c>
      <c r="FC190" s="239">
        <v>0</v>
      </c>
      <c r="FD190" s="239">
        <v>0</v>
      </c>
      <c r="FE190" s="239">
        <v>0</v>
      </c>
      <c r="FF190" s="239">
        <v>632</v>
      </c>
      <c r="FG190" s="239">
        <v>0</v>
      </c>
      <c r="FH190" s="239">
        <v>632</v>
      </c>
      <c r="FI190" s="239">
        <v>632</v>
      </c>
      <c r="FJ190" s="239">
        <v>0</v>
      </c>
      <c r="FK190" s="239">
        <v>632</v>
      </c>
      <c r="FL190" s="239">
        <v>66832864</v>
      </c>
      <c r="FM190" s="239">
        <v>746137</v>
      </c>
      <c r="FN190" s="239">
        <v>67579001</v>
      </c>
      <c r="FO190" s="239">
        <v>2864821</v>
      </c>
      <c r="FP190" s="239">
        <v>-13872</v>
      </c>
      <c r="FQ190" s="239">
        <v>2850949</v>
      </c>
      <c r="FR190" s="239">
        <v>-8801000</v>
      </c>
      <c r="FS190" s="239">
        <v>3710</v>
      </c>
      <c r="FT190" s="239">
        <v>-8797290</v>
      </c>
      <c r="FU190" s="239">
        <v>-2612731</v>
      </c>
      <c r="FV190" s="239">
        <v>-14767</v>
      </c>
      <c r="FW190" s="239">
        <v>-2627498</v>
      </c>
      <c r="FX190" s="239">
        <v>-332253</v>
      </c>
      <c r="FY190" s="239">
        <v>-15157</v>
      </c>
      <c r="FZ190" s="239">
        <v>-347410</v>
      </c>
      <c r="GA190" s="239">
        <v>-341101</v>
      </c>
      <c r="GB190" s="239">
        <v>0</v>
      </c>
      <c r="GC190" s="239">
        <v>-341101</v>
      </c>
      <c r="GD190" s="239">
        <v>632</v>
      </c>
      <c r="GE190" s="239">
        <v>0</v>
      </c>
      <c r="GF190" s="239">
        <v>632</v>
      </c>
      <c r="GG190" s="239">
        <v>-9221632</v>
      </c>
      <c r="GH190" s="239">
        <v>-40086</v>
      </c>
      <c r="GI190" s="239">
        <v>-9261718</v>
      </c>
      <c r="GJ190" s="239">
        <v>57611232</v>
      </c>
      <c r="GK190" s="239">
        <v>706051</v>
      </c>
      <c r="GL190" s="239">
        <v>58317283</v>
      </c>
      <c r="GM190" s="214" t="s">
        <v>1160</v>
      </c>
    </row>
    <row r="191" spans="2:195" s="214" customFormat="1" x14ac:dyDescent="0.2">
      <c r="B191" s="602" t="s">
        <v>465</v>
      </c>
      <c r="C191" s="602" t="s">
        <v>464</v>
      </c>
      <c r="D191" s="239">
        <v>-810007</v>
      </c>
      <c r="E191" s="239">
        <v>0</v>
      </c>
      <c r="F191" s="239">
        <v>-810007</v>
      </c>
      <c r="G191" s="239">
        <v>-3406</v>
      </c>
      <c r="H191" s="239">
        <v>0</v>
      </c>
      <c r="I191" s="239">
        <v>-3406</v>
      </c>
      <c r="J191" s="239">
        <v>905060</v>
      </c>
      <c r="K191" s="239">
        <v>0</v>
      </c>
      <c r="L191" s="239">
        <v>905060</v>
      </c>
      <c r="M191" s="239">
        <v>78404</v>
      </c>
      <c r="N191" s="239">
        <v>0</v>
      </c>
      <c r="O191" s="239">
        <v>78404</v>
      </c>
      <c r="P191" s="239">
        <v>170051</v>
      </c>
      <c r="Q191" s="239">
        <v>0</v>
      </c>
      <c r="R191" s="239">
        <v>170051</v>
      </c>
      <c r="S191" s="239">
        <v>-2179958</v>
      </c>
      <c r="T191" s="239">
        <v>0</v>
      </c>
      <c r="U191" s="239">
        <v>-2179958</v>
      </c>
      <c r="V191" s="239">
        <v>-7731</v>
      </c>
      <c r="W191" s="239">
        <v>0</v>
      </c>
      <c r="X191" s="239">
        <v>-7731</v>
      </c>
      <c r="Y191" s="239">
        <v>-171723</v>
      </c>
      <c r="Z191" s="239">
        <v>0</v>
      </c>
      <c r="AA191" s="239">
        <v>-171723</v>
      </c>
      <c r="AB191" s="239">
        <v>-141700</v>
      </c>
      <c r="AC191" s="239">
        <v>0</v>
      </c>
      <c r="AD191" s="239">
        <v>-141700</v>
      </c>
      <c r="AE191" s="239">
        <v>-1448</v>
      </c>
      <c r="AF191" s="239">
        <v>0</v>
      </c>
      <c r="AG191" s="239">
        <v>-1448</v>
      </c>
      <c r="AH191" s="239">
        <v>1232126</v>
      </c>
      <c r="AI191" s="239">
        <v>0</v>
      </c>
      <c r="AJ191" s="239">
        <v>1232126</v>
      </c>
      <c r="AK191" s="239">
        <v>5058</v>
      </c>
      <c r="AL191" s="239">
        <v>0</v>
      </c>
      <c r="AM191" s="239">
        <v>5058</v>
      </c>
      <c r="AN191" s="239">
        <v>-973189</v>
      </c>
      <c r="AO191" s="239">
        <v>0</v>
      </c>
      <c r="AP191" s="239">
        <v>-973189</v>
      </c>
      <c r="AQ191" s="239">
        <v>-88162</v>
      </c>
      <c r="AR191" s="239">
        <v>0</v>
      </c>
      <c r="AS191" s="239">
        <v>-88162</v>
      </c>
      <c r="AT191" s="239">
        <v>-24248</v>
      </c>
      <c r="AU191" s="239">
        <v>0</v>
      </c>
      <c r="AV191" s="239">
        <v>-24248</v>
      </c>
      <c r="AW191" s="239">
        <v>-1656</v>
      </c>
      <c r="AX191" s="239">
        <v>0</v>
      </c>
      <c r="AY191" s="239">
        <v>-1656</v>
      </c>
      <c r="AZ191" s="239">
        <v>-9702</v>
      </c>
      <c r="BA191" s="239">
        <v>0</v>
      </c>
      <c r="BB191" s="239">
        <v>-9702</v>
      </c>
      <c r="BC191" s="239">
        <v>6081</v>
      </c>
      <c r="BD191" s="239">
        <v>0</v>
      </c>
      <c r="BE191" s="239">
        <v>6081</v>
      </c>
      <c r="BF191" s="239">
        <v>-2205373</v>
      </c>
      <c r="BG191" s="239">
        <v>0</v>
      </c>
      <c r="BH191" s="239">
        <v>-2205373</v>
      </c>
      <c r="BI191" s="239">
        <v>0</v>
      </c>
      <c r="BJ191" s="239">
        <v>0</v>
      </c>
      <c r="BK191" s="239">
        <v>0</v>
      </c>
      <c r="BL191" s="239">
        <v>5317</v>
      </c>
      <c r="BM191" s="239">
        <v>0</v>
      </c>
      <c r="BN191" s="239">
        <v>5317</v>
      </c>
      <c r="BO191" s="239">
        <v>-1020286</v>
      </c>
      <c r="BP191" s="239">
        <v>0</v>
      </c>
      <c r="BQ191" s="239">
        <v>-1020286</v>
      </c>
      <c r="BR191" s="239">
        <v>-70057</v>
      </c>
      <c r="BS191" s="239">
        <v>0</v>
      </c>
      <c r="BT191" s="239">
        <v>-70057</v>
      </c>
      <c r="BU191" s="239">
        <v>-1085026</v>
      </c>
      <c r="BV191" s="239">
        <v>0</v>
      </c>
      <c r="BW191" s="239">
        <v>-1085026</v>
      </c>
      <c r="BX191" s="239">
        <v>-29007</v>
      </c>
      <c r="BY191" s="239">
        <v>0</v>
      </c>
      <c r="BZ191" s="239">
        <v>-29007</v>
      </c>
      <c r="CA191" s="239">
        <v>649</v>
      </c>
      <c r="CB191" s="239">
        <v>0</v>
      </c>
      <c r="CC191" s="239">
        <v>649</v>
      </c>
      <c r="CD191" s="239">
        <v>0</v>
      </c>
      <c r="CE191" s="239">
        <v>0</v>
      </c>
      <c r="CF191" s="239">
        <v>0</v>
      </c>
      <c r="CG191" s="239">
        <v>-321</v>
      </c>
      <c r="CH191" s="239">
        <v>0</v>
      </c>
      <c r="CI191" s="239">
        <v>-321</v>
      </c>
      <c r="CJ191" s="239">
        <v>-1067</v>
      </c>
      <c r="CK191" s="239">
        <v>0</v>
      </c>
      <c r="CL191" s="239">
        <v>-1067</v>
      </c>
      <c r="CM191" s="239">
        <v>-311</v>
      </c>
      <c r="CN191" s="239">
        <v>0</v>
      </c>
      <c r="CO191" s="239">
        <v>-311</v>
      </c>
      <c r="CP191" s="239">
        <v>0</v>
      </c>
      <c r="CQ191" s="239">
        <v>0</v>
      </c>
      <c r="CR191" s="239">
        <v>0</v>
      </c>
      <c r="CS191" s="239">
        <v>0</v>
      </c>
      <c r="CT191" s="239">
        <v>0</v>
      </c>
      <c r="CU191" s="239">
        <v>0</v>
      </c>
      <c r="CV191" s="239">
        <v>0</v>
      </c>
      <c r="CW191" s="239">
        <v>0</v>
      </c>
      <c r="CX191" s="239">
        <v>0</v>
      </c>
      <c r="CY191" s="239">
        <v>0</v>
      </c>
      <c r="CZ191" s="239">
        <v>0</v>
      </c>
      <c r="DA191" s="239">
        <v>0</v>
      </c>
      <c r="DB191" s="239">
        <v>0</v>
      </c>
      <c r="DC191" s="239">
        <v>0</v>
      </c>
      <c r="DD191" s="239">
        <v>0</v>
      </c>
      <c r="DE191" s="239">
        <v>0</v>
      </c>
      <c r="DF191" s="239">
        <v>0</v>
      </c>
      <c r="DG191" s="239">
        <v>0</v>
      </c>
      <c r="DH191" s="239">
        <v>0</v>
      </c>
      <c r="DI191" s="239">
        <v>0</v>
      </c>
      <c r="DJ191" s="239">
        <v>-30057</v>
      </c>
      <c r="DK191" s="239">
        <v>0</v>
      </c>
      <c r="DL191" s="239">
        <v>-30057</v>
      </c>
      <c r="DM191" s="239">
        <v>0</v>
      </c>
      <c r="DN191" s="239">
        <v>0</v>
      </c>
      <c r="DO191" s="239">
        <v>0</v>
      </c>
      <c r="DP191" s="239">
        <v>0</v>
      </c>
      <c r="DQ191" s="239">
        <v>0</v>
      </c>
      <c r="DR191" s="239">
        <v>0</v>
      </c>
      <c r="DS191" s="239">
        <v>0</v>
      </c>
      <c r="DT191" s="239">
        <v>0</v>
      </c>
      <c r="DU191" s="239">
        <v>0</v>
      </c>
      <c r="DV191" s="239">
        <v>0</v>
      </c>
      <c r="DW191" s="239">
        <v>0</v>
      </c>
      <c r="DX191" s="239">
        <v>0</v>
      </c>
      <c r="DY191" s="239">
        <v>0</v>
      </c>
      <c r="DZ191" s="239">
        <v>0</v>
      </c>
      <c r="EA191" s="239">
        <v>0</v>
      </c>
      <c r="EB191" s="239">
        <v>0</v>
      </c>
      <c r="EC191" s="239">
        <v>0</v>
      </c>
      <c r="ED191" s="239">
        <v>0</v>
      </c>
      <c r="EE191" s="239">
        <v>0</v>
      </c>
      <c r="EF191" s="239">
        <v>0</v>
      </c>
      <c r="EG191" s="239">
        <v>0</v>
      </c>
      <c r="EH191" s="239">
        <v>0</v>
      </c>
      <c r="EI191" s="239">
        <v>0</v>
      </c>
      <c r="EJ191" s="239">
        <v>0</v>
      </c>
      <c r="EK191" s="239">
        <v>-9702</v>
      </c>
      <c r="EL191" s="239">
        <v>0</v>
      </c>
      <c r="EM191" s="239">
        <v>-9702</v>
      </c>
      <c r="EN191" s="239">
        <v>-170</v>
      </c>
      <c r="EO191" s="239">
        <v>0</v>
      </c>
      <c r="EP191" s="239">
        <v>-170</v>
      </c>
      <c r="EQ191" s="239">
        <v>-7013</v>
      </c>
      <c r="ER191" s="239">
        <v>0</v>
      </c>
      <c r="ES191" s="239">
        <v>-7013</v>
      </c>
      <c r="ET191" s="239">
        <v>-152233</v>
      </c>
      <c r="EU191" s="239">
        <v>0</v>
      </c>
      <c r="EV191" s="239">
        <v>-152233</v>
      </c>
      <c r="EW191" s="239">
        <v>-47422</v>
      </c>
      <c r="EX191" s="239">
        <v>0</v>
      </c>
      <c r="EY191" s="239">
        <v>-47422</v>
      </c>
      <c r="EZ191" s="239">
        <v>-216540</v>
      </c>
      <c r="FA191" s="239">
        <v>0</v>
      </c>
      <c r="FB191" s="239">
        <v>-216540</v>
      </c>
      <c r="FC191" s="239">
        <v>0</v>
      </c>
      <c r="FD191" s="239">
        <v>0</v>
      </c>
      <c r="FE191" s="239">
        <v>0</v>
      </c>
      <c r="FF191" s="239">
        <v>0</v>
      </c>
      <c r="FG191" s="239">
        <v>0</v>
      </c>
      <c r="FH191" s="239">
        <v>0</v>
      </c>
      <c r="FI191" s="239">
        <v>0</v>
      </c>
      <c r="FJ191" s="239">
        <v>0</v>
      </c>
      <c r="FK191" s="239">
        <v>0</v>
      </c>
      <c r="FL191" s="239">
        <v>52576955</v>
      </c>
      <c r="FM191" s="239">
        <v>0</v>
      </c>
      <c r="FN191" s="239">
        <v>52576955</v>
      </c>
      <c r="FO191" s="239">
        <v>170051</v>
      </c>
      <c r="FP191" s="239">
        <v>0</v>
      </c>
      <c r="FQ191" s="239">
        <v>170051</v>
      </c>
      <c r="FR191" s="239">
        <v>-2205373</v>
      </c>
      <c r="FS191" s="239">
        <v>0</v>
      </c>
      <c r="FT191" s="239">
        <v>-2205373</v>
      </c>
      <c r="FU191" s="239">
        <v>-1085026</v>
      </c>
      <c r="FV191" s="239">
        <v>0</v>
      </c>
      <c r="FW191" s="239">
        <v>-1085026</v>
      </c>
      <c r="FX191" s="239">
        <v>-30057</v>
      </c>
      <c r="FY191" s="239">
        <v>0</v>
      </c>
      <c r="FZ191" s="239">
        <v>-30057</v>
      </c>
      <c r="GA191" s="239">
        <v>-216540</v>
      </c>
      <c r="GB191" s="239">
        <v>0</v>
      </c>
      <c r="GC191" s="239">
        <v>-216540</v>
      </c>
      <c r="GD191" s="239">
        <v>0</v>
      </c>
      <c r="GE191" s="239">
        <v>0</v>
      </c>
      <c r="GF191" s="239">
        <v>0</v>
      </c>
      <c r="GG191" s="239">
        <v>-3366945</v>
      </c>
      <c r="GH191" s="239">
        <v>0</v>
      </c>
      <c r="GI191" s="239">
        <v>-3366945</v>
      </c>
      <c r="GJ191" s="239">
        <v>49210010</v>
      </c>
      <c r="GK191" s="239">
        <v>0</v>
      </c>
      <c r="GL191" s="239">
        <v>49210010</v>
      </c>
      <c r="GM191" s="214" t="s">
        <v>1158</v>
      </c>
    </row>
    <row r="192" spans="2:195" s="214" customFormat="1" x14ac:dyDescent="0.2">
      <c r="B192" s="602" t="s">
        <v>467</v>
      </c>
      <c r="C192" s="602" t="s">
        <v>466</v>
      </c>
      <c r="D192" s="239">
        <v>-1498781</v>
      </c>
      <c r="E192" s="239">
        <v>0</v>
      </c>
      <c r="F192" s="239">
        <v>-1498781</v>
      </c>
      <c r="G192" s="239">
        <v>31348</v>
      </c>
      <c r="H192" s="239">
        <v>0</v>
      </c>
      <c r="I192" s="239">
        <v>31348</v>
      </c>
      <c r="J192" s="239">
        <v>901697</v>
      </c>
      <c r="K192" s="239">
        <v>0</v>
      </c>
      <c r="L192" s="239">
        <v>901697</v>
      </c>
      <c r="M192" s="239">
        <v>222085</v>
      </c>
      <c r="N192" s="239">
        <v>0</v>
      </c>
      <c r="O192" s="239">
        <v>222085</v>
      </c>
      <c r="P192" s="239">
        <v>-343651</v>
      </c>
      <c r="Q192" s="239">
        <v>0</v>
      </c>
      <c r="R192" s="239">
        <v>-343651</v>
      </c>
      <c r="S192" s="239">
        <v>-2858574</v>
      </c>
      <c r="T192" s="239">
        <v>0</v>
      </c>
      <c r="U192" s="239">
        <v>-2858574</v>
      </c>
      <c r="V192" s="239">
        <v>-6308</v>
      </c>
      <c r="W192" s="239">
        <v>0</v>
      </c>
      <c r="X192" s="239">
        <v>-6308</v>
      </c>
      <c r="Y192" s="239">
        <v>-230843</v>
      </c>
      <c r="Z192" s="239">
        <v>0</v>
      </c>
      <c r="AA192" s="239">
        <v>-230843</v>
      </c>
      <c r="AB192" s="239">
        <v>-229684</v>
      </c>
      <c r="AC192" s="239">
        <v>0</v>
      </c>
      <c r="AD192" s="239">
        <v>-229684</v>
      </c>
      <c r="AE192" s="239">
        <v>-1159</v>
      </c>
      <c r="AF192" s="239">
        <v>0</v>
      </c>
      <c r="AG192" s="239">
        <v>-1159</v>
      </c>
      <c r="AH192" s="239">
        <v>1403853</v>
      </c>
      <c r="AI192" s="239">
        <v>0</v>
      </c>
      <c r="AJ192" s="239">
        <v>1403853</v>
      </c>
      <c r="AK192" s="239">
        <v>-63664</v>
      </c>
      <c r="AL192" s="239">
        <v>0</v>
      </c>
      <c r="AM192" s="239">
        <v>-63664</v>
      </c>
      <c r="AN192" s="239">
        <v>-1647162</v>
      </c>
      <c r="AO192" s="239">
        <v>0</v>
      </c>
      <c r="AP192" s="239">
        <v>-1647162</v>
      </c>
      <c r="AQ192" s="239">
        <v>-150451</v>
      </c>
      <c r="AR192" s="239">
        <v>0</v>
      </c>
      <c r="AS192" s="239">
        <v>-150451</v>
      </c>
      <c r="AT192" s="239">
        <v>-23262</v>
      </c>
      <c r="AU192" s="239">
        <v>0</v>
      </c>
      <c r="AV192" s="239">
        <v>-23262</v>
      </c>
      <c r="AW192" s="239">
        <v>0</v>
      </c>
      <c r="AX192" s="239">
        <v>0</v>
      </c>
      <c r="AY192" s="239">
        <v>0</v>
      </c>
      <c r="AZ192" s="239">
        <v>-7364</v>
      </c>
      <c r="BA192" s="239">
        <v>0</v>
      </c>
      <c r="BB192" s="239">
        <v>-7364</v>
      </c>
      <c r="BC192" s="239">
        <v>0</v>
      </c>
      <c r="BD192" s="239">
        <v>0</v>
      </c>
      <c r="BE192" s="239">
        <v>0</v>
      </c>
      <c r="BF192" s="239">
        <v>-3577467</v>
      </c>
      <c r="BG192" s="239">
        <v>0</v>
      </c>
      <c r="BH192" s="239">
        <v>-3577467</v>
      </c>
      <c r="BI192" s="239">
        <v>-19834</v>
      </c>
      <c r="BJ192" s="239">
        <v>0</v>
      </c>
      <c r="BK192" s="239">
        <v>-19834</v>
      </c>
      <c r="BL192" s="239">
        <v>64492</v>
      </c>
      <c r="BM192" s="239">
        <v>0</v>
      </c>
      <c r="BN192" s="239">
        <v>64492</v>
      </c>
      <c r="BO192" s="239">
        <v>-1469873</v>
      </c>
      <c r="BP192" s="239">
        <v>0</v>
      </c>
      <c r="BQ192" s="239">
        <v>-1469873</v>
      </c>
      <c r="BR192" s="239">
        <v>-13725</v>
      </c>
      <c r="BS192" s="239">
        <v>0</v>
      </c>
      <c r="BT192" s="239">
        <v>-13725</v>
      </c>
      <c r="BU192" s="239">
        <v>-1438940</v>
      </c>
      <c r="BV192" s="239">
        <v>0</v>
      </c>
      <c r="BW192" s="239">
        <v>-1438940</v>
      </c>
      <c r="BX192" s="239">
        <v>-59941</v>
      </c>
      <c r="BY192" s="239">
        <v>0</v>
      </c>
      <c r="BZ192" s="239">
        <v>-59941</v>
      </c>
      <c r="CA192" s="239">
        <v>210</v>
      </c>
      <c r="CB192" s="239">
        <v>0</v>
      </c>
      <c r="CC192" s="239">
        <v>210</v>
      </c>
      <c r="CD192" s="239">
        <v>-80748</v>
      </c>
      <c r="CE192" s="239">
        <v>0</v>
      </c>
      <c r="CF192" s="239">
        <v>-80748</v>
      </c>
      <c r="CG192" s="239">
        <v>-443</v>
      </c>
      <c r="CH192" s="239">
        <v>0</v>
      </c>
      <c r="CI192" s="239">
        <v>-443</v>
      </c>
      <c r="CJ192" s="239">
        <v>-1613</v>
      </c>
      <c r="CK192" s="239">
        <v>0</v>
      </c>
      <c r="CL192" s="239">
        <v>-1613</v>
      </c>
      <c r="CM192" s="239">
        <v>0</v>
      </c>
      <c r="CN192" s="239">
        <v>0</v>
      </c>
      <c r="CO192" s="239">
        <v>0</v>
      </c>
      <c r="CP192" s="239">
        <v>0</v>
      </c>
      <c r="CQ192" s="239">
        <v>0</v>
      </c>
      <c r="CR192" s="239">
        <v>0</v>
      </c>
      <c r="CS192" s="239">
        <v>0</v>
      </c>
      <c r="CT192" s="239">
        <v>0</v>
      </c>
      <c r="CU192" s="239">
        <v>0</v>
      </c>
      <c r="CV192" s="239">
        <v>0</v>
      </c>
      <c r="CW192" s="239">
        <v>0</v>
      </c>
      <c r="CX192" s="239">
        <v>0</v>
      </c>
      <c r="CY192" s="239">
        <v>0</v>
      </c>
      <c r="CZ192" s="239">
        <v>0</v>
      </c>
      <c r="DA192" s="239">
        <v>0</v>
      </c>
      <c r="DB192" s="239">
        <v>0</v>
      </c>
      <c r="DC192" s="239">
        <v>0</v>
      </c>
      <c r="DD192" s="239">
        <v>0</v>
      </c>
      <c r="DE192" s="239">
        <v>0</v>
      </c>
      <c r="DF192" s="239">
        <v>0</v>
      </c>
      <c r="DG192" s="239">
        <v>0</v>
      </c>
      <c r="DH192" s="239">
        <v>0</v>
      </c>
      <c r="DI192" s="239">
        <v>0</v>
      </c>
      <c r="DJ192" s="239">
        <v>-142535</v>
      </c>
      <c r="DK192" s="239">
        <v>0</v>
      </c>
      <c r="DL192" s="239">
        <v>-142535</v>
      </c>
      <c r="DM192" s="239">
        <v>-52362</v>
      </c>
      <c r="DN192" s="239">
        <v>0</v>
      </c>
      <c r="DO192" s="239">
        <v>-52362</v>
      </c>
      <c r="DP192" s="239">
        <v>0</v>
      </c>
      <c r="DQ192" s="239">
        <v>0</v>
      </c>
      <c r="DR192" s="239">
        <v>0</v>
      </c>
      <c r="DS192" s="239">
        <v>0</v>
      </c>
      <c r="DT192" s="239">
        <v>0</v>
      </c>
      <c r="DU192" s="239">
        <v>0</v>
      </c>
      <c r="DV192" s="239">
        <v>-28195</v>
      </c>
      <c r="DW192" s="239">
        <v>0</v>
      </c>
      <c r="DX192" s="239">
        <v>-28195</v>
      </c>
      <c r="DY192" s="239">
        <v>5316</v>
      </c>
      <c r="DZ192" s="239">
        <v>0</v>
      </c>
      <c r="EA192" s="239">
        <v>5316</v>
      </c>
      <c r="EB192" s="239">
        <v>0</v>
      </c>
      <c r="EC192" s="239">
        <v>0</v>
      </c>
      <c r="ED192" s="239">
        <v>0</v>
      </c>
      <c r="EE192" s="239">
        <v>0</v>
      </c>
      <c r="EF192" s="239">
        <v>0</v>
      </c>
      <c r="EG192" s="239">
        <v>0</v>
      </c>
      <c r="EH192" s="239">
        <v>1995</v>
      </c>
      <c r="EI192" s="239">
        <v>0</v>
      </c>
      <c r="EJ192" s="239">
        <v>1995</v>
      </c>
      <c r="EK192" s="239">
        <v>-7364</v>
      </c>
      <c r="EL192" s="239">
        <v>0</v>
      </c>
      <c r="EM192" s="239">
        <v>-7364</v>
      </c>
      <c r="EN192" s="239">
        <v>-1500</v>
      </c>
      <c r="EO192" s="239">
        <v>0</v>
      </c>
      <c r="EP192" s="239">
        <v>-1500</v>
      </c>
      <c r="EQ192" s="239">
        <v>-21501</v>
      </c>
      <c r="ER192" s="239">
        <v>0</v>
      </c>
      <c r="ES192" s="239">
        <v>-21501</v>
      </c>
      <c r="ET192" s="239">
        <v>-268988</v>
      </c>
      <c r="EU192" s="239">
        <v>0</v>
      </c>
      <c r="EV192" s="239">
        <v>-268988</v>
      </c>
      <c r="EW192" s="239">
        <v>-29541</v>
      </c>
      <c r="EX192" s="239">
        <v>0</v>
      </c>
      <c r="EY192" s="239">
        <v>-29541</v>
      </c>
      <c r="EZ192" s="239">
        <v>-402140</v>
      </c>
      <c r="FA192" s="239">
        <v>0</v>
      </c>
      <c r="FB192" s="239">
        <v>-402140</v>
      </c>
      <c r="FC192" s="239">
        <v>0</v>
      </c>
      <c r="FD192" s="239">
        <v>0</v>
      </c>
      <c r="FE192" s="239">
        <v>0</v>
      </c>
      <c r="FF192" s="239">
        <v>0</v>
      </c>
      <c r="FG192" s="239">
        <v>0</v>
      </c>
      <c r="FH192" s="239">
        <v>0</v>
      </c>
      <c r="FI192" s="239">
        <v>0</v>
      </c>
      <c r="FJ192" s="239">
        <v>0</v>
      </c>
      <c r="FK192" s="239">
        <v>0</v>
      </c>
      <c r="FL192" s="239">
        <v>60675750</v>
      </c>
      <c r="FM192" s="239">
        <v>0</v>
      </c>
      <c r="FN192" s="239">
        <v>60675750</v>
      </c>
      <c r="FO192" s="239">
        <v>-343651</v>
      </c>
      <c r="FP192" s="239">
        <v>0</v>
      </c>
      <c r="FQ192" s="239">
        <v>-343651</v>
      </c>
      <c r="FR192" s="239">
        <v>-3577467</v>
      </c>
      <c r="FS192" s="239">
        <v>0</v>
      </c>
      <c r="FT192" s="239">
        <v>-3577467</v>
      </c>
      <c r="FU192" s="239">
        <v>-1438940</v>
      </c>
      <c r="FV192" s="239">
        <v>0</v>
      </c>
      <c r="FW192" s="239">
        <v>-1438940</v>
      </c>
      <c r="FX192" s="239">
        <v>-142535</v>
      </c>
      <c r="FY192" s="239">
        <v>0</v>
      </c>
      <c r="FZ192" s="239">
        <v>-142535</v>
      </c>
      <c r="GA192" s="239">
        <v>-402140</v>
      </c>
      <c r="GB192" s="239">
        <v>0</v>
      </c>
      <c r="GC192" s="239">
        <v>-402140</v>
      </c>
      <c r="GD192" s="239">
        <v>0</v>
      </c>
      <c r="GE192" s="239">
        <v>0</v>
      </c>
      <c r="GF192" s="239">
        <v>0</v>
      </c>
      <c r="GG192" s="239">
        <v>-5904733</v>
      </c>
      <c r="GH192" s="239">
        <v>0</v>
      </c>
      <c r="GI192" s="239">
        <v>-5904733</v>
      </c>
      <c r="GJ192" s="239">
        <v>54771017</v>
      </c>
      <c r="GK192" s="239">
        <v>0</v>
      </c>
      <c r="GL192" s="239">
        <v>54771017</v>
      </c>
      <c r="GM192" s="214" t="s">
        <v>1158</v>
      </c>
    </row>
    <row r="193" spans="1:195" s="214" customFormat="1" x14ac:dyDescent="0.2">
      <c r="A193" s="215"/>
      <c r="B193" s="602" t="s">
        <v>469</v>
      </c>
      <c r="C193" s="602" t="s">
        <v>468</v>
      </c>
      <c r="D193" s="239">
        <v>-1888505</v>
      </c>
      <c r="E193" s="239">
        <v>-24867</v>
      </c>
      <c r="F193" s="239">
        <v>-1913372</v>
      </c>
      <c r="G193" s="239">
        <v>29395</v>
      </c>
      <c r="H193" s="239">
        <v>0</v>
      </c>
      <c r="I193" s="239">
        <v>29395</v>
      </c>
      <c r="J193" s="239">
        <v>6723529</v>
      </c>
      <c r="K193" s="239">
        <v>352223</v>
      </c>
      <c r="L193" s="239">
        <v>7075752</v>
      </c>
      <c r="M193" s="239">
        <v>39922</v>
      </c>
      <c r="N193" s="239">
        <v>-261</v>
      </c>
      <c r="O193" s="239">
        <v>39661</v>
      </c>
      <c r="P193" s="239">
        <v>4904341</v>
      </c>
      <c r="Q193" s="239">
        <v>327095</v>
      </c>
      <c r="R193" s="239">
        <v>5231436</v>
      </c>
      <c r="S193" s="239">
        <v>-5377265</v>
      </c>
      <c r="T193" s="239">
        <v>-103395</v>
      </c>
      <c r="U193" s="239">
        <v>-5480660</v>
      </c>
      <c r="V193" s="239">
        <v>0</v>
      </c>
      <c r="W193" s="239">
        <v>0</v>
      </c>
      <c r="X193" s="239">
        <v>0</v>
      </c>
      <c r="Y193" s="239">
        <v>-45396</v>
      </c>
      <c r="Z193" s="239">
        <v>17223</v>
      </c>
      <c r="AA193" s="239">
        <v>-28173</v>
      </c>
      <c r="AB193" s="239">
        <v>0</v>
      </c>
      <c r="AC193" s="239">
        <v>0</v>
      </c>
      <c r="AD193" s="239">
        <v>0</v>
      </c>
      <c r="AE193" s="239">
        <v>0</v>
      </c>
      <c r="AF193" s="239">
        <v>0</v>
      </c>
      <c r="AG193" s="239">
        <v>0</v>
      </c>
      <c r="AH193" s="239">
        <v>2376497</v>
      </c>
      <c r="AI193" s="239">
        <v>96206</v>
      </c>
      <c r="AJ193" s="239">
        <v>2472703</v>
      </c>
      <c r="AK193" s="239">
        <v>-9878</v>
      </c>
      <c r="AL193" s="239">
        <v>625</v>
      </c>
      <c r="AM193" s="239">
        <v>-9253</v>
      </c>
      <c r="AN193" s="239">
        <v>-7546814</v>
      </c>
      <c r="AO193" s="239">
        <v>-77767</v>
      </c>
      <c r="AP193" s="239">
        <v>-7624581</v>
      </c>
      <c r="AQ193" s="239">
        <v>11824</v>
      </c>
      <c r="AR193" s="239">
        <v>0</v>
      </c>
      <c r="AS193" s="239">
        <v>11824</v>
      </c>
      <c r="AT193" s="239">
        <v>-16181</v>
      </c>
      <c r="AU193" s="239">
        <v>0</v>
      </c>
      <c r="AV193" s="239">
        <v>-16181</v>
      </c>
      <c r="AW193" s="239">
        <v>-419</v>
      </c>
      <c r="AX193" s="239">
        <v>0</v>
      </c>
      <c r="AY193" s="239">
        <v>-419</v>
      </c>
      <c r="AZ193" s="239">
        <v>0</v>
      </c>
      <c r="BA193" s="239">
        <v>0</v>
      </c>
      <c r="BB193" s="239">
        <v>0</v>
      </c>
      <c r="BC193" s="239">
        <v>0</v>
      </c>
      <c r="BD193" s="239">
        <v>0</v>
      </c>
      <c r="BE193" s="239">
        <v>0</v>
      </c>
      <c r="BF193" s="239">
        <v>-10607632</v>
      </c>
      <c r="BG193" s="239">
        <v>-67108</v>
      </c>
      <c r="BH193" s="239">
        <v>-10674740</v>
      </c>
      <c r="BI193" s="239">
        <v>-165012</v>
      </c>
      <c r="BJ193" s="239">
        <v>0</v>
      </c>
      <c r="BK193" s="239">
        <v>-165012</v>
      </c>
      <c r="BL193" s="239">
        <v>27701</v>
      </c>
      <c r="BM193" s="239">
        <v>0</v>
      </c>
      <c r="BN193" s="239">
        <v>27701</v>
      </c>
      <c r="BO193" s="239">
        <v>-2733942</v>
      </c>
      <c r="BP193" s="239">
        <v>-31668</v>
      </c>
      <c r="BQ193" s="239">
        <v>-2765610</v>
      </c>
      <c r="BR193" s="239">
        <v>293212</v>
      </c>
      <c r="BS193" s="239">
        <v>135888</v>
      </c>
      <c r="BT193" s="239">
        <v>429100</v>
      </c>
      <c r="BU193" s="239">
        <v>-2578041</v>
      </c>
      <c r="BV193" s="239">
        <v>104220</v>
      </c>
      <c r="BW193" s="239">
        <v>-2473821</v>
      </c>
      <c r="BX193" s="239">
        <v>-227732</v>
      </c>
      <c r="BY193" s="239">
        <v>-3127</v>
      </c>
      <c r="BZ193" s="239">
        <v>-230859</v>
      </c>
      <c r="CA193" s="239">
        <v>-13313</v>
      </c>
      <c r="CB193" s="239">
        <v>0</v>
      </c>
      <c r="CC193" s="239">
        <v>-13313</v>
      </c>
      <c r="CD193" s="239">
        <v>-215266</v>
      </c>
      <c r="CE193" s="239">
        <v>0</v>
      </c>
      <c r="CF193" s="239">
        <v>-215266</v>
      </c>
      <c r="CG193" s="239">
        <v>-34472</v>
      </c>
      <c r="CH193" s="239">
        <v>0</v>
      </c>
      <c r="CI193" s="239">
        <v>-34472</v>
      </c>
      <c r="CJ193" s="239">
        <v>-3087</v>
      </c>
      <c r="CK193" s="239">
        <v>0</v>
      </c>
      <c r="CL193" s="239">
        <v>-3087</v>
      </c>
      <c r="CM193" s="239">
        <v>-105</v>
      </c>
      <c r="CN193" s="239">
        <v>0</v>
      </c>
      <c r="CO193" s="239">
        <v>-105</v>
      </c>
      <c r="CP193" s="239">
        <v>0</v>
      </c>
      <c r="CQ193" s="239">
        <v>0</v>
      </c>
      <c r="CR193" s="239">
        <v>0</v>
      </c>
      <c r="CS193" s="239">
        <v>0</v>
      </c>
      <c r="CT193" s="239">
        <v>0</v>
      </c>
      <c r="CU193" s="239">
        <v>0</v>
      </c>
      <c r="CV193" s="239">
        <v>0</v>
      </c>
      <c r="CW193" s="239">
        <v>0</v>
      </c>
      <c r="CX193" s="239">
        <v>0</v>
      </c>
      <c r="CY193" s="239">
        <v>0</v>
      </c>
      <c r="CZ193" s="239">
        <v>0</v>
      </c>
      <c r="DA193" s="239">
        <v>0</v>
      </c>
      <c r="DB193" s="239">
        <v>0</v>
      </c>
      <c r="DC193" s="239">
        <v>-770190</v>
      </c>
      <c r="DD193" s="239">
        <v>-770190</v>
      </c>
      <c r="DE193" s="239">
        <v>0</v>
      </c>
      <c r="DF193" s="239">
        <v>-295701</v>
      </c>
      <c r="DG193" s="239">
        <v>-295701</v>
      </c>
      <c r="DH193" s="239">
        <v>-1065891</v>
      </c>
      <c r="DI193" s="239">
        <v>0</v>
      </c>
      <c r="DJ193" s="239">
        <v>-493975</v>
      </c>
      <c r="DK193" s="239">
        <v>-1069018</v>
      </c>
      <c r="DL193" s="239">
        <v>-1562993</v>
      </c>
      <c r="DM193" s="239">
        <v>-19759</v>
      </c>
      <c r="DN193" s="239">
        <v>0</v>
      </c>
      <c r="DO193" s="239">
        <v>-19759</v>
      </c>
      <c r="DP193" s="239">
        <v>-5027</v>
      </c>
      <c r="DQ193" s="239">
        <v>0</v>
      </c>
      <c r="DR193" s="239">
        <v>-5027</v>
      </c>
      <c r="DS193" s="239">
        <v>-8104</v>
      </c>
      <c r="DT193" s="239">
        <v>0</v>
      </c>
      <c r="DU193" s="239">
        <v>-8104</v>
      </c>
      <c r="DV193" s="239">
        <v>16092</v>
      </c>
      <c r="DW193" s="239">
        <v>0</v>
      </c>
      <c r="DX193" s="239">
        <v>16092</v>
      </c>
      <c r="DY193" s="239">
        <v>0</v>
      </c>
      <c r="DZ193" s="239">
        <v>0</v>
      </c>
      <c r="EA193" s="239">
        <v>0</v>
      </c>
      <c r="EB193" s="239">
        <v>0</v>
      </c>
      <c r="EC193" s="239">
        <v>0</v>
      </c>
      <c r="ED193" s="239">
        <v>0</v>
      </c>
      <c r="EE193" s="239">
        <v>0</v>
      </c>
      <c r="EF193" s="239">
        <v>0</v>
      </c>
      <c r="EG193" s="239">
        <v>0</v>
      </c>
      <c r="EH193" s="239">
        <v>0</v>
      </c>
      <c r="EI193" s="239">
        <v>0</v>
      </c>
      <c r="EJ193" s="239">
        <v>0</v>
      </c>
      <c r="EK193" s="239">
        <v>0</v>
      </c>
      <c r="EL193" s="239">
        <v>0</v>
      </c>
      <c r="EM193" s="239">
        <v>0</v>
      </c>
      <c r="EN193" s="239">
        <v>-1500</v>
      </c>
      <c r="EO193" s="239">
        <v>0</v>
      </c>
      <c r="EP193" s="239">
        <v>-1500</v>
      </c>
      <c r="EQ193" s="239">
        <v>-8753</v>
      </c>
      <c r="ER193" s="239">
        <v>-1416</v>
      </c>
      <c r="ES193" s="239">
        <v>-10169</v>
      </c>
      <c r="ET193" s="239">
        <v>-55224</v>
      </c>
      <c r="EU193" s="239">
        <v>-5202</v>
      </c>
      <c r="EV193" s="239">
        <v>-60426</v>
      </c>
      <c r="EW193" s="239">
        <v>-44337</v>
      </c>
      <c r="EX193" s="239">
        <v>0</v>
      </c>
      <c r="EY193" s="239">
        <v>-44337</v>
      </c>
      <c r="EZ193" s="239">
        <v>-126612</v>
      </c>
      <c r="FA193" s="239">
        <v>-6618</v>
      </c>
      <c r="FB193" s="239">
        <v>-133230</v>
      </c>
      <c r="FC193" s="239">
        <v>0</v>
      </c>
      <c r="FD193" s="239">
        <v>0</v>
      </c>
      <c r="FE193" s="239">
        <v>0</v>
      </c>
      <c r="FF193" s="239">
        <v>0</v>
      </c>
      <c r="FG193" s="239">
        <v>0</v>
      </c>
      <c r="FH193" s="239">
        <v>0</v>
      </c>
      <c r="FI193" s="239">
        <v>0</v>
      </c>
      <c r="FJ193" s="239">
        <v>0</v>
      </c>
      <c r="FK193" s="239">
        <v>0</v>
      </c>
      <c r="FL193" s="239">
        <v>109574197</v>
      </c>
      <c r="FM193" s="239">
        <v>5680140</v>
      </c>
      <c r="FN193" s="239">
        <v>115254337</v>
      </c>
      <c r="FO193" s="239">
        <v>4904341</v>
      </c>
      <c r="FP193" s="239">
        <v>327095</v>
      </c>
      <c r="FQ193" s="239">
        <v>5231436</v>
      </c>
      <c r="FR193" s="239">
        <v>-10607632</v>
      </c>
      <c r="FS193" s="239">
        <v>-67108</v>
      </c>
      <c r="FT193" s="239">
        <v>-10674740</v>
      </c>
      <c r="FU193" s="239">
        <v>-2578041</v>
      </c>
      <c r="FV193" s="239">
        <v>104220</v>
      </c>
      <c r="FW193" s="239">
        <v>-2473821</v>
      </c>
      <c r="FX193" s="239">
        <v>-493975</v>
      </c>
      <c r="FY193" s="239">
        <v>-1069018</v>
      </c>
      <c r="FZ193" s="239">
        <v>-1562993</v>
      </c>
      <c r="GA193" s="239">
        <v>-126612</v>
      </c>
      <c r="GB193" s="239">
        <v>-6618</v>
      </c>
      <c r="GC193" s="239">
        <v>-133230</v>
      </c>
      <c r="GD193" s="239">
        <v>0</v>
      </c>
      <c r="GE193" s="239">
        <v>0</v>
      </c>
      <c r="GF193" s="239">
        <v>0</v>
      </c>
      <c r="GG193" s="239">
        <v>-8901919</v>
      </c>
      <c r="GH193" s="239">
        <v>-711429</v>
      </c>
      <c r="GI193" s="239">
        <v>-9613348</v>
      </c>
      <c r="GJ193" s="239">
        <v>100672278</v>
      </c>
      <c r="GK193" s="239">
        <v>4968711</v>
      </c>
      <c r="GL193" s="239">
        <v>105640989</v>
      </c>
      <c r="GM193" s="214" t="s">
        <v>1158</v>
      </c>
    </row>
    <row r="194" spans="1:195" s="214" customFormat="1" x14ac:dyDescent="0.2">
      <c r="B194" s="602" t="s">
        <v>471</v>
      </c>
      <c r="C194" s="602" t="s">
        <v>470</v>
      </c>
      <c r="D194" s="239">
        <v>-5937701</v>
      </c>
      <c r="E194" s="239">
        <v>-30373</v>
      </c>
      <c r="F194" s="239">
        <v>-5968074</v>
      </c>
      <c r="G194" s="239">
        <v>32714</v>
      </c>
      <c r="H194" s="239">
        <v>0</v>
      </c>
      <c r="I194" s="239">
        <v>32714</v>
      </c>
      <c r="J194" s="239">
        <v>4284844</v>
      </c>
      <c r="K194" s="239">
        <v>1070</v>
      </c>
      <c r="L194" s="239">
        <v>4285914</v>
      </c>
      <c r="M194" s="239">
        <v>64441</v>
      </c>
      <c r="N194" s="239">
        <v>0</v>
      </c>
      <c r="O194" s="239">
        <v>64441</v>
      </c>
      <c r="P194" s="239">
        <v>-1555702</v>
      </c>
      <c r="Q194" s="239">
        <v>-29303</v>
      </c>
      <c r="R194" s="239">
        <v>-1585005</v>
      </c>
      <c r="S194" s="239">
        <v>-11595240</v>
      </c>
      <c r="T194" s="239">
        <v>-13663</v>
      </c>
      <c r="U194" s="239">
        <v>-11608903</v>
      </c>
      <c r="V194" s="239">
        <v>-78564</v>
      </c>
      <c r="W194" s="239">
        <v>0</v>
      </c>
      <c r="X194" s="239">
        <v>-78564</v>
      </c>
      <c r="Y194" s="239">
        <v>-545543</v>
      </c>
      <c r="Z194" s="239">
        <v>0</v>
      </c>
      <c r="AA194" s="239">
        <v>-545543</v>
      </c>
      <c r="AB194" s="239">
        <v>-426592</v>
      </c>
      <c r="AC194" s="239">
        <v>0</v>
      </c>
      <c r="AD194" s="239">
        <v>-426592</v>
      </c>
      <c r="AE194" s="239">
        <v>-6298</v>
      </c>
      <c r="AF194" s="239">
        <v>0</v>
      </c>
      <c r="AG194" s="239">
        <v>-6298</v>
      </c>
      <c r="AH194" s="239">
        <v>1771415</v>
      </c>
      <c r="AI194" s="239">
        <v>5758</v>
      </c>
      <c r="AJ194" s="239">
        <v>1777173</v>
      </c>
      <c r="AK194" s="239">
        <v>7363</v>
      </c>
      <c r="AL194" s="239">
        <v>-5</v>
      </c>
      <c r="AM194" s="239">
        <v>7358</v>
      </c>
      <c r="AN194" s="239">
        <v>-6727222</v>
      </c>
      <c r="AO194" s="239">
        <v>0</v>
      </c>
      <c r="AP194" s="239">
        <v>-6727222</v>
      </c>
      <c r="AQ194" s="239">
        <v>5633</v>
      </c>
      <c r="AR194" s="239">
        <v>0</v>
      </c>
      <c r="AS194" s="239">
        <v>5633</v>
      </c>
      <c r="AT194" s="239">
        <v>-145612</v>
      </c>
      <c r="AU194" s="239">
        <v>0</v>
      </c>
      <c r="AV194" s="239">
        <v>-145612</v>
      </c>
      <c r="AW194" s="239">
        <v>20026</v>
      </c>
      <c r="AX194" s="239">
        <v>0</v>
      </c>
      <c r="AY194" s="239">
        <v>20026</v>
      </c>
      <c r="AZ194" s="239">
        <v>-80846</v>
      </c>
      <c r="BA194" s="239">
        <v>0</v>
      </c>
      <c r="BB194" s="239">
        <v>-80846</v>
      </c>
      <c r="BC194" s="239">
        <v>-3007</v>
      </c>
      <c r="BD194" s="239">
        <v>0</v>
      </c>
      <c r="BE194" s="239">
        <v>-3007</v>
      </c>
      <c r="BF194" s="239">
        <v>-17293033</v>
      </c>
      <c r="BG194" s="239">
        <v>-7910</v>
      </c>
      <c r="BH194" s="239">
        <v>-17300943</v>
      </c>
      <c r="BI194" s="239">
        <v>-4662</v>
      </c>
      <c r="BJ194" s="239">
        <v>0</v>
      </c>
      <c r="BK194" s="239">
        <v>-4662</v>
      </c>
      <c r="BL194" s="239">
        <v>171363</v>
      </c>
      <c r="BM194" s="239">
        <v>0</v>
      </c>
      <c r="BN194" s="239">
        <v>171363</v>
      </c>
      <c r="BO194" s="239">
        <v>-2215713</v>
      </c>
      <c r="BP194" s="239">
        <v>-15162</v>
      </c>
      <c r="BQ194" s="239">
        <v>-2230875</v>
      </c>
      <c r="BR194" s="239">
        <v>97942</v>
      </c>
      <c r="BS194" s="239">
        <v>395</v>
      </c>
      <c r="BT194" s="239">
        <v>98337</v>
      </c>
      <c r="BU194" s="239">
        <v>-1951070</v>
      </c>
      <c r="BV194" s="239">
        <v>-14767</v>
      </c>
      <c r="BW194" s="239">
        <v>-1965837</v>
      </c>
      <c r="BX194" s="239">
        <v>-333890</v>
      </c>
      <c r="BY194" s="239">
        <v>0</v>
      </c>
      <c r="BZ194" s="239">
        <v>-333890</v>
      </c>
      <c r="CA194" s="239">
        <v>-13354</v>
      </c>
      <c r="CB194" s="239">
        <v>0</v>
      </c>
      <c r="CC194" s="239">
        <v>-13354</v>
      </c>
      <c r="CD194" s="239">
        <v>-432319</v>
      </c>
      <c r="CE194" s="239">
        <v>0</v>
      </c>
      <c r="CF194" s="239">
        <v>-432319</v>
      </c>
      <c r="CG194" s="239">
        <v>3607</v>
      </c>
      <c r="CH194" s="239">
        <v>0</v>
      </c>
      <c r="CI194" s="239">
        <v>3607</v>
      </c>
      <c r="CJ194" s="239">
        <v>-20253</v>
      </c>
      <c r="CK194" s="239">
        <v>0</v>
      </c>
      <c r="CL194" s="239">
        <v>-20253</v>
      </c>
      <c r="CM194" s="239">
        <v>625</v>
      </c>
      <c r="CN194" s="239">
        <v>0</v>
      </c>
      <c r="CO194" s="239">
        <v>625</v>
      </c>
      <c r="CP194" s="239">
        <v>0</v>
      </c>
      <c r="CQ194" s="239">
        <v>0</v>
      </c>
      <c r="CR194" s="239">
        <v>0</v>
      </c>
      <c r="CS194" s="239">
        <v>-454</v>
      </c>
      <c r="CT194" s="239">
        <v>0</v>
      </c>
      <c r="CU194" s="239">
        <v>-454</v>
      </c>
      <c r="CV194" s="239">
        <v>-25142</v>
      </c>
      <c r="CW194" s="239">
        <v>0</v>
      </c>
      <c r="CX194" s="239">
        <v>-25142</v>
      </c>
      <c r="CY194" s="239">
        <v>-711</v>
      </c>
      <c r="CZ194" s="239">
        <v>0</v>
      </c>
      <c r="DA194" s="239">
        <v>-711</v>
      </c>
      <c r="DB194" s="239">
        <v>0</v>
      </c>
      <c r="DC194" s="239">
        <v>-179201</v>
      </c>
      <c r="DD194" s="239">
        <v>-179201</v>
      </c>
      <c r="DE194" s="239">
        <v>0</v>
      </c>
      <c r="DF194" s="239">
        <v>-179</v>
      </c>
      <c r="DG194" s="239">
        <v>-179</v>
      </c>
      <c r="DH194" s="239">
        <v>-179380</v>
      </c>
      <c r="DI194" s="239">
        <v>0</v>
      </c>
      <c r="DJ194" s="239">
        <v>-821891</v>
      </c>
      <c r="DK194" s="239">
        <v>-179380</v>
      </c>
      <c r="DL194" s="239">
        <v>-1001271</v>
      </c>
      <c r="DM194" s="239">
        <v>0</v>
      </c>
      <c r="DN194" s="239">
        <v>0</v>
      </c>
      <c r="DO194" s="239">
        <v>0</v>
      </c>
      <c r="DP194" s="239">
        <v>-264</v>
      </c>
      <c r="DQ194" s="239">
        <v>0</v>
      </c>
      <c r="DR194" s="239">
        <v>-264</v>
      </c>
      <c r="DS194" s="239">
        <v>-403</v>
      </c>
      <c r="DT194" s="239">
        <v>0</v>
      </c>
      <c r="DU194" s="239">
        <v>-403</v>
      </c>
      <c r="DV194" s="239">
        <v>1792</v>
      </c>
      <c r="DW194" s="239">
        <v>0</v>
      </c>
      <c r="DX194" s="239">
        <v>1792</v>
      </c>
      <c r="DY194" s="239">
        <v>4893</v>
      </c>
      <c r="DZ194" s="239">
        <v>0</v>
      </c>
      <c r="EA194" s="239">
        <v>4893</v>
      </c>
      <c r="EB194" s="239">
        <v>-19684</v>
      </c>
      <c r="EC194" s="239">
        <v>0</v>
      </c>
      <c r="ED194" s="239">
        <v>-19684</v>
      </c>
      <c r="EE194" s="239">
        <v>1391</v>
      </c>
      <c r="EF194" s="239">
        <v>0</v>
      </c>
      <c r="EG194" s="239">
        <v>1391</v>
      </c>
      <c r="EH194" s="239">
        <v>0</v>
      </c>
      <c r="EI194" s="239">
        <v>0</v>
      </c>
      <c r="EJ194" s="239">
        <v>0</v>
      </c>
      <c r="EK194" s="239">
        <v>-80846</v>
      </c>
      <c r="EL194" s="239">
        <v>0</v>
      </c>
      <c r="EM194" s="239">
        <v>-80846</v>
      </c>
      <c r="EN194" s="239">
        <v>-1500</v>
      </c>
      <c r="EO194" s="239">
        <v>0</v>
      </c>
      <c r="EP194" s="239">
        <v>-1500</v>
      </c>
      <c r="EQ194" s="239">
        <v>-146862</v>
      </c>
      <c r="ER194" s="239">
        <v>0</v>
      </c>
      <c r="ES194" s="239">
        <v>-146862</v>
      </c>
      <c r="ET194" s="239">
        <v>-908837</v>
      </c>
      <c r="EU194" s="239">
        <v>-10800</v>
      </c>
      <c r="EV194" s="239">
        <v>-919637</v>
      </c>
      <c r="EW194" s="239">
        <v>-187350</v>
      </c>
      <c r="EX194" s="239">
        <v>0</v>
      </c>
      <c r="EY194" s="239">
        <v>-187350</v>
      </c>
      <c r="EZ194" s="239">
        <v>-1337670</v>
      </c>
      <c r="FA194" s="239">
        <v>-10800</v>
      </c>
      <c r="FB194" s="239">
        <v>-1348470</v>
      </c>
      <c r="FC194" s="239">
        <v>-6823</v>
      </c>
      <c r="FD194" s="239">
        <v>0</v>
      </c>
      <c r="FE194" s="239">
        <v>-6823</v>
      </c>
      <c r="FF194" s="239">
        <v>0</v>
      </c>
      <c r="FG194" s="239">
        <v>0</v>
      </c>
      <c r="FH194" s="239">
        <v>0</v>
      </c>
      <c r="FI194" s="239">
        <v>-6823</v>
      </c>
      <c r="FJ194" s="239">
        <v>0</v>
      </c>
      <c r="FK194" s="239">
        <v>-6823</v>
      </c>
      <c r="FL194" s="239">
        <v>101341765</v>
      </c>
      <c r="FM194" s="239">
        <v>371611</v>
      </c>
      <c r="FN194" s="239">
        <v>101713376</v>
      </c>
      <c r="FO194" s="239">
        <v>-1555702</v>
      </c>
      <c r="FP194" s="239">
        <v>-29303</v>
      </c>
      <c r="FQ194" s="239">
        <v>-1585005</v>
      </c>
      <c r="FR194" s="239">
        <v>-17293033</v>
      </c>
      <c r="FS194" s="239">
        <v>-7910</v>
      </c>
      <c r="FT194" s="239">
        <v>-17300943</v>
      </c>
      <c r="FU194" s="239">
        <v>-1951070</v>
      </c>
      <c r="FV194" s="239">
        <v>-14767</v>
      </c>
      <c r="FW194" s="239">
        <v>-1965837</v>
      </c>
      <c r="FX194" s="239">
        <v>-821891</v>
      </c>
      <c r="FY194" s="239">
        <v>-179380</v>
      </c>
      <c r="FZ194" s="239">
        <v>-1001271</v>
      </c>
      <c r="GA194" s="239">
        <v>-1337670</v>
      </c>
      <c r="GB194" s="239">
        <v>-10800</v>
      </c>
      <c r="GC194" s="239">
        <v>-1348470</v>
      </c>
      <c r="GD194" s="239">
        <v>-6823</v>
      </c>
      <c r="GE194" s="239">
        <v>0</v>
      </c>
      <c r="GF194" s="239">
        <v>-6823</v>
      </c>
      <c r="GG194" s="239">
        <v>-22966189</v>
      </c>
      <c r="GH194" s="239">
        <v>-242160</v>
      </c>
      <c r="GI194" s="239">
        <v>-23208349</v>
      </c>
      <c r="GJ194" s="239">
        <v>78375576</v>
      </c>
      <c r="GK194" s="239">
        <v>129451</v>
      </c>
      <c r="GL194" s="239">
        <v>78505027</v>
      </c>
      <c r="GM194" s="214" t="s">
        <v>746</v>
      </c>
    </row>
    <row r="195" spans="1:195" s="214" customFormat="1" x14ac:dyDescent="0.2">
      <c r="B195" s="602" t="s">
        <v>473</v>
      </c>
      <c r="C195" s="602" t="s">
        <v>472</v>
      </c>
      <c r="D195" s="239">
        <v>-3343140</v>
      </c>
      <c r="E195" s="239">
        <v>0</v>
      </c>
      <c r="F195" s="239">
        <v>-3343140</v>
      </c>
      <c r="G195" s="239">
        <v>110905</v>
      </c>
      <c r="H195" s="239">
        <v>0</v>
      </c>
      <c r="I195" s="239">
        <v>110905</v>
      </c>
      <c r="J195" s="239">
        <v>4626197</v>
      </c>
      <c r="K195" s="239">
        <v>0</v>
      </c>
      <c r="L195" s="239">
        <v>4626197</v>
      </c>
      <c r="M195" s="239">
        <v>175868</v>
      </c>
      <c r="N195" s="239">
        <v>0</v>
      </c>
      <c r="O195" s="239">
        <v>175868</v>
      </c>
      <c r="P195" s="239">
        <v>1569830</v>
      </c>
      <c r="Q195" s="239">
        <v>0</v>
      </c>
      <c r="R195" s="239">
        <v>1569830</v>
      </c>
      <c r="S195" s="239">
        <v>-5366614</v>
      </c>
      <c r="T195" s="239">
        <v>0</v>
      </c>
      <c r="U195" s="239">
        <v>-5366614</v>
      </c>
      <c r="V195" s="239">
        <v>-22923</v>
      </c>
      <c r="W195" s="239">
        <v>0</v>
      </c>
      <c r="X195" s="239">
        <v>-22923</v>
      </c>
      <c r="Y195" s="239">
        <v>-161336</v>
      </c>
      <c r="Z195" s="239">
        <v>0</v>
      </c>
      <c r="AA195" s="239">
        <v>-161336</v>
      </c>
      <c r="AB195" s="239">
        <v>-126950</v>
      </c>
      <c r="AC195" s="239">
        <v>0</v>
      </c>
      <c r="AD195" s="239">
        <v>-126950</v>
      </c>
      <c r="AE195" s="239">
        <v>2180</v>
      </c>
      <c r="AF195" s="239">
        <v>0</v>
      </c>
      <c r="AG195" s="239">
        <v>2180</v>
      </c>
      <c r="AH195" s="239">
        <v>1923385</v>
      </c>
      <c r="AI195" s="239">
        <v>0</v>
      </c>
      <c r="AJ195" s="239">
        <v>1923385</v>
      </c>
      <c r="AK195" s="239">
        <v>32184</v>
      </c>
      <c r="AL195" s="239">
        <v>0</v>
      </c>
      <c r="AM195" s="239">
        <v>32184</v>
      </c>
      <c r="AN195" s="239">
        <v>-6848861</v>
      </c>
      <c r="AO195" s="239">
        <v>0</v>
      </c>
      <c r="AP195" s="239">
        <v>-6848861</v>
      </c>
      <c r="AQ195" s="239">
        <v>-60572</v>
      </c>
      <c r="AR195" s="239">
        <v>0</v>
      </c>
      <c r="AS195" s="239">
        <v>-60572</v>
      </c>
      <c r="AT195" s="239">
        <v>-24027</v>
      </c>
      <c r="AU195" s="239">
        <v>0</v>
      </c>
      <c r="AV195" s="239">
        <v>-24027</v>
      </c>
      <c r="AW195" s="239">
        <v>0</v>
      </c>
      <c r="AX195" s="239">
        <v>0</v>
      </c>
      <c r="AY195" s="239">
        <v>0</v>
      </c>
      <c r="AZ195" s="239">
        <v>0</v>
      </c>
      <c r="BA195" s="239">
        <v>0</v>
      </c>
      <c r="BB195" s="239">
        <v>0</v>
      </c>
      <c r="BC195" s="239">
        <v>0</v>
      </c>
      <c r="BD195" s="239">
        <v>0</v>
      </c>
      <c r="BE195" s="239">
        <v>0</v>
      </c>
      <c r="BF195" s="239">
        <v>-10505841</v>
      </c>
      <c r="BG195" s="239">
        <v>0</v>
      </c>
      <c r="BH195" s="239">
        <v>-10505841</v>
      </c>
      <c r="BI195" s="239">
        <v>-63001</v>
      </c>
      <c r="BJ195" s="239">
        <v>0</v>
      </c>
      <c r="BK195" s="239">
        <v>-63001</v>
      </c>
      <c r="BL195" s="239">
        <v>-34788</v>
      </c>
      <c r="BM195" s="239">
        <v>0</v>
      </c>
      <c r="BN195" s="239">
        <v>-34788</v>
      </c>
      <c r="BO195" s="239">
        <v>-3311879</v>
      </c>
      <c r="BP195" s="239">
        <v>0</v>
      </c>
      <c r="BQ195" s="239">
        <v>-3311879</v>
      </c>
      <c r="BR195" s="239">
        <v>344031</v>
      </c>
      <c r="BS195" s="239">
        <v>0</v>
      </c>
      <c r="BT195" s="239">
        <v>344031</v>
      </c>
      <c r="BU195" s="239">
        <v>-3065637</v>
      </c>
      <c r="BV195" s="239">
        <v>0</v>
      </c>
      <c r="BW195" s="239">
        <v>-3065637</v>
      </c>
      <c r="BX195" s="239">
        <v>-91211</v>
      </c>
      <c r="BY195" s="239">
        <v>0</v>
      </c>
      <c r="BZ195" s="239">
        <v>-91211</v>
      </c>
      <c r="CA195" s="239">
        <v>2829</v>
      </c>
      <c r="CB195" s="239">
        <v>0</v>
      </c>
      <c r="CC195" s="239">
        <v>2829</v>
      </c>
      <c r="CD195" s="239">
        <v>-67225</v>
      </c>
      <c r="CE195" s="239">
        <v>0</v>
      </c>
      <c r="CF195" s="239">
        <v>-67225</v>
      </c>
      <c r="CG195" s="239">
        <v>-3995</v>
      </c>
      <c r="CH195" s="239">
        <v>0</v>
      </c>
      <c r="CI195" s="239">
        <v>-3995</v>
      </c>
      <c r="CJ195" s="239">
        <v>0</v>
      </c>
      <c r="CK195" s="239">
        <v>0</v>
      </c>
      <c r="CL195" s="239">
        <v>0</v>
      </c>
      <c r="CM195" s="239">
        <v>0</v>
      </c>
      <c r="CN195" s="239">
        <v>0</v>
      </c>
      <c r="CO195" s="239">
        <v>0</v>
      </c>
      <c r="CP195" s="239">
        <v>0</v>
      </c>
      <c r="CQ195" s="239">
        <v>0</v>
      </c>
      <c r="CR195" s="239">
        <v>0</v>
      </c>
      <c r="CS195" s="239">
        <v>0</v>
      </c>
      <c r="CT195" s="239">
        <v>0</v>
      </c>
      <c r="CU195" s="239">
        <v>0</v>
      </c>
      <c r="CV195" s="239">
        <v>0</v>
      </c>
      <c r="CW195" s="239">
        <v>0</v>
      </c>
      <c r="CX195" s="239">
        <v>0</v>
      </c>
      <c r="CY195" s="239">
        <v>0</v>
      </c>
      <c r="CZ195" s="239">
        <v>0</v>
      </c>
      <c r="DA195" s="239">
        <v>0</v>
      </c>
      <c r="DB195" s="239">
        <v>0</v>
      </c>
      <c r="DC195" s="239">
        <v>0</v>
      </c>
      <c r="DD195" s="239">
        <v>0</v>
      </c>
      <c r="DE195" s="239">
        <v>0</v>
      </c>
      <c r="DF195" s="239">
        <v>0</v>
      </c>
      <c r="DG195" s="239">
        <v>0</v>
      </c>
      <c r="DH195" s="239">
        <v>0</v>
      </c>
      <c r="DI195" s="239">
        <v>0</v>
      </c>
      <c r="DJ195" s="239">
        <v>-159602</v>
      </c>
      <c r="DK195" s="239">
        <v>0</v>
      </c>
      <c r="DL195" s="239">
        <v>-159602</v>
      </c>
      <c r="DM195" s="239">
        <v>0</v>
      </c>
      <c r="DN195" s="239">
        <v>0</v>
      </c>
      <c r="DO195" s="239">
        <v>0</v>
      </c>
      <c r="DP195" s="239">
        <v>0</v>
      </c>
      <c r="DQ195" s="239">
        <v>0</v>
      </c>
      <c r="DR195" s="239">
        <v>0</v>
      </c>
      <c r="DS195" s="239">
        <v>-4950</v>
      </c>
      <c r="DT195" s="239">
        <v>0</v>
      </c>
      <c r="DU195" s="239">
        <v>-4950</v>
      </c>
      <c r="DV195" s="239">
        <v>0</v>
      </c>
      <c r="DW195" s="239">
        <v>0</v>
      </c>
      <c r="DX195" s="239">
        <v>0</v>
      </c>
      <c r="DY195" s="239">
        <v>5202</v>
      </c>
      <c r="DZ195" s="239">
        <v>0</v>
      </c>
      <c r="EA195" s="239">
        <v>5202</v>
      </c>
      <c r="EB195" s="239">
        <v>0</v>
      </c>
      <c r="EC195" s="239">
        <v>0</v>
      </c>
      <c r="ED195" s="239">
        <v>0</v>
      </c>
      <c r="EE195" s="239">
        <v>0</v>
      </c>
      <c r="EF195" s="239">
        <v>0</v>
      </c>
      <c r="EG195" s="239">
        <v>0</v>
      </c>
      <c r="EH195" s="239">
        <v>14</v>
      </c>
      <c r="EI195" s="239">
        <v>0</v>
      </c>
      <c r="EJ195" s="239">
        <v>14</v>
      </c>
      <c r="EK195" s="239">
        <v>0</v>
      </c>
      <c r="EL195" s="239">
        <v>0</v>
      </c>
      <c r="EM195" s="239">
        <v>0</v>
      </c>
      <c r="EN195" s="239">
        <v>0</v>
      </c>
      <c r="EO195" s="239">
        <v>0</v>
      </c>
      <c r="EP195" s="239">
        <v>0</v>
      </c>
      <c r="EQ195" s="239">
        <v>-27410</v>
      </c>
      <c r="ER195" s="239">
        <v>0</v>
      </c>
      <c r="ES195" s="239">
        <v>-27410</v>
      </c>
      <c r="ET195" s="239">
        <v>-477524</v>
      </c>
      <c r="EU195" s="239">
        <v>0</v>
      </c>
      <c r="EV195" s="239">
        <v>-477524</v>
      </c>
      <c r="EW195" s="239">
        <v>-81979</v>
      </c>
      <c r="EX195" s="239">
        <v>0</v>
      </c>
      <c r="EY195" s="239">
        <v>-81979</v>
      </c>
      <c r="EZ195" s="239">
        <v>-586647</v>
      </c>
      <c r="FA195" s="239">
        <v>0</v>
      </c>
      <c r="FB195" s="239">
        <v>-586647</v>
      </c>
      <c r="FC195" s="239">
        <v>0</v>
      </c>
      <c r="FD195" s="239">
        <v>0</v>
      </c>
      <c r="FE195" s="239">
        <v>0</v>
      </c>
      <c r="FF195" s="239">
        <v>0</v>
      </c>
      <c r="FG195" s="239">
        <v>0</v>
      </c>
      <c r="FH195" s="239">
        <v>0</v>
      </c>
      <c r="FI195" s="239">
        <v>0</v>
      </c>
      <c r="FJ195" s="239">
        <v>0</v>
      </c>
      <c r="FK195" s="239">
        <v>0</v>
      </c>
      <c r="FL195" s="239">
        <v>88355935</v>
      </c>
      <c r="FM195" s="239">
        <v>0</v>
      </c>
      <c r="FN195" s="239">
        <v>88355935</v>
      </c>
      <c r="FO195" s="239">
        <v>1569830</v>
      </c>
      <c r="FP195" s="239">
        <v>0</v>
      </c>
      <c r="FQ195" s="239">
        <v>1569830</v>
      </c>
      <c r="FR195" s="239">
        <v>-10505841</v>
      </c>
      <c r="FS195" s="239">
        <v>0</v>
      </c>
      <c r="FT195" s="239">
        <v>-10505841</v>
      </c>
      <c r="FU195" s="239">
        <v>-3065637</v>
      </c>
      <c r="FV195" s="239">
        <v>0</v>
      </c>
      <c r="FW195" s="239">
        <v>-3065637</v>
      </c>
      <c r="FX195" s="239">
        <v>-159602</v>
      </c>
      <c r="FY195" s="239">
        <v>0</v>
      </c>
      <c r="FZ195" s="239">
        <v>-159602</v>
      </c>
      <c r="GA195" s="239">
        <v>-586647</v>
      </c>
      <c r="GB195" s="239">
        <v>0</v>
      </c>
      <c r="GC195" s="239">
        <v>-586647</v>
      </c>
      <c r="GD195" s="239">
        <v>0</v>
      </c>
      <c r="GE195" s="239">
        <v>0</v>
      </c>
      <c r="GF195" s="239">
        <v>0</v>
      </c>
      <c r="GG195" s="239">
        <v>-12747897</v>
      </c>
      <c r="GH195" s="239">
        <v>0</v>
      </c>
      <c r="GI195" s="239">
        <v>-12747897</v>
      </c>
      <c r="GJ195" s="239">
        <v>75608038</v>
      </c>
      <c r="GK195" s="239">
        <v>0</v>
      </c>
      <c r="GL195" s="239">
        <v>75608038</v>
      </c>
      <c r="GM195" s="214" t="s">
        <v>1158</v>
      </c>
    </row>
    <row r="196" spans="1:195" s="214" customFormat="1" x14ac:dyDescent="0.2">
      <c r="B196" s="602" t="s">
        <v>475</v>
      </c>
      <c r="C196" s="602" t="s">
        <v>474</v>
      </c>
      <c r="D196" s="239">
        <v>-8413034</v>
      </c>
      <c r="E196" s="239">
        <v>-624318</v>
      </c>
      <c r="F196" s="239">
        <v>-9037352</v>
      </c>
      <c r="G196" s="239">
        <v>267136</v>
      </c>
      <c r="H196" s="239">
        <v>1386</v>
      </c>
      <c r="I196" s="239">
        <v>268522</v>
      </c>
      <c r="J196" s="239">
        <v>3926643</v>
      </c>
      <c r="K196" s="239">
        <v>161314</v>
      </c>
      <c r="L196" s="239">
        <v>4087957</v>
      </c>
      <c r="M196" s="239">
        <v>464190</v>
      </c>
      <c r="N196" s="239">
        <v>19409</v>
      </c>
      <c r="O196" s="239">
        <v>483599</v>
      </c>
      <c r="P196" s="239">
        <v>-3755065</v>
      </c>
      <c r="Q196" s="239">
        <v>-442209</v>
      </c>
      <c r="R196" s="239">
        <v>-4197274</v>
      </c>
      <c r="S196" s="239">
        <v>-7568399</v>
      </c>
      <c r="T196" s="239">
        <v>-564038</v>
      </c>
      <c r="U196" s="239">
        <v>-8132437</v>
      </c>
      <c r="V196" s="239">
        <v>-13616</v>
      </c>
      <c r="W196" s="239">
        <v>-1263</v>
      </c>
      <c r="X196" s="239">
        <v>-14879</v>
      </c>
      <c r="Y196" s="239">
        <v>-563863</v>
      </c>
      <c r="Z196" s="239">
        <v>-22827</v>
      </c>
      <c r="AA196" s="239">
        <v>-586690</v>
      </c>
      <c r="AB196" s="239">
        <v>-491849</v>
      </c>
      <c r="AC196" s="239">
        <v>-20494</v>
      </c>
      <c r="AD196" s="239">
        <v>-512343</v>
      </c>
      <c r="AE196" s="239">
        <v>8433</v>
      </c>
      <c r="AF196" s="239">
        <v>3774</v>
      </c>
      <c r="AG196" s="239">
        <v>12207</v>
      </c>
      <c r="AH196" s="239">
        <v>3544334</v>
      </c>
      <c r="AI196" s="239">
        <v>186544</v>
      </c>
      <c r="AJ196" s="239">
        <v>3730878</v>
      </c>
      <c r="AK196" s="239">
        <v>2575774</v>
      </c>
      <c r="AL196" s="239">
        <v>135567</v>
      </c>
      <c r="AM196" s="239">
        <v>2711341</v>
      </c>
      <c r="AN196" s="239">
        <v>-15044415</v>
      </c>
      <c r="AO196" s="239">
        <v>-646783</v>
      </c>
      <c r="AP196" s="239">
        <v>-15691198</v>
      </c>
      <c r="AQ196" s="239">
        <v>-96548</v>
      </c>
      <c r="AR196" s="239">
        <v>153197</v>
      </c>
      <c r="AS196" s="239">
        <v>56649</v>
      </c>
      <c r="AT196" s="239">
        <v>-64922</v>
      </c>
      <c r="AU196" s="239">
        <v>0</v>
      </c>
      <c r="AV196" s="239">
        <v>-64922</v>
      </c>
      <c r="AW196" s="239">
        <v>0</v>
      </c>
      <c r="AX196" s="239">
        <v>0</v>
      </c>
      <c r="AY196" s="239">
        <v>0</v>
      </c>
      <c r="AZ196" s="239">
        <v>0</v>
      </c>
      <c r="BA196" s="239">
        <v>0</v>
      </c>
      <c r="BB196" s="239">
        <v>0</v>
      </c>
      <c r="BC196" s="239">
        <v>0</v>
      </c>
      <c r="BD196" s="239">
        <v>0</v>
      </c>
      <c r="BE196" s="239">
        <v>0</v>
      </c>
      <c r="BF196" s="239">
        <v>-17218039</v>
      </c>
      <c r="BG196" s="239">
        <v>-758340</v>
      </c>
      <c r="BH196" s="239">
        <v>-17976379</v>
      </c>
      <c r="BI196" s="239">
        <v>-52173</v>
      </c>
      <c r="BJ196" s="239">
        <v>0</v>
      </c>
      <c r="BK196" s="239">
        <v>-52173</v>
      </c>
      <c r="BL196" s="239">
        <v>81697</v>
      </c>
      <c r="BM196" s="239">
        <v>-7336</v>
      </c>
      <c r="BN196" s="239">
        <v>74361</v>
      </c>
      <c r="BO196" s="239">
        <v>-5518564</v>
      </c>
      <c r="BP196" s="239">
        <v>-493142</v>
      </c>
      <c r="BQ196" s="239">
        <v>-6011706</v>
      </c>
      <c r="BR196" s="239">
        <v>-454950</v>
      </c>
      <c r="BS196" s="239">
        <v>132153</v>
      </c>
      <c r="BT196" s="239">
        <v>-322797</v>
      </c>
      <c r="BU196" s="239">
        <v>-5943990</v>
      </c>
      <c r="BV196" s="239">
        <v>-368325</v>
      </c>
      <c r="BW196" s="239">
        <v>-6312315</v>
      </c>
      <c r="BX196" s="239">
        <v>-185355</v>
      </c>
      <c r="BY196" s="239">
        <v>-8119</v>
      </c>
      <c r="BZ196" s="239">
        <v>-193474</v>
      </c>
      <c r="CA196" s="239">
        <v>949</v>
      </c>
      <c r="CB196" s="239">
        <v>-1423</v>
      </c>
      <c r="CC196" s="239">
        <v>-474</v>
      </c>
      <c r="CD196" s="239">
        <v>-330454</v>
      </c>
      <c r="CE196" s="239">
        <v>-321451</v>
      </c>
      <c r="CF196" s="239">
        <v>-651905</v>
      </c>
      <c r="CG196" s="239">
        <v>-48830</v>
      </c>
      <c r="CH196" s="239">
        <v>7650</v>
      </c>
      <c r="CI196" s="239">
        <v>-41180</v>
      </c>
      <c r="CJ196" s="239">
        <v>-814</v>
      </c>
      <c r="CK196" s="239">
        <v>0</v>
      </c>
      <c r="CL196" s="239">
        <v>-814</v>
      </c>
      <c r="CM196" s="239">
        <v>0</v>
      </c>
      <c r="CN196" s="239">
        <v>0</v>
      </c>
      <c r="CO196" s="239">
        <v>0</v>
      </c>
      <c r="CP196" s="239">
        <v>0</v>
      </c>
      <c r="CQ196" s="239">
        <v>0</v>
      </c>
      <c r="CR196" s="239">
        <v>0</v>
      </c>
      <c r="CS196" s="239">
        <v>0</v>
      </c>
      <c r="CT196" s="239">
        <v>0</v>
      </c>
      <c r="CU196" s="239">
        <v>0</v>
      </c>
      <c r="CV196" s="239">
        <v>0</v>
      </c>
      <c r="CW196" s="239">
        <v>0</v>
      </c>
      <c r="CX196" s="239">
        <v>0</v>
      </c>
      <c r="CY196" s="239">
        <v>0</v>
      </c>
      <c r="CZ196" s="239">
        <v>0</v>
      </c>
      <c r="DA196" s="239">
        <v>0</v>
      </c>
      <c r="DB196" s="239">
        <v>0</v>
      </c>
      <c r="DC196" s="239">
        <v>-26790</v>
      </c>
      <c r="DD196" s="239">
        <v>-26790</v>
      </c>
      <c r="DE196" s="239">
        <v>0</v>
      </c>
      <c r="DF196" s="239">
        <v>0</v>
      </c>
      <c r="DG196" s="239">
        <v>0</v>
      </c>
      <c r="DH196" s="239">
        <v>0</v>
      </c>
      <c r="DI196" s="239">
        <v>0</v>
      </c>
      <c r="DJ196" s="239">
        <v>-564504</v>
      </c>
      <c r="DK196" s="239">
        <v>-350133</v>
      </c>
      <c r="DL196" s="239">
        <v>-914637</v>
      </c>
      <c r="DM196" s="239">
        <v>0</v>
      </c>
      <c r="DN196" s="239">
        <v>0</v>
      </c>
      <c r="DO196" s="239">
        <v>0</v>
      </c>
      <c r="DP196" s="239">
        <v>0</v>
      </c>
      <c r="DQ196" s="239">
        <v>0</v>
      </c>
      <c r="DR196" s="239">
        <v>0</v>
      </c>
      <c r="DS196" s="239">
        <v>0</v>
      </c>
      <c r="DT196" s="239">
        <v>-1890</v>
      </c>
      <c r="DU196" s="239">
        <v>-1890</v>
      </c>
      <c r="DV196" s="239">
        <v>5119</v>
      </c>
      <c r="DW196" s="239">
        <v>6118</v>
      </c>
      <c r="DX196" s="239">
        <v>11237</v>
      </c>
      <c r="DY196" s="239">
        <v>8518</v>
      </c>
      <c r="DZ196" s="239">
        <v>-484</v>
      </c>
      <c r="EA196" s="239">
        <v>8034</v>
      </c>
      <c r="EB196" s="239">
        <v>0</v>
      </c>
      <c r="EC196" s="239">
        <v>0</v>
      </c>
      <c r="ED196" s="239">
        <v>0</v>
      </c>
      <c r="EE196" s="239">
        <v>0</v>
      </c>
      <c r="EF196" s="239">
        <v>0</v>
      </c>
      <c r="EG196" s="239">
        <v>0</v>
      </c>
      <c r="EH196" s="239">
        <v>0</v>
      </c>
      <c r="EI196" s="239">
        <v>0</v>
      </c>
      <c r="EJ196" s="239">
        <v>0</v>
      </c>
      <c r="EK196" s="239">
        <v>0</v>
      </c>
      <c r="EL196" s="239">
        <v>0</v>
      </c>
      <c r="EM196" s="239">
        <v>0</v>
      </c>
      <c r="EN196" s="239">
        <v>-1500</v>
      </c>
      <c r="EO196" s="239">
        <v>0</v>
      </c>
      <c r="EP196" s="239">
        <v>-1500</v>
      </c>
      <c r="EQ196" s="239">
        <v>-115838</v>
      </c>
      <c r="ER196" s="239">
        <v>-6886</v>
      </c>
      <c r="ES196" s="239">
        <v>-122724</v>
      </c>
      <c r="ET196" s="239">
        <v>-895316</v>
      </c>
      <c r="EU196" s="239">
        <v>-97874</v>
      </c>
      <c r="EV196" s="239">
        <v>-993190</v>
      </c>
      <c r="EW196" s="239">
        <v>-96661</v>
      </c>
      <c r="EX196" s="239">
        <v>-17933</v>
      </c>
      <c r="EY196" s="239">
        <v>-114594</v>
      </c>
      <c r="EZ196" s="239">
        <v>-1095678</v>
      </c>
      <c r="FA196" s="239">
        <v>-118949</v>
      </c>
      <c r="FB196" s="239">
        <v>-1214627</v>
      </c>
      <c r="FC196" s="239">
        <v>0</v>
      </c>
      <c r="FD196" s="239">
        <v>0</v>
      </c>
      <c r="FE196" s="239">
        <v>0</v>
      </c>
      <c r="FF196" s="239">
        <v>0</v>
      </c>
      <c r="FG196" s="239">
        <v>0</v>
      </c>
      <c r="FH196" s="239">
        <v>0</v>
      </c>
      <c r="FI196" s="239">
        <v>0</v>
      </c>
      <c r="FJ196" s="239">
        <v>0</v>
      </c>
      <c r="FK196" s="239">
        <v>0</v>
      </c>
      <c r="FL196" s="239">
        <v>147757617</v>
      </c>
      <c r="FM196" s="239">
        <v>11490929</v>
      </c>
      <c r="FN196" s="239">
        <v>159248546</v>
      </c>
      <c r="FO196" s="239">
        <v>-3755065</v>
      </c>
      <c r="FP196" s="239">
        <v>-442209</v>
      </c>
      <c r="FQ196" s="239">
        <v>-4197274</v>
      </c>
      <c r="FR196" s="239">
        <v>-17218039</v>
      </c>
      <c r="FS196" s="239">
        <v>-758340</v>
      </c>
      <c r="FT196" s="239">
        <v>-17976379</v>
      </c>
      <c r="FU196" s="239">
        <v>-5943990</v>
      </c>
      <c r="FV196" s="239">
        <v>-368325</v>
      </c>
      <c r="FW196" s="239">
        <v>-6312315</v>
      </c>
      <c r="FX196" s="239">
        <v>-564504</v>
      </c>
      <c r="FY196" s="239">
        <v>-350133</v>
      </c>
      <c r="FZ196" s="239">
        <v>-914637</v>
      </c>
      <c r="GA196" s="239">
        <v>-1095678</v>
      </c>
      <c r="GB196" s="239">
        <v>-118949</v>
      </c>
      <c r="GC196" s="239">
        <v>-1214627</v>
      </c>
      <c r="GD196" s="239">
        <v>0</v>
      </c>
      <c r="GE196" s="239">
        <v>0</v>
      </c>
      <c r="GF196" s="239">
        <v>0</v>
      </c>
      <c r="GG196" s="239">
        <v>-28577276</v>
      </c>
      <c r="GH196" s="239">
        <v>-2037956</v>
      </c>
      <c r="GI196" s="239">
        <v>-30615232</v>
      </c>
      <c r="GJ196" s="239">
        <v>119180341</v>
      </c>
      <c r="GK196" s="239">
        <v>9452973</v>
      </c>
      <c r="GL196" s="239">
        <v>128633314</v>
      </c>
      <c r="GM196" s="214" t="s">
        <v>746</v>
      </c>
    </row>
    <row r="197" spans="1:195" s="214" customFormat="1" x14ac:dyDescent="0.2">
      <c r="B197" s="602" t="s">
        <v>477</v>
      </c>
      <c r="C197" s="602" t="s">
        <v>476</v>
      </c>
      <c r="D197" s="239">
        <v>-761927</v>
      </c>
      <c r="E197" s="239">
        <v>0</v>
      </c>
      <c r="F197" s="239">
        <v>-761927</v>
      </c>
      <c r="G197" s="239">
        <v>4432</v>
      </c>
      <c r="H197" s="239">
        <v>0</v>
      </c>
      <c r="I197" s="239">
        <v>4432</v>
      </c>
      <c r="J197" s="239">
        <v>1992288</v>
      </c>
      <c r="K197" s="239">
        <v>0</v>
      </c>
      <c r="L197" s="239">
        <v>1992288</v>
      </c>
      <c r="M197" s="239">
        <v>47269</v>
      </c>
      <c r="N197" s="239">
        <v>0</v>
      </c>
      <c r="O197" s="239">
        <v>47269</v>
      </c>
      <c r="P197" s="239">
        <v>1282062</v>
      </c>
      <c r="Q197" s="239">
        <v>0</v>
      </c>
      <c r="R197" s="239">
        <v>1282062</v>
      </c>
      <c r="S197" s="239">
        <v>-3327692</v>
      </c>
      <c r="T197" s="239">
        <v>0</v>
      </c>
      <c r="U197" s="239">
        <v>-3327692</v>
      </c>
      <c r="V197" s="239">
        <v>0</v>
      </c>
      <c r="W197" s="239">
        <v>0</v>
      </c>
      <c r="X197" s="239">
        <v>0</v>
      </c>
      <c r="Y197" s="239">
        <v>-161147</v>
      </c>
      <c r="Z197" s="239">
        <v>0</v>
      </c>
      <c r="AA197" s="239">
        <v>-161147</v>
      </c>
      <c r="AB197" s="239">
        <v>0</v>
      </c>
      <c r="AC197" s="239">
        <v>0</v>
      </c>
      <c r="AD197" s="239">
        <v>0</v>
      </c>
      <c r="AE197" s="239">
        <v>0</v>
      </c>
      <c r="AF197" s="239">
        <v>0</v>
      </c>
      <c r="AG197" s="239">
        <v>0</v>
      </c>
      <c r="AH197" s="239">
        <v>747529</v>
      </c>
      <c r="AI197" s="239">
        <v>0</v>
      </c>
      <c r="AJ197" s="239">
        <v>747529</v>
      </c>
      <c r="AK197" s="239">
        <v>8102</v>
      </c>
      <c r="AL197" s="239">
        <v>0</v>
      </c>
      <c r="AM197" s="239">
        <v>8102</v>
      </c>
      <c r="AN197" s="239">
        <v>-2192742</v>
      </c>
      <c r="AO197" s="239">
        <v>0</v>
      </c>
      <c r="AP197" s="239">
        <v>-2192742</v>
      </c>
      <c r="AQ197" s="239">
        <v>-76124</v>
      </c>
      <c r="AR197" s="239">
        <v>0</v>
      </c>
      <c r="AS197" s="239">
        <v>-76124</v>
      </c>
      <c r="AT197" s="239">
        <v>-16576</v>
      </c>
      <c r="AU197" s="239">
        <v>0</v>
      </c>
      <c r="AV197" s="239">
        <v>-16576</v>
      </c>
      <c r="AW197" s="239">
        <v>0</v>
      </c>
      <c r="AX197" s="239">
        <v>0</v>
      </c>
      <c r="AY197" s="239">
        <v>0</v>
      </c>
      <c r="AZ197" s="239">
        <v>0</v>
      </c>
      <c r="BA197" s="239">
        <v>0</v>
      </c>
      <c r="BB197" s="239">
        <v>0</v>
      </c>
      <c r="BC197" s="239">
        <v>0</v>
      </c>
      <c r="BD197" s="239">
        <v>0</v>
      </c>
      <c r="BE197" s="239">
        <v>0</v>
      </c>
      <c r="BF197" s="239">
        <v>-5018650</v>
      </c>
      <c r="BG197" s="239">
        <v>0</v>
      </c>
      <c r="BH197" s="239">
        <v>-5018650</v>
      </c>
      <c r="BI197" s="239">
        <v>-24460</v>
      </c>
      <c r="BJ197" s="239">
        <v>0</v>
      </c>
      <c r="BK197" s="239">
        <v>-24460</v>
      </c>
      <c r="BL197" s="239">
        <v>-967</v>
      </c>
      <c r="BM197" s="239">
        <v>0</v>
      </c>
      <c r="BN197" s="239">
        <v>-967</v>
      </c>
      <c r="BO197" s="239">
        <v>-1379630</v>
      </c>
      <c r="BP197" s="239">
        <v>0</v>
      </c>
      <c r="BQ197" s="239">
        <v>-1379630</v>
      </c>
      <c r="BR197" s="239">
        <v>-70124</v>
      </c>
      <c r="BS197" s="239">
        <v>0</v>
      </c>
      <c r="BT197" s="239">
        <v>-70124</v>
      </c>
      <c r="BU197" s="239">
        <v>-1475181</v>
      </c>
      <c r="BV197" s="239">
        <v>0</v>
      </c>
      <c r="BW197" s="239">
        <v>-1475181</v>
      </c>
      <c r="BX197" s="239">
        <v>-11703</v>
      </c>
      <c r="BY197" s="239">
        <v>0</v>
      </c>
      <c r="BZ197" s="239">
        <v>-11703</v>
      </c>
      <c r="CA197" s="239">
        <v>-770</v>
      </c>
      <c r="CB197" s="239">
        <v>0</v>
      </c>
      <c r="CC197" s="239">
        <v>-770</v>
      </c>
      <c r="CD197" s="239">
        <v>-19131</v>
      </c>
      <c r="CE197" s="239">
        <v>0</v>
      </c>
      <c r="CF197" s="239">
        <v>-19131</v>
      </c>
      <c r="CG197" s="239">
        <v>0</v>
      </c>
      <c r="CH197" s="239">
        <v>0</v>
      </c>
      <c r="CI197" s="239">
        <v>0</v>
      </c>
      <c r="CJ197" s="239">
        <v>0</v>
      </c>
      <c r="CK197" s="239">
        <v>0</v>
      </c>
      <c r="CL197" s="239">
        <v>0</v>
      </c>
      <c r="CM197" s="239">
        <v>0</v>
      </c>
      <c r="CN197" s="239">
        <v>0</v>
      </c>
      <c r="CO197" s="239">
        <v>0</v>
      </c>
      <c r="CP197" s="239">
        <v>0</v>
      </c>
      <c r="CQ197" s="239">
        <v>0</v>
      </c>
      <c r="CR197" s="239">
        <v>0</v>
      </c>
      <c r="CS197" s="239">
        <v>0</v>
      </c>
      <c r="CT197" s="239">
        <v>0</v>
      </c>
      <c r="CU197" s="239">
        <v>0</v>
      </c>
      <c r="CV197" s="239">
        <v>0</v>
      </c>
      <c r="CW197" s="239">
        <v>0</v>
      </c>
      <c r="CX197" s="239">
        <v>0</v>
      </c>
      <c r="CY197" s="239">
        <v>0</v>
      </c>
      <c r="CZ197" s="239">
        <v>0</v>
      </c>
      <c r="DA197" s="239">
        <v>0</v>
      </c>
      <c r="DB197" s="239">
        <v>0</v>
      </c>
      <c r="DC197" s="239">
        <v>0</v>
      </c>
      <c r="DD197" s="239">
        <v>0</v>
      </c>
      <c r="DE197" s="239">
        <v>0</v>
      </c>
      <c r="DF197" s="239">
        <v>0</v>
      </c>
      <c r="DG197" s="239">
        <v>0</v>
      </c>
      <c r="DH197" s="239">
        <v>0</v>
      </c>
      <c r="DI197" s="239">
        <v>0</v>
      </c>
      <c r="DJ197" s="239">
        <v>-31604</v>
      </c>
      <c r="DK197" s="239">
        <v>0</v>
      </c>
      <c r="DL197" s="239">
        <v>-31604</v>
      </c>
      <c r="DM197" s="239">
        <v>0</v>
      </c>
      <c r="DN197" s="239">
        <v>0</v>
      </c>
      <c r="DO197" s="239">
        <v>0</v>
      </c>
      <c r="DP197" s="239">
        <v>0</v>
      </c>
      <c r="DQ197" s="239">
        <v>0</v>
      </c>
      <c r="DR197" s="239">
        <v>0</v>
      </c>
      <c r="DS197" s="239">
        <v>-4191</v>
      </c>
      <c r="DT197" s="239">
        <v>0</v>
      </c>
      <c r="DU197" s="239">
        <v>-4191</v>
      </c>
      <c r="DV197" s="239">
        <v>-13975</v>
      </c>
      <c r="DW197" s="239">
        <v>0</v>
      </c>
      <c r="DX197" s="239">
        <v>-13975</v>
      </c>
      <c r="DY197" s="239">
        <v>4246</v>
      </c>
      <c r="DZ197" s="239">
        <v>0</v>
      </c>
      <c r="EA197" s="239">
        <v>4246</v>
      </c>
      <c r="EB197" s="239">
        <v>0</v>
      </c>
      <c r="EC197" s="239">
        <v>0</v>
      </c>
      <c r="ED197" s="239">
        <v>0</v>
      </c>
      <c r="EE197" s="239">
        <v>0</v>
      </c>
      <c r="EF197" s="239">
        <v>0</v>
      </c>
      <c r="EG197" s="239">
        <v>0</v>
      </c>
      <c r="EH197" s="239">
        <v>0</v>
      </c>
      <c r="EI197" s="239">
        <v>0</v>
      </c>
      <c r="EJ197" s="239">
        <v>0</v>
      </c>
      <c r="EK197" s="239">
        <v>0</v>
      </c>
      <c r="EL197" s="239">
        <v>0</v>
      </c>
      <c r="EM197" s="239">
        <v>0</v>
      </c>
      <c r="EN197" s="239">
        <v>0</v>
      </c>
      <c r="EO197" s="239">
        <v>0</v>
      </c>
      <c r="EP197" s="239">
        <v>0</v>
      </c>
      <c r="EQ197" s="239">
        <v>-11243</v>
      </c>
      <c r="ER197" s="239">
        <v>0</v>
      </c>
      <c r="ES197" s="239">
        <v>-11243</v>
      </c>
      <c r="ET197" s="239">
        <v>-142647</v>
      </c>
      <c r="EU197" s="239">
        <v>0</v>
      </c>
      <c r="EV197" s="239">
        <v>-142647</v>
      </c>
      <c r="EW197" s="239">
        <v>-26411</v>
      </c>
      <c r="EX197" s="239">
        <v>0</v>
      </c>
      <c r="EY197" s="239">
        <v>-26411</v>
      </c>
      <c r="EZ197" s="239">
        <v>-194221</v>
      </c>
      <c r="FA197" s="239">
        <v>0</v>
      </c>
      <c r="FB197" s="239">
        <v>-194221</v>
      </c>
      <c r="FC197" s="239">
        <v>0</v>
      </c>
      <c r="FD197" s="239">
        <v>0</v>
      </c>
      <c r="FE197" s="239">
        <v>0</v>
      </c>
      <c r="FF197" s="239">
        <v>0</v>
      </c>
      <c r="FG197" s="239">
        <v>0</v>
      </c>
      <c r="FH197" s="239">
        <v>0</v>
      </c>
      <c r="FI197" s="239">
        <v>0</v>
      </c>
      <c r="FJ197" s="239">
        <v>0</v>
      </c>
      <c r="FK197" s="239">
        <v>0</v>
      </c>
      <c r="FL197" s="239">
        <v>40701984</v>
      </c>
      <c r="FM197" s="239">
        <v>0</v>
      </c>
      <c r="FN197" s="239">
        <v>40701984</v>
      </c>
      <c r="FO197" s="239">
        <v>1282062</v>
      </c>
      <c r="FP197" s="239">
        <v>0</v>
      </c>
      <c r="FQ197" s="239">
        <v>1282062</v>
      </c>
      <c r="FR197" s="239">
        <v>-5018650</v>
      </c>
      <c r="FS197" s="239">
        <v>0</v>
      </c>
      <c r="FT197" s="239">
        <v>-5018650</v>
      </c>
      <c r="FU197" s="239">
        <v>-1475181</v>
      </c>
      <c r="FV197" s="239">
        <v>0</v>
      </c>
      <c r="FW197" s="239">
        <v>-1475181</v>
      </c>
      <c r="FX197" s="239">
        <v>-31604</v>
      </c>
      <c r="FY197" s="239">
        <v>0</v>
      </c>
      <c r="FZ197" s="239">
        <v>-31604</v>
      </c>
      <c r="GA197" s="239">
        <v>-194221</v>
      </c>
      <c r="GB197" s="239">
        <v>0</v>
      </c>
      <c r="GC197" s="239">
        <v>-194221</v>
      </c>
      <c r="GD197" s="239">
        <v>0</v>
      </c>
      <c r="GE197" s="239">
        <v>0</v>
      </c>
      <c r="GF197" s="239">
        <v>0</v>
      </c>
      <c r="GG197" s="239">
        <v>-5437594</v>
      </c>
      <c r="GH197" s="239">
        <v>0</v>
      </c>
      <c r="GI197" s="239">
        <v>-5437594</v>
      </c>
      <c r="GJ197" s="239">
        <v>35264390</v>
      </c>
      <c r="GK197" s="239">
        <v>0</v>
      </c>
      <c r="GL197" s="239">
        <v>35264390</v>
      </c>
      <c r="GM197" s="214" t="s">
        <v>1158</v>
      </c>
    </row>
    <row r="198" spans="1:195" s="214" customFormat="1" x14ac:dyDescent="0.2">
      <c r="B198" s="602" t="s">
        <v>479</v>
      </c>
      <c r="C198" s="602" t="s">
        <v>478</v>
      </c>
      <c r="D198" s="239">
        <v>-695597</v>
      </c>
      <c r="E198" s="239">
        <v>0</v>
      </c>
      <c r="F198" s="239">
        <v>-695597</v>
      </c>
      <c r="G198" s="239">
        <v>974</v>
      </c>
      <c r="H198" s="239">
        <v>0</v>
      </c>
      <c r="I198" s="239">
        <v>974</v>
      </c>
      <c r="J198" s="239">
        <v>265456</v>
      </c>
      <c r="K198" s="239">
        <v>0</v>
      </c>
      <c r="L198" s="239">
        <v>265456</v>
      </c>
      <c r="M198" s="239">
        <v>9163</v>
      </c>
      <c r="N198" s="239">
        <v>0</v>
      </c>
      <c r="O198" s="239">
        <v>9163</v>
      </c>
      <c r="P198" s="239">
        <v>-420004</v>
      </c>
      <c r="Q198" s="239">
        <v>0</v>
      </c>
      <c r="R198" s="239">
        <v>-420004</v>
      </c>
      <c r="S198" s="239">
        <v>-1612558</v>
      </c>
      <c r="T198" s="239">
        <v>0</v>
      </c>
      <c r="U198" s="239">
        <v>-1612558</v>
      </c>
      <c r="V198" s="239">
        <v>-12105</v>
      </c>
      <c r="W198" s="239">
        <v>0</v>
      </c>
      <c r="X198" s="239">
        <v>-12105</v>
      </c>
      <c r="Y198" s="239">
        <v>-76479</v>
      </c>
      <c r="Z198" s="239">
        <v>0</v>
      </c>
      <c r="AA198" s="239">
        <v>-76479</v>
      </c>
      <c r="AB198" s="239">
        <v>-77516</v>
      </c>
      <c r="AC198" s="239">
        <v>0</v>
      </c>
      <c r="AD198" s="239">
        <v>-77516</v>
      </c>
      <c r="AE198" s="239">
        <v>1037</v>
      </c>
      <c r="AF198" s="239">
        <v>0</v>
      </c>
      <c r="AG198" s="239">
        <v>1037</v>
      </c>
      <c r="AH198" s="239">
        <v>280410</v>
      </c>
      <c r="AI198" s="239">
        <v>0</v>
      </c>
      <c r="AJ198" s="239">
        <v>280410</v>
      </c>
      <c r="AK198" s="239">
        <v>-3127</v>
      </c>
      <c r="AL198" s="239">
        <v>0</v>
      </c>
      <c r="AM198" s="239">
        <v>-3127</v>
      </c>
      <c r="AN198" s="239">
        <v>-1684407</v>
      </c>
      <c r="AO198" s="239">
        <v>0</v>
      </c>
      <c r="AP198" s="239">
        <v>-1684407</v>
      </c>
      <c r="AQ198" s="239">
        <v>-8721</v>
      </c>
      <c r="AR198" s="239">
        <v>0</v>
      </c>
      <c r="AS198" s="239">
        <v>-8721</v>
      </c>
      <c r="AT198" s="239">
        <v>0</v>
      </c>
      <c r="AU198" s="239">
        <v>0</v>
      </c>
      <c r="AV198" s="239">
        <v>0</v>
      </c>
      <c r="AW198" s="239">
        <v>0</v>
      </c>
      <c r="AX198" s="239">
        <v>0</v>
      </c>
      <c r="AY198" s="239">
        <v>0</v>
      </c>
      <c r="AZ198" s="239">
        <v>0</v>
      </c>
      <c r="BA198" s="239">
        <v>0</v>
      </c>
      <c r="BB198" s="239">
        <v>0</v>
      </c>
      <c r="BC198" s="239">
        <v>0</v>
      </c>
      <c r="BD198" s="239">
        <v>0</v>
      </c>
      <c r="BE198" s="239">
        <v>0</v>
      </c>
      <c r="BF198" s="239">
        <v>-3104882</v>
      </c>
      <c r="BG198" s="239">
        <v>0</v>
      </c>
      <c r="BH198" s="239">
        <v>-3104882</v>
      </c>
      <c r="BI198" s="239">
        <v>0</v>
      </c>
      <c r="BJ198" s="239">
        <v>0</v>
      </c>
      <c r="BK198" s="239">
        <v>0</v>
      </c>
      <c r="BL198" s="239">
        <v>0</v>
      </c>
      <c r="BM198" s="239">
        <v>0</v>
      </c>
      <c r="BN198" s="239">
        <v>0</v>
      </c>
      <c r="BO198" s="239">
        <v>-333470</v>
      </c>
      <c r="BP198" s="239">
        <v>0</v>
      </c>
      <c r="BQ198" s="239">
        <v>-333470</v>
      </c>
      <c r="BR198" s="239">
        <v>-29258</v>
      </c>
      <c r="BS198" s="239">
        <v>0</v>
      </c>
      <c r="BT198" s="239">
        <v>-29258</v>
      </c>
      <c r="BU198" s="239">
        <v>-362728</v>
      </c>
      <c r="BV198" s="239">
        <v>0</v>
      </c>
      <c r="BW198" s="239">
        <v>-362728</v>
      </c>
      <c r="BX198" s="239">
        <v>-77225</v>
      </c>
      <c r="BY198" s="239">
        <v>0</v>
      </c>
      <c r="BZ198" s="239">
        <v>-77225</v>
      </c>
      <c r="CA198" s="239">
        <v>0</v>
      </c>
      <c r="CB198" s="239">
        <v>0</v>
      </c>
      <c r="CC198" s="239">
        <v>0</v>
      </c>
      <c r="CD198" s="239">
        <v>-13051</v>
      </c>
      <c r="CE198" s="239">
        <v>0</v>
      </c>
      <c r="CF198" s="239">
        <v>-13051</v>
      </c>
      <c r="CG198" s="239">
        <v>0</v>
      </c>
      <c r="CH198" s="239">
        <v>0</v>
      </c>
      <c r="CI198" s="239">
        <v>0</v>
      </c>
      <c r="CJ198" s="239">
        <v>0</v>
      </c>
      <c r="CK198" s="239">
        <v>0</v>
      </c>
      <c r="CL198" s="239">
        <v>0</v>
      </c>
      <c r="CM198" s="239">
        <v>0</v>
      </c>
      <c r="CN198" s="239">
        <v>0</v>
      </c>
      <c r="CO198" s="239">
        <v>0</v>
      </c>
      <c r="CP198" s="239">
        <v>0</v>
      </c>
      <c r="CQ198" s="239">
        <v>0</v>
      </c>
      <c r="CR198" s="239">
        <v>0</v>
      </c>
      <c r="CS198" s="239">
        <v>0</v>
      </c>
      <c r="CT198" s="239">
        <v>0</v>
      </c>
      <c r="CU198" s="239">
        <v>0</v>
      </c>
      <c r="CV198" s="239">
        <v>0</v>
      </c>
      <c r="CW198" s="239">
        <v>0</v>
      </c>
      <c r="CX198" s="239">
        <v>0</v>
      </c>
      <c r="CY198" s="239">
        <v>0</v>
      </c>
      <c r="CZ198" s="239">
        <v>0</v>
      </c>
      <c r="DA198" s="239">
        <v>0</v>
      </c>
      <c r="DB198" s="239">
        <v>0</v>
      </c>
      <c r="DC198" s="239">
        <v>0</v>
      </c>
      <c r="DD198" s="239">
        <v>0</v>
      </c>
      <c r="DE198" s="239">
        <v>0</v>
      </c>
      <c r="DF198" s="239">
        <v>0</v>
      </c>
      <c r="DG198" s="239">
        <v>0</v>
      </c>
      <c r="DH198" s="239">
        <v>0</v>
      </c>
      <c r="DI198" s="239">
        <v>0</v>
      </c>
      <c r="DJ198" s="239">
        <v>-90276</v>
      </c>
      <c r="DK198" s="239">
        <v>0</v>
      </c>
      <c r="DL198" s="239">
        <v>-90276</v>
      </c>
      <c r="DM198" s="239">
        <v>0</v>
      </c>
      <c r="DN198" s="239">
        <v>0</v>
      </c>
      <c r="DO198" s="239">
        <v>0</v>
      </c>
      <c r="DP198" s="239">
        <v>0</v>
      </c>
      <c r="DQ198" s="239">
        <v>0</v>
      </c>
      <c r="DR198" s="239">
        <v>0</v>
      </c>
      <c r="DS198" s="239">
        <v>0</v>
      </c>
      <c r="DT198" s="239">
        <v>0</v>
      </c>
      <c r="DU198" s="239">
        <v>0</v>
      </c>
      <c r="DV198" s="239">
        <v>44</v>
      </c>
      <c r="DW198" s="239">
        <v>0</v>
      </c>
      <c r="DX198" s="239">
        <v>44</v>
      </c>
      <c r="DY198" s="239">
        <v>1450</v>
      </c>
      <c r="DZ198" s="239">
        <v>0</v>
      </c>
      <c r="EA198" s="239">
        <v>1450</v>
      </c>
      <c r="EB198" s="239">
        <v>0</v>
      </c>
      <c r="EC198" s="239">
        <v>0</v>
      </c>
      <c r="ED198" s="239">
        <v>0</v>
      </c>
      <c r="EE198" s="239">
        <v>0</v>
      </c>
      <c r="EF198" s="239">
        <v>0</v>
      </c>
      <c r="EG198" s="239">
        <v>0</v>
      </c>
      <c r="EH198" s="239">
        <v>0</v>
      </c>
      <c r="EI198" s="239">
        <v>0</v>
      </c>
      <c r="EJ198" s="239">
        <v>0</v>
      </c>
      <c r="EK198" s="239">
        <v>0</v>
      </c>
      <c r="EL198" s="239">
        <v>0</v>
      </c>
      <c r="EM198" s="239">
        <v>0</v>
      </c>
      <c r="EN198" s="239">
        <v>0</v>
      </c>
      <c r="EO198" s="239">
        <v>0</v>
      </c>
      <c r="EP198" s="239">
        <v>0</v>
      </c>
      <c r="EQ198" s="239">
        <v>-3723</v>
      </c>
      <c r="ER198" s="239">
        <v>0</v>
      </c>
      <c r="ES198" s="239">
        <v>-3723</v>
      </c>
      <c r="ET198" s="239">
        <v>-105208</v>
      </c>
      <c r="EU198" s="239">
        <v>0</v>
      </c>
      <c r="EV198" s="239">
        <v>-105208</v>
      </c>
      <c r="EW198" s="239">
        <v>-9454</v>
      </c>
      <c r="EX198" s="239">
        <v>0</v>
      </c>
      <c r="EY198" s="239">
        <v>-9454</v>
      </c>
      <c r="EZ198" s="239">
        <v>-116891</v>
      </c>
      <c r="FA198" s="239">
        <v>0</v>
      </c>
      <c r="FB198" s="239">
        <v>-116891</v>
      </c>
      <c r="FC198" s="239">
        <v>0</v>
      </c>
      <c r="FD198" s="239">
        <v>0</v>
      </c>
      <c r="FE198" s="239">
        <v>0</v>
      </c>
      <c r="FF198" s="239">
        <v>0</v>
      </c>
      <c r="FG198" s="239">
        <v>0</v>
      </c>
      <c r="FH198" s="239">
        <v>0</v>
      </c>
      <c r="FI198" s="239">
        <v>0</v>
      </c>
      <c r="FJ198" s="239">
        <v>0</v>
      </c>
      <c r="FK198" s="239">
        <v>0</v>
      </c>
      <c r="FL198" s="239">
        <v>15906815</v>
      </c>
      <c r="FM198" s="239">
        <v>0</v>
      </c>
      <c r="FN198" s="239">
        <v>15906815</v>
      </c>
      <c r="FO198" s="239">
        <v>-420004</v>
      </c>
      <c r="FP198" s="239">
        <v>0</v>
      </c>
      <c r="FQ198" s="239">
        <v>-420004</v>
      </c>
      <c r="FR198" s="239">
        <v>-3104882</v>
      </c>
      <c r="FS198" s="239">
        <v>0</v>
      </c>
      <c r="FT198" s="239">
        <v>-3104882</v>
      </c>
      <c r="FU198" s="239">
        <v>-362728</v>
      </c>
      <c r="FV198" s="239">
        <v>0</v>
      </c>
      <c r="FW198" s="239">
        <v>-362728</v>
      </c>
      <c r="FX198" s="239">
        <v>-90276</v>
      </c>
      <c r="FY198" s="239">
        <v>0</v>
      </c>
      <c r="FZ198" s="239">
        <v>-90276</v>
      </c>
      <c r="GA198" s="239">
        <v>-116891</v>
      </c>
      <c r="GB198" s="239">
        <v>0</v>
      </c>
      <c r="GC198" s="239">
        <v>-116891</v>
      </c>
      <c r="GD198" s="239">
        <v>0</v>
      </c>
      <c r="GE198" s="239">
        <v>0</v>
      </c>
      <c r="GF198" s="239">
        <v>0</v>
      </c>
      <c r="GG198" s="239">
        <v>-4094781</v>
      </c>
      <c r="GH198" s="239">
        <v>0</v>
      </c>
      <c r="GI198" s="239">
        <v>-4094781</v>
      </c>
      <c r="GJ198" s="239">
        <v>11812034</v>
      </c>
      <c r="GK198" s="239">
        <v>0</v>
      </c>
      <c r="GL198" s="239">
        <v>11812034</v>
      </c>
      <c r="GM198" s="214" t="s">
        <v>1158</v>
      </c>
    </row>
    <row r="199" spans="1:195" s="214" customFormat="1" x14ac:dyDescent="0.2">
      <c r="B199" s="602" t="s">
        <v>481</v>
      </c>
      <c r="C199" s="602" t="s">
        <v>480</v>
      </c>
      <c r="D199" s="239">
        <v>-2255240</v>
      </c>
      <c r="E199" s="239">
        <v>0</v>
      </c>
      <c r="F199" s="239">
        <v>-2255240</v>
      </c>
      <c r="G199" s="239">
        <v>11939</v>
      </c>
      <c r="H199" s="239">
        <v>0</v>
      </c>
      <c r="I199" s="239">
        <v>11939</v>
      </c>
      <c r="J199" s="239">
        <v>5421967</v>
      </c>
      <c r="K199" s="239">
        <v>0</v>
      </c>
      <c r="L199" s="239">
        <v>5421967</v>
      </c>
      <c r="M199" s="239">
        <v>35319</v>
      </c>
      <c r="N199" s="239">
        <v>0</v>
      </c>
      <c r="O199" s="239">
        <v>35319</v>
      </c>
      <c r="P199" s="239">
        <v>3213985</v>
      </c>
      <c r="Q199" s="239">
        <v>0</v>
      </c>
      <c r="R199" s="239">
        <v>3213985</v>
      </c>
      <c r="S199" s="239">
        <v>-8817004</v>
      </c>
      <c r="T199" s="239">
        <v>0</v>
      </c>
      <c r="U199" s="239">
        <v>-8817004</v>
      </c>
      <c r="V199" s="239">
        <v>0</v>
      </c>
      <c r="W199" s="239">
        <v>0</v>
      </c>
      <c r="X199" s="239">
        <v>0</v>
      </c>
      <c r="Y199" s="239">
        <v>-305401</v>
      </c>
      <c r="Z199" s="239">
        <v>0</v>
      </c>
      <c r="AA199" s="239">
        <v>-305401</v>
      </c>
      <c r="AB199" s="239">
        <v>-281122</v>
      </c>
      <c r="AC199" s="239">
        <v>0</v>
      </c>
      <c r="AD199" s="239">
        <v>-281122</v>
      </c>
      <c r="AE199" s="239">
        <v>0</v>
      </c>
      <c r="AF199" s="239">
        <v>0</v>
      </c>
      <c r="AG199" s="239">
        <v>0</v>
      </c>
      <c r="AH199" s="239">
        <v>1346272</v>
      </c>
      <c r="AI199" s="239">
        <v>0</v>
      </c>
      <c r="AJ199" s="239">
        <v>1346272</v>
      </c>
      <c r="AK199" s="239">
        <v>-44804</v>
      </c>
      <c r="AL199" s="239">
        <v>0</v>
      </c>
      <c r="AM199" s="239">
        <v>-44804</v>
      </c>
      <c r="AN199" s="239">
        <v>-6142807</v>
      </c>
      <c r="AO199" s="239">
        <v>0</v>
      </c>
      <c r="AP199" s="239">
        <v>-6142807</v>
      </c>
      <c r="AQ199" s="239">
        <v>156732</v>
      </c>
      <c r="AR199" s="239">
        <v>0</v>
      </c>
      <c r="AS199" s="239">
        <v>156732</v>
      </c>
      <c r="AT199" s="239">
        <v>-92287</v>
      </c>
      <c r="AU199" s="239">
        <v>0</v>
      </c>
      <c r="AV199" s="239">
        <v>-92287</v>
      </c>
      <c r="AW199" s="239">
        <v>0</v>
      </c>
      <c r="AX199" s="239">
        <v>0</v>
      </c>
      <c r="AY199" s="239">
        <v>0</v>
      </c>
      <c r="AZ199" s="239">
        <v>-4985</v>
      </c>
      <c r="BA199" s="239">
        <v>0</v>
      </c>
      <c r="BB199" s="239">
        <v>-4985</v>
      </c>
      <c r="BC199" s="239">
        <v>0</v>
      </c>
      <c r="BD199" s="239">
        <v>0</v>
      </c>
      <c r="BE199" s="239">
        <v>0</v>
      </c>
      <c r="BF199" s="239">
        <v>-13904284</v>
      </c>
      <c r="BG199" s="239">
        <v>0</v>
      </c>
      <c r="BH199" s="239">
        <v>-13904284</v>
      </c>
      <c r="BI199" s="239">
        <v>-53335</v>
      </c>
      <c r="BJ199" s="239">
        <v>0</v>
      </c>
      <c r="BK199" s="239">
        <v>-53335</v>
      </c>
      <c r="BL199" s="239">
        <v>-782</v>
      </c>
      <c r="BM199" s="239">
        <v>0</v>
      </c>
      <c r="BN199" s="239">
        <v>-782</v>
      </c>
      <c r="BO199" s="239">
        <v>-2166548</v>
      </c>
      <c r="BP199" s="239">
        <v>0</v>
      </c>
      <c r="BQ199" s="239">
        <v>-2166548</v>
      </c>
      <c r="BR199" s="239">
        <v>2070286</v>
      </c>
      <c r="BS199" s="239">
        <v>0</v>
      </c>
      <c r="BT199" s="239">
        <v>2070286</v>
      </c>
      <c r="BU199" s="239">
        <v>-150379</v>
      </c>
      <c r="BV199" s="239">
        <v>0</v>
      </c>
      <c r="BW199" s="239">
        <v>-150379</v>
      </c>
      <c r="BX199" s="239">
        <v>-253687</v>
      </c>
      <c r="BY199" s="239">
        <v>0</v>
      </c>
      <c r="BZ199" s="239">
        <v>-253687</v>
      </c>
      <c r="CA199" s="239">
        <v>7618</v>
      </c>
      <c r="CB199" s="239">
        <v>0</v>
      </c>
      <c r="CC199" s="239">
        <v>7618</v>
      </c>
      <c r="CD199" s="239">
        <v>-137193</v>
      </c>
      <c r="CE199" s="239">
        <v>0</v>
      </c>
      <c r="CF199" s="239">
        <v>-137193</v>
      </c>
      <c r="CG199" s="239">
        <v>-22448</v>
      </c>
      <c r="CH199" s="239">
        <v>0</v>
      </c>
      <c r="CI199" s="239">
        <v>-22448</v>
      </c>
      <c r="CJ199" s="239">
        <v>-2335</v>
      </c>
      <c r="CK199" s="239">
        <v>0</v>
      </c>
      <c r="CL199" s="239">
        <v>-2335</v>
      </c>
      <c r="CM199" s="239">
        <v>0</v>
      </c>
      <c r="CN199" s="239">
        <v>0</v>
      </c>
      <c r="CO199" s="239">
        <v>0</v>
      </c>
      <c r="CP199" s="239">
        <v>-801</v>
      </c>
      <c r="CQ199" s="239">
        <v>0</v>
      </c>
      <c r="CR199" s="239">
        <v>-801</v>
      </c>
      <c r="CS199" s="239">
        <v>0</v>
      </c>
      <c r="CT199" s="239">
        <v>0</v>
      </c>
      <c r="CU199" s="239">
        <v>0</v>
      </c>
      <c r="CV199" s="239">
        <v>0</v>
      </c>
      <c r="CW199" s="239">
        <v>0</v>
      </c>
      <c r="CX199" s="239">
        <v>0</v>
      </c>
      <c r="CY199" s="239">
        <v>0</v>
      </c>
      <c r="CZ199" s="239">
        <v>0</v>
      </c>
      <c r="DA199" s="239">
        <v>0</v>
      </c>
      <c r="DB199" s="239">
        <v>0</v>
      </c>
      <c r="DC199" s="239">
        <v>0</v>
      </c>
      <c r="DD199" s="239">
        <v>0</v>
      </c>
      <c r="DE199" s="239">
        <v>0</v>
      </c>
      <c r="DF199" s="239">
        <v>0</v>
      </c>
      <c r="DG199" s="239">
        <v>0</v>
      </c>
      <c r="DH199" s="239">
        <v>0</v>
      </c>
      <c r="DI199" s="239">
        <v>0</v>
      </c>
      <c r="DJ199" s="239">
        <v>-408846</v>
      </c>
      <c r="DK199" s="239">
        <v>0</v>
      </c>
      <c r="DL199" s="239">
        <v>-408846</v>
      </c>
      <c r="DM199" s="239">
        <v>-65840</v>
      </c>
      <c r="DN199" s="239">
        <v>0</v>
      </c>
      <c r="DO199" s="239">
        <v>-65840</v>
      </c>
      <c r="DP199" s="239">
        <v>-6814</v>
      </c>
      <c r="DQ199" s="239">
        <v>0</v>
      </c>
      <c r="DR199" s="239">
        <v>-6814</v>
      </c>
      <c r="DS199" s="239">
        <v>-1704</v>
      </c>
      <c r="DT199" s="239">
        <v>0</v>
      </c>
      <c r="DU199" s="239">
        <v>-1704</v>
      </c>
      <c r="DV199" s="239">
        <v>-30307</v>
      </c>
      <c r="DW199" s="239">
        <v>0</v>
      </c>
      <c r="DX199" s="239">
        <v>-30307</v>
      </c>
      <c r="DY199" s="239">
        <v>-8124</v>
      </c>
      <c r="DZ199" s="239">
        <v>0</v>
      </c>
      <c r="EA199" s="239">
        <v>-8124</v>
      </c>
      <c r="EB199" s="239">
        <v>0</v>
      </c>
      <c r="EC199" s="239">
        <v>0</v>
      </c>
      <c r="ED199" s="239">
        <v>0</v>
      </c>
      <c r="EE199" s="239">
        <v>0</v>
      </c>
      <c r="EF199" s="239">
        <v>0</v>
      </c>
      <c r="EG199" s="239">
        <v>0</v>
      </c>
      <c r="EH199" s="239">
        <v>0</v>
      </c>
      <c r="EI199" s="239">
        <v>0</v>
      </c>
      <c r="EJ199" s="239">
        <v>0</v>
      </c>
      <c r="EK199" s="239">
        <v>0</v>
      </c>
      <c r="EL199" s="239">
        <v>0</v>
      </c>
      <c r="EM199" s="239">
        <v>0</v>
      </c>
      <c r="EN199" s="239">
        <v>0</v>
      </c>
      <c r="EO199" s="239">
        <v>0</v>
      </c>
      <c r="EP199" s="239">
        <v>0</v>
      </c>
      <c r="EQ199" s="239">
        <v>-13758</v>
      </c>
      <c r="ER199" s="239">
        <v>0</v>
      </c>
      <c r="ES199" s="239">
        <v>-13758</v>
      </c>
      <c r="ET199" s="239">
        <v>-302840</v>
      </c>
      <c r="EU199" s="239">
        <v>0</v>
      </c>
      <c r="EV199" s="239">
        <v>-302840</v>
      </c>
      <c r="EW199" s="239">
        <v>-93286</v>
      </c>
      <c r="EX199" s="239">
        <v>0</v>
      </c>
      <c r="EY199" s="239">
        <v>-93286</v>
      </c>
      <c r="EZ199" s="239">
        <v>-522673</v>
      </c>
      <c r="FA199" s="239">
        <v>0</v>
      </c>
      <c r="FB199" s="239">
        <v>-522673</v>
      </c>
      <c r="FC199" s="239">
        <v>-7664</v>
      </c>
      <c r="FD199" s="239">
        <v>0</v>
      </c>
      <c r="FE199" s="239">
        <v>-7664</v>
      </c>
      <c r="FF199" s="239">
        <v>-13225</v>
      </c>
      <c r="FG199" s="239">
        <v>0</v>
      </c>
      <c r="FH199" s="239">
        <v>-13225</v>
      </c>
      <c r="FI199" s="239">
        <v>-20889</v>
      </c>
      <c r="FJ199" s="239">
        <v>0</v>
      </c>
      <c r="FK199" s="239">
        <v>-20889</v>
      </c>
      <c r="FL199" s="239">
        <v>71812125</v>
      </c>
      <c r="FM199" s="239">
        <v>0</v>
      </c>
      <c r="FN199" s="239">
        <v>71812125</v>
      </c>
      <c r="FO199" s="239">
        <v>3213985</v>
      </c>
      <c r="FP199" s="239">
        <v>0</v>
      </c>
      <c r="FQ199" s="239">
        <v>3213985</v>
      </c>
      <c r="FR199" s="239">
        <v>-13904284</v>
      </c>
      <c r="FS199" s="239">
        <v>0</v>
      </c>
      <c r="FT199" s="239">
        <v>-13904284</v>
      </c>
      <c r="FU199" s="239">
        <v>-150379</v>
      </c>
      <c r="FV199" s="239">
        <v>0</v>
      </c>
      <c r="FW199" s="239">
        <v>-150379</v>
      </c>
      <c r="FX199" s="239">
        <v>-408846</v>
      </c>
      <c r="FY199" s="239">
        <v>0</v>
      </c>
      <c r="FZ199" s="239">
        <v>-408846</v>
      </c>
      <c r="GA199" s="239">
        <v>-522673</v>
      </c>
      <c r="GB199" s="239">
        <v>0</v>
      </c>
      <c r="GC199" s="239">
        <v>-522673</v>
      </c>
      <c r="GD199" s="239">
        <v>-20889</v>
      </c>
      <c r="GE199" s="239">
        <v>0</v>
      </c>
      <c r="GF199" s="239">
        <v>-20889</v>
      </c>
      <c r="GG199" s="239">
        <v>-11793086</v>
      </c>
      <c r="GH199" s="239">
        <v>0</v>
      </c>
      <c r="GI199" s="239">
        <v>-11793086</v>
      </c>
      <c r="GJ199" s="239">
        <v>60019039</v>
      </c>
      <c r="GK199" s="239">
        <v>0</v>
      </c>
      <c r="GL199" s="239">
        <v>60019039</v>
      </c>
      <c r="GM199" s="214" t="s">
        <v>1160</v>
      </c>
    </row>
    <row r="200" spans="1:195" s="214" customFormat="1" x14ac:dyDescent="0.2">
      <c r="B200" s="602" t="s">
        <v>483</v>
      </c>
      <c r="C200" s="602" t="s">
        <v>482</v>
      </c>
      <c r="D200" s="239">
        <v>-2913614</v>
      </c>
      <c r="E200" s="239">
        <v>0</v>
      </c>
      <c r="F200" s="239">
        <v>-2913614</v>
      </c>
      <c r="G200" s="239">
        <v>-8980</v>
      </c>
      <c r="H200" s="239">
        <v>0</v>
      </c>
      <c r="I200" s="239">
        <v>-8980</v>
      </c>
      <c r="J200" s="239">
        <v>3821876</v>
      </c>
      <c r="K200" s="239">
        <v>0</v>
      </c>
      <c r="L200" s="239">
        <v>3821876</v>
      </c>
      <c r="M200" s="239">
        <v>78007</v>
      </c>
      <c r="N200" s="239">
        <v>0</v>
      </c>
      <c r="O200" s="239">
        <v>78007</v>
      </c>
      <c r="P200" s="239">
        <v>977289</v>
      </c>
      <c r="Q200" s="239">
        <v>0</v>
      </c>
      <c r="R200" s="239">
        <v>977289</v>
      </c>
      <c r="S200" s="239">
        <v>-2088106</v>
      </c>
      <c r="T200" s="239">
        <v>0</v>
      </c>
      <c r="U200" s="239">
        <v>-2088106</v>
      </c>
      <c r="V200" s="239">
        <v>0</v>
      </c>
      <c r="W200" s="239">
        <v>0</v>
      </c>
      <c r="X200" s="239">
        <v>0</v>
      </c>
      <c r="Y200" s="239">
        <v>-159628</v>
      </c>
      <c r="Z200" s="239">
        <v>0</v>
      </c>
      <c r="AA200" s="239">
        <v>-159628</v>
      </c>
      <c r="AB200" s="239">
        <v>-141612</v>
      </c>
      <c r="AC200" s="239">
        <v>0</v>
      </c>
      <c r="AD200" s="239">
        <v>-141612</v>
      </c>
      <c r="AE200" s="239">
        <v>335</v>
      </c>
      <c r="AF200" s="239">
        <v>0</v>
      </c>
      <c r="AG200" s="239">
        <v>335</v>
      </c>
      <c r="AH200" s="239">
        <v>2846237</v>
      </c>
      <c r="AI200" s="239">
        <v>0</v>
      </c>
      <c r="AJ200" s="239">
        <v>2846237</v>
      </c>
      <c r="AK200" s="239">
        <v>-51479</v>
      </c>
      <c r="AL200" s="239">
        <v>0</v>
      </c>
      <c r="AM200" s="239">
        <v>-51479</v>
      </c>
      <c r="AN200" s="239">
        <v>-25273995</v>
      </c>
      <c r="AO200" s="239">
        <v>0</v>
      </c>
      <c r="AP200" s="239">
        <v>-25273995</v>
      </c>
      <c r="AQ200" s="239">
        <v>-1968796</v>
      </c>
      <c r="AR200" s="239">
        <v>0</v>
      </c>
      <c r="AS200" s="239">
        <v>-1968796</v>
      </c>
      <c r="AT200" s="239">
        <v>-33741</v>
      </c>
      <c r="AU200" s="239">
        <v>0</v>
      </c>
      <c r="AV200" s="239">
        <v>-33741</v>
      </c>
      <c r="AW200" s="239">
        <v>0</v>
      </c>
      <c r="AX200" s="239">
        <v>0</v>
      </c>
      <c r="AY200" s="239">
        <v>0</v>
      </c>
      <c r="AZ200" s="239">
        <v>0</v>
      </c>
      <c r="BA200" s="239">
        <v>0</v>
      </c>
      <c r="BB200" s="239">
        <v>0</v>
      </c>
      <c r="BC200" s="239">
        <v>0</v>
      </c>
      <c r="BD200" s="239">
        <v>0</v>
      </c>
      <c r="BE200" s="239">
        <v>0</v>
      </c>
      <c r="BF200" s="239">
        <v>-26729508</v>
      </c>
      <c r="BG200" s="239">
        <v>0</v>
      </c>
      <c r="BH200" s="239">
        <v>-26729508</v>
      </c>
      <c r="BI200" s="239">
        <v>-2829</v>
      </c>
      <c r="BJ200" s="239">
        <v>0</v>
      </c>
      <c r="BK200" s="239">
        <v>-2829</v>
      </c>
      <c r="BL200" s="239">
        <v>36802</v>
      </c>
      <c r="BM200" s="239">
        <v>0</v>
      </c>
      <c r="BN200" s="239">
        <v>36802</v>
      </c>
      <c r="BO200" s="239">
        <v>-1468341</v>
      </c>
      <c r="BP200" s="239">
        <v>0</v>
      </c>
      <c r="BQ200" s="239">
        <v>-1468341</v>
      </c>
      <c r="BR200" s="239">
        <v>-12038</v>
      </c>
      <c r="BS200" s="239">
        <v>0</v>
      </c>
      <c r="BT200" s="239">
        <v>-12038</v>
      </c>
      <c r="BU200" s="239">
        <v>-1446406</v>
      </c>
      <c r="BV200" s="239">
        <v>0</v>
      </c>
      <c r="BW200" s="239">
        <v>-1446406</v>
      </c>
      <c r="BX200" s="239">
        <v>0</v>
      </c>
      <c r="BY200" s="239">
        <v>0</v>
      </c>
      <c r="BZ200" s="239">
        <v>0</v>
      </c>
      <c r="CA200" s="239">
        <v>0</v>
      </c>
      <c r="CB200" s="239">
        <v>0</v>
      </c>
      <c r="CC200" s="239">
        <v>0</v>
      </c>
      <c r="CD200" s="239">
        <v>-43440</v>
      </c>
      <c r="CE200" s="239">
        <v>0</v>
      </c>
      <c r="CF200" s="239">
        <v>-43440</v>
      </c>
      <c r="CG200" s="239">
        <v>0</v>
      </c>
      <c r="CH200" s="239">
        <v>0</v>
      </c>
      <c r="CI200" s="239">
        <v>0</v>
      </c>
      <c r="CJ200" s="239">
        <v>0</v>
      </c>
      <c r="CK200" s="239">
        <v>0</v>
      </c>
      <c r="CL200" s="239">
        <v>0</v>
      </c>
      <c r="CM200" s="239">
        <v>0</v>
      </c>
      <c r="CN200" s="239">
        <v>0</v>
      </c>
      <c r="CO200" s="239">
        <v>0</v>
      </c>
      <c r="CP200" s="239">
        <v>0</v>
      </c>
      <c r="CQ200" s="239">
        <v>0</v>
      </c>
      <c r="CR200" s="239">
        <v>0</v>
      </c>
      <c r="CS200" s="239">
        <v>0</v>
      </c>
      <c r="CT200" s="239">
        <v>0</v>
      </c>
      <c r="CU200" s="239">
        <v>0</v>
      </c>
      <c r="CV200" s="239">
        <v>0</v>
      </c>
      <c r="CW200" s="239">
        <v>0</v>
      </c>
      <c r="CX200" s="239">
        <v>0</v>
      </c>
      <c r="CY200" s="239">
        <v>0</v>
      </c>
      <c r="CZ200" s="239">
        <v>0</v>
      </c>
      <c r="DA200" s="239">
        <v>0</v>
      </c>
      <c r="DB200" s="239">
        <v>0</v>
      </c>
      <c r="DC200" s="239">
        <v>0</v>
      </c>
      <c r="DD200" s="239">
        <v>0</v>
      </c>
      <c r="DE200" s="239">
        <v>0</v>
      </c>
      <c r="DF200" s="239">
        <v>0</v>
      </c>
      <c r="DG200" s="239">
        <v>0</v>
      </c>
      <c r="DH200" s="239">
        <v>0</v>
      </c>
      <c r="DI200" s="239">
        <v>0</v>
      </c>
      <c r="DJ200" s="239">
        <v>-43440</v>
      </c>
      <c r="DK200" s="239">
        <v>0</v>
      </c>
      <c r="DL200" s="239">
        <v>-43440</v>
      </c>
      <c r="DM200" s="239">
        <v>-45826</v>
      </c>
      <c r="DN200" s="239">
        <v>0</v>
      </c>
      <c r="DO200" s="239">
        <v>-45826</v>
      </c>
      <c r="DP200" s="239">
        <v>0</v>
      </c>
      <c r="DQ200" s="239">
        <v>0</v>
      </c>
      <c r="DR200" s="239">
        <v>0</v>
      </c>
      <c r="DS200" s="239">
        <v>0</v>
      </c>
      <c r="DT200" s="239">
        <v>0</v>
      </c>
      <c r="DU200" s="239">
        <v>0</v>
      </c>
      <c r="DV200" s="239">
        <v>-1709</v>
      </c>
      <c r="DW200" s="239">
        <v>0</v>
      </c>
      <c r="DX200" s="239">
        <v>-1709</v>
      </c>
      <c r="DY200" s="239">
        <v>0</v>
      </c>
      <c r="DZ200" s="239">
        <v>0</v>
      </c>
      <c r="EA200" s="239">
        <v>0</v>
      </c>
      <c r="EB200" s="239">
        <v>0</v>
      </c>
      <c r="EC200" s="239">
        <v>0</v>
      </c>
      <c r="ED200" s="239">
        <v>0</v>
      </c>
      <c r="EE200" s="239">
        <v>0</v>
      </c>
      <c r="EF200" s="239">
        <v>0</v>
      </c>
      <c r="EG200" s="239">
        <v>0</v>
      </c>
      <c r="EH200" s="239">
        <v>0</v>
      </c>
      <c r="EI200" s="239">
        <v>0</v>
      </c>
      <c r="EJ200" s="239">
        <v>0</v>
      </c>
      <c r="EK200" s="239">
        <v>0</v>
      </c>
      <c r="EL200" s="239">
        <v>0</v>
      </c>
      <c r="EM200" s="239">
        <v>0</v>
      </c>
      <c r="EN200" s="239">
        <v>-1500</v>
      </c>
      <c r="EO200" s="239">
        <v>0</v>
      </c>
      <c r="EP200" s="239">
        <v>-1500</v>
      </c>
      <c r="EQ200" s="239">
        <v>-4637</v>
      </c>
      <c r="ER200" s="239">
        <v>0</v>
      </c>
      <c r="ES200" s="239">
        <v>-4637</v>
      </c>
      <c r="ET200" s="239">
        <v>-371523</v>
      </c>
      <c r="EU200" s="239">
        <v>0</v>
      </c>
      <c r="EV200" s="239">
        <v>-371523</v>
      </c>
      <c r="EW200" s="239">
        <v>-85425</v>
      </c>
      <c r="EX200" s="239">
        <v>0</v>
      </c>
      <c r="EY200" s="239">
        <v>-85425</v>
      </c>
      <c r="EZ200" s="239">
        <v>-510620</v>
      </c>
      <c r="FA200" s="239">
        <v>0</v>
      </c>
      <c r="FB200" s="239">
        <v>-510620</v>
      </c>
      <c r="FC200" s="239">
        <v>0</v>
      </c>
      <c r="FD200" s="239">
        <v>0</v>
      </c>
      <c r="FE200" s="239">
        <v>0</v>
      </c>
      <c r="FF200" s="239">
        <v>0</v>
      </c>
      <c r="FG200" s="239">
        <v>0</v>
      </c>
      <c r="FH200" s="239">
        <v>0</v>
      </c>
      <c r="FI200" s="239">
        <v>0</v>
      </c>
      <c r="FJ200" s="239">
        <v>0</v>
      </c>
      <c r="FK200" s="239">
        <v>0</v>
      </c>
      <c r="FL200" s="239">
        <v>119253938</v>
      </c>
      <c r="FM200" s="239">
        <v>0</v>
      </c>
      <c r="FN200" s="239">
        <v>119253938</v>
      </c>
      <c r="FO200" s="239">
        <v>977289</v>
      </c>
      <c r="FP200" s="239">
        <v>0</v>
      </c>
      <c r="FQ200" s="239">
        <v>977289</v>
      </c>
      <c r="FR200" s="239">
        <v>-26729508</v>
      </c>
      <c r="FS200" s="239">
        <v>0</v>
      </c>
      <c r="FT200" s="239">
        <v>-26729508</v>
      </c>
      <c r="FU200" s="239">
        <v>-1446406</v>
      </c>
      <c r="FV200" s="239">
        <v>0</v>
      </c>
      <c r="FW200" s="239">
        <v>-1446406</v>
      </c>
      <c r="FX200" s="239">
        <v>-43440</v>
      </c>
      <c r="FY200" s="239">
        <v>0</v>
      </c>
      <c r="FZ200" s="239">
        <v>-43440</v>
      </c>
      <c r="GA200" s="239">
        <v>-510620</v>
      </c>
      <c r="GB200" s="239">
        <v>0</v>
      </c>
      <c r="GC200" s="239">
        <v>-510620</v>
      </c>
      <c r="GD200" s="239">
        <v>0</v>
      </c>
      <c r="GE200" s="239">
        <v>0</v>
      </c>
      <c r="GF200" s="239">
        <v>0</v>
      </c>
      <c r="GG200" s="239">
        <v>-27752685</v>
      </c>
      <c r="GH200" s="239">
        <v>0</v>
      </c>
      <c r="GI200" s="239">
        <v>-27752685</v>
      </c>
      <c r="GJ200" s="239">
        <v>91501253</v>
      </c>
      <c r="GK200" s="239">
        <v>0</v>
      </c>
      <c r="GL200" s="239">
        <v>91501253</v>
      </c>
      <c r="GM200" s="214" t="s">
        <v>1158</v>
      </c>
    </row>
    <row r="201" spans="1:195" s="214" customFormat="1" x14ac:dyDescent="0.2">
      <c r="B201" s="602" t="s">
        <v>485</v>
      </c>
      <c r="C201" s="602" t="s">
        <v>484</v>
      </c>
      <c r="D201" s="239">
        <v>-636238</v>
      </c>
      <c r="E201" s="239">
        <v>0</v>
      </c>
      <c r="F201" s="239">
        <v>-636238</v>
      </c>
      <c r="G201" s="239">
        <v>14675</v>
      </c>
      <c r="H201" s="239">
        <v>0</v>
      </c>
      <c r="I201" s="239">
        <v>14675</v>
      </c>
      <c r="J201" s="239">
        <v>1435632</v>
      </c>
      <c r="K201" s="239">
        <v>0</v>
      </c>
      <c r="L201" s="239">
        <v>1435632</v>
      </c>
      <c r="M201" s="239">
        <v>1458</v>
      </c>
      <c r="N201" s="239">
        <v>0</v>
      </c>
      <c r="O201" s="239">
        <v>1458</v>
      </c>
      <c r="P201" s="239">
        <v>815527</v>
      </c>
      <c r="Q201" s="239">
        <v>0</v>
      </c>
      <c r="R201" s="239">
        <v>815527</v>
      </c>
      <c r="S201" s="239">
        <v>-3584105</v>
      </c>
      <c r="T201" s="239">
        <v>0</v>
      </c>
      <c r="U201" s="239">
        <v>-3584105</v>
      </c>
      <c r="V201" s="239">
        <v>-4973</v>
      </c>
      <c r="W201" s="239">
        <v>0</v>
      </c>
      <c r="X201" s="239">
        <v>-4973</v>
      </c>
      <c r="Y201" s="239">
        <v>-91372</v>
      </c>
      <c r="Z201" s="239">
        <v>0</v>
      </c>
      <c r="AA201" s="239">
        <v>-91372</v>
      </c>
      <c r="AB201" s="239">
        <v>0</v>
      </c>
      <c r="AC201" s="239">
        <v>0</v>
      </c>
      <c r="AD201" s="239">
        <v>0</v>
      </c>
      <c r="AE201" s="239">
        <v>0</v>
      </c>
      <c r="AF201" s="239">
        <v>0</v>
      </c>
      <c r="AG201" s="239">
        <v>0</v>
      </c>
      <c r="AH201" s="239">
        <v>416668</v>
      </c>
      <c r="AI201" s="239">
        <v>0</v>
      </c>
      <c r="AJ201" s="239">
        <v>416668</v>
      </c>
      <c r="AK201" s="239">
        <v>0</v>
      </c>
      <c r="AL201" s="239">
        <v>0</v>
      </c>
      <c r="AM201" s="239">
        <v>0</v>
      </c>
      <c r="AN201" s="239">
        <v>-1173836</v>
      </c>
      <c r="AO201" s="239">
        <v>0</v>
      </c>
      <c r="AP201" s="239">
        <v>-1173836</v>
      </c>
      <c r="AQ201" s="239">
        <v>35625</v>
      </c>
      <c r="AR201" s="239">
        <v>0</v>
      </c>
      <c r="AS201" s="239">
        <v>35625</v>
      </c>
      <c r="AT201" s="239">
        <v>0</v>
      </c>
      <c r="AU201" s="239">
        <v>0</v>
      </c>
      <c r="AV201" s="239">
        <v>0</v>
      </c>
      <c r="AW201" s="239">
        <v>0</v>
      </c>
      <c r="AX201" s="239">
        <v>0</v>
      </c>
      <c r="AY201" s="239">
        <v>0</v>
      </c>
      <c r="AZ201" s="239">
        <v>-76</v>
      </c>
      <c r="BA201" s="239">
        <v>0</v>
      </c>
      <c r="BB201" s="239">
        <v>-76</v>
      </c>
      <c r="BC201" s="239">
        <v>0</v>
      </c>
      <c r="BD201" s="239">
        <v>0</v>
      </c>
      <c r="BE201" s="239">
        <v>0</v>
      </c>
      <c r="BF201" s="239">
        <v>-4397096</v>
      </c>
      <c r="BG201" s="239">
        <v>0</v>
      </c>
      <c r="BH201" s="239">
        <v>-4397096</v>
      </c>
      <c r="BI201" s="239">
        <v>0</v>
      </c>
      <c r="BJ201" s="239">
        <v>0</v>
      </c>
      <c r="BK201" s="239">
        <v>0</v>
      </c>
      <c r="BL201" s="239">
        <v>0</v>
      </c>
      <c r="BM201" s="239">
        <v>0</v>
      </c>
      <c r="BN201" s="239">
        <v>0</v>
      </c>
      <c r="BO201" s="239">
        <v>-891033</v>
      </c>
      <c r="BP201" s="239">
        <v>0</v>
      </c>
      <c r="BQ201" s="239">
        <v>-891033</v>
      </c>
      <c r="BR201" s="239">
        <v>-28395</v>
      </c>
      <c r="BS201" s="239">
        <v>0</v>
      </c>
      <c r="BT201" s="239">
        <v>-28395</v>
      </c>
      <c r="BU201" s="239">
        <v>-919428</v>
      </c>
      <c r="BV201" s="239">
        <v>0</v>
      </c>
      <c r="BW201" s="239">
        <v>-919428</v>
      </c>
      <c r="BX201" s="239">
        <v>-129458</v>
      </c>
      <c r="BY201" s="239">
        <v>0</v>
      </c>
      <c r="BZ201" s="239">
        <v>-129458</v>
      </c>
      <c r="CA201" s="239">
        <v>-1094</v>
      </c>
      <c r="CB201" s="239">
        <v>0</v>
      </c>
      <c r="CC201" s="239">
        <v>-1094</v>
      </c>
      <c r="CD201" s="239">
        <v>-92766</v>
      </c>
      <c r="CE201" s="239">
        <v>0</v>
      </c>
      <c r="CF201" s="239">
        <v>-92766</v>
      </c>
      <c r="CG201" s="239">
        <v>2487</v>
      </c>
      <c r="CH201" s="239">
        <v>0</v>
      </c>
      <c r="CI201" s="239">
        <v>2487</v>
      </c>
      <c r="CJ201" s="239">
        <v>0</v>
      </c>
      <c r="CK201" s="239">
        <v>0</v>
      </c>
      <c r="CL201" s="239">
        <v>0</v>
      </c>
      <c r="CM201" s="239">
        <v>0</v>
      </c>
      <c r="CN201" s="239">
        <v>0</v>
      </c>
      <c r="CO201" s="239">
        <v>0</v>
      </c>
      <c r="CP201" s="239">
        <v>-76</v>
      </c>
      <c r="CQ201" s="239">
        <v>0</v>
      </c>
      <c r="CR201" s="239">
        <v>-76</v>
      </c>
      <c r="CS201" s="239">
        <v>0</v>
      </c>
      <c r="CT201" s="239">
        <v>0</v>
      </c>
      <c r="CU201" s="239">
        <v>0</v>
      </c>
      <c r="CV201" s="239">
        <v>0</v>
      </c>
      <c r="CW201" s="239">
        <v>0</v>
      </c>
      <c r="CX201" s="239">
        <v>0</v>
      </c>
      <c r="CY201" s="239">
        <v>0</v>
      </c>
      <c r="CZ201" s="239">
        <v>0</v>
      </c>
      <c r="DA201" s="239">
        <v>0</v>
      </c>
      <c r="DB201" s="239">
        <v>0</v>
      </c>
      <c r="DC201" s="239">
        <v>0</v>
      </c>
      <c r="DD201" s="239">
        <v>0</v>
      </c>
      <c r="DE201" s="239">
        <v>0</v>
      </c>
      <c r="DF201" s="239">
        <v>0</v>
      </c>
      <c r="DG201" s="239">
        <v>0</v>
      </c>
      <c r="DH201" s="239">
        <v>0</v>
      </c>
      <c r="DI201" s="239">
        <v>0</v>
      </c>
      <c r="DJ201" s="239">
        <v>-220907</v>
      </c>
      <c r="DK201" s="239">
        <v>0</v>
      </c>
      <c r="DL201" s="239">
        <v>-220907</v>
      </c>
      <c r="DM201" s="239">
        <v>0</v>
      </c>
      <c r="DN201" s="239">
        <v>0</v>
      </c>
      <c r="DO201" s="239">
        <v>0</v>
      </c>
      <c r="DP201" s="239">
        <v>0</v>
      </c>
      <c r="DQ201" s="239">
        <v>0</v>
      </c>
      <c r="DR201" s="239">
        <v>0</v>
      </c>
      <c r="DS201" s="239">
        <v>0</v>
      </c>
      <c r="DT201" s="239">
        <v>0</v>
      </c>
      <c r="DU201" s="239">
        <v>0</v>
      </c>
      <c r="DV201" s="239">
        <v>0</v>
      </c>
      <c r="DW201" s="239">
        <v>0</v>
      </c>
      <c r="DX201" s="239">
        <v>0</v>
      </c>
      <c r="DY201" s="239">
        <v>442</v>
      </c>
      <c r="DZ201" s="239">
        <v>0</v>
      </c>
      <c r="EA201" s="239">
        <v>442</v>
      </c>
      <c r="EB201" s="239">
        <v>0</v>
      </c>
      <c r="EC201" s="239">
        <v>0</v>
      </c>
      <c r="ED201" s="239">
        <v>0</v>
      </c>
      <c r="EE201" s="239">
        <v>0</v>
      </c>
      <c r="EF201" s="239">
        <v>0</v>
      </c>
      <c r="EG201" s="239">
        <v>0</v>
      </c>
      <c r="EH201" s="239">
        <v>0</v>
      </c>
      <c r="EI201" s="239">
        <v>0</v>
      </c>
      <c r="EJ201" s="239">
        <v>0</v>
      </c>
      <c r="EK201" s="239">
        <v>-76</v>
      </c>
      <c r="EL201" s="239">
        <v>0</v>
      </c>
      <c r="EM201" s="239">
        <v>-76</v>
      </c>
      <c r="EN201" s="239">
        <v>0</v>
      </c>
      <c r="EO201" s="239">
        <v>0</v>
      </c>
      <c r="EP201" s="239">
        <v>0</v>
      </c>
      <c r="EQ201" s="239">
        <v>-15399</v>
      </c>
      <c r="ER201" s="239">
        <v>0</v>
      </c>
      <c r="ES201" s="239">
        <v>-15399</v>
      </c>
      <c r="ET201" s="239">
        <v>-100032</v>
      </c>
      <c r="EU201" s="239">
        <v>0</v>
      </c>
      <c r="EV201" s="239">
        <v>-100032</v>
      </c>
      <c r="EW201" s="239">
        <v>-19762</v>
      </c>
      <c r="EX201" s="239">
        <v>0</v>
      </c>
      <c r="EY201" s="239">
        <v>-19762</v>
      </c>
      <c r="EZ201" s="239">
        <v>-134827</v>
      </c>
      <c r="FA201" s="239">
        <v>0</v>
      </c>
      <c r="FB201" s="239">
        <v>-134827</v>
      </c>
      <c r="FC201" s="239">
        <v>0</v>
      </c>
      <c r="FD201" s="239">
        <v>0</v>
      </c>
      <c r="FE201" s="239">
        <v>0</v>
      </c>
      <c r="FF201" s="239">
        <v>0</v>
      </c>
      <c r="FG201" s="239">
        <v>0</v>
      </c>
      <c r="FH201" s="239">
        <v>0</v>
      </c>
      <c r="FI201" s="239">
        <v>0</v>
      </c>
      <c r="FJ201" s="239">
        <v>0</v>
      </c>
      <c r="FK201" s="239">
        <v>0</v>
      </c>
      <c r="FL201" s="239">
        <v>23714347</v>
      </c>
      <c r="FM201" s="239">
        <v>0</v>
      </c>
      <c r="FN201" s="239">
        <v>23714347</v>
      </c>
      <c r="FO201" s="239">
        <v>815527</v>
      </c>
      <c r="FP201" s="239">
        <v>0</v>
      </c>
      <c r="FQ201" s="239">
        <v>815527</v>
      </c>
      <c r="FR201" s="239">
        <v>-4397096</v>
      </c>
      <c r="FS201" s="239">
        <v>0</v>
      </c>
      <c r="FT201" s="239">
        <v>-4397096</v>
      </c>
      <c r="FU201" s="239">
        <v>-919428</v>
      </c>
      <c r="FV201" s="239">
        <v>0</v>
      </c>
      <c r="FW201" s="239">
        <v>-919428</v>
      </c>
      <c r="FX201" s="239">
        <v>-220907</v>
      </c>
      <c r="FY201" s="239">
        <v>0</v>
      </c>
      <c r="FZ201" s="239">
        <v>-220907</v>
      </c>
      <c r="GA201" s="239">
        <v>-134827</v>
      </c>
      <c r="GB201" s="239">
        <v>0</v>
      </c>
      <c r="GC201" s="239">
        <v>-134827</v>
      </c>
      <c r="GD201" s="239">
        <v>0</v>
      </c>
      <c r="GE201" s="239">
        <v>0</v>
      </c>
      <c r="GF201" s="239">
        <v>0</v>
      </c>
      <c r="GG201" s="239">
        <v>-4856731</v>
      </c>
      <c r="GH201" s="239">
        <v>0</v>
      </c>
      <c r="GI201" s="239">
        <v>-4856731</v>
      </c>
      <c r="GJ201" s="239">
        <v>18857616</v>
      </c>
      <c r="GK201" s="239">
        <v>0</v>
      </c>
      <c r="GL201" s="239">
        <v>18857616</v>
      </c>
      <c r="GM201" s="214" t="s">
        <v>1158</v>
      </c>
    </row>
    <row r="202" spans="1:195" s="214" customFormat="1" x14ac:dyDescent="0.2">
      <c r="B202" s="602" t="s">
        <v>487</v>
      </c>
      <c r="C202" s="602" t="s">
        <v>486</v>
      </c>
      <c r="D202" s="239">
        <v>-1812760</v>
      </c>
      <c r="E202" s="239">
        <v>0</v>
      </c>
      <c r="F202" s="239">
        <v>-1812760</v>
      </c>
      <c r="G202" s="239">
        <v>21443</v>
      </c>
      <c r="H202" s="239">
        <v>0</v>
      </c>
      <c r="I202" s="239">
        <v>21443</v>
      </c>
      <c r="J202" s="239">
        <v>6976718</v>
      </c>
      <c r="K202" s="239">
        <v>0</v>
      </c>
      <c r="L202" s="239">
        <v>6976718</v>
      </c>
      <c r="M202" s="239">
        <v>203022</v>
      </c>
      <c r="N202" s="239">
        <v>0</v>
      </c>
      <c r="O202" s="239">
        <v>203022</v>
      </c>
      <c r="P202" s="239">
        <v>5388423</v>
      </c>
      <c r="Q202" s="239">
        <v>0</v>
      </c>
      <c r="R202" s="239">
        <v>5388423</v>
      </c>
      <c r="S202" s="239">
        <v>-5541784</v>
      </c>
      <c r="T202" s="239">
        <v>0</v>
      </c>
      <c r="U202" s="239">
        <v>-5541784</v>
      </c>
      <c r="V202" s="239">
        <v>-12989</v>
      </c>
      <c r="W202" s="239">
        <v>0</v>
      </c>
      <c r="X202" s="239">
        <v>-12989</v>
      </c>
      <c r="Y202" s="239">
        <v>-100648</v>
      </c>
      <c r="Z202" s="239">
        <v>0</v>
      </c>
      <c r="AA202" s="239">
        <v>-100648</v>
      </c>
      <c r="AB202" s="239">
        <v>-94041</v>
      </c>
      <c r="AC202" s="239">
        <v>0</v>
      </c>
      <c r="AD202" s="239">
        <v>-94041</v>
      </c>
      <c r="AE202" s="239">
        <v>-244</v>
      </c>
      <c r="AF202" s="239">
        <v>0</v>
      </c>
      <c r="AG202" s="239">
        <v>-244</v>
      </c>
      <c r="AH202" s="239">
        <v>2327966</v>
      </c>
      <c r="AI202" s="239">
        <v>0</v>
      </c>
      <c r="AJ202" s="239">
        <v>2327966</v>
      </c>
      <c r="AK202" s="239">
        <v>-56847</v>
      </c>
      <c r="AL202" s="239">
        <v>0</v>
      </c>
      <c r="AM202" s="239">
        <v>-56847</v>
      </c>
      <c r="AN202" s="239">
        <v>-6715195</v>
      </c>
      <c r="AO202" s="239">
        <v>0</v>
      </c>
      <c r="AP202" s="239">
        <v>-6715195</v>
      </c>
      <c r="AQ202" s="239">
        <v>-104371</v>
      </c>
      <c r="AR202" s="239">
        <v>0</v>
      </c>
      <c r="AS202" s="239">
        <v>-104371</v>
      </c>
      <c r="AT202" s="239">
        <v>-64243</v>
      </c>
      <c r="AU202" s="239">
        <v>0</v>
      </c>
      <c r="AV202" s="239">
        <v>-64243</v>
      </c>
      <c r="AW202" s="239">
        <v>-3861</v>
      </c>
      <c r="AX202" s="239">
        <v>0</v>
      </c>
      <c r="AY202" s="239">
        <v>-3861</v>
      </c>
      <c r="AZ202" s="239">
        <v>-12830</v>
      </c>
      <c r="BA202" s="239">
        <v>0</v>
      </c>
      <c r="BB202" s="239">
        <v>-12830</v>
      </c>
      <c r="BC202" s="239">
        <v>273</v>
      </c>
      <c r="BD202" s="239">
        <v>0</v>
      </c>
      <c r="BE202" s="239">
        <v>273</v>
      </c>
      <c r="BF202" s="239">
        <v>-10271540</v>
      </c>
      <c r="BG202" s="239">
        <v>0</v>
      </c>
      <c r="BH202" s="239">
        <v>-10271540</v>
      </c>
      <c r="BI202" s="239">
        <v>-4987</v>
      </c>
      <c r="BJ202" s="239">
        <v>0</v>
      </c>
      <c r="BK202" s="239">
        <v>-4987</v>
      </c>
      <c r="BL202" s="239">
        <v>-271499</v>
      </c>
      <c r="BM202" s="239">
        <v>0</v>
      </c>
      <c r="BN202" s="239">
        <v>-271499</v>
      </c>
      <c r="BO202" s="239">
        <v>-2103524</v>
      </c>
      <c r="BP202" s="239">
        <v>0</v>
      </c>
      <c r="BQ202" s="239">
        <v>-2103524</v>
      </c>
      <c r="BR202" s="239">
        <v>-101829</v>
      </c>
      <c r="BS202" s="239">
        <v>0</v>
      </c>
      <c r="BT202" s="239">
        <v>-101829</v>
      </c>
      <c r="BU202" s="239">
        <v>-2481839</v>
      </c>
      <c r="BV202" s="239">
        <v>0</v>
      </c>
      <c r="BW202" s="239">
        <v>-2481839</v>
      </c>
      <c r="BX202" s="239">
        <v>-276767</v>
      </c>
      <c r="BY202" s="239">
        <v>0</v>
      </c>
      <c r="BZ202" s="239">
        <v>-276767</v>
      </c>
      <c r="CA202" s="239">
        <v>-11323</v>
      </c>
      <c r="CB202" s="239">
        <v>0</v>
      </c>
      <c r="CC202" s="239">
        <v>-11323</v>
      </c>
      <c r="CD202" s="239">
        <v>-25988</v>
      </c>
      <c r="CE202" s="239">
        <v>0</v>
      </c>
      <c r="CF202" s="239">
        <v>-25988</v>
      </c>
      <c r="CG202" s="239">
        <v>-16079</v>
      </c>
      <c r="CH202" s="239">
        <v>0</v>
      </c>
      <c r="CI202" s="239">
        <v>-16079</v>
      </c>
      <c r="CJ202" s="239">
        <v>-970</v>
      </c>
      <c r="CK202" s="239">
        <v>0</v>
      </c>
      <c r="CL202" s="239">
        <v>-970</v>
      </c>
      <c r="CM202" s="239">
        <v>-177</v>
      </c>
      <c r="CN202" s="239">
        <v>0</v>
      </c>
      <c r="CO202" s="239">
        <v>-177</v>
      </c>
      <c r="CP202" s="239">
        <v>0</v>
      </c>
      <c r="CQ202" s="239">
        <v>0</v>
      </c>
      <c r="CR202" s="239">
        <v>0</v>
      </c>
      <c r="CS202" s="239">
        <v>273</v>
      </c>
      <c r="CT202" s="239">
        <v>0</v>
      </c>
      <c r="CU202" s="239">
        <v>273</v>
      </c>
      <c r="CV202" s="239">
        <v>0</v>
      </c>
      <c r="CW202" s="239">
        <v>0</v>
      </c>
      <c r="CX202" s="239">
        <v>0</v>
      </c>
      <c r="CY202" s="239">
        <v>0</v>
      </c>
      <c r="CZ202" s="239">
        <v>0</v>
      </c>
      <c r="DA202" s="239">
        <v>0</v>
      </c>
      <c r="DB202" s="239">
        <v>0</v>
      </c>
      <c r="DC202" s="239">
        <v>0</v>
      </c>
      <c r="DD202" s="239">
        <v>0</v>
      </c>
      <c r="DE202" s="239">
        <v>0</v>
      </c>
      <c r="DF202" s="239">
        <v>0</v>
      </c>
      <c r="DG202" s="239">
        <v>0</v>
      </c>
      <c r="DH202" s="239">
        <v>0</v>
      </c>
      <c r="DI202" s="239">
        <v>0</v>
      </c>
      <c r="DJ202" s="239">
        <v>-331031</v>
      </c>
      <c r="DK202" s="239">
        <v>0</v>
      </c>
      <c r="DL202" s="239">
        <v>-331031</v>
      </c>
      <c r="DM202" s="239">
        <v>0</v>
      </c>
      <c r="DN202" s="239">
        <v>0</v>
      </c>
      <c r="DO202" s="239">
        <v>0</v>
      </c>
      <c r="DP202" s="239">
        <v>0</v>
      </c>
      <c r="DQ202" s="239">
        <v>0</v>
      </c>
      <c r="DR202" s="239">
        <v>0</v>
      </c>
      <c r="DS202" s="239">
        <v>0</v>
      </c>
      <c r="DT202" s="239">
        <v>0</v>
      </c>
      <c r="DU202" s="239">
        <v>0</v>
      </c>
      <c r="DV202" s="239">
        <v>0</v>
      </c>
      <c r="DW202" s="239">
        <v>0</v>
      </c>
      <c r="DX202" s="239">
        <v>0</v>
      </c>
      <c r="DY202" s="239">
        <v>1321</v>
      </c>
      <c r="DZ202" s="239">
        <v>0</v>
      </c>
      <c r="EA202" s="239">
        <v>1321</v>
      </c>
      <c r="EB202" s="239">
        <v>0</v>
      </c>
      <c r="EC202" s="239">
        <v>0</v>
      </c>
      <c r="ED202" s="239">
        <v>0</v>
      </c>
      <c r="EE202" s="239">
        <v>0</v>
      </c>
      <c r="EF202" s="239">
        <v>0</v>
      </c>
      <c r="EG202" s="239">
        <v>0</v>
      </c>
      <c r="EH202" s="239">
        <v>0</v>
      </c>
      <c r="EI202" s="239">
        <v>0</v>
      </c>
      <c r="EJ202" s="239">
        <v>0</v>
      </c>
      <c r="EK202" s="239">
        <v>-12315</v>
      </c>
      <c r="EL202" s="239">
        <v>0</v>
      </c>
      <c r="EM202" s="239">
        <v>-12315</v>
      </c>
      <c r="EN202" s="239">
        <v>0</v>
      </c>
      <c r="EO202" s="239">
        <v>0</v>
      </c>
      <c r="EP202" s="239">
        <v>0</v>
      </c>
      <c r="EQ202" s="239">
        <v>-12976</v>
      </c>
      <c r="ER202" s="239">
        <v>0</v>
      </c>
      <c r="ES202" s="239">
        <v>-12976</v>
      </c>
      <c r="ET202" s="239">
        <v>-139775</v>
      </c>
      <c r="EU202" s="239">
        <v>0</v>
      </c>
      <c r="EV202" s="239">
        <v>-139775</v>
      </c>
      <c r="EW202" s="239">
        <v>-36277</v>
      </c>
      <c r="EX202" s="239">
        <v>0</v>
      </c>
      <c r="EY202" s="239">
        <v>-36277</v>
      </c>
      <c r="EZ202" s="239">
        <v>-200022</v>
      </c>
      <c r="FA202" s="239">
        <v>0</v>
      </c>
      <c r="FB202" s="239">
        <v>-200022</v>
      </c>
      <c r="FC202" s="239">
        <v>0</v>
      </c>
      <c r="FD202" s="239">
        <v>0</v>
      </c>
      <c r="FE202" s="239">
        <v>0</v>
      </c>
      <c r="FF202" s="239">
        <v>0</v>
      </c>
      <c r="FG202" s="239">
        <v>0</v>
      </c>
      <c r="FH202" s="239">
        <v>0</v>
      </c>
      <c r="FI202" s="239">
        <v>0</v>
      </c>
      <c r="FJ202" s="239">
        <v>0</v>
      </c>
      <c r="FK202" s="239">
        <v>0</v>
      </c>
      <c r="FL202" s="239">
        <v>105773456</v>
      </c>
      <c r="FM202" s="239">
        <v>0</v>
      </c>
      <c r="FN202" s="239">
        <v>105773456</v>
      </c>
      <c r="FO202" s="239">
        <v>5388423</v>
      </c>
      <c r="FP202" s="239">
        <v>0</v>
      </c>
      <c r="FQ202" s="239">
        <v>5388423</v>
      </c>
      <c r="FR202" s="239">
        <v>-10271540</v>
      </c>
      <c r="FS202" s="239">
        <v>0</v>
      </c>
      <c r="FT202" s="239">
        <v>-10271540</v>
      </c>
      <c r="FU202" s="239">
        <v>-2481839</v>
      </c>
      <c r="FV202" s="239">
        <v>0</v>
      </c>
      <c r="FW202" s="239">
        <v>-2481839</v>
      </c>
      <c r="FX202" s="239">
        <v>-331031</v>
      </c>
      <c r="FY202" s="239">
        <v>0</v>
      </c>
      <c r="FZ202" s="239">
        <v>-331031</v>
      </c>
      <c r="GA202" s="239">
        <v>-200022</v>
      </c>
      <c r="GB202" s="239">
        <v>0</v>
      </c>
      <c r="GC202" s="239">
        <v>-200022</v>
      </c>
      <c r="GD202" s="239">
        <v>0</v>
      </c>
      <c r="GE202" s="239">
        <v>0</v>
      </c>
      <c r="GF202" s="239">
        <v>0</v>
      </c>
      <c r="GG202" s="239">
        <v>-7896009</v>
      </c>
      <c r="GH202" s="239">
        <v>0</v>
      </c>
      <c r="GI202" s="239">
        <v>-7896009</v>
      </c>
      <c r="GJ202" s="239">
        <v>97877447</v>
      </c>
      <c r="GK202" s="239">
        <v>0</v>
      </c>
      <c r="GL202" s="239">
        <v>97877447</v>
      </c>
      <c r="GM202" s="214" t="s">
        <v>746</v>
      </c>
    </row>
    <row r="203" spans="1:195" s="214" customFormat="1" x14ac:dyDescent="0.2">
      <c r="B203" s="602" t="s">
        <v>489</v>
      </c>
      <c r="C203" s="602" t="s">
        <v>488</v>
      </c>
      <c r="D203" s="239">
        <v>-2568735</v>
      </c>
      <c r="E203" s="239">
        <v>0</v>
      </c>
      <c r="F203" s="239">
        <v>-2568735</v>
      </c>
      <c r="G203" s="239">
        <v>42026</v>
      </c>
      <c r="H203" s="239">
        <v>0</v>
      </c>
      <c r="I203" s="239">
        <v>42026</v>
      </c>
      <c r="J203" s="239">
        <v>7264029</v>
      </c>
      <c r="K203" s="239">
        <v>0</v>
      </c>
      <c r="L203" s="239">
        <v>7264029</v>
      </c>
      <c r="M203" s="239">
        <v>19215</v>
      </c>
      <c r="N203" s="239">
        <v>0</v>
      </c>
      <c r="O203" s="239">
        <v>19215</v>
      </c>
      <c r="P203" s="239">
        <v>4756535</v>
      </c>
      <c r="Q203" s="239">
        <v>0</v>
      </c>
      <c r="R203" s="239">
        <v>4756535</v>
      </c>
      <c r="S203" s="239">
        <v>-7337159</v>
      </c>
      <c r="T203" s="239">
        <v>0</v>
      </c>
      <c r="U203" s="239">
        <v>-7337159</v>
      </c>
      <c r="V203" s="239">
        <v>-1560</v>
      </c>
      <c r="W203" s="239">
        <v>0</v>
      </c>
      <c r="X203" s="239">
        <v>-1560</v>
      </c>
      <c r="Y203" s="239">
        <v>-209984</v>
      </c>
      <c r="Z203" s="239">
        <v>0</v>
      </c>
      <c r="AA203" s="239">
        <v>-209984</v>
      </c>
      <c r="AB203" s="239">
        <v>-209984</v>
      </c>
      <c r="AC203" s="239">
        <v>0</v>
      </c>
      <c r="AD203" s="239">
        <v>-209984</v>
      </c>
      <c r="AE203" s="239">
        <v>0</v>
      </c>
      <c r="AF203" s="239">
        <v>0</v>
      </c>
      <c r="AG203" s="239">
        <v>0</v>
      </c>
      <c r="AH203" s="239">
        <v>2195694</v>
      </c>
      <c r="AI203" s="239">
        <v>0</v>
      </c>
      <c r="AJ203" s="239">
        <v>2195694</v>
      </c>
      <c r="AK203" s="239">
        <v>-59574</v>
      </c>
      <c r="AL203" s="239">
        <v>0</v>
      </c>
      <c r="AM203" s="239">
        <v>-59574</v>
      </c>
      <c r="AN203" s="239">
        <v>-11128822</v>
      </c>
      <c r="AO203" s="239">
        <v>0</v>
      </c>
      <c r="AP203" s="239">
        <v>-11128822</v>
      </c>
      <c r="AQ203" s="239">
        <v>735430</v>
      </c>
      <c r="AR203" s="239">
        <v>0</v>
      </c>
      <c r="AS203" s="239">
        <v>735430</v>
      </c>
      <c r="AT203" s="239">
        <v>-11174</v>
      </c>
      <c r="AU203" s="239">
        <v>0</v>
      </c>
      <c r="AV203" s="239">
        <v>-11174</v>
      </c>
      <c r="AW203" s="239">
        <v>0</v>
      </c>
      <c r="AX203" s="239">
        <v>0</v>
      </c>
      <c r="AY203" s="239">
        <v>0</v>
      </c>
      <c r="AZ203" s="239">
        <v>0</v>
      </c>
      <c r="BA203" s="239">
        <v>0</v>
      </c>
      <c r="BB203" s="239">
        <v>0</v>
      </c>
      <c r="BC203" s="239">
        <v>0</v>
      </c>
      <c r="BD203" s="239">
        <v>0</v>
      </c>
      <c r="BE203" s="239">
        <v>0</v>
      </c>
      <c r="BF203" s="239">
        <v>-15815589</v>
      </c>
      <c r="BG203" s="239">
        <v>0</v>
      </c>
      <c r="BH203" s="239">
        <v>-15815589</v>
      </c>
      <c r="BI203" s="239">
        <v>0</v>
      </c>
      <c r="BJ203" s="239">
        <v>0</v>
      </c>
      <c r="BK203" s="239">
        <v>0</v>
      </c>
      <c r="BL203" s="239">
        <v>-1086</v>
      </c>
      <c r="BM203" s="239">
        <v>0</v>
      </c>
      <c r="BN203" s="239">
        <v>-1086</v>
      </c>
      <c r="BO203" s="239">
        <v>-2959852</v>
      </c>
      <c r="BP203" s="239">
        <v>0</v>
      </c>
      <c r="BQ203" s="239">
        <v>-2959852</v>
      </c>
      <c r="BR203" s="239">
        <v>-76201</v>
      </c>
      <c r="BS203" s="239">
        <v>0</v>
      </c>
      <c r="BT203" s="239">
        <v>-76201</v>
      </c>
      <c r="BU203" s="239">
        <v>-3037139</v>
      </c>
      <c r="BV203" s="239">
        <v>0</v>
      </c>
      <c r="BW203" s="239">
        <v>-3037139</v>
      </c>
      <c r="BX203" s="239">
        <v>-21916</v>
      </c>
      <c r="BY203" s="239">
        <v>0</v>
      </c>
      <c r="BZ203" s="239">
        <v>-21916</v>
      </c>
      <c r="CA203" s="239">
        <v>66160</v>
      </c>
      <c r="CB203" s="239">
        <v>0</v>
      </c>
      <c r="CC203" s="239">
        <v>66160</v>
      </c>
      <c r="CD203" s="239">
        <v>-29927</v>
      </c>
      <c r="CE203" s="239">
        <v>0</v>
      </c>
      <c r="CF203" s="239">
        <v>-29927</v>
      </c>
      <c r="CG203" s="239">
        <v>-17660</v>
      </c>
      <c r="CH203" s="239">
        <v>0</v>
      </c>
      <c r="CI203" s="239">
        <v>-17660</v>
      </c>
      <c r="CJ203" s="239">
        <v>0</v>
      </c>
      <c r="CK203" s="239">
        <v>0</v>
      </c>
      <c r="CL203" s="239">
        <v>0</v>
      </c>
      <c r="CM203" s="239">
        <v>0</v>
      </c>
      <c r="CN203" s="239">
        <v>0</v>
      </c>
      <c r="CO203" s="239">
        <v>0</v>
      </c>
      <c r="CP203" s="239">
        <v>0</v>
      </c>
      <c r="CQ203" s="239">
        <v>0</v>
      </c>
      <c r="CR203" s="239">
        <v>0</v>
      </c>
      <c r="CS203" s="239">
        <v>0</v>
      </c>
      <c r="CT203" s="239">
        <v>0</v>
      </c>
      <c r="CU203" s="239">
        <v>0</v>
      </c>
      <c r="CV203" s="239">
        <v>0</v>
      </c>
      <c r="CW203" s="239">
        <v>0</v>
      </c>
      <c r="CX203" s="239">
        <v>0</v>
      </c>
      <c r="CY203" s="239">
        <v>0</v>
      </c>
      <c r="CZ203" s="239">
        <v>0</v>
      </c>
      <c r="DA203" s="239">
        <v>0</v>
      </c>
      <c r="DB203" s="239">
        <v>-89152</v>
      </c>
      <c r="DC203" s="239">
        <v>0</v>
      </c>
      <c r="DD203" s="239">
        <v>-89152</v>
      </c>
      <c r="DE203" s="239">
        <v>-93600</v>
      </c>
      <c r="DF203" s="239">
        <v>0</v>
      </c>
      <c r="DG203" s="239">
        <v>-93600</v>
      </c>
      <c r="DH203" s="239">
        <v>0</v>
      </c>
      <c r="DI203" s="239">
        <v>0</v>
      </c>
      <c r="DJ203" s="239">
        <v>-186095</v>
      </c>
      <c r="DK203" s="239">
        <v>0</v>
      </c>
      <c r="DL203" s="239">
        <v>-186095</v>
      </c>
      <c r="DM203" s="239">
        <v>-25396</v>
      </c>
      <c r="DN203" s="239">
        <v>0</v>
      </c>
      <c r="DO203" s="239">
        <v>-25396</v>
      </c>
      <c r="DP203" s="239">
        <v>5528</v>
      </c>
      <c r="DQ203" s="239">
        <v>0</v>
      </c>
      <c r="DR203" s="239">
        <v>5528</v>
      </c>
      <c r="DS203" s="239">
        <v>-8461</v>
      </c>
      <c r="DT203" s="239">
        <v>0</v>
      </c>
      <c r="DU203" s="239">
        <v>-8461</v>
      </c>
      <c r="DV203" s="239">
        <v>-15177</v>
      </c>
      <c r="DW203" s="239">
        <v>0</v>
      </c>
      <c r="DX203" s="239">
        <v>-15177</v>
      </c>
      <c r="DY203" s="239">
        <v>0</v>
      </c>
      <c r="DZ203" s="239">
        <v>0</v>
      </c>
      <c r="EA203" s="239">
        <v>0</v>
      </c>
      <c r="EB203" s="239">
        <v>0</v>
      </c>
      <c r="EC203" s="239">
        <v>0</v>
      </c>
      <c r="ED203" s="239">
        <v>0</v>
      </c>
      <c r="EE203" s="239">
        <v>0</v>
      </c>
      <c r="EF203" s="239">
        <v>0</v>
      </c>
      <c r="EG203" s="239">
        <v>0</v>
      </c>
      <c r="EH203" s="239">
        <v>0</v>
      </c>
      <c r="EI203" s="239">
        <v>0</v>
      </c>
      <c r="EJ203" s="239">
        <v>0</v>
      </c>
      <c r="EK203" s="239">
        <v>0</v>
      </c>
      <c r="EL203" s="239">
        <v>0</v>
      </c>
      <c r="EM203" s="239">
        <v>0</v>
      </c>
      <c r="EN203" s="239">
        <v>-1500</v>
      </c>
      <c r="EO203" s="239">
        <v>0</v>
      </c>
      <c r="EP203" s="239">
        <v>-1500</v>
      </c>
      <c r="EQ203" s="239">
        <v>-19369</v>
      </c>
      <c r="ER203" s="239">
        <v>0</v>
      </c>
      <c r="ES203" s="239">
        <v>-19369</v>
      </c>
      <c r="ET203" s="239">
        <v>-332146</v>
      </c>
      <c r="EU203" s="239">
        <v>0</v>
      </c>
      <c r="EV203" s="239">
        <v>-332146</v>
      </c>
      <c r="EW203" s="239">
        <v>-78797</v>
      </c>
      <c r="EX203" s="239">
        <v>0</v>
      </c>
      <c r="EY203" s="239">
        <v>-78797</v>
      </c>
      <c r="EZ203" s="239">
        <v>-475318</v>
      </c>
      <c r="FA203" s="239">
        <v>0</v>
      </c>
      <c r="FB203" s="239">
        <v>-475318</v>
      </c>
      <c r="FC203" s="239">
        <v>-241885</v>
      </c>
      <c r="FD203" s="239">
        <v>0</v>
      </c>
      <c r="FE203" s="239">
        <v>-241885</v>
      </c>
      <c r="FF203" s="239">
        <v>-11090</v>
      </c>
      <c r="FG203" s="239">
        <v>0</v>
      </c>
      <c r="FH203" s="239">
        <v>-11090</v>
      </c>
      <c r="FI203" s="239">
        <v>-252975</v>
      </c>
      <c r="FJ203" s="239">
        <v>0</v>
      </c>
      <c r="FK203" s="239">
        <v>-252975</v>
      </c>
      <c r="FL203" s="239">
        <v>104838155</v>
      </c>
      <c r="FM203" s="239">
        <v>0</v>
      </c>
      <c r="FN203" s="239">
        <v>104838155</v>
      </c>
      <c r="FO203" s="239">
        <v>4756535</v>
      </c>
      <c r="FP203" s="239">
        <v>0</v>
      </c>
      <c r="FQ203" s="239">
        <v>4756535</v>
      </c>
      <c r="FR203" s="239">
        <v>-15815589</v>
      </c>
      <c r="FS203" s="239">
        <v>0</v>
      </c>
      <c r="FT203" s="239">
        <v>-15815589</v>
      </c>
      <c r="FU203" s="239">
        <v>-3037139</v>
      </c>
      <c r="FV203" s="239">
        <v>0</v>
      </c>
      <c r="FW203" s="239">
        <v>-3037139</v>
      </c>
      <c r="FX203" s="239">
        <v>-186095</v>
      </c>
      <c r="FY203" s="239">
        <v>0</v>
      </c>
      <c r="FZ203" s="239">
        <v>-186095</v>
      </c>
      <c r="GA203" s="239">
        <v>-475318</v>
      </c>
      <c r="GB203" s="239">
        <v>0</v>
      </c>
      <c r="GC203" s="239">
        <v>-475318</v>
      </c>
      <c r="GD203" s="239">
        <v>-252975</v>
      </c>
      <c r="GE203" s="239">
        <v>0</v>
      </c>
      <c r="GF203" s="239">
        <v>-252975</v>
      </c>
      <c r="GG203" s="239">
        <v>-15010581</v>
      </c>
      <c r="GH203" s="239">
        <v>0</v>
      </c>
      <c r="GI203" s="239">
        <v>-15010581</v>
      </c>
      <c r="GJ203" s="239">
        <v>89827574</v>
      </c>
      <c r="GK203" s="239">
        <v>0</v>
      </c>
      <c r="GL203" s="239">
        <v>89827574</v>
      </c>
      <c r="GM203" s="214" t="s">
        <v>746</v>
      </c>
    </row>
    <row r="204" spans="1:195" s="214" customFormat="1" x14ac:dyDescent="0.2">
      <c r="B204" s="602" t="s">
        <v>491</v>
      </c>
      <c r="C204" s="602" t="s">
        <v>490</v>
      </c>
      <c r="D204" s="239">
        <v>-2630285</v>
      </c>
      <c r="E204" s="239">
        <v>0</v>
      </c>
      <c r="F204" s="239">
        <v>-2630285</v>
      </c>
      <c r="G204" s="239">
        <v>7956.64</v>
      </c>
      <c r="H204" s="239">
        <v>0</v>
      </c>
      <c r="I204" s="239">
        <v>7956.64</v>
      </c>
      <c r="J204" s="239">
        <v>3946237</v>
      </c>
      <c r="K204" s="239">
        <v>0</v>
      </c>
      <c r="L204" s="239">
        <v>3946237</v>
      </c>
      <c r="M204" s="239">
        <v>-18236</v>
      </c>
      <c r="N204" s="239">
        <v>0</v>
      </c>
      <c r="O204" s="239">
        <v>-18236</v>
      </c>
      <c r="P204" s="239">
        <v>1305673</v>
      </c>
      <c r="Q204" s="239">
        <v>0</v>
      </c>
      <c r="R204" s="239">
        <v>1305673</v>
      </c>
      <c r="S204" s="239">
        <v>-4958864</v>
      </c>
      <c r="T204" s="239">
        <v>0</v>
      </c>
      <c r="U204" s="239">
        <v>-4958864</v>
      </c>
      <c r="V204" s="239">
        <v>-5462</v>
      </c>
      <c r="W204" s="239">
        <v>0</v>
      </c>
      <c r="X204" s="239">
        <v>-5462</v>
      </c>
      <c r="Y204" s="239">
        <v>-145707</v>
      </c>
      <c r="Z204" s="239">
        <v>0</v>
      </c>
      <c r="AA204" s="239">
        <v>-145707</v>
      </c>
      <c r="AB204" s="239">
        <v>0</v>
      </c>
      <c r="AC204" s="239">
        <v>0</v>
      </c>
      <c r="AD204" s="239">
        <v>0</v>
      </c>
      <c r="AE204" s="239">
        <v>0</v>
      </c>
      <c r="AF204" s="239">
        <v>0</v>
      </c>
      <c r="AG204" s="239">
        <v>0</v>
      </c>
      <c r="AH204" s="239">
        <v>1458463</v>
      </c>
      <c r="AI204" s="239">
        <v>0</v>
      </c>
      <c r="AJ204" s="239">
        <v>1458463</v>
      </c>
      <c r="AK204" s="239">
        <v>-43290</v>
      </c>
      <c r="AL204" s="239">
        <v>0</v>
      </c>
      <c r="AM204" s="239">
        <v>-43290</v>
      </c>
      <c r="AN204" s="239">
        <v>-6252776</v>
      </c>
      <c r="AO204" s="239">
        <v>0</v>
      </c>
      <c r="AP204" s="239">
        <v>-6252776</v>
      </c>
      <c r="AQ204" s="239">
        <v>-132016</v>
      </c>
      <c r="AR204" s="239">
        <v>0</v>
      </c>
      <c r="AS204" s="239">
        <v>-132016</v>
      </c>
      <c r="AT204" s="239">
        <v>-50601</v>
      </c>
      <c r="AU204" s="239">
        <v>0</v>
      </c>
      <c r="AV204" s="239">
        <v>-50601</v>
      </c>
      <c r="AW204" s="239">
        <v>0</v>
      </c>
      <c r="AX204" s="239">
        <v>0</v>
      </c>
      <c r="AY204" s="239">
        <v>0</v>
      </c>
      <c r="AZ204" s="239">
        <v>0</v>
      </c>
      <c r="BA204" s="239">
        <v>0</v>
      </c>
      <c r="BB204" s="239">
        <v>0</v>
      </c>
      <c r="BC204" s="239">
        <v>0</v>
      </c>
      <c r="BD204" s="239">
        <v>0</v>
      </c>
      <c r="BE204" s="239">
        <v>0</v>
      </c>
      <c r="BF204" s="239">
        <v>-10124791</v>
      </c>
      <c r="BG204" s="239">
        <v>0</v>
      </c>
      <c r="BH204" s="239">
        <v>-10124791</v>
      </c>
      <c r="BI204" s="239">
        <v>-24533</v>
      </c>
      <c r="BJ204" s="239">
        <v>0</v>
      </c>
      <c r="BK204" s="239">
        <v>-24533</v>
      </c>
      <c r="BL204" s="239">
        <v>-34483</v>
      </c>
      <c r="BM204" s="239">
        <v>0</v>
      </c>
      <c r="BN204" s="239">
        <v>-34483</v>
      </c>
      <c r="BO204" s="239">
        <v>-1606070</v>
      </c>
      <c r="BP204" s="239">
        <v>0</v>
      </c>
      <c r="BQ204" s="239">
        <v>-1606070</v>
      </c>
      <c r="BR204" s="239">
        <v>125137</v>
      </c>
      <c r="BS204" s="239">
        <v>0</v>
      </c>
      <c r="BT204" s="239">
        <v>125137</v>
      </c>
      <c r="BU204" s="239">
        <v>-1539949</v>
      </c>
      <c r="BV204" s="239">
        <v>0</v>
      </c>
      <c r="BW204" s="239">
        <v>-1539949</v>
      </c>
      <c r="BX204" s="239">
        <v>-184846</v>
      </c>
      <c r="BY204" s="239">
        <v>0</v>
      </c>
      <c r="BZ204" s="239">
        <v>-184846</v>
      </c>
      <c r="CA204" s="239">
        <v>194</v>
      </c>
      <c r="CB204" s="239">
        <v>0</v>
      </c>
      <c r="CC204" s="239">
        <v>194</v>
      </c>
      <c r="CD204" s="239">
        <v>-35926</v>
      </c>
      <c r="CE204" s="239">
        <v>0</v>
      </c>
      <c r="CF204" s="239">
        <v>-35926</v>
      </c>
      <c r="CG204" s="239">
        <v>0</v>
      </c>
      <c r="CH204" s="239">
        <v>0</v>
      </c>
      <c r="CI204" s="239">
        <v>0</v>
      </c>
      <c r="CJ204" s="239">
        <v>-4692</v>
      </c>
      <c r="CK204" s="239">
        <v>0</v>
      </c>
      <c r="CL204" s="239">
        <v>-4692</v>
      </c>
      <c r="CM204" s="239">
        <v>0</v>
      </c>
      <c r="CN204" s="239">
        <v>0</v>
      </c>
      <c r="CO204" s="239">
        <v>0</v>
      </c>
      <c r="CP204" s="239">
        <v>0</v>
      </c>
      <c r="CQ204" s="239">
        <v>0</v>
      </c>
      <c r="CR204" s="239">
        <v>0</v>
      </c>
      <c r="CS204" s="239">
        <v>0</v>
      </c>
      <c r="CT204" s="239">
        <v>0</v>
      </c>
      <c r="CU204" s="239">
        <v>0</v>
      </c>
      <c r="CV204" s="239">
        <v>0</v>
      </c>
      <c r="CW204" s="239">
        <v>0</v>
      </c>
      <c r="CX204" s="239">
        <v>0</v>
      </c>
      <c r="CY204" s="239">
        <v>0</v>
      </c>
      <c r="CZ204" s="239">
        <v>0</v>
      </c>
      <c r="DA204" s="239">
        <v>0</v>
      </c>
      <c r="DB204" s="239">
        <v>0</v>
      </c>
      <c r="DC204" s="239">
        <v>0</v>
      </c>
      <c r="DD204" s="239">
        <v>0</v>
      </c>
      <c r="DE204" s="239">
        <v>0</v>
      </c>
      <c r="DF204" s="239">
        <v>0</v>
      </c>
      <c r="DG204" s="239">
        <v>0</v>
      </c>
      <c r="DH204" s="239">
        <v>0</v>
      </c>
      <c r="DI204" s="239">
        <v>0</v>
      </c>
      <c r="DJ204" s="239">
        <v>-225270</v>
      </c>
      <c r="DK204" s="239">
        <v>0</v>
      </c>
      <c r="DL204" s="239">
        <v>-225270</v>
      </c>
      <c r="DM204" s="239">
        <v>0</v>
      </c>
      <c r="DN204" s="239">
        <v>0</v>
      </c>
      <c r="DO204" s="239">
        <v>0</v>
      </c>
      <c r="DP204" s="239">
        <v>0</v>
      </c>
      <c r="DQ204" s="239">
        <v>0</v>
      </c>
      <c r="DR204" s="239">
        <v>0</v>
      </c>
      <c r="DS204" s="239">
        <v>0</v>
      </c>
      <c r="DT204" s="239">
        <v>0</v>
      </c>
      <c r="DU204" s="239">
        <v>0</v>
      </c>
      <c r="DV204" s="239">
        <v>0</v>
      </c>
      <c r="DW204" s="239">
        <v>0</v>
      </c>
      <c r="DX204" s="239">
        <v>0</v>
      </c>
      <c r="DY204" s="239">
        <v>2897</v>
      </c>
      <c r="DZ204" s="239">
        <v>0</v>
      </c>
      <c r="EA204" s="239">
        <v>2897</v>
      </c>
      <c r="EB204" s="239">
        <v>0</v>
      </c>
      <c r="EC204" s="239">
        <v>0</v>
      </c>
      <c r="ED204" s="239">
        <v>0</v>
      </c>
      <c r="EE204" s="239">
        <v>0</v>
      </c>
      <c r="EF204" s="239">
        <v>0</v>
      </c>
      <c r="EG204" s="239">
        <v>0</v>
      </c>
      <c r="EH204" s="239">
        <v>264</v>
      </c>
      <c r="EI204" s="239">
        <v>0</v>
      </c>
      <c r="EJ204" s="239">
        <v>264</v>
      </c>
      <c r="EK204" s="239">
        <v>0</v>
      </c>
      <c r="EL204" s="239">
        <v>0</v>
      </c>
      <c r="EM204" s="239">
        <v>0</v>
      </c>
      <c r="EN204" s="239">
        <v>0</v>
      </c>
      <c r="EO204" s="239">
        <v>0</v>
      </c>
      <c r="EP204" s="239">
        <v>0</v>
      </c>
      <c r="EQ204" s="239">
        <v>-21060</v>
      </c>
      <c r="ER204" s="239">
        <v>0</v>
      </c>
      <c r="ES204" s="239">
        <v>-21060</v>
      </c>
      <c r="ET204" s="239">
        <v>-318711</v>
      </c>
      <c r="EU204" s="239">
        <v>0</v>
      </c>
      <c r="EV204" s="239">
        <v>-318711</v>
      </c>
      <c r="EW204" s="239">
        <v>-42821</v>
      </c>
      <c r="EX204" s="239">
        <v>0</v>
      </c>
      <c r="EY204" s="239">
        <v>-42821</v>
      </c>
      <c r="EZ204" s="239">
        <v>-379431</v>
      </c>
      <c r="FA204" s="239">
        <v>0</v>
      </c>
      <c r="FB204" s="239">
        <v>-379431</v>
      </c>
      <c r="FC204" s="239">
        <v>0</v>
      </c>
      <c r="FD204" s="239">
        <v>0</v>
      </c>
      <c r="FE204" s="239">
        <v>0</v>
      </c>
      <c r="FF204" s="239">
        <v>0</v>
      </c>
      <c r="FG204" s="239">
        <v>0</v>
      </c>
      <c r="FH204" s="239">
        <v>0</v>
      </c>
      <c r="FI204" s="239">
        <v>0</v>
      </c>
      <c r="FJ204" s="239">
        <v>0</v>
      </c>
      <c r="FK204" s="239">
        <v>0</v>
      </c>
      <c r="FL204" s="239">
        <v>72526149</v>
      </c>
      <c r="FM204" s="239">
        <v>0</v>
      </c>
      <c r="FN204" s="239">
        <v>72526149</v>
      </c>
      <c r="FO204" s="239">
        <v>1305673</v>
      </c>
      <c r="FP204" s="239">
        <v>0</v>
      </c>
      <c r="FQ204" s="239">
        <v>1305673</v>
      </c>
      <c r="FR204" s="239">
        <v>-10124791</v>
      </c>
      <c r="FS204" s="239">
        <v>0</v>
      </c>
      <c r="FT204" s="239">
        <v>-10124791</v>
      </c>
      <c r="FU204" s="239">
        <v>-1539949</v>
      </c>
      <c r="FV204" s="239">
        <v>0</v>
      </c>
      <c r="FW204" s="239">
        <v>-1539949</v>
      </c>
      <c r="FX204" s="239">
        <v>-225270</v>
      </c>
      <c r="FY204" s="239">
        <v>0</v>
      </c>
      <c r="FZ204" s="239">
        <v>-225270</v>
      </c>
      <c r="GA204" s="239">
        <v>-379431</v>
      </c>
      <c r="GB204" s="239">
        <v>0</v>
      </c>
      <c r="GC204" s="239">
        <v>-379431</v>
      </c>
      <c r="GD204" s="239">
        <v>0</v>
      </c>
      <c r="GE204" s="239">
        <v>0</v>
      </c>
      <c r="GF204" s="239">
        <v>0</v>
      </c>
      <c r="GG204" s="239">
        <v>-10963768</v>
      </c>
      <c r="GH204" s="239">
        <v>0</v>
      </c>
      <c r="GI204" s="239">
        <v>-10963768</v>
      </c>
      <c r="GJ204" s="239">
        <v>61562381</v>
      </c>
      <c r="GK204" s="239">
        <v>0</v>
      </c>
      <c r="GL204" s="239">
        <v>61562381</v>
      </c>
      <c r="GM204" s="214" t="s">
        <v>746</v>
      </c>
    </row>
    <row r="205" spans="1:195" s="214" customFormat="1" x14ac:dyDescent="0.2">
      <c r="B205" s="602" t="s">
        <v>493</v>
      </c>
      <c r="C205" s="602" t="s">
        <v>492</v>
      </c>
      <c r="D205" s="239">
        <v>-3744934</v>
      </c>
      <c r="E205" s="239">
        <v>0</v>
      </c>
      <c r="F205" s="239">
        <v>-3744934</v>
      </c>
      <c r="G205" s="239">
        <v>0</v>
      </c>
      <c r="H205" s="239">
        <v>0</v>
      </c>
      <c r="I205" s="239">
        <v>0</v>
      </c>
      <c r="J205" s="239">
        <v>5203490</v>
      </c>
      <c r="K205" s="239">
        <v>0</v>
      </c>
      <c r="L205" s="239">
        <v>5203490</v>
      </c>
      <c r="M205" s="239">
        <v>0</v>
      </c>
      <c r="N205" s="239">
        <v>0</v>
      </c>
      <c r="O205" s="239">
        <v>0</v>
      </c>
      <c r="P205" s="239">
        <v>1458556</v>
      </c>
      <c r="Q205" s="239">
        <v>0</v>
      </c>
      <c r="R205" s="239">
        <v>1458556</v>
      </c>
      <c r="S205" s="239">
        <v>-5601003</v>
      </c>
      <c r="T205" s="239">
        <v>0</v>
      </c>
      <c r="U205" s="239">
        <v>-5601003</v>
      </c>
      <c r="V205" s="239">
        <v>0</v>
      </c>
      <c r="W205" s="239">
        <v>0</v>
      </c>
      <c r="X205" s="239">
        <v>0</v>
      </c>
      <c r="Y205" s="239">
        <v>-87548</v>
      </c>
      <c r="Z205" s="239">
        <v>0</v>
      </c>
      <c r="AA205" s="239">
        <v>-87548</v>
      </c>
      <c r="AB205" s="239">
        <v>-87548</v>
      </c>
      <c r="AC205" s="239">
        <v>0</v>
      </c>
      <c r="AD205" s="239">
        <v>-87548</v>
      </c>
      <c r="AE205" s="239">
        <v>0</v>
      </c>
      <c r="AF205" s="239">
        <v>0</v>
      </c>
      <c r="AG205" s="239">
        <v>0</v>
      </c>
      <c r="AH205" s="239">
        <v>2124379</v>
      </c>
      <c r="AI205" s="239">
        <v>0</v>
      </c>
      <c r="AJ205" s="239">
        <v>2124379</v>
      </c>
      <c r="AK205" s="239">
        <v>0</v>
      </c>
      <c r="AL205" s="239">
        <v>0</v>
      </c>
      <c r="AM205" s="239">
        <v>0</v>
      </c>
      <c r="AN205" s="239">
        <v>-7932287</v>
      </c>
      <c r="AO205" s="239">
        <v>0</v>
      </c>
      <c r="AP205" s="239">
        <v>-7932287</v>
      </c>
      <c r="AQ205" s="239">
        <v>0</v>
      </c>
      <c r="AR205" s="239">
        <v>0</v>
      </c>
      <c r="AS205" s="239">
        <v>0</v>
      </c>
      <c r="AT205" s="239">
        <v>-34471</v>
      </c>
      <c r="AU205" s="239">
        <v>0</v>
      </c>
      <c r="AV205" s="239">
        <v>-34471</v>
      </c>
      <c r="AW205" s="239">
        <v>0</v>
      </c>
      <c r="AX205" s="239">
        <v>0</v>
      </c>
      <c r="AY205" s="239">
        <v>0</v>
      </c>
      <c r="AZ205" s="239">
        <v>0</v>
      </c>
      <c r="BA205" s="239">
        <v>0</v>
      </c>
      <c r="BB205" s="239">
        <v>0</v>
      </c>
      <c r="BC205" s="239">
        <v>0</v>
      </c>
      <c r="BD205" s="239">
        <v>0</v>
      </c>
      <c r="BE205" s="239">
        <v>0</v>
      </c>
      <c r="BF205" s="239">
        <v>-11530930</v>
      </c>
      <c r="BG205" s="239">
        <v>0</v>
      </c>
      <c r="BH205" s="239">
        <v>-11530930</v>
      </c>
      <c r="BI205" s="239">
        <v>-12871</v>
      </c>
      <c r="BJ205" s="239">
        <v>0</v>
      </c>
      <c r="BK205" s="239">
        <v>-12871</v>
      </c>
      <c r="BL205" s="239">
        <v>0</v>
      </c>
      <c r="BM205" s="239">
        <v>0</v>
      </c>
      <c r="BN205" s="239">
        <v>0</v>
      </c>
      <c r="BO205" s="239">
        <v>-2232310</v>
      </c>
      <c r="BP205" s="239">
        <v>0</v>
      </c>
      <c r="BQ205" s="239">
        <v>-2232310</v>
      </c>
      <c r="BR205" s="239">
        <v>0</v>
      </c>
      <c r="BS205" s="239">
        <v>0</v>
      </c>
      <c r="BT205" s="239">
        <v>0</v>
      </c>
      <c r="BU205" s="239">
        <v>-2245181</v>
      </c>
      <c r="BV205" s="239">
        <v>0</v>
      </c>
      <c r="BW205" s="239">
        <v>-2245181</v>
      </c>
      <c r="BX205" s="239">
        <v>-214638</v>
      </c>
      <c r="BY205" s="239">
        <v>0</v>
      </c>
      <c r="BZ205" s="239">
        <v>-214638</v>
      </c>
      <c r="CA205" s="239">
        <v>0</v>
      </c>
      <c r="CB205" s="239">
        <v>0</v>
      </c>
      <c r="CC205" s="239">
        <v>0</v>
      </c>
      <c r="CD205" s="239">
        <v>0</v>
      </c>
      <c r="CE205" s="239">
        <v>0</v>
      </c>
      <c r="CF205" s="239">
        <v>0</v>
      </c>
      <c r="CG205" s="239">
        <v>0</v>
      </c>
      <c r="CH205" s="239">
        <v>0</v>
      </c>
      <c r="CI205" s="239">
        <v>0</v>
      </c>
      <c r="CJ205" s="239">
        <v>0</v>
      </c>
      <c r="CK205" s="239">
        <v>0</v>
      </c>
      <c r="CL205" s="239">
        <v>0</v>
      </c>
      <c r="CM205" s="239">
        <v>0</v>
      </c>
      <c r="CN205" s="239">
        <v>0</v>
      </c>
      <c r="CO205" s="239">
        <v>0</v>
      </c>
      <c r="CP205" s="239">
        <v>0</v>
      </c>
      <c r="CQ205" s="239">
        <v>0</v>
      </c>
      <c r="CR205" s="239">
        <v>0</v>
      </c>
      <c r="CS205" s="239">
        <v>0</v>
      </c>
      <c r="CT205" s="239">
        <v>0</v>
      </c>
      <c r="CU205" s="239">
        <v>0</v>
      </c>
      <c r="CV205" s="239">
        <v>0</v>
      </c>
      <c r="CW205" s="239">
        <v>0</v>
      </c>
      <c r="CX205" s="239">
        <v>0</v>
      </c>
      <c r="CY205" s="239">
        <v>0</v>
      </c>
      <c r="CZ205" s="239">
        <v>0</v>
      </c>
      <c r="DA205" s="239">
        <v>0</v>
      </c>
      <c r="DB205" s="239">
        <v>0</v>
      </c>
      <c r="DC205" s="239">
        <v>0</v>
      </c>
      <c r="DD205" s="239">
        <v>0</v>
      </c>
      <c r="DE205" s="239">
        <v>0</v>
      </c>
      <c r="DF205" s="239">
        <v>0</v>
      </c>
      <c r="DG205" s="239">
        <v>0</v>
      </c>
      <c r="DH205" s="239">
        <v>0</v>
      </c>
      <c r="DI205" s="239">
        <v>0</v>
      </c>
      <c r="DJ205" s="239">
        <v>-214638</v>
      </c>
      <c r="DK205" s="239">
        <v>0</v>
      </c>
      <c r="DL205" s="239">
        <v>-214638</v>
      </c>
      <c r="DM205" s="239">
        <v>0</v>
      </c>
      <c r="DN205" s="239">
        <v>0</v>
      </c>
      <c r="DO205" s="239">
        <v>0</v>
      </c>
      <c r="DP205" s="239">
        <v>7941</v>
      </c>
      <c r="DQ205" s="239">
        <v>0</v>
      </c>
      <c r="DR205" s="239">
        <v>7941</v>
      </c>
      <c r="DS205" s="239">
        <v>-46034</v>
      </c>
      <c r="DT205" s="239">
        <v>0</v>
      </c>
      <c r="DU205" s="239">
        <v>-46034</v>
      </c>
      <c r="DV205" s="239">
        <v>0</v>
      </c>
      <c r="DW205" s="239">
        <v>0</v>
      </c>
      <c r="DX205" s="239">
        <v>0</v>
      </c>
      <c r="DY205" s="239">
        <v>5484</v>
      </c>
      <c r="DZ205" s="239">
        <v>0</v>
      </c>
      <c r="EA205" s="239">
        <v>5484</v>
      </c>
      <c r="EB205" s="239">
        <v>0</v>
      </c>
      <c r="EC205" s="239">
        <v>0</v>
      </c>
      <c r="ED205" s="239">
        <v>0</v>
      </c>
      <c r="EE205" s="239">
        <v>0</v>
      </c>
      <c r="EF205" s="239">
        <v>0</v>
      </c>
      <c r="EG205" s="239">
        <v>0</v>
      </c>
      <c r="EH205" s="239">
        <v>0</v>
      </c>
      <c r="EI205" s="239">
        <v>0</v>
      </c>
      <c r="EJ205" s="239">
        <v>0</v>
      </c>
      <c r="EK205" s="239">
        <v>0</v>
      </c>
      <c r="EL205" s="239">
        <v>0</v>
      </c>
      <c r="EM205" s="239">
        <v>0</v>
      </c>
      <c r="EN205" s="239">
        <v>0</v>
      </c>
      <c r="EO205" s="239">
        <v>0</v>
      </c>
      <c r="EP205" s="239">
        <v>0</v>
      </c>
      <c r="EQ205" s="239">
        <v>-18593</v>
      </c>
      <c r="ER205" s="239">
        <v>0</v>
      </c>
      <c r="ES205" s="239">
        <v>-18593</v>
      </c>
      <c r="ET205" s="239">
        <v>-494616</v>
      </c>
      <c r="EU205" s="239">
        <v>0</v>
      </c>
      <c r="EV205" s="239">
        <v>-494616</v>
      </c>
      <c r="EW205" s="239">
        <v>-55562</v>
      </c>
      <c r="EX205" s="239">
        <v>0</v>
      </c>
      <c r="EY205" s="239">
        <v>-55562</v>
      </c>
      <c r="EZ205" s="239">
        <v>-601380</v>
      </c>
      <c r="FA205" s="239">
        <v>0</v>
      </c>
      <c r="FB205" s="239">
        <v>-601380</v>
      </c>
      <c r="FC205" s="239">
        <v>0</v>
      </c>
      <c r="FD205" s="239">
        <v>0</v>
      </c>
      <c r="FE205" s="239">
        <v>0</v>
      </c>
      <c r="FF205" s="239">
        <v>0</v>
      </c>
      <c r="FG205" s="239">
        <v>0</v>
      </c>
      <c r="FH205" s="239">
        <v>0</v>
      </c>
      <c r="FI205" s="239">
        <v>0</v>
      </c>
      <c r="FJ205" s="239">
        <v>0</v>
      </c>
      <c r="FK205" s="239">
        <v>0</v>
      </c>
      <c r="FL205" s="239">
        <v>97875949</v>
      </c>
      <c r="FM205" s="239">
        <v>0</v>
      </c>
      <c r="FN205" s="239">
        <v>97875949</v>
      </c>
      <c r="FO205" s="239">
        <v>1458556</v>
      </c>
      <c r="FP205" s="239">
        <v>0</v>
      </c>
      <c r="FQ205" s="239">
        <v>1458556</v>
      </c>
      <c r="FR205" s="239">
        <v>-11530930</v>
      </c>
      <c r="FS205" s="239">
        <v>0</v>
      </c>
      <c r="FT205" s="239">
        <v>-11530930</v>
      </c>
      <c r="FU205" s="239">
        <v>-2245181</v>
      </c>
      <c r="FV205" s="239">
        <v>0</v>
      </c>
      <c r="FW205" s="239">
        <v>-2245181</v>
      </c>
      <c r="FX205" s="239">
        <v>-214638</v>
      </c>
      <c r="FY205" s="239">
        <v>0</v>
      </c>
      <c r="FZ205" s="239">
        <v>-214638</v>
      </c>
      <c r="GA205" s="239">
        <v>-601380</v>
      </c>
      <c r="GB205" s="239">
        <v>0</v>
      </c>
      <c r="GC205" s="239">
        <v>-601380</v>
      </c>
      <c r="GD205" s="239">
        <v>0</v>
      </c>
      <c r="GE205" s="239">
        <v>0</v>
      </c>
      <c r="GF205" s="239">
        <v>0</v>
      </c>
      <c r="GG205" s="239">
        <v>-13133573</v>
      </c>
      <c r="GH205" s="239">
        <v>0</v>
      </c>
      <c r="GI205" s="239">
        <v>-13133573</v>
      </c>
      <c r="GJ205" s="239">
        <v>84742376</v>
      </c>
      <c r="GK205" s="239">
        <v>0</v>
      </c>
      <c r="GL205" s="239">
        <v>84742376</v>
      </c>
      <c r="GM205" s="214" t="s">
        <v>746</v>
      </c>
    </row>
    <row r="206" spans="1:195" s="214" customFormat="1" x14ac:dyDescent="0.2">
      <c r="B206" s="602" t="s">
        <v>495</v>
      </c>
      <c r="C206" s="602" t="s">
        <v>494</v>
      </c>
      <c r="D206" s="239">
        <v>-1676613</v>
      </c>
      <c r="E206" s="239">
        <v>0</v>
      </c>
      <c r="F206" s="239">
        <v>-1676613</v>
      </c>
      <c r="G206" s="239">
        <v>68016</v>
      </c>
      <c r="H206" s="239">
        <v>0</v>
      </c>
      <c r="I206" s="239">
        <v>68016</v>
      </c>
      <c r="J206" s="239">
        <v>10339122</v>
      </c>
      <c r="K206" s="239">
        <v>0</v>
      </c>
      <c r="L206" s="239">
        <v>10339122</v>
      </c>
      <c r="M206" s="239">
        <v>119757</v>
      </c>
      <c r="N206" s="239">
        <v>0</v>
      </c>
      <c r="O206" s="239">
        <v>119757</v>
      </c>
      <c r="P206" s="239">
        <v>8850282</v>
      </c>
      <c r="Q206" s="239">
        <v>0</v>
      </c>
      <c r="R206" s="239">
        <v>8850282</v>
      </c>
      <c r="S206" s="239">
        <v>-5122686</v>
      </c>
      <c r="T206" s="239">
        <v>0</v>
      </c>
      <c r="U206" s="239">
        <v>-5122686</v>
      </c>
      <c r="V206" s="239">
        <v>-10145</v>
      </c>
      <c r="W206" s="239">
        <v>0</v>
      </c>
      <c r="X206" s="239">
        <v>-10145</v>
      </c>
      <c r="Y206" s="239">
        <v>-105608</v>
      </c>
      <c r="Z206" s="239">
        <v>0</v>
      </c>
      <c r="AA206" s="239">
        <v>-105608</v>
      </c>
      <c r="AB206" s="239">
        <v>-85964</v>
      </c>
      <c r="AC206" s="239">
        <v>0</v>
      </c>
      <c r="AD206" s="239">
        <v>-85964</v>
      </c>
      <c r="AE206" s="239">
        <v>1190</v>
      </c>
      <c r="AF206" s="239">
        <v>0</v>
      </c>
      <c r="AG206" s="239">
        <v>1190</v>
      </c>
      <c r="AH206" s="239">
        <v>1443479</v>
      </c>
      <c r="AI206" s="239">
        <v>0</v>
      </c>
      <c r="AJ206" s="239">
        <v>1443479</v>
      </c>
      <c r="AK206" s="239">
        <v>-95543</v>
      </c>
      <c r="AL206" s="239">
        <v>0</v>
      </c>
      <c r="AM206" s="239">
        <v>-95543</v>
      </c>
      <c r="AN206" s="239">
        <v>-5518321</v>
      </c>
      <c r="AO206" s="239">
        <v>0</v>
      </c>
      <c r="AP206" s="239">
        <v>-5518321</v>
      </c>
      <c r="AQ206" s="239">
        <v>214091</v>
      </c>
      <c r="AR206" s="239">
        <v>0</v>
      </c>
      <c r="AS206" s="239">
        <v>214091</v>
      </c>
      <c r="AT206" s="239">
        <v>-90315</v>
      </c>
      <c r="AU206" s="239">
        <v>0</v>
      </c>
      <c r="AV206" s="239">
        <v>-90315</v>
      </c>
      <c r="AW206" s="239">
        <v>0</v>
      </c>
      <c r="AX206" s="239">
        <v>0</v>
      </c>
      <c r="AY206" s="239">
        <v>0</v>
      </c>
      <c r="AZ206" s="239">
        <v>-4776</v>
      </c>
      <c r="BA206" s="239">
        <v>0</v>
      </c>
      <c r="BB206" s="239">
        <v>-4776</v>
      </c>
      <c r="BC206" s="239">
        <v>-3300</v>
      </c>
      <c r="BD206" s="239">
        <v>0</v>
      </c>
      <c r="BE206" s="239">
        <v>-3300</v>
      </c>
      <c r="BF206" s="239">
        <v>-9282979</v>
      </c>
      <c r="BG206" s="239">
        <v>0</v>
      </c>
      <c r="BH206" s="239">
        <v>-9282979</v>
      </c>
      <c r="BI206" s="239">
        <v>0</v>
      </c>
      <c r="BJ206" s="239">
        <v>0</v>
      </c>
      <c r="BK206" s="239">
        <v>0</v>
      </c>
      <c r="BL206" s="239">
        <v>20382</v>
      </c>
      <c r="BM206" s="239">
        <v>0</v>
      </c>
      <c r="BN206" s="239">
        <v>20382</v>
      </c>
      <c r="BO206" s="239">
        <v>-2245074</v>
      </c>
      <c r="BP206" s="239">
        <v>0</v>
      </c>
      <c r="BQ206" s="239">
        <v>-2245074</v>
      </c>
      <c r="BR206" s="239">
        <v>71457</v>
      </c>
      <c r="BS206" s="239">
        <v>0</v>
      </c>
      <c r="BT206" s="239">
        <v>71457</v>
      </c>
      <c r="BU206" s="239">
        <v>-2153235</v>
      </c>
      <c r="BV206" s="239">
        <v>0</v>
      </c>
      <c r="BW206" s="239">
        <v>-2153235</v>
      </c>
      <c r="BX206" s="239">
        <v>-88682</v>
      </c>
      <c r="BY206" s="239">
        <v>0</v>
      </c>
      <c r="BZ206" s="239">
        <v>-88682</v>
      </c>
      <c r="CA206" s="239">
        <v>-5055</v>
      </c>
      <c r="CB206" s="239">
        <v>0</v>
      </c>
      <c r="CC206" s="239">
        <v>-5055</v>
      </c>
      <c r="CD206" s="239">
        <v>-23465</v>
      </c>
      <c r="CE206" s="239">
        <v>0</v>
      </c>
      <c r="CF206" s="239">
        <v>-23465</v>
      </c>
      <c r="CG206" s="239">
        <v>0</v>
      </c>
      <c r="CH206" s="239">
        <v>0</v>
      </c>
      <c r="CI206" s="239">
        <v>0</v>
      </c>
      <c r="CJ206" s="239">
        <v>-4996</v>
      </c>
      <c r="CK206" s="239">
        <v>0</v>
      </c>
      <c r="CL206" s="239">
        <v>-4996</v>
      </c>
      <c r="CM206" s="239">
        <v>0</v>
      </c>
      <c r="CN206" s="239">
        <v>0</v>
      </c>
      <c r="CO206" s="239">
        <v>0</v>
      </c>
      <c r="CP206" s="239">
        <v>0</v>
      </c>
      <c r="CQ206" s="239">
        <v>0</v>
      </c>
      <c r="CR206" s="239">
        <v>0</v>
      </c>
      <c r="CS206" s="239">
        <v>0</v>
      </c>
      <c r="CT206" s="239">
        <v>0</v>
      </c>
      <c r="CU206" s="239">
        <v>0</v>
      </c>
      <c r="CV206" s="239">
        <v>0</v>
      </c>
      <c r="CW206" s="239">
        <v>0</v>
      </c>
      <c r="CX206" s="239">
        <v>0</v>
      </c>
      <c r="CY206" s="239">
        <v>0</v>
      </c>
      <c r="CZ206" s="239">
        <v>0</v>
      </c>
      <c r="DA206" s="239">
        <v>0</v>
      </c>
      <c r="DB206" s="239">
        <v>0</v>
      </c>
      <c r="DC206" s="239">
        <v>0</v>
      </c>
      <c r="DD206" s="239">
        <v>0</v>
      </c>
      <c r="DE206" s="239">
        <v>0</v>
      </c>
      <c r="DF206" s="239">
        <v>0</v>
      </c>
      <c r="DG206" s="239">
        <v>0</v>
      </c>
      <c r="DH206" s="239">
        <v>0</v>
      </c>
      <c r="DI206" s="239">
        <v>0</v>
      </c>
      <c r="DJ206" s="239">
        <v>-122198</v>
      </c>
      <c r="DK206" s="239">
        <v>0</v>
      </c>
      <c r="DL206" s="239">
        <v>-122198</v>
      </c>
      <c r="DM206" s="239">
        <v>0</v>
      </c>
      <c r="DN206" s="239">
        <v>0</v>
      </c>
      <c r="DO206" s="239">
        <v>0</v>
      </c>
      <c r="DP206" s="239">
        <v>0</v>
      </c>
      <c r="DQ206" s="239">
        <v>0</v>
      </c>
      <c r="DR206" s="239">
        <v>0</v>
      </c>
      <c r="DS206" s="239">
        <v>-5168</v>
      </c>
      <c r="DT206" s="239">
        <v>0</v>
      </c>
      <c r="DU206" s="239">
        <v>-5168</v>
      </c>
      <c r="DV206" s="239">
        <v>2786</v>
      </c>
      <c r="DW206" s="239">
        <v>0</v>
      </c>
      <c r="DX206" s="239">
        <v>2786</v>
      </c>
      <c r="DY206" s="239">
        <v>4272</v>
      </c>
      <c r="DZ206" s="239">
        <v>0</v>
      </c>
      <c r="EA206" s="239">
        <v>4272</v>
      </c>
      <c r="EB206" s="239">
        <v>0</v>
      </c>
      <c r="EC206" s="239">
        <v>0</v>
      </c>
      <c r="ED206" s="239">
        <v>0</v>
      </c>
      <c r="EE206" s="239">
        <v>0</v>
      </c>
      <c r="EF206" s="239">
        <v>0</v>
      </c>
      <c r="EG206" s="239">
        <v>0</v>
      </c>
      <c r="EH206" s="239">
        <v>1043</v>
      </c>
      <c r="EI206" s="239">
        <v>0</v>
      </c>
      <c r="EJ206" s="239">
        <v>1043</v>
      </c>
      <c r="EK206" s="239">
        <v>-4776</v>
      </c>
      <c r="EL206" s="239">
        <v>0</v>
      </c>
      <c r="EM206" s="239">
        <v>-4776</v>
      </c>
      <c r="EN206" s="239">
        <v>0</v>
      </c>
      <c r="EO206" s="239">
        <v>0</v>
      </c>
      <c r="EP206" s="239">
        <v>0</v>
      </c>
      <c r="EQ206" s="239">
        <v>-3912</v>
      </c>
      <c r="ER206" s="239">
        <v>0</v>
      </c>
      <c r="ES206" s="239">
        <v>-3912</v>
      </c>
      <c r="ET206" s="239">
        <v>-104382</v>
      </c>
      <c r="EU206" s="239">
        <v>0</v>
      </c>
      <c r="EV206" s="239">
        <v>-104382</v>
      </c>
      <c r="EW206" s="239">
        <v>-35014</v>
      </c>
      <c r="EX206" s="239">
        <v>0</v>
      </c>
      <c r="EY206" s="239">
        <v>-35014</v>
      </c>
      <c r="EZ206" s="239">
        <v>-145151</v>
      </c>
      <c r="FA206" s="239">
        <v>0</v>
      </c>
      <c r="FB206" s="239">
        <v>-145151</v>
      </c>
      <c r="FC206" s="239">
        <v>0</v>
      </c>
      <c r="FD206" s="239">
        <v>0</v>
      </c>
      <c r="FE206" s="239">
        <v>0</v>
      </c>
      <c r="FF206" s="239">
        <v>0</v>
      </c>
      <c r="FG206" s="239">
        <v>0</v>
      </c>
      <c r="FH206" s="239">
        <v>0</v>
      </c>
      <c r="FI206" s="239">
        <v>0</v>
      </c>
      <c r="FJ206" s="239">
        <v>0</v>
      </c>
      <c r="FK206" s="239">
        <v>0</v>
      </c>
      <c r="FL206" s="239">
        <v>66073872</v>
      </c>
      <c r="FM206" s="239">
        <v>0</v>
      </c>
      <c r="FN206" s="239">
        <v>66073872</v>
      </c>
      <c r="FO206" s="239">
        <v>8850282</v>
      </c>
      <c r="FP206" s="239">
        <v>0</v>
      </c>
      <c r="FQ206" s="239">
        <v>8850282</v>
      </c>
      <c r="FR206" s="239">
        <v>-9282979</v>
      </c>
      <c r="FS206" s="239">
        <v>0</v>
      </c>
      <c r="FT206" s="239">
        <v>-9282979</v>
      </c>
      <c r="FU206" s="239">
        <v>-2153235</v>
      </c>
      <c r="FV206" s="239">
        <v>0</v>
      </c>
      <c r="FW206" s="239">
        <v>-2153235</v>
      </c>
      <c r="FX206" s="239">
        <v>-122198</v>
      </c>
      <c r="FY206" s="239">
        <v>0</v>
      </c>
      <c r="FZ206" s="239">
        <v>-122198</v>
      </c>
      <c r="GA206" s="239">
        <v>-145151</v>
      </c>
      <c r="GB206" s="239">
        <v>0</v>
      </c>
      <c r="GC206" s="239">
        <v>-145151</v>
      </c>
      <c r="GD206" s="239">
        <v>0</v>
      </c>
      <c r="GE206" s="239">
        <v>0</v>
      </c>
      <c r="GF206" s="239">
        <v>0</v>
      </c>
      <c r="GG206" s="239">
        <v>-2853281</v>
      </c>
      <c r="GH206" s="239">
        <v>0</v>
      </c>
      <c r="GI206" s="239">
        <v>-2853281</v>
      </c>
      <c r="GJ206" s="239">
        <v>63220591</v>
      </c>
      <c r="GK206" s="239">
        <v>0</v>
      </c>
      <c r="GL206" s="239">
        <v>63220591</v>
      </c>
      <c r="GM206" s="214" t="s">
        <v>1158</v>
      </c>
    </row>
    <row r="207" spans="1:195" s="214" customFormat="1" x14ac:dyDescent="0.2">
      <c r="B207" s="602" t="s">
        <v>497</v>
      </c>
      <c r="C207" s="602" t="s">
        <v>496</v>
      </c>
      <c r="D207" s="239">
        <v>-1460029</v>
      </c>
      <c r="E207" s="239">
        <v>0</v>
      </c>
      <c r="F207" s="239">
        <v>-1460029</v>
      </c>
      <c r="G207" s="239">
        <v>12985</v>
      </c>
      <c r="H207" s="239">
        <v>0</v>
      </c>
      <c r="I207" s="239">
        <v>12985</v>
      </c>
      <c r="J207" s="239">
        <v>1142413</v>
      </c>
      <c r="K207" s="239">
        <v>37009</v>
      </c>
      <c r="L207" s="239">
        <v>1179422</v>
      </c>
      <c r="M207" s="239">
        <v>-86054</v>
      </c>
      <c r="N207" s="239">
        <v>0</v>
      </c>
      <c r="O207" s="239">
        <v>-86054</v>
      </c>
      <c r="P207" s="239">
        <v>-390685</v>
      </c>
      <c r="Q207" s="239">
        <v>37009</v>
      </c>
      <c r="R207" s="239">
        <v>-353676</v>
      </c>
      <c r="S207" s="239">
        <v>-2490177</v>
      </c>
      <c r="T207" s="239">
        <v>0</v>
      </c>
      <c r="U207" s="239">
        <v>-2490177</v>
      </c>
      <c r="V207" s="239">
        <v>0</v>
      </c>
      <c r="W207" s="239">
        <v>0</v>
      </c>
      <c r="X207" s="239">
        <v>0</v>
      </c>
      <c r="Y207" s="239">
        <v>-70102</v>
      </c>
      <c r="Z207" s="239">
        <v>0</v>
      </c>
      <c r="AA207" s="239">
        <v>-70102</v>
      </c>
      <c r="AB207" s="239">
        <v>-59358</v>
      </c>
      <c r="AC207" s="239">
        <v>0</v>
      </c>
      <c r="AD207" s="239">
        <v>-59358</v>
      </c>
      <c r="AE207" s="239">
        <v>0</v>
      </c>
      <c r="AF207" s="239">
        <v>0</v>
      </c>
      <c r="AG207" s="239">
        <v>0</v>
      </c>
      <c r="AH207" s="239">
        <v>329563</v>
      </c>
      <c r="AI207" s="239">
        <v>0</v>
      </c>
      <c r="AJ207" s="239">
        <v>329563</v>
      </c>
      <c r="AK207" s="239">
        <v>-39707</v>
      </c>
      <c r="AL207" s="239">
        <v>0</v>
      </c>
      <c r="AM207" s="239">
        <v>-39707</v>
      </c>
      <c r="AN207" s="239">
        <v>-984753</v>
      </c>
      <c r="AO207" s="239">
        <v>0</v>
      </c>
      <c r="AP207" s="239">
        <v>-984753</v>
      </c>
      <c r="AQ207" s="239">
        <v>-23431</v>
      </c>
      <c r="AR207" s="239">
        <v>0</v>
      </c>
      <c r="AS207" s="239">
        <v>-23431</v>
      </c>
      <c r="AT207" s="239">
        <v>-39877</v>
      </c>
      <c r="AU207" s="239">
        <v>0</v>
      </c>
      <c r="AV207" s="239">
        <v>-39877</v>
      </c>
      <c r="AW207" s="239">
        <v>0</v>
      </c>
      <c r="AX207" s="239">
        <v>0</v>
      </c>
      <c r="AY207" s="239">
        <v>0</v>
      </c>
      <c r="AZ207" s="239">
        <v>-5862</v>
      </c>
      <c r="BA207" s="239">
        <v>0</v>
      </c>
      <c r="BB207" s="239">
        <v>-5862</v>
      </c>
      <c r="BC207" s="239">
        <v>0</v>
      </c>
      <c r="BD207" s="239">
        <v>0</v>
      </c>
      <c r="BE207" s="239">
        <v>0</v>
      </c>
      <c r="BF207" s="239">
        <v>-3324346</v>
      </c>
      <c r="BG207" s="239">
        <v>0</v>
      </c>
      <c r="BH207" s="239">
        <v>-3324346</v>
      </c>
      <c r="BI207" s="239">
        <v>0</v>
      </c>
      <c r="BJ207" s="239">
        <v>0</v>
      </c>
      <c r="BK207" s="239">
        <v>0</v>
      </c>
      <c r="BL207" s="239">
        <v>0</v>
      </c>
      <c r="BM207" s="239">
        <v>0</v>
      </c>
      <c r="BN207" s="239">
        <v>0</v>
      </c>
      <c r="BO207" s="239">
        <v>-265378</v>
      </c>
      <c r="BP207" s="239">
        <v>0</v>
      </c>
      <c r="BQ207" s="239">
        <v>-265378</v>
      </c>
      <c r="BR207" s="239">
        <v>-21766</v>
      </c>
      <c r="BS207" s="239">
        <v>0</v>
      </c>
      <c r="BT207" s="239">
        <v>-21766</v>
      </c>
      <c r="BU207" s="239">
        <v>-287144</v>
      </c>
      <c r="BV207" s="239">
        <v>0</v>
      </c>
      <c r="BW207" s="239">
        <v>-287144</v>
      </c>
      <c r="BX207" s="239">
        <v>-32469</v>
      </c>
      <c r="BY207" s="239">
        <v>0</v>
      </c>
      <c r="BZ207" s="239">
        <v>-32469</v>
      </c>
      <c r="CA207" s="239">
        <v>-3529</v>
      </c>
      <c r="CB207" s="239">
        <v>0</v>
      </c>
      <c r="CC207" s="239">
        <v>-3529</v>
      </c>
      <c r="CD207" s="239">
        <v>-4838</v>
      </c>
      <c r="CE207" s="239">
        <v>0</v>
      </c>
      <c r="CF207" s="239">
        <v>-4838</v>
      </c>
      <c r="CG207" s="239">
        <v>0</v>
      </c>
      <c r="CH207" s="239">
        <v>0</v>
      </c>
      <c r="CI207" s="239">
        <v>0</v>
      </c>
      <c r="CJ207" s="239">
        <v>-3521</v>
      </c>
      <c r="CK207" s="239">
        <v>0</v>
      </c>
      <c r="CL207" s="239">
        <v>-3521</v>
      </c>
      <c r="CM207" s="239">
        <v>0</v>
      </c>
      <c r="CN207" s="239">
        <v>0</v>
      </c>
      <c r="CO207" s="239">
        <v>0</v>
      </c>
      <c r="CP207" s="239">
        <v>0</v>
      </c>
      <c r="CQ207" s="239">
        <v>0</v>
      </c>
      <c r="CR207" s="239">
        <v>0</v>
      </c>
      <c r="CS207" s="239">
        <v>0</v>
      </c>
      <c r="CT207" s="239">
        <v>0</v>
      </c>
      <c r="CU207" s="239">
        <v>0</v>
      </c>
      <c r="CV207" s="239">
        <v>0</v>
      </c>
      <c r="CW207" s="239">
        <v>0</v>
      </c>
      <c r="CX207" s="239">
        <v>0</v>
      </c>
      <c r="CY207" s="239">
        <v>0</v>
      </c>
      <c r="CZ207" s="239">
        <v>0</v>
      </c>
      <c r="DA207" s="239">
        <v>0</v>
      </c>
      <c r="DB207" s="239">
        <v>0</v>
      </c>
      <c r="DC207" s="239">
        <v>0</v>
      </c>
      <c r="DD207" s="239">
        <v>0</v>
      </c>
      <c r="DE207" s="239">
        <v>0</v>
      </c>
      <c r="DF207" s="239">
        <v>0</v>
      </c>
      <c r="DG207" s="239">
        <v>0</v>
      </c>
      <c r="DH207" s="239">
        <v>0</v>
      </c>
      <c r="DI207" s="239">
        <v>0</v>
      </c>
      <c r="DJ207" s="239">
        <v>-44357</v>
      </c>
      <c r="DK207" s="239">
        <v>0</v>
      </c>
      <c r="DL207" s="239">
        <v>-44357</v>
      </c>
      <c r="DM207" s="239">
        <v>-101</v>
      </c>
      <c r="DN207" s="239">
        <v>0</v>
      </c>
      <c r="DO207" s="239">
        <v>-101</v>
      </c>
      <c r="DP207" s="239">
        <v>6735</v>
      </c>
      <c r="DQ207" s="239">
        <v>0</v>
      </c>
      <c r="DR207" s="239">
        <v>6735</v>
      </c>
      <c r="DS207" s="239">
        <v>0</v>
      </c>
      <c r="DT207" s="239">
        <v>0</v>
      </c>
      <c r="DU207" s="239">
        <v>0</v>
      </c>
      <c r="DV207" s="239">
        <v>0</v>
      </c>
      <c r="DW207" s="239">
        <v>0</v>
      </c>
      <c r="DX207" s="239">
        <v>0</v>
      </c>
      <c r="DY207" s="239">
        <v>500</v>
      </c>
      <c r="DZ207" s="239">
        <v>0</v>
      </c>
      <c r="EA207" s="239">
        <v>500</v>
      </c>
      <c r="EB207" s="239">
        <v>0</v>
      </c>
      <c r="EC207" s="239">
        <v>0</v>
      </c>
      <c r="ED207" s="239">
        <v>0</v>
      </c>
      <c r="EE207" s="239">
        <v>0</v>
      </c>
      <c r="EF207" s="239">
        <v>0</v>
      </c>
      <c r="EG207" s="239">
        <v>0</v>
      </c>
      <c r="EH207" s="239">
        <v>0</v>
      </c>
      <c r="EI207" s="239">
        <v>0</v>
      </c>
      <c r="EJ207" s="239">
        <v>0</v>
      </c>
      <c r="EK207" s="239">
        <v>-5862</v>
      </c>
      <c r="EL207" s="239">
        <v>0</v>
      </c>
      <c r="EM207" s="239">
        <v>-5862</v>
      </c>
      <c r="EN207" s="239">
        <v>0</v>
      </c>
      <c r="EO207" s="239">
        <v>0</v>
      </c>
      <c r="EP207" s="239">
        <v>0</v>
      </c>
      <c r="EQ207" s="239">
        <v>-25414</v>
      </c>
      <c r="ER207" s="239">
        <v>0</v>
      </c>
      <c r="ES207" s="239">
        <v>-25414</v>
      </c>
      <c r="ET207" s="239">
        <v>-215038</v>
      </c>
      <c r="EU207" s="239">
        <v>0</v>
      </c>
      <c r="EV207" s="239">
        <v>-215038</v>
      </c>
      <c r="EW207" s="239">
        <v>-44773</v>
      </c>
      <c r="EX207" s="239">
        <v>0</v>
      </c>
      <c r="EY207" s="239">
        <v>-44773</v>
      </c>
      <c r="EZ207" s="239">
        <v>-283953</v>
      </c>
      <c r="FA207" s="239">
        <v>0</v>
      </c>
      <c r="FB207" s="239">
        <v>-283953</v>
      </c>
      <c r="FC207" s="239">
        <v>0</v>
      </c>
      <c r="FD207" s="239">
        <v>0</v>
      </c>
      <c r="FE207" s="239">
        <v>0</v>
      </c>
      <c r="FF207" s="239">
        <v>0</v>
      </c>
      <c r="FG207" s="239">
        <v>0</v>
      </c>
      <c r="FH207" s="239">
        <v>0</v>
      </c>
      <c r="FI207" s="239">
        <v>0</v>
      </c>
      <c r="FJ207" s="239">
        <v>0</v>
      </c>
      <c r="FK207" s="239">
        <v>0</v>
      </c>
      <c r="FL207" s="239">
        <v>17234925</v>
      </c>
      <c r="FM207" s="239">
        <v>351359</v>
      </c>
      <c r="FN207" s="239">
        <v>17586284</v>
      </c>
      <c r="FO207" s="239">
        <v>-390685</v>
      </c>
      <c r="FP207" s="239">
        <v>37009</v>
      </c>
      <c r="FQ207" s="239">
        <v>-353676</v>
      </c>
      <c r="FR207" s="239">
        <v>-3324346</v>
      </c>
      <c r="FS207" s="239">
        <v>0</v>
      </c>
      <c r="FT207" s="239">
        <v>-3324346</v>
      </c>
      <c r="FU207" s="239">
        <v>-287144</v>
      </c>
      <c r="FV207" s="239">
        <v>0</v>
      </c>
      <c r="FW207" s="239">
        <v>-287144</v>
      </c>
      <c r="FX207" s="239">
        <v>-44357</v>
      </c>
      <c r="FY207" s="239">
        <v>0</v>
      </c>
      <c r="FZ207" s="239">
        <v>-44357</v>
      </c>
      <c r="GA207" s="239">
        <v>-283953</v>
      </c>
      <c r="GB207" s="239">
        <v>0</v>
      </c>
      <c r="GC207" s="239">
        <v>-283953</v>
      </c>
      <c r="GD207" s="239">
        <v>0</v>
      </c>
      <c r="GE207" s="239">
        <v>0</v>
      </c>
      <c r="GF207" s="239">
        <v>0</v>
      </c>
      <c r="GG207" s="239">
        <v>-4330485</v>
      </c>
      <c r="GH207" s="239">
        <v>37009</v>
      </c>
      <c r="GI207" s="239">
        <v>-4293476</v>
      </c>
      <c r="GJ207" s="239">
        <v>12904440</v>
      </c>
      <c r="GK207" s="239">
        <v>388368</v>
      </c>
      <c r="GL207" s="239">
        <v>13292808</v>
      </c>
      <c r="GM207" s="214" t="s">
        <v>1158</v>
      </c>
    </row>
    <row r="208" spans="1:195" s="214" customFormat="1" x14ac:dyDescent="0.2">
      <c r="A208" s="215" t="s">
        <v>1668</v>
      </c>
      <c r="B208" s="602" t="s">
        <v>499</v>
      </c>
      <c r="C208" s="602" t="s">
        <v>498</v>
      </c>
      <c r="D208" s="239">
        <v>-8561025</v>
      </c>
      <c r="E208" s="239">
        <v>0</v>
      </c>
      <c r="F208" s="239">
        <v>-8561025</v>
      </c>
      <c r="G208" s="239">
        <v>239462</v>
      </c>
      <c r="H208" s="239">
        <v>0</v>
      </c>
      <c r="I208" s="239">
        <v>239462</v>
      </c>
      <c r="J208" s="239">
        <v>3259910</v>
      </c>
      <c r="K208" s="239">
        <v>0</v>
      </c>
      <c r="L208" s="239">
        <v>3259910</v>
      </c>
      <c r="M208" s="239">
        <v>386784</v>
      </c>
      <c r="N208" s="239">
        <v>0</v>
      </c>
      <c r="O208" s="239">
        <v>386784</v>
      </c>
      <c r="P208" s="239">
        <v>-4674869</v>
      </c>
      <c r="Q208" s="239">
        <v>0</v>
      </c>
      <c r="R208" s="239">
        <v>-4674869</v>
      </c>
      <c r="S208" s="239">
        <v>-3171262</v>
      </c>
      <c r="T208" s="239">
        <v>0</v>
      </c>
      <c r="U208" s="239">
        <v>-3171262</v>
      </c>
      <c r="V208" s="239">
        <v>-7276</v>
      </c>
      <c r="W208" s="239">
        <v>0</v>
      </c>
      <c r="X208" s="239">
        <v>-7276</v>
      </c>
      <c r="Y208" s="239">
        <v>-227339</v>
      </c>
      <c r="Z208" s="239">
        <v>0</v>
      </c>
      <c r="AA208" s="239">
        <v>-227339</v>
      </c>
      <c r="AB208" s="239">
        <v>-192631</v>
      </c>
      <c r="AC208" s="239">
        <v>0</v>
      </c>
      <c r="AD208" s="239">
        <v>-192631</v>
      </c>
      <c r="AE208" s="239">
        <v>2941</v>
      </c>
      <c r="AF208" s="239">
        <v>0</v>
      </c>
      <c r="AG208" s="239">
        <v>2941</v>
      </c>
      <c r="AH208" s="239">
        <v>3462220</v>
      </c>
      <c r="AI208" s="239">
        <v>0</v>
      </c>
      <c r="AJ208" s="239">
        <v>3462220</v>
      </c>
      <c r="AK208" s="239">
        <v>-86917</v>
      </c>
      <c r="AL208" s="239">
        <v>0</v>
      </c>
      <c r="AM208" s="239">
        <v>-86917</v>
      </c>
      <c r="AN208" s="239">
        <v>-4697906</v>
      </c>
      <c r="AO208" s="239">
        <v>0</v>
      </c>
      <c r="AP208" s="239">
        <v>-4697906</v>
      </c>
      <c r="AQ208" s="239">
        <v>-149182</v>
      </c>
      <c r="AR208" s="239">
        <v>0</v>
      </c>
      <c r="AS208" s="239">
        <v>-149182</v>
      </c>
      <c r="AT208" s="239">
        <v>-6514</v>
      </c>
      <c r="AU208" s="239">
        <v>0</v>
      </c>
      <c r="AV208" s="239">
        <v>-6514</v>
      </c>
      <c r="AW208" s="239">
        <v>0</v>
      </c>
      <c r="AX208" s="239">
        <v>0</v>
      </c>
      <c r="AY208" s="239">
        <v>0</v>
      </c>
      <c r="AZ208" s="239">
        <v>0</v>
      </c>
      <c r="BA208" s="239">
        <v>0</v>
      </c>
      <c r="BB208" s="239">
        <v>0</v>
      </c>
      <c r="BC208" s="239">
        <v>0</v>
      </c>
      <c r="BD208" s="239">
        <v>0</v>
      </c>
      <c r="BE208" s="239">
        <v>0</v>
      </c>
      <c r="BF208" s="239">
        <v>-4876900</v>
      </c>
      <c r="BG208" s="239">
        <v>0</v>
      </c>
      <c r="BH208" s="239">
        <v>-4876900</v>
      </c>
      <c r="BI208" s="239">
        <v>-217671</v>
      </c>
      <c r="BJ208" s="239">
        <v>0</v>
      </c>
      <c r="BK208" s="239">
        <v>-217671</v>
      </c>
      <c r="BL208" s="239">
        <v>13366</v>
      </c>
      <c r="BM208" s="239">
        <v>0</v>
      </c>
      <c r="BN208" s="239">
        <v>13366</v>
      </c>
      <c r="BO208" s="239">
        <v>-4742969</v>
      </c>
      <c r="BP208" s="239">
        <v>0</v>
      </c>
      <c r="BQ208" s="239">
        <v>-4742969</v>
      </c>
      <c r="BR208" s="239">
        <v>-409368</v>
      </c>
      <c r="BS208" s="239">
        <v>0</v>
      </c>
      <c r="BT208" s="239">
        <v>-409368</v>
      </c>
      <c r="BU208" s="239">
        <v>-5356642</v>
      </c>
      <c r="BV208" s="239">
        <v>0</v>
      </c>
      <c r="BW208" s="239">
        <v>-5356642</v>
      </c>
      <c r="BX208" s="239">
        <v>0</v>
      </c>
      <c r="BY208" s="239">
        <v>0</v>
      </c>
      <c r="BZ208" s="239">
        <v>0</v>
      </c>
      <c r="CA208" s="239">
        <v>80</v>
      </c>
      <c r="CB208" s="239">
        <v>0</v>
      </c>
      <c r="CC208" s="239">
        <v>80</v>
      </c>
      <c r="CD208" s="239">
        <v>0</v>
      </c>
      <c r="CE208" s="239">
        <v>0</v>
      </c>
      <c r="CF208" s="239">
        <v>0</v>
      </c>
      <c r="CG208" s="239">
        <v>0</v>
      </c>
      <c r="CH208" s="239">
        <v>0</v>
      </c>
      <c r="CI208" s="239">
        <v>0</v>
      </c>
      <c r="CJ208" s="239">
        <v>0</v>
      </c>
      <c r="CK208" s="239">
        <v>0</v>
      </c>
      <c r="CL208" s="239">
        <v>0</v>
      </c>
      <c r="CM208" s="239">
        <v>0</v>
      </c>
      <c r="CN208" s="239">
        <v>0</v>
      </c>
      <c r="CO208" s="239">
        <v>0</v>
      </c>
      <c r="CP208" s="239">
        <v>0</v>
      </c>
      <c r="CQ208" s="239">
        <v>0</v>
      </c>
      <c r="CR208" s="239">
        <v>0</v>
      </c>
      <c r="CS208" s="239">
        <v>0</v>
      </c>
      <c r="CT208" s="239">
        <v>0</v>
      </c>
      <c r="CU208" s="239">
        <v>0</v>
      </c>
      <c r="CV208" s="239">
        <v>0</v>
      </c>
      <c r="CW208" s="239">
        <v>0</v>
      </c>
      <c r="CX208" s="239">
        <v>0</v>
      </c>
      <c r="CY208" s="239">
        <v>0</v>
      </c>
      <c r="CZ208" s="239">
        <v>0</v>
      </c>
      <c r="DA208" s="239">
        <v>0</v>
      </c>
      <c r="DB208" s="239">
        <v>0</v>
      </c>
      <c r="DC208" s="239">
        <v>0</v>
      </c>
      <c r="DD208" s="239">
        <v>0</v>
      </c>
      <c r="DE208" s="239">
        <v>0</v>
      </c>
      <c r="DF208" s="239">
        <v>0</v>
      </c>
      <c r="DG208" s="239">
        <v>0</v>
      </c>
      <c r="DH208" s="239">
        <v>0</v>
      </c>
      <c r="DI208" s="239">
        <v>0</v>
      </c>
      <c r="DJ208" s="239">
        <v>80</v>
      </c>
      <c r="DK208" s="239">
        <v>0</v>
      </c>
      <c r="DL208" s="239">
        <v>80</v>
      </c>
      <c r="DM208" s="239">
        <v>-67702</v>
      </c>
      <c r="DN208" s="239">
        <v>0</v>
      </c>
      <c r="DO208" s="239">
        <v>-67702</v>
      </c>
      <c r="DP208" s="239">
        <v>-159922</v>
      </c>
      <c r="DQ208" s="239">
        <v>0</v>
      </c>
      <c r="DR208" s="239">
        <v>-159922</v>
      </c>
      <c r="DS208" s="239">
        <v>-3204</v>
      </c>
      <c r="DT208" s="239">
        <v>0</v>
      </c>
      <c r="DU208" s="239">
        <v>-3204</v>
      </c>
      <c r="DV208" s="239">
        <v>-8774</v>
      </c>
      <c r="DW208" s="239">
        <v>0</v>
      </c>
      <c r="DX208" s="239">
        <v>-8774</v>
      </c>
      <c r="DY208" s="239">
        <v>-2166</v>
      </c>
      <c r="DZ208" s="239">
        <v>0</v>
      </c>
      <c r="EA208" s="239">
        <v>-2166</v>
      </c>
      <c r="EB208" s="239">
        <v>0</v>
      </c>
      <c r="EC208" s="239">
        <v>0</v>
      </c>
      <c r="ED208" s="239">
        <v>0</v>
      </c>
      <c r="EE208" s="239">
        <v>0</v>
      </c>
      <c r="EF208" s="239">
        <v>0</v>
      </c>
      <c r="EG208" s="239">
        <v>0</v>
      </c>
      <c r="EH208" s="239">
        <v>0</v>
      </c>
      <c r="EI208" s="239">
        <v>0</v>
      </c>
      <c r="EJ208" s="239">
        <v>0</v>
      </c>
      <c r="EK208" s="239">
        <v>0</v>
      </c>
      <c r="EL208" s="239">
        <v>0</v>
      </c>
      <c r="EM208" s="239">
        <v>0</v>
      </c>
      <c r="EN208" s="239">
        <v>0</v>
      </c>
      <c r="EO208" s="239">
        <v>0</v>
      </c>
      <c r="EP208" s="239">
        <v>0</v>
      </c>
      <c r="EQ208" s="239">
        <v>-55371</v>
      </c>
      <c r="ER208" s="239">
        <v>0</v>
      </c>
      <c r="ES208" s="239">
        <v>-55371</v>
      </c>
      <c r="ET208" s="239">
        <v>-1015782</v>
      </c>
      <c r="EU208" s="239">
        <v>0</v>
      </c>
      <c r="EV208" s="239">
        <v>-1015782</v>
      </c>
      <c r="EW208" s="239">
        <v>-27192</v>
      </c>
      <c r="EX208" s="239">
        <v>0</v>
      </c>
      <c r="EY208" s="239">
        <v>-27192</v>
      </c>
      <c r="EZ208" s="239">
        <v>-1340113</v>
      </c>
      <c r="FA208" s="239">
        <v>0</v>
      </c>
      <c r="FB208" s="239">
        <v>-1340113</v>
      </c>
      <c r="FC208" s="239">
        <v>0</v>
      </c>
      <c r="FD208" s="239">
        <v>0</v>
      </c>
      <c r="FE208" s="239">
        <v>0</v>
      </c>
      <c r="FF208" s="239">
        <v>0</v>
      </c>
      <c r="FG208" s="239">
        <v>0</v>
      </c>
      <c r="FH208" s="239">
        <v>0</v>
      </c>
      <c r="FI208" s="239">
        <v>0</v>
      </c>
      <c r="FJ208" s="239">
        <v>0</v>
      </c>
      <c r="FK208" s="239">
        <v>0</v>
      </c>
      <c r="FL208" s="239">
        <v>142241546</v>
      </c>
      <c r="FM208" s="239">
        <v>0</v>
      </c>
      <c r="FN208" s="239">
        <v>142241546</v>
      </c>
      <c r="FO208" s="239">
        <v>-4674869</v>
      </c>
      <c r="FP208" s="239">
        <v>0</v>
      </c>
      <c r="FQ208" s="239">
        <v>-4674869</v>
      </c>
      <c r="FR208" s="239">
        <v>-4876900</v>
      </c>
      <c r="FS208" s="239">
        <v>0</v>
      </c>
      <c r="FT208" s="239">
        <v>-4876900</v>
      </c>
      <c r="FU208" s="239">
        <v>-5356642</v>
      </c>
      <c r="FV208" s="239">
        <v>0</v>
      </c>
      <c r="FW208" s="239">
        <v>-5356642</v>
      </c>
      <c r="FX208" s="239">
        <v>80</v>
      </c>
      <c r="FY208" s="239">
        <v>0</v>
      </c>
      <c r="FZ208" s="239">
        <v>80</v>
      </c>
      <c r="GA208" s="239">
        <v>-1340113</v>
      </c>
      <c r="GB208" s="239">
        <v>0</v>
      </c>
      <c r="GC208" s="239">
        <v>-1340113</v>
      </c>
      <c r="GD208" s="239">
        <v>0</v>
      </c>
      <c r="GE208" s="239">
        <v>0</v>
      </c>
      <c r="GF208" s="239">
        <v>0</v>
      </c>
      <c r="GG208" s="239">
        <v>-16248444</v>
      </c>
      <c r="GH208" s="239">
        <v>0</v>
      </c>
      <c r="GI208" s="239">
        <v>-16248444</v>
      </c>
      <c r="GJ208" s="239">
        <v>125993102</v>
      </c>
      <c r="GK208" s="239">
        <v>0</v>
      </c>
      <c r="GL208" s="239">
        <v>125993102</v>
      </c>
      <c r="GM208" s="214" t="s">
        <v>746</v>
      </c>
    </row>
    <row r="209" spans="2:195" s="214" customFormat="1" x14ac:dyDescent="0.2">
      <c r="B209" s="602" t="s">
        <v>501</v>
      </c>
      <c r="C209" s="602" t="s">
        <v>500</v>
      </c>
      <c r="D209" s="239">
        <v>-5505346</v>
      </c>
      <c r="E209" s="239">
        <v>0</v>
      </c>
      <c r="F209" s="239">
        <v>-5505346</v>
      </c>
      <c r="G209" s="239">
        <v>-2791</v>
      </c>
      <c r="H209" s="239">
        <v>0</v>
      </c>
      <c r="I209" s="239">
        <v>-2791</v>
      </c>
      <c r="J209" s="239">
        <v>1696116</v>
      </c>
      <c r="K209" s="239">
        <v>0</v>
      </c>
      <c r="L209" s="239">
        <v>1696116</v>
      </c>
      <c r="M209" s="239">
        <v>6833</v>
      </c>
      <c r="N209" s="239">
        <v>0</v>
      </c>
      <c r="O209" s="239">
        <v>6833</v>
      </c>
      <c r="P209" s="239">
        <v>-3805188</v>
      </c>
      <c r="Q209" s="239">
        <v>0</v>
      </c>
      <c r="R209" s="239">
        <v>-3805188</v>
      </c>
      <c r="S209" s="239">
        <v>-5883792</v>
      </c>
      <c r="T209" s="239">
        <v>0</v>
      </c>
      <c r="U209" s="239">
        <v>-5883792</v>
      </c>
      <c r="V209" s="239">
        <v>-20504</v>
      </c>
      <c r="W209" s="239">
        <v>0</v>
      </c>
      <c r="X209" s="239">
        <v>-20504</v>
      </c>
      <c r="Y209" s="239">
        <v>-200030</v>
      </c>
      <c r="Z209" s="239">
        <v>0</v>
      </c>
      <c r="AA209" s="239">
        <v>-200030</v>
      </c>
      <c r="AB209" s="239">
        <v>-181517</v>
      </c>
      <c r="AC209" s="239">
        <v>0</v>
      </c>
      <c r="AD209" s="239">
        <v>-181517</v>
      </c>
      <c r="AE209" s="239">
        <v>-2818</v>
      </c>
      <c r="AF209" s="239">
        <v>0</v>
      </c>
      <c r="AG209" s="239">
        <v>-2818</v>
      </c>
      <c r="AH209" s="239">
        <v>1133847</v>
      </c>
      <c r="AI209" s="239">
        <v>0</v>
      </c>
      <c r="AJ209" s="239">
        <v>1133847</v>
      </c>
      <c r="AK209" s="239">
        <v>273317</v>
      </c>
      <c r="AL209" s="239">
        <v>0</v>
      </c>
      <c r="AM209" s="239">
        <v>273317</v>
      </c>
      <c r="AN209" s="239">
        <v>-5071706</v>
      </c>
      <c r="AO209" s="239">
        <v>0</v>
      </c>
      <c r="AP209" s="239">
        <v>-5071706</v>
      </c>
      <c r="AQ209" s="239">
        <v>-70001</v>
      </c>
      <c r="AR209" s="239">
        <v>0</v>
      </c>
      <c r="AS209" s="239">
        <v>-70001</v>
      </c>
      <c r="AT209" s="239">
        <v>-125935</v>
      </c>
      <c r="AU209" s="239">
        <v>0</v>
      </c>
      <c r="AV209" s="239">
        <v>-125935</v>
      </c>
      <c r="AW209" s="239">
        <v>11286</v>
      </c>
      <c r="AX209" s="239">
        <v>0</v>
      </c>
      <c r="AY209" s="239">
        <v>11286</v>
      </c>
      <c r="AZ209" s="239">
        <v>0</v>
      </c>
      <c r="BA209" s="239">
        <v>0</v>
      </c>
      <c r="BB209" s="239">
        <v>0</v>
      </c>
      <c r="BC209" s="239">
        <v>0</v>
      </c>
      <c r="BD209" s="239">
        <v>0</v>
      </c>
      <c r="BE209" s="239">
        <v>0</v>
      </c>
      <c r="BF209" s="239">
        <v>-9933014</v>
      </c>
      <c r="BG209" s="239">
        <v>0</v>
      </c>
      <c r="BH209" s="239">
        <v>-9933014</v>
      </c>
      <c r="BI209" s="239">
        <v>-935</v>
      </c>
      <c r="BJ209" s="239">
        <v>0</v>
      </c>
      <c r="BK209" s="239">
        <v>-935</v>
      </c>
      <c r="BL209" s="239">
        <v>-2751</v>
      </c>
      <c r="BM209" s="239">
        <v>0</v>
      </c>
      <c r="BN209" s="239">
        <v>-2751</v>
      </c>
      <c r="BO209" s="239">
        <v>-1058050</v>
      </c>
      <c r="BP209" s="239">
        <v>0</v>
      </c>
      <c r="BQ209" s="239">
        <v>-1058050</v>
      </c>
      <c r="BR209" s="239">
        <v>1058543</v>
      </c>
      <c r="BS209" s="239">
        <v>0</v>
      </c>
      <c r="BT209" s="239">
        <v>1058543</v>
      </c>
      <c r="BU209" s="239">
        <v>-3193</v>
      </c>
      <c r="BV209" s="239">
        <v>0</v>
      </c>
      <c r="BW209" s="239">
        <v>-3193</v>
      </c>
      <c r="BX209" s="239">
        <v>-138282</v>
      </c>
      <c r="BY209" s="239">
        <v>0</v>
      </c>
      <c r="BZ209" s="239">
        <v>-138282</v>
      </c>
      <c r="CA209" s="239">
        <v>-224</v>
      </c>
      <c r="CB209" s="239">
        <v>0</v>
      </c>
      <c r="CC209" s="239">
        <v>-224</v>
      </c>
      <c r="CD209" s="239">
        <v>-16857</v>
      </c>
      <c r="CE209" s="239">
        <v>0</v>
      </c>
      <c r="CF209" s="239">
        <v>-16857</v>
      </c>
      <c r="CG209" s="239">
        <v>-3192</v>
      </c>
      <c r="CH209" s="239">
        <v>0</v>
      </c>
      <c r="CI209" s="239">
        <v>-3192</v>
      </c>
      <c r="CJ209" s="239">
        <v>0</v>
      </c>
      <c r="CK209" s="239">
        <v>0</v>
      </c>
      <c r="CL209" s="239">
        <v>0</v>
      </c>
      <c r="CM209" s="239">
        <v>0</v>
      </c>
      <c r="CN209" s="239">
        <v>0</v>
      </c>
      <c r="CO209" s="239">
        <v>0</v>
      </c>
      <c r="CP209" s="239">
        <v>0</v>
      </c>
      <c r="CQ209" s="239">
        <v>0</v>
      </c>
      <c r="CR209" s="239">
        <v>0</v>
      </c>
      <c r="CS209" s="239">
        <v>0</v>
      </c>
      <c r="CT209" s="239">
        <v>0</v>
      </c>
      <c r="CU209" s="239">
        <v>0</v>
      </c>
      <c r="CV209" s="239">
        <v>0</v>
      </c>
      <c r="CW209" s="239">
        <v>0</v>
      </c>
      <c r="CX209" s="239">
        <v>0</v>
      </c>
      <c r="CY209" s="239">
        <v>0</v>
      </c>
      <c r="CZ209" s="239">
        <v>0</v>
      </c>
      <c r="DA209" s="239">
        <v>0</v>
      </c>
      <c r="DB209" s="239">
        <v>0</v>
      </c>
      <c r="DC209" s="239">
        <v>0</v>
      </c>
      <c r="DD209" s="239">
        <v>0</v>
      </c>
      <c r="DE209" s="239">
        <v>0</v>
      </c>
      <c r="DF209" s="239">
        <v>0</v>
      </c>
      <c r="DG209" s="239">
        <v>0</v>
      </c>
      <c r="DH209" s="239">
        <v>0</v>
      </c>
      <c r="DI209" s="239">
        <v>0</v>
      </c>
      <c r="DJ209" s="239">
        <v>-158555</v>
      </c>
      <c r="DK209" s="239">
        <v>0</v>
      </c>
      <c r="DL209" s="239">
        <v>-158555</v>
      </c>
      <c r="DM209" s="239">
        <v>0</v>
      </c>
      <c r="DN209" s="239">
        <v>0</v>
      </c>
      <c r="DO209" s="239">
        <v>0</v>
      </c>
      <c r="DP209" s="239">
        <v>2788</v>
      </c>
      <c r="DQ209" s="239">
        <v>0</v>
      </c>
      <c r="DR209" s="239">
        <v>2788</v>
      </c>
      <c r="DS209" s="239">
        <v>-2374</v>
      </c>
      <c r="DT209" s="239">
        <v>0</v>
      </c>
      <c r="DU209" s="239">
        <v>-2374</v>
      </c>
      <c r="DV209" s="239">
        <v>10018</v>
      </c>
      <c r="DW209" s="239">
        <v>0</v>
      </c>
      <c r="DX209" s="239">
        <v>10018</v>
      </c>
      <c r="DY209" s="239">
        <v>10533</v>
      </c>
      <c r="DZ209" s="239">
        <v>0</v>
      </c>
      <c r="EA209" s="239">
        <v>10533</v>
      </c>
      <c r="EB209" s="239">
        <v>0</v>
      </c>
      <c r="EC209" s="239">
        <v>0</v>
      </c>
      <c r="ED209" s="239">
        <v>0</v>
      </c>
      <c r="EE209" s="239">
        <v>0</v>
      </c>
      <c r="EF209" s="239">
        <v>0</v>
      </c>
      <c r="EG209" s="239">
        <v>0</v>
      </c>
      <c r="EH209" s="239">
        <v>0</v>
      </c>
      <c r="EI209" s="239">
        <v>0</v>
      </c>
      <c r="EJ209" s="239">
        <v>0</v>
      </c>
      <c r="EK209" s="239">
        <v>0</v>
      </c>
      <c r="EL209" s="239">
        <v>0</v>
      </c>
      <c r="EM209" s="239">
        <v>0</v>
      </c>
      <c r="EN209" s="239">
        <v>0</v>
      </c>
      <c r="EO209" s="239">
        <v>0</v>
      </c>
      <c r="EP209" s="239">
        <v>0</v>
      </c>
      <c r="EQ209" s="239">
        <v>-179033</v>
      </c>
      <c r="ER209" s="239">
        <v>0</v>
      </c>
      <c r="ES209" s="239">
        <v>-179033</v>
      </c>
      <c r="ET209" s="239">
        <v>-937385</v>
      </c>
      <c r="EU209" s="239">
        <v>0</v>
      </c>
      <c r="EV209" s="239">
        <v>-937385</v>
      </c>
      <c r="EW209" s="239">
        <v>-24000</v>
      </c>
      <c r="EX209" s="239">
        <v>0</v>
      </c>
      <c r="EY209" s="239">
        <v>-24000</v>
      </c>
      <c r="EZ209" s="239">
        <v>-1119453</v>
      </c>
      <c r="FA209" s="239">
        <v>0</v>
      </c>
      <c r="FB209" s="239">
        <v>-1119453</v>
      </c>
      <c r="FC209" s="239">
        <v>0</v>
      </c>
      <c r="FD209" s="239">
        <v>0</v>
      </c>
      <c r="FE209" s="239">
        <v>0</v>
      </c>
      <c r="FF209" s="239">
        <v>0</v>
      </c>
      <c r="FG209" s="239">
        <v>0</v>
      </c>
      <c r="FH209" s="239">
        <v>0</v>
      </c>
      <c r="FI209" s="239">
        <v>0</v>
      </c>
      <c r="FJ209" s="239">
        <v>0</v>
      </c>
      <c r="FK209" s="239">
        <v>0</v>
      </c>
      <c r="FL209" s="239">
        <v>68307026</v>
      </c>
      <c r="FM209" s="239">
        <v>0</v>
      </c>
      <c r="FN209" s="239">
        <v>68307026</v>
      </c>
      <c r="FO209" s="239">
        <v>-3805188</v>
      </c>
      <c r="FP209" s="239">
        <v>0</v>
      </c>
      <c r="FQ209" s="239">
        <v>-3805188</v>
      </c>
      <c r="FR209" s="239">
        <v>-9933014</v>
      </c>
      <c r="FS209" s="239">
        <v>0</v>
      </c>
      <c r="FT209" s="239">
        <v>-9933014</v>
      </c>
      <c r="FU209" s="239">
        <v>-3193</v>
      </c>
      <c r="FV209" s="239">
        <v>0</v>
      </c>
      <c r="FW209" s="239">
        <v>-3193</v>
      </c>
      <c r="FX209" s="239">
        <v>-158555</v>
      </c>
      <c r="FY209" s="239">
        <v>0</v>
      </c>
      <c r="FZ209" s="239">
        <v>-158555</v>
      </c>
      <c r="GA209" s="239">
        <v>-1119453</v>
      </c>
      <c r="GB209" s="239">
        <v>0</v>
      </c>
      <c r="GC209" s="239">
        <v>-1119453</v>
      </c>
      <c r="GD209" s="239">
        <v>0</v>
      </c>
      <c r="GE209" s="239">
        <v>0</v>
      </c>
      <c r="GF209" s="239">
        <v>0</v>
      </c>
      <c r="GG209" s="239">
        <v>-15019403</v>
      </c>
      <c r="GH209" s="239">
        <v>0</v>
      </c>
      <c r="GI209" s="239">
        <v>-15019403</v>
      </c>
      <c r="GJ209" s="239">
        <v>53287623</v>
      </c>
      <c r="GK209" s="239">
        <v>0</v>
      </c>
      <c r="GL209" s="239">
        <v>53287623</v>
      </c>
      <c r="GM209" s="214" t="s">
        <v>1159</v>
      </c>
    </row>
    <row r="210" spans="2:195" s="214" customFormat="1" x14ac:dyDescent="0.2">
      <c r="B210" s="602" t="s">
        <v>503</v>
      </c>
      <c r="C210" s="602" t="s">
        <v>502</v>
      </c>
      <c r="D210" s="239">
        <v>-1147203</v>
      </c>
      <c r="E210" s="239">
        <v>0</v>
      </c>
      <c r="F210" s="239">
        <v>-1147203</v>
      </c>
      <c r="G210" s="239">
        <v>5373363</v>
      </c>
      <c r="H210" s="239">
        <v>0</v>
      </c>
      <c r="I210" s="239">
        <v>5373363</v>
      </c>
      <c r="J210" s="239">
        <v>3361428</v>
      </c>
      <c r="K210" s="239">
        <v>157904</v>
      </c>
      <c r="L210" s="239">
        <v>3519332</v>
      </c>
      <c r="M210" s="239">
        <v>11028</v>
      </c>
      <c r="N210" s="239">
        <v>0</v>
      </c>
      <c r="O210" s="239">
        <v>11028</v>
      </c>
      <c r="P210" s="239">
        <v>7598616</v>
      </c>
      <c r="Q210" s="239">
        <v>157904</v>
      </c>
      <c r="R210" s="239">
        <v>7756520</v>
      </c>
      <c r="S210" s="239">
        <v>-3544592</v>
      </c>
      <c r="T210" s="239">
        <v>0</v>
      </c>
      <c r="U210" s="239">
        <v>-3544592</v>
      </c>
      <c r="V210" s="239">
        <v>0</v>
      </c>
      <c r="W210" s="239">
        <v>0</v>
      </c>
      <c r="X210" s="239">
        <v>0</v>
      </c>
      <c r="Y210" s="239">
        <v>-151312</v>
      </c>
      <c r="Z210" s="239">
        <v>0</v>
      </c>
      <c r="AA210" s="239">
        <v>-151312</v>
      </c>
      <c r="AB210" s="239">
        <v>-129071</v>
      </c>
      <c r="AC210" s="239">
        <v>0</v>
      </c>
      <c r="AD210" s="239">
        <v>-129071</v>
      </c>
      <c r="AE210" s="239">
        <v>0</v>
      </c>
      <c r="AF210" s="239">
        <v>0</v>
      </c>
      <c r="AG210" s="239">
        <v>0</v>
      </c>
      <c r="AH210" s="239">
        <v>878759</v>
      </c>
      <c r="AI210" s="239">
        <v>45292</v>
      </c>
      <c r="AJ210" s="239">
        <v>924051</v>
      </c>
      <c r="AK210" s="239">
        <v>619171</v>
      </c>
      <c r="AL210" s="239">
        <v>10790</v>
      </c>
      <c r="AM210" s="239">
        <v>629961</v>
      </c>
      <c r="AN210" s="239">
        <v>-3252676</v>
      </c>
      <c r="AO210" s="239">
        <v>-27028</v>
      </c>
      <c r="AP210" s="239">
        <v>-3279704</v>
      </c>
      <c r="AQ210" s="239">
        <v>-982147</v>
      </c>
      <c r="AR210" s="239">
        <v>0</v>
      </c>
      <c r="AS210" s="239">
        <v>-982147</v>
      </c>
      <c r="AT210" s="239">
        <v>-54467</v>
      </c>
      <c r="AU210" s="239">
        <v>0</v>
      </c>
      <c r="AV210" s="239">
        <v>-54467</v>
      </c>
      <c r="AW210" s="239">
        <v>420</v>
      </c>
      <c r="AX210" s="239">
        <v>0</v>
      </c>
      <c r="AY210" s="239">
        <v>420</v>
      </c>
      <c r="AZ210" s="239">
        <v>-955</v>
      </c>
      <c r="BA210" s="239">
        <v>0</v>
      </c>
      <c r="BB210" s="239">
        <v>-955</v>
      </c>
      <c r="BC210" s="239">
        <v>0</v>
      </c>
      <c r="BD210" s="239">
        <v>0</v>
      </c>
      <c r="BE210" s="239">
        <v>0</v>
      </c>
      <c r="BF210" s="239">
        <v>-6487799</v>
      </c>
      <c r="BG210" s="239">
        <v>29054</v>
      </c>
      <c r="BH210" s="239">
        <v>-6458745</v>
      </c>
      <c r="BI210" s="239">
        <v>0</v>
      </c>
      <c r="BJ210" s="239">
        <v>0</v>
      </c>
      <c r="BK210" s="239">
        <v>0</v>
      </c>
      <c r="BL210" s="239">
        <v>0</v>
      </c>
      <c r="BM210" s="239">
        <v>0</v>
      </c>
      <c r="BN210" s="239">
        <v>0</v>
      </c>
      <c r="BO210" s="239">
        <v>-933934</v>
      </c>
      <c r="BP210" s="239">
        <v>0</v>
      </c>
      <c r="BQ210" s="239">
        <v>-933934</v>
      </c>
      <c r="BR210" s="239">
        <v>110303</v>
      </c>
      <c r="BS210" s="239">
        <v>0</v>
      </c>
      <c r="BT210" s="239">
        <v>110303</v>
      </c>
      <c r="BU210" s="239">
        <v>-823631</v>
      </c>
      <c r="BV210" s="239">
        <v>0</v>
      </c>
      <c r="BW210" s="239">
        <v>-823631</v>
      </c>
      <c r="BX210" s="239">
        <v>-90467</v>
      </c>
      <c r="BY210" s="239">
        <v>0</v>
      </c>
      <c r="BZ210" s="239">
        <v>-90467</v>
      </c>
      <c r="CA210" s="239">
        <v>0</v>
      </c>
      <c r="CB210" s="239">
        <v>0</v>
      </c>
      <c r="CC210" s="239">
        <v>0</v>
      </c>
      <c r="CD210" s="239">
        <v>-146622</v>
      </c>
      <c r="CE210" s="239">
        <v>0</v>
      </c>
      <c r="CF210" s="239">
        <v>-146622</v>
      </c>
      <c r="CG210" s="239">
        <v>979419</v>
      </c>
      <c r="CH210" s="239">
        <v>0</v>
      </c>
      <c r="CI210" s="239">
        <v>979419</v>
      </c>
      <c r="CJ210" s="239">
        <v>0</v>
      </c>
      <c r="CK210" s="239">
        <v>0</v>
      </c>
      <c r="CL210" s="239">
        <v>0</v>
      </c>
      <c r="CM210" s="239">
        <v>0</v>
      </c>
      <c r="CN210" s="239">
        <v>0</v>
      </c>
      <c r="CO210" s="239">
        <v>0</v>
      </c>
      <c r="CP210" s="239">
        <v>-5034</v>
      </c>
      <c r="CQ210" s="239">
        <v>0</v>
      </c>
      <c r="CR210" s="239">
        <v>-5034</v>
      </c>
      <c r="CS210" s="239">
        <v>1049</v>
      </c>
      <c r="CT210" s="239">
        <v>0</v>
      </c>
      <c r="CU210" s="239">
        <v>1049</v>
      </c>
      <c r="CV210" s="239">
        <v>0</v>
      </c>
      <c r="CW210" s="239">
        <v>0</v>
      </c>
      <c r="CX210" s="239">
        <v>0</v>
      </c>
      <c r="CY210" s="239">
        <v>0</v>
      </c>
      <c r="CZ210" s="239">
        <v>0</v>
      </c>
      <c r="DA210" s="239">
        <v>0</v>
      </c>
      <c r="DB210" s="239">
        <v>0</v>
      </c>
      <c r="DC210" s="239">
        <v>0</v>
      </c>
      <c r="DD210" s="239">
        <v>0</v>
      </c>
      <c r="DE210" s="239">
        <v>0</v>
      </c>
      <c r="DF210" s="239">
        <v>0</v>
      </c>
      <c r="DG210" s="239">
        <v>0</v>
      </c>
      <c r="DH210" s="239">
        <v>0</v>
      </c>
      <c r="DI210" s="239">
        <v>0</v>
      </c>
      <c r="DJ210" s="239">
        <v>738345</v>
      </c>
      <c r="DK210" s="239">
        <v>0</v>
      </c>
      <c r="DL210" s="239">
        <v>738345</v>
      </c>
      <c r="DM210" s="239">
        <v>0</v>
      </c>
      <c r="DN210" s="239">
        <v>0</v>
      </c>
      <c r="DO210" s="239">
        <v>0</v>
      </c>
      <c r="DP210" s="239">
        <v>0</v>
      </c>
      <c r="DQ210" s="239">
        <v>0</v>
      </c>
      <c r="DR210" s="239">
        <v>0</v>
      </c>
      <c r="DS210" s="239">
        <v>-207</v>
      </c>
      <c r="DT210" s="239">
        <v>0</v>
      </c>
      <c r="DU210" s="239">
        <v>-207</v>
      </c>
      <c r="DV210" s="239">
        <v>0</v>
      </c>
      <c r="DW210" s="239">
        <v>0</v>
      </c>
      <c r="DX210" s="239">
        <v>0</v>
      </c>
      <c r="DY210" s="239">
        <v>-955</v>
      </c>
      <c r="DZ210" s="239">
        <v>0</v>
      </c>
      <c r="EA210" s="239">
        <v>-955</v>
      </c>
      <c r="EB210" s="239">
        <v>0</v>
      </c>
      <c r="EC210" s="239">
        <v>0</v>
      </c>
      <c r="ED210" s="239">
        <v>0</v>
      </c>
      <c r="EE210" s="239">
        <v>0</v>
      </c>
      <c r="EF210" s="239">
        <v>0</v>
      </c>
      <c r="EG210" s="239">
        <v>0</v>
      </c>
      <c r="EH210" s="239">
        <v>0</v>
      </c>
      <c r="EI210" s="239">
        <v>0</v>
      </c>
      <c r="EJ210" s="239">
        <v>0</v>
      </c>
      <c r="EK210" s="239">
        <v>0</v>
      </c>
      <c r="EL210" s="239">
        <v>0</v>
      </c>
      <c r="EM210" s="239">
        <v>0</v>
      </c>
      <c r="EN210" s="239">
        <v>0</v>
      </c>
      <c r="EO210" s="239">
        <v>0</v>
      </c>
      <c r="EP210" s="239">
        <v>0</v>
      </c>
      <c r="EQ210" s="239">
        <v>-11298</v>
      </c>
      <c r="ER210" s="239">
        <v>0</v>
      </c>
      <c r="ES210" s="239">
        <v>-11298</v>
      </c>
      <c r="ET210" s="239">
        <v>-139744</v>
      </c>
      <c r="EU210" s="239">
        <v>0</v>
      </c>
      <c r="EV210" s="239">
        <v>-139744</v>
      </c>
      <c r="EW210" s="239">
        <v>-36270</v>
      </c>
      <c r="EX210" s="239">
        <v>0</v>
      </c>
      <c r="EY210" s="239">
        <v>-36270</v>
      </c>
      <c r="EZ210" s="239">
        <v>-188474</v>
      </c>
      <c r="FA210" s="239">
        <v>0</v>
      </c>
      <c r="FB210" s="239">
        <v>-188474</v>
      </c>
      <c r="FC210" s="239">
        <v>0</v>
      </c>
      <c r="FD210" s="239">
        <v>0</v>
      </c>
      <c r="FE210" s="239">
        <v>0</v>
      </c>
      <c r="FF210" s="239">
        <v>0</v>
      </c>
      <c r="FG210" s="239">
        <v>0</v>
      </c>
      <c r="FH210" s="239">
        <v>0</v>
      </c>
      <c r="FI210" s="239">
        <v>0</v>
      </c>
      <c r="FJ210" s="239">
        <v>0</v>
      </c>
      <c r="FK210" s="239">
        <v>0</v>
      </c>
      <c r="FL210" s="239">
        <v>35880022</v>
      </c>
      <c r="FM210" s="239">
        <v>2063068</v>
      </c>
      <c r="FN210" s="239">
        <v>37943090</v>
      </c>
      <c r="FO210" s="239">
        <v>7598616</v>
      </c>
      <c r="FP210" s="239">
        <v>157904</v>
      </c>
      <c r="FQ210" s="239">
        <v>7756520</v>
      </c>
      <c r="FR210" s="239">
        <v>-6487799</v>
      </c>
      <c r="FS210" s="239">
        <v>29054</v>
      </c>
      <c r="FT210" s="239">
        <v>-6458745</v>
      </c>
      <c r="FU210" s="239">
        <v>-823631</v>
      </c>
      <c r="FV210" s="239">
        <v>0</v>
      </c>
      <c r="FW210" s="239">
        <v>-823631</v>
      </c>
      <c r="FX210" s="239">
        <v>738345</v>
      </c>
      <c r="FY210" s="239">
        <v>0</v>
      </c>
      <c r="FZ210" s="239">
        <v>738345</v>
      </c>
      <c r="GA210" s="239">
        <v>-188474</v>
      </c>
      <c r="GB210" s="239">
        <v>0</v>
      </c>
      <c r="GC210" s="239">
        <v>-188474</v>
      </c>
      <c r="GD210" s="239">
        <v>0</v>
      </c>
      <c r="GE210" s="239">
        <v>0</v>
      </c>
      <c r="GF210" s="239">
        <v>0</v>
      </c>
      <c r="GG210" s="239">
        <v>837057</v>
      </c>
      <c r="GH210" s="239">
        <v>186958</v>
      </c>
      <c r="GI210" s="239">
        <v>1024015</v>
      </c>
      <c r="GJ210" s="239">
        <v>36717079</v>
      </c>
      <c r="GK210" s="239">
        <v>2250026</v>
      </c>
      <c r="GL210" s="239">
        <v>38967105</v>
      </c>
      <c r="GM210" s="214" t="s">
        <v>746</v>
      </c>
    </row>
    <row r="211" spans="2:195" s="214" customFormat="1" x14ac:dyDescent="0.2">
      <c r="B211" s="602" t="s">
        <v>505</v>
      </c>
      <c r="C211" s="602" t="s">
        <v>504</v>
      </c>
      <c r="D211" s="239">
        <v>-640256</v>
      </c>
      <c r="E211" s="239">
        <v>0</v>
      </c>
      <c r="F211" s="239">
        <v>-640256</v>
      </c>
      <c r="G211" s="239">
        <v>5142</v>
      </c>
      <c r="H211" s="239">
        <v>0</v>
      </c>
      <c r="I211" s="239">
        <v>5142</v>
      </c>
      <c r="J211" s="239">
        <v>3614329</v>
      </c>
      <c r="K211" s="239">
        <v>0</v>
      </c>
      <c r="L211" s="239">
        <v>3614329</v>
      </c>
      <c r="M211" s="239">
        <v>-7567</v>
      </c>
      <c r="N211" s="239">
        <v>0</v>
      </c>
      <c r="O211" s="239">
        <v>-7567</v>
      </c>
      <c r="P211" s="239">
        <v>2971648</v>
      </c>
      <c r="Q211" s="239">
        <v>0</v>
      </c>
      <c r="R211" s="239">
        <v>2971648</v>
      </c>
      <c r="S211" s="239">
        <v>-2418017</v>
      </c>
      <c r="T211" s="239">
        <v>0</v>
      </c>
      <c r="U211" s="239">
        <v>-2418017</v>
      </c>
      <c r="V211" s="239">
        <v>0</v>
      </c>
      <c r="W211" s="239">
        <v>0</v>
      </c>
      <c r="X211" s="239">
        <v>0</v>
      </c>
      <c r="Y211" s="239">
        <v>-72027</v>
      </c>
      <c r="Z211" s="239">
        <v>0</v>
      </c>
      <c r="AA211" s="239">
        <v>-72027</v>
      </c>
      <c r="AB211" s="239">
        <v>0</v>
      </c>
      <c r="AC211" s="239">
        <v>0</v>
      </c>
      <c r="AD211" s="239">
        <v>0</v>
      </c>
      <c r="AE211" s="239">
        <v>0</v>
      </c>
      <c r="AF211" s="239">
        <v>0</v>
      </c>
      <c r="AG211" s="239">
        <v>0</v>
      </c>
      <c r="AH211" s="239">
        <v>750842</v>
      </c>
      <c r="AI211" s="239">
        <v>0</v>
      </c>
      <c r="AJ211" s="239">
        <v>750842</v>
      </c>
      <c r="AK211" s="239">
        <v>30153</v>
      </c>
      <c r="AL211" s="239">
        <v>0</v>
      </c>
      <c r="AM211" s="239">
        <v>30153</v>
      </c>
      <c r="AN211" s="239">
        <v>-1277656</v>
      </c>
      <c r="AO211" s="239">
        <v>0</v>
      </c>
      <c r="AP211" s="239">
        <v>-1277656</v>
      </c>
      <c r="AQ211" s="239">
        <v>-1003</v>
      </c>
      <c r="AR211" s="239">
        <v>0</v>
      </c>
      <c r="AS211" s="239">
        <v>-1003</v>
      </c>
      <c r="AT211" s="239">
        <v>-13712</v>
      </c>
      <c r="AU211" s="239">
        <v>0</v>
      </c>
      <c r="AV211" s="239">
        <v>-13712</v>
      </c>
      <c r="AW211" s="239">
        <v>0</v>
      </c>
      <c r="AX211" s="239">
        <v>0</v>
      </c>
      <c r="AY211" s="239">
        <v>0</v>
      </c>
      <c r="AZ211" s="239">
        <v>-1520</v>
      </c>
      <c r="BA211" s="239">
        <v>0</v>
      </c>
      <c r="BB211" s="239">
        <v>-1520</v>
      </c>
      <c r="BC211" s="239">
        <v>0</v>
      </c>
      <c r="BD211" s="239">
        <v>0</v>
      </c>
      <c r="BE211" s="239">
        <v>0</v>
      </c>
      <c r="BF211" s="239">
        <v>-3002940</v>
      </c>
      <c r="BG211" s="239">
        <v>0</v>
      </c>
      <c r="BH211" s="239">
        <v>-3002940</v>
      </c>
      <c r="BI211" s="239">
        <v>-39768</v>
      </c>
      <c r="BJ211" s="239">
        <v>0</v>
      </c>
      <c r="BK211" s="239">
        <v>-39768</v>
      </c>
      <c r="BL211" s="239">
        <v>-4132</v>
      </c>
      <c r="BM211" s="239">
        <v>0</v>
      </c>
      <c r="BN211" s="239">
        <v>-4132</v>
      </c>
      <c r="BO211" s="239">
        <v>-1042603</v>
      </c>
      <c r="BP211" s="239">
        <v>0</v>
      </c>
      <c r="BQ211" s="239">
        <v>-1042603</v>
      </c>
      <c r="BR211" s="239">
        <v>131465</v>
      </c>
      <c r="BS211" s="239">
        <v>0</v>
      </c>
      <c r="BT211" s="239">
        <v>131465</v>
      </c>
      <c r="BU211" s="239">
        <v>-955038</v>
      </c>
      <c r="BV211" s="239">
        <v>0</v>
      </c>
      <c r="BW211" s="239">
        <v>-955038</v>
      </c>
      <c r="BX211" s="239">
        <v>-24548</v>
      </c>
      <c r="BY211" s="239">
        <v>0</v>
      </c>
      <c r="BZ211" s="239">
        <v>-24548</v>
      </c>
      <c r="CA211" s="239">
        <v>6461</v>
      </c>
      <c r="CB211" s="239">
        <v>0</v>
      </c>
      <c r="CC211" s="239">
        <v>6461</v>
      </c>
      <c r="CD211" s="239">
        <v>-49895</v>
      </c>
      <c r="CE211" s="239">
        <v>0</v>
      </c>
      <c r="CF211" s="239">
        <v>-49895</v>
      </c>
      <c r="CG211" s="239">
        <v>-7005</v>
      </c>
      <c r="CH211" s="239">
        <v>0</v>
      </c>
      <c r="CI211" s="239">
        <v>-7005</v>
      </c>
      <c r="CJ211" s="239">
        <v>0</v>
      </c>
      <c r="CK211" s="239">
        <v>0</v>
      </c>
      <c r="CL211" s="239">
        <v>0</v>
      </c>
      <c r="CM211" s="239">
        <v>0</v>
      </c>
      <c r="CN211" s="239">
        <v>0</v>
      </c>
      <c r="CO211" s="239">
        <v>0</v>
      </c>
      <c r="CP211" s="239">
        <v>0</v>
      </c>
      <c r="CQ211" s="239">
        <v>0</v>
      </c>
      <c r="CR211" s="239">
        <v>0</v>
      </c>
      <c r="CS211" s="239">
        <v>0</v>
      </c>
      <c r="CT211" s="239">
        <v>0</v>
      </c>
      <c r="CU211" s="239">
        <v>0</v>
      </c>
      <c r="CV211" s="239">
        <v>0</v>
      </c>
      <c r="CW211" s="239">
        <v>0</v>
      </c>
      <c r="CX211" s="239">
        <v>0</v>
      </c>
      <c r="CY211" s="239">
        <v>0</v>
      </c>
      <c r="CZ211" s="239">
        <v>0</v>
      </c>
      <c r="DA211" s="239">
        <v>0</v>
      </c>
      <c r="DB211" s="239">
        <v>0</v>
      </c>
      <c r="DC211" s="239">
        <v>0</v>
      </c>
      <c r="DD211" s="239">
        <v>0</v>
      </c>
      <c r="DE211" s="239">
        <v>0</v>
      </c>
      <c r="DF211" s="239">
        <v>0</v>
      </c>
      <c r="DG211" s="239">
        <v>0</v>
      </c>
      <c r="DH211" s="239">
        <v>0</v>
      </c>
      <c r="DI211" s="239">
        <v>0</v>
      </c>
      <c r="DJ211" s="239">
        <v>-74987</v>
      </c>
      <c r="DK211" s="239">
        <v>0</v>
      </c>
      <c r="DL211" s="239">
        <v>-74987</v>
      </c>
      <c r="DM211" s="239">
        <v>0</v>
      </c>
      <c r="DN211" s="239">
        <v>0</v>
      </c>
      <c r="DO211" s="239">
        <v>0</v>
      </c>
      <c r="DP211" s="239">
        <v>0</v>
      </c>
      <c r="DQ211" s="239">
        <v>0</v>
      </c>
      <c r="DR211" s="239">
        <v>0</v>
      </c>
      <c r="DS211" s="239">
        <v>-7420</v>
      </c>
      <c r="DT211" s="239">
        <v>0</v>
      </c>
      <c r="DU211" s="239">
        <v>-7420</v>
      </c>
      <c r="DV211" s="239">
        <v>2070</v>
      </c>
      <c r="DW211" s="239">
        <v>0</v>
      </c>
      <c r="DX211" s="239">
        <v>2070</v>
      </c>
      <c r="DY211" s="239">
        <v>168</v>
      </c>
      <c r="DZ211" s="239">
        <v>0</v>
      </c>
      <c r="EA211" s="239">
        <v>168</v>
      </c>
      <c r="EB211" s="239">
        <v>0</v>
      </c>
      <c r="EC211" s="239">
        <v>0</v>
      </c>
      <c r="ED211" s="239">
        <v>0</v>
      </c>
      <c r="EE211" s="239">
        <v>0</v>
      </c>
      <c r="EF211" s="239">
        <v>0</v>
      </c>
      <c r="EG211" s="239">
        <v>0</v>
      </c>
      <c r="EH211" s="239">
        <v>0</v>
      </c>
      <c r="EI211" s="239">
        <v>0</v>
      </c>
      <c r="EJ211" s="239">
        <v>0</v>
      </c>
      <c r="EK211" s="239">
        <v>-1520</v>
      </c>
      <c r="EL211" s="239">
        <v>0</v>
      </c>
      <c r="EM211" s="239">
        <v>-1520</v>
      </c>
      <c r="EN211" s="239">
        <v>-3000</v>
      </c>
      <c r="EO211" s="239">
        <v>0</v>
      </c>
      <c r="EP211" s="239">
        <v>-3000</v>
      </c>
      <c r="EQ211" s="239">
        <v>-7741</v>
      </c>
      <c r="ER211" s="239">
        <v>0</v>
      </c>
      <c r="ES211" s="239">
        <v>-7741</v>
      </c>
      <c r="ET211" s="239">
        <v>-15870</v>
      </c>
      <c r="EU211" s="239">
        <v>0</v>
      </c>
      <c r="EV211" s="239">
        <v>-15870</v>
      </c>
      <c r="EW211" s="239">
        <v>-22937</v>
      </c>
      <c r="EX211" s="239">
        <v>0</v>
      </c>
      <c r="EY211" s="239">
        <v>-22937</v>
      </c>
      <c r="EZ211" s="239">
        <v>-56250</v>
      </c>
      <c r="FA211" s="239">
        <v>0</v>
      </c>
      <c r="FB211" s="239">
        <v>-56250</v>
      </c>
      <c r="FC211" s="239">
        <v>0</v>
      </c>
      <c r="FD211" s="239">
        <v>0</v>
      </c>
      <c r="FE211" s="239">
        <v>0</v>
      </c>
      <c r="FF211" s="239">
        <v>0</v>
      </c>
      <c r="FG211" s="239">
        <v>0</v>
      </c>
      <c r="FH211" s="239">
        <v>0</v>
      </c>
      <c r="FI211" s="239">
        <v>0</v>
      </c>
      <c r="FJ211" s="239">
        <v>0</v>
      </c>
      <c r="FK211" s="239">
        <v>0</v>
      </c>
      <c r="FL211" s="239">
        <v>38864594</v>
      </c>
      <c r="FM211" s="239">
        <v>0</v>
      </c>
      <c r="FN211" s="239">
        <v>38864594</v>
      </c>
      <c r="FO211" s="239">
        <v>2971648</v>
      </c>
      <c r="FP211" s="239">
        <v>0</v>
      </c>
      <c r="FQ211" s="239">
        <v>2971648</v>
      </c>
      <c r="FR211" s="239">
        <v>-3002940</v>
      </c>
      <c r="FS211" s="239">
        <v>0</v>
      </c>
      <c r="FT211" s="239">
        <v>-3002940</v>
      </c>
      <c r="FU211" s="239">
        <v>-955038</v>
      </c>
      <c r="FV211" s="239">
        <v>0</v>
      </c>
      <c r="FW211" s="239">
        <v>-955038</v>
      </c>
      <c r="FX211" s="239">
        <v>-74987</v>
      </c>
      <c r="FY211" s="239">
        <v>0</v>
      </c>
      <c r="FZ211" s="239">
        <v>-74987</v>
      </c>
      <c r="GA211" s="239">
        <v>-56250</v>
      </c>
      <c r="GB211" s="239">
        <v>0</v>
      </c>
      <c r="GC211" s="239">
        <v>-56250</v>
      </c>
      <c r="GD211" s="239">
        <v>0</v>
      </c>
      <c r="GE211" s="239">
        <v>0</v>
      </c>
      <c r="GF211" s="239">
        <v>0</v>
      </c>
      <c r="GG211" s="239">
        <v>-1117567</v>
      </c>
      <c r="GH211" s="239">
        <v>0</v>
      </c>
      <c r="GI211" s="239">
        <v>-1117567</v>
      </c>
      <c r="GJ211" s="239">
        <v>37747027</v>
      </c>
      <c r="GK211" s="239">
        <v>0</v>
      </c>
      <c r="GL211" s="239">
        <v>37747027</v>
      </c>
      <c r="GM211" s="214" t="s">
        <v>1158</v>
      </c>
    </row>
    <row r="212" spans="2:195" s="214" customFormat="1" x14ac:dyDescent="0.2">
      <c r="B212" s="602" t="s">
        <v>507</v>
      </c>
      <c r="C212" s="602" t="s">
        <v>506</v>
      </c>
      <c r="D212" s="239">
        <v>-2042472</v>
      </c>
      <c r="E212" s="239">
        <v>0</v>
      </c>
      <c r="F212" s="239">
        <v>-2042472</v>
      </c>
      <c r="G212" s="239">
        <v>-6108</v>
      </c>
      <c r="H212" s="239">
        <v>0</v>
      </c>
      <c r="I212" s="239">
        <v>-6108</v>
      </c>
      <c r="J212" s="239">
        <v>1384613</v>
      </c>
      <c r="K212" s="239">
        <v>0</v>
      </c>
      <c r="L212" s="239">
        <v>1384613</v>
      </c>
      <c r="M212" s="239">
        <v>-16912</v>
      </c>
      <c r="N212" s="239">
        <v>0</v>
      </c>
      <c r="O212" s="239">
        <v>-16912</v>
      </c>
      <c r="P212" s="239">
        <v>-680879</v>
      </c>
      <c r="Q212" s="239">
        <v>0</v>
      </c>
      <c r="R212" s="239">
        <v>-680879</v>
      </c>
      <c r="S212" s="239">
        <v>-3175488</v>
      </c>
      <c r="T212" s="239">
        <v>0</v>
      </c>
      <c r="U212" s="239">
        <v>-3175488</v>
      </c>
      <c r="V212" s="239">
        <v>-26817</v>
      </c>
      <c r="W212" s="239">
        <v>0</v>
      </c>
      <c r="X212" s="239">
        <v>-26817</v>
      </c>
      <c r="Y212" s="239">
        <v>-143295</v>
      </c>
      <c r="Z212" s="239">
        <v>0</v>
      </c>
      <c r="AA212" s="239">
        <v>-143295</v>
      </c>
      <c r="AB212" s="239">
        <v>-139368</v>
      </c>
      <c r="AC212" s="239">
        <v>0</v>
      </c>
      <c r="AD212" s="239">
        <v>-139368</v>
      </c>
      <c r="AE212" s="239">
        <v>-3927</v>
      </c>
      <c r="AF212" s="239">
        <v>0</v>
      </c>
      <c r="AG212" s="239">
        <v>-3927</v>
      </c>
      <c r="AH212" s="239">
        <v>1288333</v>
      </c>
      <c r="AI212" s="239">
        <v>0</v>
      </c>
      <c r="AJ212" s="239">
        <v>1288333</v>
      </c>
      <c r="AK212" s="239">
        <v>62773</v>
      </c>
      <c r="AL212" s="239">
        <v>0</v>
      </c>
      <c r="AM212" s="239">
        <v>62773</v>
      </c>
      <c r="AN212" s="239">
        <v>-3721303</v>
      </c>
      <c r="AO212" s="239">
        <v>0</v>
      </c>
      <c r="AP212" s="239">
        <v>-3721303</v>
      </c>
      <c r="AQ212" s="239">
        <v>17410</v>
      </c>
      <c r="AR212" s="239">
        <v>0</v>
      </c>
      <c r="AS212" s="239">
        <v>17410</v>
      </c>
      <c r="AT212" s="239">
        <v>-65288</v>
      </c>
      <c r="AU212" s="239">
        <v>0</v>
      </c>
      <c r="AV212" s="239">
        <v>-65288</v>
      </c>
      <c r="AW212" s="239">
        <v>466</v>
      </c>
      <c r="AX212" s="239">
        <v>0</v>
      </c>
      <c r="AY212" s="239">
        <v>466</v>
      </c>
      <c r="AZ212" s="239">
        <v>0</v>
      </c>
      <c r="BA212" s="239">
        <v>0</v>
      </c>
      <c r="BB212" s="239">
        <v>0</v>
      </c>
      <c r="BC212" s="239">
        <v>0</v>
      </c>
      <c r="BD212" s="239">
        <v>0</v>
      </c>
      <c r="BE212" s="239">
        <v>0</v>
      </c>
      <c r="BF212" s="239">
        <v>-5736392</v>
      </c>
      <c r="BG212" s="239">
        <v>0</v>
      </c>
      <c r="BH212" s="239">
        <v>-5736392</v>
      </c>
      <c r="BI212" s="239">
        <v>-394392</v>
      </c>
      <c r="BJ212" s="239">
        <v>0</v>
      </c>
      <c r="BK212" s="239">
        <v>-394392</v>
      </c>
      <c r="BL212" s="239">
        <v>-2217</v>
      </c>
      <c r="BM212" s="239">
        <v>0</v>
      </c>
      <c r="BN212" s="239">
        <v>-2217</v>
      </c>
      <c r="BO212" s="239">
        <v>-1483178</v>
      </c>
      <c r="BP212" s="239">
        <v>0</v>
      </c>
      <c r="BQ212" s="239">
        <v>-1483178</v>
      </c>
      <c r="BR212" s="239">
        <v>381750</v>
      </c>
      <c r="BS212" s="239">
        <v>0</v>
      </c>
      <c r="BT212" s="239">
        <v>381750</v>
      </c>
      <c r="BU212" s="239">
        <v>-1498037</v>
      </c>
      <c r="BV212" s="239">
        <v>0</v>
      </c>
      <c r="BW212" s="239">
        <v>-1498037</v>
      </c>
      <c r="BX212" s="239">
        <v>-48980</v>
      </c>
      <c r="BY212" s="239">
        <v>0</v>
      </c>
      <c r="BZ212" s="239">
        <v>-48980</v>
      </c>
      <c r="CA212" s="239">
        <v>-4767</v>
      </c>
      <c r="CB212" s="239">
        <v>0</v>
      </c>
      <c r="CC212" s="239">
        <v>-4767</v>
      </c>
      <c r="CD212" s="239">
        <v>-57093</v>
      </c>
      <c r="CE212" s="239">
        <v>0</v>
      </c>
      <c r="CF212" s="239">
        <v>-57093</v>
      </c>
      <c r="CG212" s="239">
        <v>5737</v>
      </c>
      <c r="CH212" s="239">
        <v>0</v>
      </c>
      <c r="CI212" s="239">
        <v>5737</v>
      </c>
      <c r="CJ212" s="239">
        <v>-1968</v>
      </c>
      <c r="CK212" s="239">
        <v>0</v>
      </c>
      <c r="CL212" s="239">
        <v>-1968</v>
      </c>
      <c r="CM212" s="239">
        <v>0</v>
      </c>
      <c r="CN212" s="239">
        <v>0</v>
      </c>
      <c r="CO212" s="239">
        <v>0</v>
      </c>
      <c r="CP212" s="239">
        <v>0</v>
      </c>
      <c r="CQ212" s="239">
        <v>0</v>
      </c>
      <c r="CR212" s="239">
        <v>0</v>
      </c>
      <c r="CS212" s="239">
        <v>0</v>
      </c>
      <c r="CT212" s="239">
        <v>0</v>
      </c>
      <c r="CU212" s="239">
        <v>0</v>
      </c>
      <c r="CV212" s="239">
        <v>0</v>
      </c>
      <c r="CW212" s="239">
        <v>0</v>
      </c>
      <c r="CX212" s="239">
        <v>0</v>
      </c>
      <c r="CY212" s="239">
        <v>0</v>
      </c>
      <c r="CZ212" s="239">
        <v>0</v>
      </c>
      <c r="DA212" s="239">
        <v>0</v>
      </c>
      <c r="DB212" s="239">
        <v>0</v>
      </c>
      <c r="DC212" s="239">
        <v>0</v>
      </c>
      <c r="DD212" s="239">
        <v>0</v>
      </c>
      <c r="DE212" s="239">
        <v>0</v>
      </c>
      <c r="DF212" s="239">
        <v>0</v>
      </c>
      <c r="DG212" s="239">
        <v>0</v>
      </c>
      <c r="DH212" s="239">
        <v>0</v>
      </c>
      <c r="DI212" s="239">
        <v>0</v>
      </c>
      <c r="DJ212" s="239">
        <v>-107071</v>
      </c>
      <c r="DK212" s="239">
        <v>0</v>
      </c>
      <c r="DL212" s="239">
        <v>-107071</v>
      </c>
      <c r="DM212" s="239">
        <v>-4123</v>
      </c>
      <c r="DN212" s="239">
        <v>0</v>
      </c>
      <c r="DO212" s="239">
        <v>-4123</v>
      </c>
      <c r="DP212" s="239">
        <v>38852</v>
      </c>
      <c r="DQ212" s="239">
        <v>0</v>
      </c>
      <c r="DR212" s="239">
        <v>38852</v>
      </c>
      <c r="DS212" s="239">
        <v>-1456</v>
      </c>
      <c r="DT212" s="239">
        <v>0</v>
      </c>
      <c r="DU212" s="239">
        <v>-1456</v>
      </c>
      <c r="DV212" s="239">
        <v>-11235</v>
      </c>
      <c r="DW212" s="239">
        <v>0</v>
      </c>
      <c r="DX212" s="239">
        <v>-11235</v>
      </c>
      <c r="DY212" s="239">
        <v>-365</v>
      </c>
      <c r="DZ212" s="239">
        <v>0</v>
      </c>
      <c r="EA212" s="239">
        <v>-365</v>
      </c>
      <c r="EB212" s="239">
        <v>0</v>
      </c>
      <c r="EC212" s="239">
        <v>0</v>
      </c>
      <c r="ED212" s="239">
        <v>0</v>
      </c>
      <c r="EE212" s="239">
        <v>0</v>
      </c>
      <c r="EF212" s="239">
        <v>0</v>
      </c>
      <c r="EG212" s="239">
        <v>0</v>
      </c>
      <c r="EH212" s="239">
        <v>-79</v>
      </c>
      <c r="EI212" s="239">
        <v>0</v>
      </c>
      <c r="EJ212" s="239">
        <v>-79</v>
      </c>
      <c r="EK212" s="239">
        <v>0</v>
      </c>
      <c r="EL212" s="239">
        <v>0</v>
      </c>
      <c r="EM212" s="239">
        <v>0</v>
      </c>
      <c r="EN212" s="239">
        <v>0</v>
      </c>
      <c r="EO212" s="239">
        <v>0</v>
      </c>
      <c r="EP212" s="239">
        <v>0</v>
      </c>
      <c r="EQ212" s="239">
        <v>-24976</v>
      </c>
      <c r="ER212" s="239">
        <v>0</v>
      </c>
      <c r="ES212" s="239">
        <v>-24976</v>
      </c>
      <c r="ET212" s="239">
        <v>-318533</v>
      </c>
      <c r="EU212" s="239">
        <v>0</v>
      </c>
      <c r="EV212" s="239">
        <v>-318533</v>
      </c>
      <c r="EW212" s="239">
        <v>-24049</v>
      </c>
      <c r="EX212" s="239">
        <v>0</v>
      </c>
      <c r="EY212" s="239">
        <v>-24049</v>
      </c>
      <c r="EZ212" s="239">
        <v>-345964</v>
      </c>
      <c r="FA212" s="239">
        <v>0</v>
      </c>
      <c r="FB212" s="239">
        <v>-345964</v>
      </c>
      <c r="FC212" s="239">
        <v>0</v>
      </c>
      <c r="FD212" s="239">
        <v>0</v>
      </c>
      <c r="FE212" s="239">
        <v>0</v>
      </c>
      <c r="FF212" s="239">
        <v>0</v>
      </c>
      <c r="FG212" s="239">
        <v>0</v>
      </c>
      <c r="FH212" s="239">
        <v>0</v>
      </c>
      <c r="FI212" s="239">
        <v>0</v>
      </c>
      <c r="FJ212" s="239">
        <v>0</v>
      </c>
      <c r="FK212" s="239">
        <v>0</v>
      </c>
      <c r="FL212" s="239">
        <v>61327087</v>
      </c>
      <c r="FM212" s="239">
        <v>0</v>
      </c>
      <c r="FN212" s="239">
        <v>61327087</v>
      </c>
      <c r="FO212" s="239">
        <v>-680879</v>
      </c>
      <c r="FP212" s="239">
        <v>0</v>
      </c>
      <c r="FQ212" s="239">
        <v>-680879</v>
      </c>
      <c r="FR212" s="239">
        <v>-5736392</v>
      </c>
      <c r="FS212" s="239">
        <v>0</v>
      </c>
      <c r="FT212" s="239">
        <v>-5736392</v>
      </c>
      <c r="FU212" s="239">
        <v>-1498037</v>
      </c>
      <c r="FV212" s="239">
        <v>0</v>
      </c>
      <c r="FW212" s="239">
        <v>-1498037</v>
      </c>
      <c r="FX212" s="239">
        <v>-107071</v>
      </c>
      <c r="FY212" s="239">
        <v>0</v>
      </c>
      <c r="FZ212" s="239">
        <v>-107071</v>
      </c>
      <c r="GA212" s="239">
        <v>-345964</v>
      </c>
      <c r="GB212" s="239">
        <v>0</v>
      </c>
      <c r="GC212" s="239">
        <v>-345964</v>
      </c>
      <c r="GD212" s="239">
        <v>0</v>
      </c>
      <c r="GE212" s="239">
        <v>0</v>
      </c>
      <c r="GF212" s="239">
        <v>0</v>
      </c>
      <c r="GG212" s="239">
        <v>-8368343</v>
      </c>
      <c r="GH212" s="239">
        <v>0</v>
      </c>
      <c r="GI212" s="239">
        <v>-8368343</v>
      </c>
      <c r="GJ212" s="239">
        <v>52958744</v>
      </c>
      <c r="GK212" s="239">
        <v>0</v>
      </c>
      <c r="GL212" s="239">
        <v>52958744</v>
      </c>
      <c r="GM212" s="214" t="s">
        <v>1158</v>
      </c>
    </row>
    <row r="213" spans="2:195" s="214" customFormat="1" x14ac:dyDescent="0.2">
      <c r="B213" s="602" t="s">
        <v>509</v>
      </c>
      <c r="C213" s="602" t="s">
        <v>508</v>
      </c>
      <c r="D213" s="239">
        <v>-726858</v>
      </c>
      <c r="E213" s="239">
        <v>0</v>
      </c>
      <c r="F213" s="239">
        <v>-726858</v>
      </c>
      <c r="G213" s="239">
        <v>40759</v>
      </c>
      <c r="H213" s="239">
        <v>0</v>
      </c>
      <c r="I213" s="239">
        <v>40759</v>
      </c>
      <c r="J213" s="239">
        <v>673825</v>
      </c>
      <c r="K213" s="239">
        <v>21343</v>
      </c>
      <c r="L213" s="239">
        <v>695168</v>
      </c>
      <c r="M213" s="239">
        <v>28168</v>
      </c>
      <c r="N213" s="239">
        <v>0</v>
      </c>
      <c r="O213" s="239">
        <v>28168</v>
      </c>
      <c r="P213" s="239">
        <v>15894</v>
      </c>
      <c r="Q213" s="239">
        <v>21343</v>
      </c>
      <c r="R213" s="239">
        <v>37237</v>
      </c>
      <c r="S213" s="239">
        <v>-2897154</v>
      </c>
      <c r="T213" s="239">
        <v>0</v>
      </c>
      <c r="U213" s="239">
        <v>-2897154</v>
      </c>
      <c r="V213" s="239">
        <v>-20770</v>
      </c>
      <c r="W213" s="239">
        <v>0</v>
      </c>
      <c r="X213" s="239">
        <v>-20770</v>
      </c>
      <c r="Y213" s="239">
        <v>-32380</v>
      </c>
      <c r="Z213" s="239">
        <v>0</v>
      </c>
      <c r="AA213" s="239">
        <v>-32380</v>
      </c>
      <c r="AB213" s="239">
        <v>-34856</v>
      </c>
      <c r="AC213" s="239">
        <v>0</v>
      </c>
      <c r="AD213" s="239">
        <v>-34856</v>
      </c>
      <c r="AE213" s="239">
        <v>475</v>
      </c>
      <c r="AF213" s="239">
        <v>0</v>
      </c>
      <c r="AG213" s="239">
        <v>475</v>
      </c>
      <c r="AH213" s="239">
        <v>273071</v>
      </c>
      <c r="AI213" s="239">
        <v>56973</v>
      </c>
      <c r="AJ213" s="239">
        <v>330044</v>
      </c>
      <c r="AK213" s="239">
        <v>-6626</v>
      </c>
      <c r="AL213" s="239">
        <v>1204</v>
      </c>
      <c r="AM213" s="239">
        <v>-5422</v>
      </c>
      <c r="AN213" s="239">
        <v>-1015584</v>
      </c>
      <c r="AO213" s="239">
        <v>0</v>
      </c>
      <c r="AP213" s="239">
        <v>-1015584</v>
      </c>
      <c r="AQ213" s="239">
        <v>3219</v>
      </c>
      <c r="AR213" s="239">
        <v>0</v>
      </c>
      <c r="AS213" s="239">
        <v>3219</v>
      </c>
      <c r="AT213" s="239">
        <v>-42479</v>
      </c>
      <c r="AU213" s="239">
        <v>0</v>
      </c>
      <c r="AV213" s="239">
        <v>-42479</v>
      </c>
      <c r="AW213" s="239">
        <v>0</v>
      </c>
      <c r="AX213" s="239">
        <v>0</v>
      </c>
      <c r="AY213" s="239">
        <v>0</v>
      </c>
      <c r="AZ213" s="239">
        <v>-20719</v>
      </c>
      <c r="BA213" s="239">
        <v>0</v>
      </c>
      <c r="BB213" s="239">
        <v>-20719</v>
      </c>
      <c r="BC213" s="239">
        <v>0</v>
      </c>
      <c r="BD213" s="239">
        <v>0</v>
      </c>
      <c r="BE213" s="239">
        <v>0</v>
      </c>
      <c r="BF213" s="239">
        <v>-3738652</v>
      </c>
      <c r="BG213" s="239">
        <v>58177</v>
      </c>
      <c r="BH213" s="239">
        <v>-3680475</v>
      </c>
      <c r="BI213" s="239">
        <v>0</v>
      </c>
      <c r="BJ213" s="239">
        <v>0</v>
      </c>
      <c r="BK213" s="239">
        <v>0</v>
      </c>
      <c r="BL213" s="239">
        <v>0</v>
      </c>
      <c r="BM213" s="239">
        <v>0</v>
      </c>
      <c r="BN213" s="239">
        <v>0</v>
      </c>
      <c r="BO213" s="239">
        <v>-328471</v>
      </c>
      <c r="BP213" s="239">
        <v>0</v>
      </c>
      <c r="BQ213" s="239">
        <v>-328471</v>
      </c>
      <c r="BR213" s="239">
        <v>40525</v>
      </c>
      <c r="BS213" s="239">
        <v>0</v>
      </c>
      <c r="BT213" s="239">
        <v>40525</v>
      </c>
      <c r="BU213" s="239">
        <v>-287946</v>
      </c>
      <c r="BV213" s="239">
        <v>0</v>
      </c>
      <c r="BW213" s="239">
        <v>-287946</v>
      </c>
      <c r="BX213" s="239">
        <v>-29671</v>
      </c>
      <c r="BY213" s="239">
        <v>0</v>
      </c>
      <c r="BZ213" s="239">
        <v>-29671</v>
      </c>
      <c r="CA213" s="239">
        <v>136</v>
      </c>
      <c r="CB213" s="239">
        <v>0</v>
      </c>
      <c r="CC213" s="239">
        <v>136</v>
      </c>
      <c r="CD213" s="239">
        <v>-151</v>
      </c>
      <c r="CE213" s="239">
        <v>0</v>
      </c>
      <c r="CF213" s="239">
        <v>-151</v>
      </c>
      <c r="CG213" s="239">
        <v>0</v>
      </c>
      <c r="CH213" s="239">
        <v>0</v>
      </c>
      <c r="CI213" s="239">
        <v>0</v>
      </c>
      <c r="CJ213" s="239">
        <v>0</v>
      </c>
      <c r="CK213" s="239">
        <v>0</v>
      </c>
      <c r="CL213" s="239">
        <v>0</v>
      </c>
      <c r="CM213" s="239">
        <v>0</v>
      </c>
      <c r="CN213" s="239">
        <v>0</v>
      </c>
      <c r="CO213" s="239">
        <v>0</v>
      </c>
      <c r="CP213" s="239">
        <v>0</v>
      </c>
      <c r="CQ213" s="239">
        <v>0</v>
      </c>
      <c r="CR213" s="239">
        <v>0</v>
      </c>
      <c r="CS213" s="239">
        <v>0</v>
      </c>
      <c r="CT213" s="239">
        <v>0</v>
      </c>
      <c r="CU213" s="239">
        <v>0</v>
      </c>
      <c r="CV213" s="239">
        <v>-1749</v>
      </c>
      <c r="CW213" s="239">
        <v>0</v>
      </c>
      <c r="CX213" s="239">
        <v>-1749</v>
      </c>
      <c r="CY213" s="239">
        <v>0</v>
      </c>
      <c r="CZ213" s="239">
        <v>0</v>
      </c>
      <c r="DA213" s="239">
        <v>0</v>
      </c>
      <c r="DB213" s="239">
        <v>0</v>
      </c>
      <c r="DC213" s="239">
        <v>0</v>
      </c>
      <c r="DD213" s="239">
        <v>0</v>
      </c>
      <c r="DE213" s="239">
        <v>0</v>
      </c>
      <c r="DF213" s="239">
        <v>0</v>
      </c>
      <c r="DG213" s="239">
        <v>0</v>
      </c>
      <c r="DH213" s="239">
        <v>0</v>
      </c>
      <c r="DI213" s="239">
        <v>0</v>
      </c>
      <c r="DJ213" s="239">
        <v>-31435</v>
      </c>
      <c r="DK213" s="239">
        <v>0</v>
      </c>
      <c r="DL213" s="239">
        <v>-31435</v>
      </c>
      <c r="DM213" s="239">
        <v>0</v>
      </c>
      <c r="DN213" s="239">
        <v>0</v>
      </c>
      <c r="DO213" s="239">
        <v>0</v>
      </c>
      <c r="DP213" s="239">
        <v>-22</v>
      </c>
      <c r="DQ213" s="239">
        <v>0</v>
      </c>
      <c r="DR213" s="239">
        <v>-22</v>
      </c>
      <c r="DS213" s="239">
        <v>-235</v>
      </c>
      <c r="DT213" s="239">
        <v>0</v>
      </c>
      <c r="DU213" s="239">
        <v>-235</v>
      </c>
      <c r="DV213" s="239">
        <v>181</v>
      </c>
      <c r="DW213" s="239">
        <v>0</v>
      </c>
      <c r="DX213" s="239">
        <v>181</v>
      </c>
      <c r="DY213" s="239">
        <v>1500</v>
      </c>
      <c r="DZ213" s="239">
        <v>0</v>
      </c>
      <c r="EA213" s="239">
        <v>1500</v>
      </c>
      <c r="EB213" s="239">
        <v>0</v>
      </c>
      <c r="EC213" s="239">
        <v>0</v>
      </c>
      <c r="ED213" s="239">
        <v>0</v>
      </c>
      <c r="EE213" s="239">
        <v>-483</v>
      </c>
      <c r="EF213" s="239">
        <v>0</v>
      </c>
      <c r="EG213" s="239">
        <v>-483</v>
      </c>
      <c r="EH213" s="239">
        <v>0</v>
      </c>
      <c r="EI213" s="239">
        <v>0</v>
      </c>
      <c r="EJ213" s="239">
        <v>0</v>
      </c>
      <c r="EK213" s="239">
        <v>-20719</v>
      </c>
      <c r="EL213" s="239">
        <v>0</v>
      </c>
      <c r="EM213" s="239">
        <v>-20719</v>
      </c>
      <c r="EN213" s="239">
        <v>0</v>
      </c>
      <c r="EO213" s="239">
        <v>0</v>
      </c>
      <c r="EP213" s="239">
        <v>0</v>
      </c>
      <c r="EQ213" s="239">
        <v>-14482</v>
      </c>
      <c r="ER213" s="239">
        <v>0</v>
      </c>
      <c r="ES213" s="239">
        <v>-14482</v>
      </c>
      <c r="ET213" s="239">
        <v>-92339</v>
      </c>
      <c r="EU213" s="239">
        <v>0</v>
      </c>
      <c r="EV213" s="239">
        <v>-92339</v>
      </c>
      <c r="EW213" s="239">
        <v>-42041</v>
      </c>
      <c r="EX213" s="239">
        <v>0</v>
      </c>
      <c r="EY213" s="239">
        <v>-42041</v>
      </c>
      <c r="EZ213" s="239">
        <v>-168640</v>
      </c>
      <c r="FA213" s="239">
        <v>0</v>
      </c>
      <c r="FB213" s="239">
        <v>-168640</v>
      </c>
      <c r="FC213" s="239">
        <v>0</v>
      </c>
      <c r="FD213" s="239">
        <v>0</v>
      </c>
      <c r="FE213" s="239">
        <v>0</v>
      </c>
      <c r="FF213" s="239">
        <v>0</v>
      </c>
      <c r="FG213" s="239">
        <v>0</v>
      </c>
      <c r="FH213" s="239">
        <v>0</v>
      </c>
      <c r="FI213" s="239">
        <v>0</v>
      </c>
      <c r="FJ213" s="239">
        <v>0</v>
      </c>
      <c r="FK213" s="239">
        <v>0</v>
      </c>
      <c r="FL213" s="239">
        <v>16706945</v>
      </c>
      <c r="FM213" s="239">
        <v>2087064</v>
      </c>
      <c r="FN213" s="239">
        <v>18794009</v>
      </c>
      <c r="FO213" s="239">
        <v>15894</v>
      </c>
      <c r="FP213" s="239">
        <v>21343</v>
      </c>
      <c r="FQ213" s="239">
        <v>37237</v>
      </c>
      <c r="FR213" s="239">
        <v>-3738652</v>
      </c>
      <c r="FS213" s="239">
        <v>58177</v>
      </c>
      <c r="FT213" s="239">
        <v>-3680475</v>
      </c>
      <c r="FU213" s="239">
        <v>-287946</v>
      </c>
      <c r="FV213" s="239">
        <v>0</v>
      </c>
      <c r="FW213" s="239">
        <v>-287946</v>
      </c>
      <c r="FX213" s="239">
        <v>-31435</v>
      </c>
      <c r="FY213" s="239">
        <v>0</v>
      </c>
      <c r="FZ213" s="239">
        <v>-31435</v>
      </c>
      <c r="GA213" s="239">
        <v>-168640</v>
      </c>
      <c r="GB213" s="239">
        <v>0</v>
      </c>
      <c r="GC213" s="239">
        <v>-168640</v>
      </c>
      <c r="GD213" s="239">
        <v>0</v>
      </c>
      <c r="GE213" s="239">
        <v>0</v>
      </c>
      <c r="GF213" s="239">
        <v>0</v>
      </c>
      <c r="GG213" s="239">
        <v>-4210779</v>
      </c>
      <c r="GH213" s="239">
        <v>79520</v>
      </c>
      <c r="GI213" s="239">
        <v>-4131259</v>
      </c>
      <c r="GJ213" s="239">
        <v>12496166</v>
      </c>
      <c r="GK213" s="239">
        <v>2166584</v>
      </c>
      <c r="GL213" s="239">
        <v>14662750</v>
      </c>
      <c r="GM213" s="214" t="s">
        <v>1158</v>
      </c>
    </row>
    <row r="214" spans="2:195" s="214" customFormat="1" x14ac:dyDescent="0.2">
      <c r="B214" s="602" t="s">
        <v>511</v>
      </c>
      <c r="C214" s="602" t="s">
        <v>510</v>
      </c>
      <c r="D214" s="239">
        <v>-4093835</v>
      </c>
      <c r="E214" s="239">
        <v>0</v>
      </c>
      <c r="F214" s="239">
        <v>-4093835</v>
      </c>
      <c r="G214" s="239">
        <v>24953</v>
      </c>
      <c r="H214" s="239">
        <v>0</v>
      </c>
      <c r="I214" s="239">
        <v>24953</v>
      </c>
      <c r="J214" s="239">
        <v>1558460</v>
      </c>
      <c r="K214" s="239">
        <v>0</v>
      </c>
      <c r="L214" s="239">
        <v>1558460</v>
      </c>
      <c r="M214" s="239">
        <v>213804</v>
      </c>
      <c r="N214" s="239">
        <v>0</v>
      </c>
      <c r="O214" s="239">
        <v>213804</v>
      </c>
      <c r="P214" s="239">
        <v>-2296618</v>
      </c>
      <c r="Q214" s="239">
        <v>0</v>
      </c>
      <c r="R214" s="239">
        <v>-2296618</v>
      </c>
      <c r="S214" s="239">
        <v>-4266935</v>
      </c>
      <c r="T214" s="239">
        <v>0</v>
      </c>
      <c r="U214" s="239">
        <v>-4266935</v>
      </c>
      <c r="V214" s="239">
        <v>0</v>
      </c>
      <c r="W214" s="239">
        <v>0</v>
      </c>
      <c r="X214" s="239">
        <v>0</v>
      </c>
      <c r="Y214" s="239">
        <v>-159854</v>
      </c>
      <c r="Z214" s="239">
        <v>0</v>
      </c>
      <c r="AA214" s="239">
        <v>-159854</v>
      </c>
      <c r="AB214" s="239">
        <v>0</v>
      </c>
      <c r="AC214" s="239">
        <v>0</v>
      </c>
      <c r="AD214" s="239">
        <v>0</v>
      </c>
      <c r="AE214" s="239">
        <v>0</v>
      </c>
      <c r="AF214" s="239">
        <v>0</v>
      </c>
      <c r="AG214" s="239">
        <v>0</v>
      </c>
      <c r="AH214" s="239">
        <v>2148382</v>
      </c>
      <c r="AI214" s="239">
        <v>0</v>
      </c>
      <c r="AJ214" s="239">
        <v>2148382</v>
      </c>
      <c r="AK214" s="239">
        <v>-81701</v>
      </c>
      <c r="AL214" s="239">
        <v>0</v>
      </c>
      <c r="AM214" s="239">
        <v>-81701</v>
      </c>
      <c r="AN214" s="239">
        <v>-10422643</v>
      </c>
      <c r="AO214" s="239">
        <v>0</v>
      </c>
      <c r="AP214" s="239">
        <v>-10422643</v>
      </c>
      <c r="AQ214" s="239">
        <v>-92961</v>
      </c>
      <c r="AR214" s="239">
        <v>0</v>
      </c>
      <c r="AS214" s="239">
        <v>-92961</v>
      </c>
      <c r="AT214" s="239">
        <v>-68539</v>
      </c>
      <c r="AU214" s="239">
        <v>0</v>
      </c>
      <c r="AV214" s="239">
        <v>-68539</v>
      </c>
      <c r="AW214" s="239">
        <v>0</v>
      </c>
      <c r="AX214" s="239">
        <v>0</v>
      </c>
      <c r="AY214" s="239">
        <v>0</v>
      </c>
      <c r="AZ214" s="239">
        <v>0</v>
      </c>
      <c r="BA214" s="239">
        <v>0</v>
      </c>
      <c r="BB214" s="239">
        <v>0</v>
      </c>
      <c r="BC214" s="239">
        <v>0</v>
      </c>
      <c r="BD214" s="239">
        <v>0</v>
      </c>
      <c r="BE214" s="239">
        <v>0</v>
      </c>
      <c r="BF214" s="239">
        <v>-12944251</v>
      </c>
      <c r="BG214" s="239">
        <v>0</v>
      </c>
      <c r="BH214" s="239">
        <v>-12944251</v>
      </c>
      <c r="BI214" s="239">
        <v>0</v>
      </c>
      <c r="BJ214" s="239">
        <v>0</v>
      </c>
      <c r="BK214" s="239">
        <v>0</v>
      </c>
      <c r="BL214" s="239">
        <v>0</v>
      </c>
      <c r="BM214" s="239">
        <v>0</v>
      </c>
      <c r="BN214" s="239">
        <v>0</v>
      </c>
      <c r="BO214" s="239">
        <v>-2093766</v>
      </c>
      <c r="BP214" s="239">
        <v>0</v>
      </c>
      <c r="BQ214" s="239">
        <v>-2093766</v>
      </c>
      <c r="BR214" s="239">
        <v>-123605</v>
      </c>
      <c r="BS214" s="239">
        <v>0</v>
      </c>
      <c r="BT214" s="239">
        <v>-123605</v>
      </c>
      <c r="BU214" s="239">
        <v>-2217371</v>
      </c>
      <c r="BV214" s="239">
        <v>0</v>
      </c>
      <c r="BW214" s="239">
        <v>-2217371</v>
      </c>
      <c r="BX214" s="239">
        <v>-160583</v>
      </c>
      <c r="BY214" s="239">
        <v>0</v>
      </c>
      <c r="BZ214" s="239">
        <v>-160583</v>
      </c>
      <c r="CA214" s="239">
        <v>-2369</v>
      </c>
      <c r="CB214" s="239">
        <v>0</v>
      </c>
      <c r="CC214" s="239">
        <v>-2369</v>
      </c>
      <c r="CD214" s="239">
        <v>-116801</v>
      </c>
      <c r="CE214" s="239">
        <v>0</v>
      </c>
      <c r="CF214" s="239">
        <v>-116801</v>
      </c>
      <c r="CG214" s="239">
        <v>84</v>
      </c>
      <c r="CH214" s="239">
        <v>0</v>
      </c>
      <c r="CI214" s="239">
        <v>84</v>
      </c>
      <c r="CJ214" s="239">
        <v>-6767</v>
      </c>
      <c r="CK214" s="239">
        <v>0</v>
      </c>
      <c r="CL214" s="239">
        <v>-6767</v>
      </c>
      <c r="CM214" s="239">
        <v>0</v>
      </c>
      <c r="CN214" s="239">
        <v>0</v>
      </c>
      <c r="CO214" s="239">
        <v>0</v>
      </c>
      <c r="CP214" s="239">
        <v>0</v>
      </c>
      <c r="CQ214" s="239">
        <v>0</v>
      </c>
      <c r="CR214" s="239">
        <v>0</v>
      </c>
      <c r="CS214" s="239">
        <v>0</v>
      </c>
      <c r="CT214" s="239">
        <v>0</v>
      </c>
      <c r="CU214" s="239">
        <v>0</v>
      </c>
      <c r="CV214" s="239">
        <v>0</v>
      </c>
      <c r="CW214" s="239">
        <v>0</v>
      </c>
      <c r="CX214" s="239">
        <v>0</v>
      </c>
      <c r="CY214" s="239">
        <v>0</v>
      </c>
      <c r="CZ214" s="239">
        <v>0</v>
      </c>
      <c r="DA214" s="239">
        <v>0</v>
      </c>
      <c r="DB214" s="239">
        <v>0</v>
      </c>
      <c r="DC214" s="239">
        <v>0</v>
      </c>
      <c r="DD214" s="239">
        <v>0</v>
      </c>
      <c r="DE214" s="239">
        <v>0</v>
      </c>
      <c r="DF214" s="239">
        <v>0</v>
      </c>
      <c r="DG214" s="239">
        <v>0</v>
      </c>
      <c r="DH214" s="239">
        <v>0</v>
      </c>
      <c r="DI214" s="239">
        <v>0</v>
      </c>
      <c r="DJ214" s="239">
        <v>-286436</v>
      </c>
      <c r="DK214" s="239">
        <v>0</v>
      </c>
      <c r="DL214" s="239">
        <v>-286436</v>
      </c>
      <c r="DM214" s="239">
        <v>-10665</v>
      </c>
      <c r="DN214" s="239">
        <v>0</v>
      </c>
      <c r="DO214" s="239">
        <v>-10665</v>
      </c>
      <c r="DP214" s="239">
        <v>0</v>
      </c>
      <c r="DQ214" s="239">
        <v>0</v>
      </c>
      <c r="DR214" s="239">
        <v>0</v>
      </c>
      <c r="DS214" s="239">
        <v>0</v>
      </c>
      <c r="DT214" s="239">
        <v>0</v>
      </c>
      <c r="DU214" s="239">
        <v>0</v>
      </c>
      <c r="DV214" s="239">
        <v>0</v>
      </c>
      <c r="DW214" s="239">
        <v>0</v>
      </c>
      <c r="DX214" s="239">
        <v>0</v>
      </c>
      <c r="DY214" s="239">
        <v>0</v>
      </c>
      <c r="DZ214" s="239">
        <v>0</v>
      </c>
      <c r="EA214" s="239">
        <v>0</v>
      </c>
      <c r="EB214" s="239">
        <v>0</v>
      </c>
      <c r="EC214" s="239">
        <v>0</v>
      </c>
      <c r="ED214" s="239">
        <v>0</v>
      </c>
      <c r="EE214" s="239">
        <v>0</v>
      </c>
      <c r="EF214" s="239">
        <v>0</v>
      </c>
      <c r="EG214" s="239">
        <v>0</v>
      </c>
      <c r="EH214" s="239">
        <v>0</v>
      </c>
      <c r="EI214" s="239">
        <v>0</v>
      </c>
      <c r="EJ214" s="239">
        <v>0</v>
      </c>
      <c r="EK214" s="239">
        <v>0</v>
      </c>
      <c r="EL214" s="239">
        <v>0</v>
      </c>
      <c r="EM214" s="239">
        <v>0</v>
      </c>
      <c r="EN214" s="239">
        <v>0</v>
      </c>
      <c r="EO214" s="239">
        <v>0</v>
      </c>
      <c r="EP214" s="239">
        <v>0</v>
      </c>
      <c r="EQ214" s="239">
        <v>-27892</v>
      </c>
      <c r="ER214" s="239">
        <v>0</v>
      </c>
      <c r="ES214" s="239">
        <v>-27892</v>
      </c>
      <c r="ET214" s="239">
        <v>-663546</v>
      </c>
      <c r="EU214" s="239">
        <v>0</v>
      </c>
      <c r="EV214" s="239">
        <v>-663546</v>
      </c>
      <c r="EW214" s="239">
        <v>-40455</v>
      </c>
      <c r="EX214" s="239">
        <v>0</v>
      </c>
      <c r="EY214" s="239">
        <v>-40455</v>
      </c>
      <c r="EZ214" s="239">
        <v>-742558</v>
      </c>
      <c r="FA214" s="239">
        <v>0</v>
      </c>
      <c r="FB214" s="239">
        <v>-742558</v>
      </c>
      <c r="FC214" s="239">
        <v>0</v>
      </c>
      <c r="FD214" s="239">
        <v>0</v>
      </c>
      <c r="FE214" s="239">
        <v>0</v>
      </c>
      <c r="FF214" s="239">
        <v>0</v>
      </c>
      <c r="FG214" s="239">
        <v>0</v>
      </c>
      <c r="FH214" s="239">
        <v>0</v>
      </c>
      <c r="FI214" s="239">
        <v>0</v>
      </c>
      <c r="FJ214" s="239">
        <v>0</v>
      </c>
      <c r="FK214" s="239">
        <v>0</v>
      </c>
      <c r="FL214" s="239">
        <v>102814948</v>
      </c>
      <c r="FM214" s="239">
        <v>0</v>
      </c>
      <c r="FN214" s="239">
        <v>102814948</v>
      </c>
      <c r="FO214" s="239">
        <v>-2296618</v>
      </c>
      <c r="FP214" s="239">
        <v>0</v>
      </c>
      <c r="FQ214" s="239">
        <v>-2296618</v>
      </c>
      <c r="FR214" s="239">
        <v>-12944251</v>
      </c>
      <c r="FS214" s="239">
        <v>0</v>
      </c>
      <c r="FT214" s="239">
        <v>-12944251</v>
      </c>
      <c r="FU214" s="239">
        <v>-2217371</v>
      </c>
      <c r="FV214" s="239">
        <v>0</v>
      </c>
      <c r="FW214" s="239">
        <v>-2217371</v>
      </c>
      <c r="FX214" s="239">
        <v>-286436</v>
      </c>
      <c r="FY214" s="239">
        <v>0</v>
      </c>
      <c r="FZ214" s="239">
        <v>-286436</v>
      </c>
      <c r="GA214" s="239">
        <v>-742558</v>
      </c>
      <c r="GB214" s="239">
        <v>0</v>
      </c>
      <c r="GC214" s="239">
        <v>-742558</v>
      </c>
      <c r="GD214" s="239">
        <v>0</v>
      </c>
      <c r="GE214" s="239">
        <v>0</v>
      </c>
      <c r="GF214" s="239">
        <v>0</v>
      </c>
      <c r="GG214" s="239">
        <v>-18487234</v>
      </c>
      <c r="GH214" s="239">
        <v>0</v>
      </c>
      <c r="GI214" s="239">
        <v>-18487234</v>
      </c>
      <c r="GJ214" s="239">
        <v>84327714</v>
      </c>
      <c r="GK214" s="239">
        <v>0</v>
      </c>
      <c r="GL214" s="239">
        <v>84327714</v>
      </c>
      <c r="GM214" s="214" t="s">
        <v>1159</v>
      </c>
    </row>
    <row r="215" spans="2:195" s="214" customFormat="1" x14ac:dyDescent="0.2">
      <c r="B215" s="602" t="s">
        <v>513</v>
      </c>
      <c r="C215" s="602" t="s">
        <v>512</v>
      </c>
      <c r="D215" s="239">
        <v>-1296766</v>
      </c>
      <c r="E215" s="239">
        <v>0</v>
      </c>
      <c r="F215" s="239">
        <v>-1296766</v>
      </c>
      <c r="G215" s="239">
        <v>1756</v>
      </c>
      <c r="H215" s="239">
        <v>0</v>
      </c>
      <c r="I215" s="239">
        <v>1756</v>
      </c>
      <c r="J215" s="239">
        <v>1104362</v>
      </c>
      <c r="K215" s="239">
        <v>0</v>
      </c>
      <c r="L215" s="239">
        <v>1104362</v>
      </c>
      <c r="M215" s="239">
        <v>238</v>
      </c>
      <c r="N215" s="239">
        <v>0</v>
      </c>
      <c r="O215" s="239">
        <v>238</v>
      </c>
      <c r="P215" s="239">
        <v>-190410</v>
      </c>
      <c r="Q215" s="239">
        <v>0</v>
      </c>
      <c r="R215" s="239">
        <v>-190410</v>
      </c>
      <c r="S215" s="239">
        <v>-2635384</v>
      </c>
      <c r="T215" s="239">
        <v>0</v>
      </c>
      <c r="U215" s="239">
        <v>-2635384</v>
      </c>
      <c r="V215" s="239">
        <v>-74922</v>
      </c>
      <c r="W215" s="239">
        <v>0</v>
      </c>
      <c r="X215" s="239">
        <v>-74922</v>
      </c>
      <c r="Y215" s="239">
        <v>-123808</v>
      </c>
      <c r="Z215" s="239">
        <v>0</v>
      </c>
      <c r="AA215" s="239">
        <v>-123808</v>
      </c>
      <c r="AB215" s="239">
        <v>-123808</v>
      </c>
      <c r="AC215" s="239">
        <v>0</v>
      </c>
      <c r="AD215" s="239">
        <v>-123808</v>
      </c>
      <c r="AE215" s="239">
        <v>0</v>
      </c>
      <c r="AF215" s="239">
        <v>0</v>
      </c>
      <c r="AG215" s="239">
        <v>0</v>
      </c>
      <c r="AH215" s="239">
        <v>255678</v>
      </c>
      <c r="AI215" s="239">
        <v>0</v>
      </c>
      <c r="AJ215" s="239">
        <v>255678</v>
      </c>
      <c r="AK215" s="239">
        <v>50122</v>
      </c>
      <c r="AL215" s="239">
        <v>0</v>
      </c>
      <c r="AM215" s="239">
        <v>50122</v>
      </c>
      <c r="AN215" s="239">
        <v>-652010</v>
      </c>
      <c r="AO215" s="239">
        <v>0</v>
      </c>
      <c r="AP215" s="239">
        <v>-652010</v>
      </c>
      <c r="AQ215" s="239">
        <v>-2155</v>
      </c>
      <c r="AR215" s="239">
        <v>0</v>
      </c>
      <c r="AS215" s="239">
        <v>-2155</v>
      </c>
      <c r="AT215" s="239">
        <v>-45155</v>
      </c>
      <c r="AU215" s="239">
        <v>0</v>
      </c>
      <c r="AV215" s="239">
        <v>-45155</v>
      </c>
      <c r="AW215" s="239">
        <v>134</v>
      </c>
      <c r="AX215" s="239">
        <v>0</v>
      </c>
      <c r="AY215" s="239">
        <v>134</v>
      </c>
      <c r="AZ215" s="239">
        <v>-47733</v>
      </c>
      <c r="BA215" s="239">
        <v>0</v>
      </c>
      <c r="BB215" s="239">
        <v>-47733</v>
      </c>
      <c r="BC215" s="239">
        <v>-2247</v>
      </c>
      <c r="BD215" s="239">
        <v>0</v>
      </c>
      <c r="BE215" s="239">
        <v>-2247</v>
      </c>
      <c r="BF215" s="239">
        <v>-3202558</v>
      </c>
      <c r="BG215" s="239">
        <v>0</v>
      </c>
      <c r="BH215" s="239">
        <v>-3202558</v>
      </c>
      <c r="BI215" s="239">
        <v>-1900</v>
      </c>
      <c r="BJ215" s="239">
        <v>0</v>
      </c>
      <c r="BK215" s="239">
        <v>-1900</v>
      </c>
      <c r="BL215" s="239">
        <v>-5771</v>
      </c>
      <c r="BM215" s="239">
        <v>0</v>
      </c>
      <c r="BN215" s="239">
        <v>-5771</v>
      </c>
      <c r="BO215" s="239">
        <v>-326909</v>
      </c>
      <c r="BP215" s="239">
        <v>0</v>
      </c>
      <c r="BQ215" s="239">
        <v>-326909</v>
      </c>
      <c r="BR215" s="239">
        <v>-3907</v>
      </c>
      <c r="BS215" s="239">
        <v>0</v>
      </c>
      <c r="BT215" s="239">
        <v>-3907</v>
      </c>
      <c r="BU215" s="239">
        <v>-338487</v>
      </c>
      <c r="BV215" s="239">
        <v>0</v>
      </c>
      <c r="BW215" s="239">
        <v>-338487</v>
      </c>
      <c r="BX215" s="239">
        <v>-61868</v>
      </c>
      <c r="BY215" s="239">
        <v>0</v>
      </c>
      <c r="BZ215" s="239">
        <v>-61868</v>
      </c>
      <c r="CA215" s="239">
        <v>-258</v>
      </c>
      <c r="CB215" s="239">
        <v>0</v>
      </c>
      <c r="CC215" s="239">
        <v>-258</v>
      </c>
      <c r="CD215" s="239">
        <v>-8964</v>
      </c>
      <c r="CE215" s="239">
        <v>0</v>
      </c>
      <c r="CF215" s="239">
        <v>-8964</v>
      </c>
      <c r="CG215" s="239">
        <v>0</v>
      </c>
      <c r="CH215" s="239">
        <v>0</v>
      </c>
      <c r="CI215" s="239">
        <v>0</v>
      </c>
      <c r="CJ215" s="239">
        <v>-2326</v>
      </c>
      <c r="CK215" s="239">
        <v>0</v>
      </c>
      <c r="CL215" s="239">
        <v>-2326</v>
      </c>
      <c r="CM215" s="239">
        <v>33</v>
      </c>
      <c r="CN215" s="239">
        <v>0</v>
      </c>
      <c r="CO215" s="239">
        <v>33</v>
      </c>
      <c r="CP215" s="239">
        <v>-48943</v>
      </c>
      <c r="CQ215" s="239">
        <v>0</v>
      </c>
      <c r="CR215" s="239">
        <v>-48943</v>
      </c>
      <c r="CS215" s="239">
        <v>-1424</v>
      </c>
      <c r="CT215" s="239">
        <v>0</v>
      </c>
      <c r="CU215" s="239">
        <v>-1424</v>
      </c>
      <c r="CV215" s="239">
        <v>0</v>
      </c>
      <c r="CW215" s="239">
        <v>0</v>
      </c>
      <c r="CX215" s="239">
        <v>0</v>
      </c>
      <c r="CY215" s="239">
        <v>0</v>
      </c>
      <c r="CZ215" s="239">
        <v>0</v>
      </c>
      <c r="DA215" s="239">
        <v>0</v>
      </c>
      <c r="DB215" s="239">
        <v>0</v>
      </c>
      <c r="DC215" s="239">
        <v>0</v>
      </c>
      <c r="DD215" s="239">
        <v>0</v>
      </c>
      <c r="DE215" s="239">
        <v>0</v>
      </c>
      <c r="DF215" s="239">
        <v>0</v>
      </c>
      <c r="DG215" s="239">
        <v>0</v>
      </c>
      <c r="DH215" s="239">
        <v>0</v>
      </c>
      <c r="DI215" s="239">
        <v>0</v>
      </c>
      <c r="DJ215" s="239">
        <v>-123750</v>
      </c>
      <c r="DK215" s="239">
        <v>0</v>
      </c>
      <c r="DL215" s="239">
        <v>-123750</v>
      </c>
      <c r="DM215" s="239">
        <v>-25981</v>
      </c>
      <c r="DN215" s="239">
        <v>0</v>
      </c>
      <c r="DO215" s="239">
        <v>-25981</v>
      </c>
      <c r="DP215" s="239">
        <v>0</v>
      </c>
      <c r="DQ215" s="239">
        <v>0</v>
      </c>
      <c r="DR215" s="239">
        <v>0</v>
      </c>
      <c r="DS215" s="239">
        <v>0</v>
      </c>
      <c r="DT215" s="239">
        <v>0</v>
      </c>
      <c r="DU215" s="239">
        <v>0</v>
      </c>
      <c r="DV215" s="239">
        <v>0</v>
      </c>
      <c r="DW215" s="239">
        <v>0</v>
      </c>
      <c r="DX215" s="239">
        <v>0</v>
      </c>
      <c r="DY215" s="239">
        <v>738</v>
      </c>
      <c r="DZ215" s="239">
        <v>0</v>
      </c>
      <c r="EA215" s="239">
        <v>738</v>
      </c>
      <c r="EB215" s="239">
        <v>0</v>
      </c>
      <c r="EC215" s="239">
        <v>0</v>
      </c>
      <c r="ED215" s="239">
        <v>0</v>
      </c>
      <c r="EE215" s="239">
        <v>0</v>
      </c>
      <c r="EF215" s="239">
        <v>0</v>
      </c>
      <c r="EG215" s="239">
        <v>0</v>
      </c>
      <c r="EH215" s="239">
        <v>0</v>
      </c>
      <c r="EI215" s="239">
        <v>0</v>
      </c>
      <c r="EJ215" s="239">
        <v>0</v>
      </c>
      <c r="EK215" s="239">
        <v>0</v>
      </c>
      <c r="EL215" s="239">
        <v>0</v>
      </c>
      <c r="EM215" s="239">
        <v>0</v>
      </c>
      <c r="EN215" s="239">
        <v>0</v>
      </c>
      <c r="EO215" s="239">
        <v>0</v>
      </c>
      <c r="EP215" s="239">
        <v>0</v>
      </c>
      <c r="EQ215" s="239">
        <v>-40156</v>
      </c>
      <c r="ER215" s="239">
        <v>0</v>
      </c>
      <c r="ES215" s="239">
        <v>-40156</v>
      </c>
      <c r="ET215" s="239">
        <v>-211891</v>
      </c>
      <c r="EU215" s="239">
        <v>0</v>
      </c>
      <c r="EV215" s="239">
        <v>-211891</v>
      </c>
      <c r="EW215" s="239">
        <v>-50677</v>
      </c>
      <c r="EX215" s="239">
        <v>0</v>
      </c>
      <c r="EY215" s="239">
        <v>-50677</v>
      </c>
      <c r="EZ215" s="239">
        <v>-327967</v>
      </c>
      <c r="FA215" s="239">
        <v>0</v>
      </c>
      <c r="FB215" s="239">
        <v>-327967</v>
      </c>
      <c r="FC215" s="239">
        <v>0</v>
      </c>
      <c r="FD215" s="239">
        <v>0</v>
      </c>
      <c r="FE215" s="239">
        <v>0</v>
      </c>
      <c r="FF215" s="239">
        <v>-742</v>
      </c>
      <c r="FG215" s="239">
        <v>0</v>
      </c>
      <c r="FH215" s="239">
        <v>-742</v>
      </c>
      <c r="FI215" s="239">
        <v>-742</v>
      </c>
      <c r="FJ215" s="239">
        <v>0</v>
      </c>
      <c r="FK215" s="239">
        <v>-742</v>
      </c>
      <c r="FL215" s="239">
        <v>17179473</v>
      </c>
      <c r="FM215" s="239">
        <v>0</v>
      </c>
      <c r="FN215" s="239">
        <v>17179473</v>
      </c>
      <c r="FO215" s="239">
        <v>-190410</v>
      </c>
      <c r="FP215" s="239">
        <v>0</v>
      </c>
      <c r="FQ215" s="239">
        <v>-190410</v>
      </c>
      <c r="FR215" s="239">
        <v>-3202558</v>
      </c>
      <c r="FS215" s="239">
        <v>0</v>
      </c>
      <c r="FT215" s="239">
        <v>-3202558</v>
      </c>
      <c r="FU215" s="239">
        <v>-338487</v>
      </c>
      <c r="FV215" s="239">
        <v>0</v>
      </c>
      <c r="FW215" s="239">
        <v>-338487</v>
      </c>
      <c r="FX215" s="239">
        <v>-123750</v>
      </c>
      <c r="FY215" s="239">
        <v>0</v>
      </c>
      <c r="FZ215" s="239">
        <v>-123750</v>
      </c>
      <c r="GA215" s="239">
        <v>-327967</v>
      </c>
      <c r="GB215" s="239">
        <v>0</v>
      </c>
      <c r="GC215" s="239">
        <v>-327967</v>
      </c>
      <c r="GD215" s="239">
        <v>-742</v>
      </c>
      <c r="GE215" s="239">
        <v>0</v>
      </c>
      <c r="GF215" s="239">
        <v>-742</v>
      </c>
      <c r="GG215" s="239">
        <v>-4183914</v>
      </c>
      <c r="GH215" s="239">
        <v>0</v>
      </c>
      <c r="GI215" s="239">
        <v>-4183914</v>
      </c>
      <c r="GJ215" s="239">
        <v>12995559</v>
      </c>
      <c r="GK215" s="239">
        <v>0</v>
      </c>
      <c r="GL215" s="239">
        <v>12995559</v>
      </c>
      <c r="GM215" s="214" t="s">
        <v>1158</v>
      </c>
    </row>
    <row r="216" spans="2:195" s="214" customFormat="1" x14ac:dyDescent="0.2">
      <c r="B216" s="602" t="s">
        <v>515</v>
      </c>
      <c r="C216" s="602" t="s">
        <v>514</v>
      </c>
      <c r="D216" s="239">
        <v>-1926096</v>
      </c>
      <c r="E216" s="239">
        <v>0</v>
      </c>
      <c r="F216" s="239">
        <v>-1926096</v>
      </c>
      <c r="G216" s="239">
        <v>163225</v>
      </c>
      <c r="H216" s="239">
        <v>0</v>
      </c>
      <c r="I216" s="239">
        <v>163225</v>
      </c>
      <c r="J216" s="239">
        <v>5030071</v>
      </c>
      <c r="K216" s="239">
        <v>0</v>
      </c>
      <c r="L216" s="239">
        <v>5030071</v>
      </c>
      <c r="M216" s="239">
        <v>46285</v>
      </c>
      <c r="N216" s="239">
        <v>0</v>
      </c>
      <c r="O216" s="239">
        <v>46285</v>
      </c>
      <c r="P216" s="239">
        <v>3313485</v>
      </c>
      <c r="Q216" s="239">
        <v>0</v>
      </c>
      <c r="R216" s="239">
        <v>3313485</v>
      </c>
      <c r="S216" s="239">
        <v>-7899009</v>
      </c>
      <c r="T216" s="239">
        <v>0</v>
      </c>
      <c r="U216" s="239">
        <v>-7899009</v>
      </c>
      <c r="V216" s="239">
        <v>-6700</v>
      </c>
      <c r="W216" s="239">
        <v>0</v>
      </c>
      <c r="X216" s="239">
        <v>-6700</v>
      </c>
      <c r="Y216" s="239">
        <v>-147033</v>
      </c>
      <c r="Z216" s="239">
        <v>0</v>
      </c>
      <c r="AA216" s="239">
        <v>-147033</v>
      </c>
      <c r="AB216" s="239">
        <v>-121418</v>
      </c>
      <c r="AC216" s="239">
        <v>0</v>
      </c>
      <c r="AD216" s="239">
        <v>-121418</v>
      </c>
      <c r="AE216" s="239">
        <v>0</v>
      </c>
      <c r="AF216" s="239">
        <v>0</v>
      </c>
      <c r="AG216" s="239">
        <v>0</v>
      </c>
      <c r="AH216" s="239">
        <v>1502268</v>
      </c>
      <c r="AI216" s="239">
        <v>0</v>
      </c>
      <c r="AJ216" s="239">
        <v>1502268</v>
      </c>
      <c r="AK216" s="239">
        <v>-67925</v>
      </c>
      <c r="AL216" s="239">
        <v>0</v>
      </c>
      <c r="AM216" s="239">
        <v>-67925</v>
      </c>
      <c r="AN216" s="239">
        <v>-3816187</v>
      </c>
      <c r="AO216" s="239">
        <v>0</v>
      </c>
      <c r="AP216" s="239">
        <v>-3816187</v>
      </c>
      <c r="AQ216" s="239">
        <v>-46540</v>
      </c>
      <c r="AR216" s="239">
        <v>0</v>
      </c>
      <c r="AS216" s="239">
        <v>-46540</v>
      </c>
      <c r="AT216" s="239">
        <v>-50726</v>
      </c>
      <c r="AU216" s="239">
        <v>0</v>
      </c>
      <c r="AV216" s="239">
        <v>-50726</v>
      </c>
      <c r="AW216" s="239">
        <v>0</v>
      </c>
      <c r="AX216" s="239">
        <v>0</v>
      </c>
      <c r="AY216" s="239">
        <v>0</v>
      </c>
      <c r="AZ216" s="239">
        <v>0</v>
      </c>
      <c r="BA216" s="239">
        <v>0</v>
      </c>
      <c r="BB216" s="239">
        <v>0</v>
      </c>
      <c r="BC216" s="239">
        <v>0</v>
      </c>
      <c r="BD216" s="239">
        <v>0</v>
      </c>
      <c r="BE216" s="239">
        <v>0</v>
      </c>
      <c r="BF216" s="239">
        <v>-10525152</v>
      </c>
      <c r="BG216" s="239">
        <v>0</v>
      </c>
      <c r="BH216" s="239">
        <v>-10525152</v>
      </c>
      <c r="BI216" s="239">
        <v>-29533</v>
      </c>
      <c r="BJ216" s="239">
        <v>0</v>
      </c>
      <c r="BK216" s="239">
        <v>-29533</v>
      </c>
      <c r="BL216" s="239">
        <v>-8547</v>
      </c>
      <c r="BM216" s="239">
        <v>0</v>
      </c>
      <c r="BN216" s="239">
        <v>-8547</v>
      </c>
      <c r="BO216" s="239">
        <v>-3537100</v>
      </c>
      <c r="BP216" s="239">
        <v>0</v>
      </c>
      <c r="BQ216" s="239">
        <v>-3537100</v>
      </c>
      <c r="BR216" s="239">
        <v>146224</v>
      </c>
      <c r="BS216" s="239">
        <v>0</v>
      </c>
      <c r="BT216" s="239">
        <v>146224</v>
      </c>
      <c r="BU216" s="239">
        <v>-3428956</v>
      </c>
      <c r="BV216" s="239">
        <v>0</v>
      </c>
      <c r="BW216" s="239">
        <v>-3428956</v>
      </c>
      <c r="BX216" s="239">
        <v>-263107</v>
      </c>
      <c r="BY216" s="239">
        <v>0</v>
      </c>
      <c r="BZ216" s="239">
        <v>-263107</v>
      </c>
      <c r="CA216" s="239">
        <v>25050</v>
      </c>
      <c r="CB216" s="239">
        <v>0</v>
      </c>
      <c r="CC216" s="239">
        <v>25050</v>
      </c>
      <c r="CD216" s="239">
        <v>-69913</v>
      </c>
      <c r="CE216" s="239">
        <v>0</v>
      </c>
      <c r="CF216" s="239">
        <v>-69913</v>
      </c>
      <c r="CG216" s="239">
        <v>8130</v>
      </c>
      <c r="CH216" s="239">
        <v>0</v>
      </c>
      <c r="CI216" s="239">
        <v>8130</v>
      </c>
      <c r="CJ216" s="239">
        <v>-8900</v>
      </c>
      <c r="CK216" s="239">
        <v>0</v>
      </c>
      <c r="CL216" s="239">
        <v>-8900</v>
      </c>
      <c r="CM216" s="239">
        <v>0</v>
      </c>
      <c r="CN216" s="239">
        <v>0</v>
      </c>
      <c r="CO216" s="239">
        <v>0</v>
      </c>
      <c r="CP216" s="239">
        <v>0</v>
      </c>
      <c r="CQ216" s="239">
        <v>0</v>
      </c>
      <c r="CR216" s="239">
        <v>0</v>
      </c>
      <c r="CS216" s="239">
        <v>0</v>
      </c>
      <c r="CT216" s="239">
        <v>0</v>
      </c>
      <c r="CU216" s="239">
        <v>0</v>
      </c>
      <c r="CV216" s="239">
        <v>0</v>
      </c>
      <c r="CW216" s="239">
        <v>0</v>
      </c>
      <c r="CX216" s="239">
        <v>0</v>
      </c>
      <c r="CY216" s="239">
        <v>0</v>
      </c>
      <c r="CZ216" s="239">
        <v>0</v>
      </c>
      <c r="DA216" s="239">
        <v>0</v>
      </c>
      <c r="DB216" s="239">
        <v>-556715</v>
      </c>
      <c r="DC216" s="239">
        <v>0</v>
      </c>
      <c r="DD216" s="239">
        <v>-556715</v>
      </c>
      <c r="DE216" s="239">
        <v>9260</v>
      </c>
      <c r="DF216" s="239">
        <v>0</v>
      </c>
      <c r="DG216" s="239">
        <v>9260</v>
      </c>
      <c r="DH216" s="239">
        <v>0</v>
      </c>
      <c r="DI216" s="239">
        <v>0</v>
      </c>
      <c r="DJ216" s="239">
        <v>-856195</v>
      </c>
      <c r="DK216" s="239">
        <v>0</v>
      </c>
      <c r="DL216" s="239">
        <v>-856195</v>
      </c>
      <c r="DM216" s="239">
        <v>-112</v>
      </c>
      <c r="DN216" s="239">
        <v>0</v>
      </c>
      <c r="DO216" s="239">
        <v>-112</v>
      </c>
      <c r="DP216" s="239">
        <v>80488</v>
      </c>
      <c r="DQ216" s="239">
        <v>0</v>
      </c>
      <c r="DR216" s="239">
        <v>80488</v>
      </c>
      <c r="DS216" s="239">
        <v>-1505</v>
      </c>
      <c r="DT216" s="239">
        <v>0</v>
      </c>
      <c r="DU216" s="239">
        <v>-1505</v>
      </c>
      <c r="DV216" s="239">
        <v>5343</v>
      </c>
      <c r="DW216" s="239">
        <v>0</v>
      </c>
      <c r="DX216" s="239">
        <v>5343</v>
      </c>
      <c r="DY216" s="239">
        <v>1625</v>
      </c>
      <c r="DZ216" s="239">
        <v>0</v>
      </c>
      <c r="EA216" s="239">
        <v>1625</v>
      </c>
      <c r="EB216" s="239">
        <v>0</v>
      </c>
      <c r="EC216" s="239">
        <v>0</v>
      </c>
      <c r="ED216" s="239">
        <v>0</v>
      </c>
      <c r="EE216" s="239">
        <v>31</v>
      </c>
      <c r="EF216" s="239">
        <v>0</v>
      </c>
      <c r="EG216" s="239">
        <v>31</v>
      </c>
      <c r="EH216" s="239">
        <v>331</v>
      </c>
      <c r="EI216" s="239">
        <v>0</v>
      </c>
      <c r="EJ216" s="239">
        <v>331</v>
      </c>
      <c r="EK216" s="239">
        <v>0</v>
      </c>
      <c r="EL216" s="239">
        <v>0</v>
      </c>
      <c r="EM216" s="239">
        <v>0</v>
      </c>
      <c r="EN216" s="239">
        <v>0</v>
      </c>
      <c r="EO216" s="239">
        <v>0</v>
      </c>
      <c r="EP216" s="239">
        <v>0</v>
      </c>
      <c r="EQ216" s="239">
        <v>-33580</v>
      </c>
      <c r="ER216" s="239">
        <v>0</v>
      </c>
      <c r="ES216" s="239">
        <v>-33580</v>
      </c>
      <c r="ET216" s="239">
        <v>-261338</v>
      </c>
      <c r="EU216" s="239">
        <v>0</v>
      </c>
      <c r="EV216" s="239">
        <v>-261338</v>
      </c>
      <c r="EW216" s="239">
        <v>-62004</v>
      </c>
      <c r="EX216" s="239">
        <v>0</v>
      </c>
      <c r="EY216" s="239">
        <v>-62004</v>
      </c>
      <c r="EZ216" s="239">
        <v>-270721</v>
      </c>
      <c r="FA216" s="239">
        <v>0</v>
      </c>
      <c r="FB216" s="239">
        <v>-270721</v>
      </c>
      <c r="FC216" s="239">
        <v>0</v>
      </c>
      <c r="FD216" s="239">
        <v>0</v>
      </c>
      <c r="FE216" s="239">
        <v>0</v>
      </c>
      <c r="FF216" s="239">
        <v>0</v>
      </c>
      <c r="FG216" s="239">
        <v>0</v>
      </c>
      <c r="FH216" s="239">
        <v>0</v>
      </c>
      <c r="FI216" s="239">
        <v>0</v>
      </c>
      <c r="FJ216" s="239">
        <v>0</v>
      </c>
      <c r="FK216" s="239">
        <v>0</v>
      </c>
      <c r="FL216" s="239">
        <v>74184894</v>
      </c>
      <c r="FM216" s="239">
        <v>0</v>
      </c>
      <c r="FN216" s="239">
        <v>74184894</v>
      </c>
      <c r="FO216" s="239">
        <v>3313485</v>
      </c>
      <c r="FP216" s="239">
        <v>0</v>
      </c>
      <c r="FQ216" s="239">
        <v>3313485</v>
      </c>
      <c r="FR216" s="239">
        <v>-10525152</v>
      </c>
      <c r="FS216" s="239">
        <v>0</v>
      </c>
      <c r="FT216" s="239">
        <v>-10525152</v>
      </c>
      <c r="FU216" s="239">
        <v>-3428956</v>
      </c>
      <c r="FV216" s="239">
        <v>0</v>
      </c>
      <c r="FW216" s="239">
        <v>-3428956</v>
      </c>
      <c r="FX216" s="239">
        <v>-856195</v>
      </c>
      <c r="FY216" s="239">
        <v>0</v>
      </c>
      <c r="FZ216" s="239">
        <v>-856195</v>
      </c>
      <c r="GA216" s="239">
        <v>-270721</v>
      </c>
      <c r="GB216" s="239">
        <v>0</v>
      </c>
      <c r="GC216" s="239">
        <v>-270721</v>
      </c>
      <c r="GD216" s="239">
        <v>0</v>
      </c>
      <c r="GE216" s="239">
        <v>0</v>
      </c>
      <c r="GF216" s="239">
        <v>0</v>
      </c>
      <c r="GG216" s="239">
        <v>-11767539</v>
      </c>
      <c r="GH216" s="239">
        <v>0</v>
      </c>
      <c r="GI216" s="239">
        <v>-11767539</v>
      </c>
      <c r="GJ216" s="239">
        <v>62417355</v>
      </c>
      <c r="GK216" s="239">
        <v>0</v>
      </c>
      <c r="GL216" s="239">
        <v>62417355</v>
      </c>
      <c r="GM216" s="214" t="s">
        <v>1160</v>
      </c>
    </row>
    <row r="217" spans="2:195" s="214" customFormat="1" x14ac:dyDescent="0.2">
      <c r="B217" s="602" t="s">
        <v>517</v>
      </c>
      <c r="C217" s="602" t="s">
        <v>516</v>
      </c>
      <c r="D217" s="239">
        <v>-776088</v>
      </c>
      <c r="E217" s="239">
        <v>0</v>
      </c>
      <c r="F217" s="239">
        <v>-776088</v>
      </c>
      <c r="G217" s="239">
        <v>-6842</v>
      </c>
      <c r="H217" s="239">
        <v>0</v>
      </c>
      <c r="I217" s="239">
        <v>-6842</v>
      </c>
      <c r="J217" s="239">
        <v>413283</v>
      </c>
      <c r="K217" s="239">
        <v>0</v>
      </c>
      <c r="L217" s="239">
        <v>413283</v>
      </c>
      <c r="M217" s="239">
        <v>36666</v>
      </c>
      <c r="N217" s="239">
        <v>0</v>
      </c>
      <c r="O217" s="239">
        <v>36666</v>
      </c>
      <c r="P217" s="239">
        <v>-332981</v>
      </c>
      <c r="Q217" s="239">
        <v>0</v>
      </c>
      <c r="R217" s="239">
        <v>-332981</v>
      </c>
      <c r="S217" s="239">
        <v>-3149380</v>
      </c>
      <c r="T217" s="239">
        <v>0</v>
      </c>
      <c r="U217" s="239">
        <v>-3149380</v>
      </c>
      <c r="V217" s="239">
        <v>-6057</v>
      </c>
      <c r="W217" s="239">
        <v>0</v>
      </c>
      <c r="X217" s="239">
        <v>-6057</v>
      </c>
      <c r="Y217" s="239">
        <v>-216059</v>
      </c>
      <c r="Z217" s="239">
        <v>0</v>
      </c>
      <c r="AA217" s="239">
        <v>-216059</v>
      </c>
      <c r="AB217" s="239">
        <v>-182645</v>
      </c>
      <c r="AC217" s="239">
        <v>0</v>
      </c>
      <c r="AD217" s="239">
        <v>-182645</v>
      </c>
      <c r="AE217" s="239">
        <v>-998</v>
      </c>
      <c r="AF217" s="239">
        <v>0</v>
      </c>
      <c r="AG217" s="239">
        <v>-998</v>
      </c>
      <c r="AH217" s="239">
        <v>311460</v>
      </c>
      <c r="AI217" s="239">
        <v>0</v>
      </c>
      <c r="AJ217" s="239">
        <v>311460</v>
      </c>
      <c r="AK217" s="239">
        <v>-27051</v>
      </c>
      <c r="AL217" s="239">
        <v>0</v>
      </c>
      <c r="AM217" s="239">
        <v>-27051</v>
      </c>
      <c r="AN217" s="239">
        <v>-1436346</v>
      </c>
      <c r="AO217" s="239">
        <v>0</v>
      </c>
      <c r="AP217" s="239">
        <v>-1436346</v>
      </c>
      <c r="AQ217" s="239">
        <v>-626</v>
      </c>
      <c r="AR217" s="239">
        <v>0</v>
      </c>
      <c r="AS217" s="239">
        <v>-626</v>
      </c>
      <c r="AT217" s="239">
        <v>-12057</v>
      </c>
      <c r="AU217" s="239">
        <v>0</v>
      </c>
      <c r="AV217" s="239">
        <v>-12057</v>
      </c>
      <c r="AW217" s="239">
        <v>0</v>
      </c>
      <c r="AX217" s="239">
        <v>0</v>
      </c>
      <c r="AY217" s="239">
        <v>0</v>
      </c>
      <c r="AZ217" s="239">
        <v>0</v>
      </c>
      <c r="BA217" s="239">
        <v>0</v>
      </c>
      <c r="BB217" s="239">
        <v>0</v>
      </c>
      <c r="BC217" s="239">
        <v>0</v>
      </c>
      <c r="BD217" s="239">
        <v>0</v>
      </c>
      <c r="BE217" s="239">
        <v>0</v>
      </c>
      <c r="BF217" s="239">
        <v>-4530059</v>
      </c>
      <c r="BG217" s="239">
        <v>0</v>
      </c>
      <c r="BH217" s="239">
        <v>-4530059</v>
      </c>
      <c r="BI217" s="239">
        <v>-516</v>
      </c>
      <c r="BJ217" s="239">
        <v>0</v>
      </c>
      <c r="BK217" s="239">
        <v>-516</v>
      </c>
      <c r="BL217" s="239">
        <v>-82</v>
      </c>
      <c r="BM217" s="239">
        <v>0</v>
      </c>
      <c r="BN217" s="239">
        <v>-82</v>
      </c>
      <c r="BO217" s="239">
        <v>-446666</v>
      </c>
      <c r="BP217" s="239">
        <v>0</v>
      </c>
      <c r="BQ217" s="239">
        <v>-446666</v>
      </c>
      <c r="BR217" s="239">
        <v>-5990</v>
      </c>
      <c r="BS217" s="239">
        <v>0</v>
      </c>
      <c r="BT217" s="239">
        <v>-5990</v>
      </c>
      <c r="BU217" s="239">
        <v>-453254</v>
      </c>
      <c r="BV217" s="239">
        <v>0</v>
      </c>
      <c r="BW217" s="239">
        <v>-453254</v>
      </c>
      <c r="BX217" s="239">
        <v>-6490</v>
      </c>
      <c r="BY217" s="239">
        <v>0</v>
      </c>
      <c r="BZ217" s="239">
        <v>-6490</v>
      </c>
      <c r="CA217" s="239">
        <v>-232</v>
      </c>
      <c r="CB217" s="239">
        <v>0</v>
      </c>
      <c r="CC217" s="239">
        <v>-232</v>
      </c>
      <c r="CD217" s="239">
        <v>0</v>
      </c>
      <c r="CE217" s="239">
        <v>0</v>
      </c>
      <c r="CF217" s="239">
        <v>0</v>
      </c>
      <c r="CG217" s="239">
        <v>0</v>
      </c>
      <c r="CH217" s="239">
        <v>0</v>
      </c>
      <c r="CI217" s="239">
        <v>0</v>
      </c>
      <c r="CJ217" s="239">
        <v>0</v>
      </c>
      <c r="CK217" s="239">
        <v>0</v>
      </c>
      <c r="CL217" s="239">
        <v>0</v>
      </c>
      <c r="CM217" s="239">
        <v>0</v>
      </c>
      <c r="CN217" s="239">
        <v>0</v>
      </c>
      <c r="CO217" s="239">
        <v>0</v>
      </c>
      <c r="CP217" s="239">
        <v>0</v>
      </c>
      <c r="CQ217" s="239">
        <v>0</v>
      </c>
      <c r="CR217" s="239">
        <v>0</v>
      </c>
      <c r="CS217" s="239">
        <v>0</v>
      </c>
      <c r="CT217" s="239">
        <v>0</v>
      </c>
      <c r="CU217" s="239">
        <v>0</v>
      </c>
      <c r="CV217" s="239">
        <v>0</v>
      </c>
      <c r="CW217" s="239">
        <v>0</v>
      </c>
      <c r="CX217" s="239">
        <v>0</v>
      </c>
      <c r="CY217" s="239">
        <v>0</v>
      </c>
      <c r="CZ217" s="239">
        <v>0</v>
      </c>
      <c r="DA217" s="239">
        <v>0</v>
      </c>
      <c r="DB217" s="239">
        <v>0</v>
      </c>
      <c r="DC217" s="239">
        <v>0</v>
      </c>
      <c r="DD217" s="239">
        <v>0</v>
      </c>
      <c r="DE217" s="239">
        <v>0</v>
      </c>
      <c r="DF217" s="239">
        <v>0</v>
      </c>
      <c r="DG217" s="239">
        <v>0</v>
      </c>
      <c r="DH217" s="239">
        <v>0</v>
      </c>
      <c r="DI217" s="239">
        <v>0</v>
      </c>
      <c r="DJ217" s="239">
        <v>-6722</v>
      </c>
      <c r="DK217" s="239">
        <v>0</v>
      </c>
      <c r="DL217" s="239">
        <v>-6722</v>
      </c>
      <c r="DM217" s="239">
        <v>0</v>
      </c>
      <c r="DN217" s="239">
        <v>0</v>
      </c>
      <c r="DO217" s="239">
        <v>0</v>
      </c>
      <c r="DP217" s="239">
        <v>0</v>
      </c>
      <c r="DQ217" s="239">
        <v>0</v>
      </c>
      <c r="DR217" s="239">
        <v>0</v>
      </c>
      <c r="DS217" s="239">
        <v>-16801</v>
      </c>
      <c r="DT217" s="239">
        <v>0</v>
      </c>
      <c r="DU217" s="239">
        <v>-16801</v>
      </c>
      <c r="DV217" s="239">
        <v>-46221</v>
      </c>
      <c r="DW217" s="239">
        <v>0</v>
      </c>
      <c r="DX217" s="239">
        <v>-46221</v>
      </c>
      <c r="DY217" s="239">
        <v>0</v>
      </c>
      <c r="DZ217" s="239">
        <v>0</v>
      </c>
      <c r="EA217" s="239">
        <v>0</v>
      </c>
      <c r="EB217" s="239">
        <v>0</v>
      </c>
      <c r="EC217" s="239">
        <v>0</v>
      </c>
      <c r="ED217" s="239">
        <v>0</v>
      </c>
      <c r="EE217" s="239">
        <v>0</v>
      </c>
      <c r="EF217" s="239">
        <v>0</v>
      </c>
      <c r="EG217" s="239">
        <v>0</v>
      </c>
      <c r="EH217" s="239">
        <v>0</v>
      </c>
      <c r="EI217" s="239">
        <v>0</v>
      </c>
      <c r="EJ217" s="239">
        <v>0</v>
      </c>
      <c r="EK217" s="239">
        <v>0</v>
      </c>
      <c r="EL217" s="239">
        <v>0</v>
      </c>
      <c r="EM217" s="239">
        <v>0</v>
      </c>
      <c r="EN217" s="239">
        <v>0</v>
      </c>
      <c r="EO217" s="239">
        <v>0</v>
      </c>
      <c r="EP217" s="239">
        <v>0</v>
      </c>
      <c r="EQ217" s="239">
        <v>-8946</v>
      </c>
      <c r="ER217" s="239">
        <v>0</v>
      </c>
      <c r="ES217" s="239">
        <v>-8946</v>
      </c>
      <c r="ET217" s="239">
        <v>-125911</v>
      </c>
      <c r="EU217" s="239">
        <v>0</v>
      </c>
      <c r="EV217" s="239">
        <v>-125911</v>
      </c>
      <c r="EW217" s="239">
        <v>-12536</v>
      </c>
      <c r="EX217" s="239">
        <v>0</v>
      </c>
      <c r="EY217" s="239">
        <v>-12536</v>
      </c>
      <c r="EZ217" s="239">
        <v>-210415</v>
      </c>
      <c r="FA217" s="239">
        <v>0</v>
      </c>
      <c r="FB217" s="239">
        <v>-210415</v>
      </c>
      <c r="FC217" s="239">
        <v>0</v>
      </c>
      <c r="FD217" s="239">
        <v>0</v>
      </c>
      <c r="FE217" s="239">
        <v>0</v>
      </c>
      <c r="FF217" s="239">
        <v>0</v>
      </c>
      <c r="FG217" s="239">
        <v>0</v>
      </c>
      <c r="FH217" s="239">
        <v>0</v>
      </c>
      <c r="FI217" s="239">
        <v>0</v>
      </c>
      <c r="FJ217" s="239">
        <v>0</v>
      </c>
      <c r="FK217" s="239">
        <v>0</v>
      </c>
      <c r="FL217" s="239">
        <v>19942996</v>
      </c>
      <c r="FM217" s="239">
        <v>0</v>
      </c>
      <c r="FN217" s="239">
        <v>19942996</v>
      </c>
      <c r="FO217" s="239">
        <v>-332981</v>
      </c>
      <c r="FP217" s="239">
        <v>0</v>
      </c>
      <c r="FQ217" s="239">
        <v>-332981</v>
      </c>
      <c r="FR217" s="239">
        <v>-4530059</v>
      </c>
      <c r="FS217" s="239">
        <v>0</v>
      </c>
      <c r="FT217" s="239">
        <v>-4530059</v>
      </c>
      <c r="FU217" s="239">
        <v>-453254</v>
      </c>
      <c r="FV217" s="239">
        <v>0</v>
      </c>
      <c r="FW217" s="239">
        <v>-453254</v>
      </c>
      <c r="FX217" s="239">
        <v>-6722</v>
      </c>
      <c r="FY217" s="239">
        <v>0</v>
      </c>
      <c r="FZ217" s="239">
        <v>-6722</v>
      </c>
      <c r="GA217" s="239">
        <v>-210415</v>
      </c>
      <c r="GB217" s="239">
        <v>0</v>
      </c>
      <c r="GC217" s="239">
        <v>-210415</v>
      </c>
      <c r="GD217" s="239">
        <v>0</v>
      </c>
      <c r="GE217" s="239">
        <v>0</v>
      </c>
      <c r="GF217" s="239">
        <v>0</v>
      </c>
      <c r="GG217" s="239">
        <v>-5533431</v>
      </c>
      <c r="GH217" s="239">
        <v>0</v>
      </c>
      <c r="GI217" s="239">
        <v>-5533431</v>
      </c>
      <c r="GJ217" s="239">
        <v>14409565</v>
      </c>
      <c r="GK217" s="239">
        <v>0</v>
      </c>
      <c r="GL217" s="239">
        <v>14409565</v>
      </c>
      <c r="GM217" s="214" t="s">
        <v>1158</v>
      </c>
    </row>
    <row r="218" spans="2:195" s="214" customFormat="1" x14ac:dyDescent="0.2">
      <c r="B218" s="602" t="s">
        <v>519</v>
      </c>
      <c r="C218" s="602" t="s">
        <v>518</v>
      </c>
      <c r="D218" s="239">
        <v>-494043</v>
      </c>
      <c r="E218" s="239">
        <v>0</v>
      </c>
      <c r="F218" s="239">
        <v>-494043</v>
      </c>
      <c r="G218" s="239">
        <v>17370</v>
      </c>
      <c r="H218" s="239">
        <v>0</v>
      </c>
      <c r="I218" s="239">
        <v>17370</v>
      </c>
      <c r="J218" s="239">
        <v>1140826</v>
      </c>
      <c r="K218" s="239">
        <v>0</v>
      </c>
      <c r="L218" s="239">
        <v>1140826</v>
      </c>
      <c r="M218" s="239">
        <v>3509</v>
      </c>
      <c r="N218" s="239">
        <v>0</v>
      </c>
      <c r="O218" s="239">
        <v>3509</v>
      </c>
      <c r="P218" s="239">
        <v>667662</v>
      </c>
      <c r="Q218" s="239">
        <v>0</v>
      </c>
      <c r="R218" s="239">
        <v>667662</v>
      </c>
      <c r="S218" s="239">
        <v>-2862597</v>
      </c>
      <c r="T218" s="239">
        <v>0</v>
      </c>
      <c r="U218" s="239">
        <v>-2862597</v>
      </c>
      <c r="V218" s="239">
        <v>-2825</v>
      </c>
      <c r="W218" s="239">
        <v>0</v>
      </c>
      <c r="X218" s="239">
        <v>-2825</v>
      </c>
      <c r="Y218" s="239">
        <v>-96632</v>
      </c>
      <c r="Z218" s="239">
        <v>0</v>
      </c>
      <c r="AA218" s="239">
        <v>-96632</v>
      </c>
      <c r="AB218" s="239">
        <v>-96632</v>
      </c>
      <c r="AC218" s="239">
        <v>0</v>
      </c>
      <c r="AD218" s="239">
        <v>-96632</v>
      </c>
      <c r="AE218" s="239">
        <v>0</v>
      </c>
      <c r="AF218" s="239">
        <v>0</v>
      </c>
      <c r="AG218" s="239">
        <v>0</v>
      </c>
      <c r="AH218" s="239">
        <v>268025</v>
      </c>
      <c r="AI218" s="239">
        <v>0</v>
      </c>
      <c r="AJ218" s="239">
        <v>268025</v>
      </c>
      <c r="AK218" s="239">
        <v>0</v>
      </c>
      <c r="AL218" s="239">
        <v>0</v>
      </c>
      <c r="AM218" s="239">
        <v>0</v>
      </c>
      <c r="AN218" s="239">
        <v>-515804</v>
      </c>
      <c r="AO218" s="239">
        <v>0</v>
      </c>
      <c r="AP218" s="239">
        <v>-515804</v>
      </c>
      <c r="AQ218" s="239">
        <v>-8413</v>
      </c>
      <c r="AR218" s="239">
        <v>0</v>
      </c>
      <c r="AS218" s="239">
        <v>-8413</v>
      </c>
      <c r="AT218" s="239">
        <v>-50243</v>
      </c>
      <c r="AU218" s="239">
        <v>0</v>
      </c>
      <c r="AV218" s="239">
        <v>-50243</v>
      </c>
      <c r="AW218" s="239">
        <v>3925</v>
      </c>
      <c r="AX218" s="239">
        <v>0</v>
      </c>
      <c r="AY218" s="239">
        <v>3925</v>
      </c>
      <c r="AZ218" s="239">
        <v>0</v>
      </c>
      <c r="BA218" s="239">
        <v>0</v>
      </c>
      <c r="BB218" s="239">
        <v>0</v>
      </c>
      <c r="BC218" s="239">
        <v>0</v>
      </c>
      <c r="BD218" s="239">
        <v>0</v>
      </c>
      <c r="BE218" s="239">
        <v>0</v>
      </c>
      <c r="BF218" s="239">
        <v>-3261739</v>
      </c>
      <c r="BG218" s="239">
        <v>0</v>
      </c>
      <c r="BH218" s="239">
        <v>-3261739</v>
      </c>
      <c r="BI218" s="239">
        <v>0</v>
      </c>
      <c r="BJ218" s="239">
        <v>0</v>
      </c>
      <c r="BK218" s="239">
        <v>0</v>
      </c>
      <c r="BL218" s="239">
        <v>-14</v>
      </c>
      <c r="BM218" s="239">
        <v>0</v>
      </c>
      <c r="BN218" s="239">
        <v>-14</v>
      </c>
      <c r="BO218" s="239">
        <v>-781815</v>
      </c>
      <c r="BP218" s="239">
        <v>0</v>
      </c>
      <c r="BQ218" s="239">
        <v>-781815</v>
      </c>
      <c r="BR218" s="239">
        <v>-42366</v>
      </c>
      <c r="BS218" s="239">
        <v>0</v>
      </c>
      <c r="BT218" s="239">
        <v>-42366</v>
      </c>
      <c r="BU218" s="239">
        <v>-824195</v>
      </c>
      <c r="BV218" s="239">
        <v>0</v>
      </c>
      <c r="BW218" s="239">
        <v>-824195</v>
      </c>
      <c r="BX218" s="239">
        <v>-57371</v>
      </c>
      <c r="BY218" s="239">
        <v>0</v>
      </c>
      <c r="BZ218" s="239">
        <v>-57371</v>
      </c>
      <c r="CA218" s="239">
        <v>-991</v>
      </c>
      <c r="CB218" s="239">
        <v>0</v>
      </c>
      <c r="CC218" s="239">
        <v>-991</v>
      </c>
      <c r="CD218" s="239">
        <v>-33219</v>
      </c>
      <c r="CE218" s="239">
        <v>0</v>
      </c>
      <c r="CF218" s="239">
        <v>-33219</v>
      </c>
      <c r="CG218" s="239">
        <v>3927</v>
      </c>
      <c r="CH218" s="239">
        <v>0</v>
      </c>
      <c r="CI218" s="239">
        <v>3927</v>
      </c>
      <c r="CJ218" s="239">
        <v>-3207</v>
      </c>
      <c r="CK218" s="239">
        <v>0</v>
      </c>
      <c r="CL218" s="239">
        <v>-3207</v>
      </c>
      <c r="CM218" s="239">
        <v>-18</v>
      </c>
      <c r="CN218" s="239">
        <v>0</v>
      </c>
      <c r="CO218" s="239">
        <v>-18</v>
      </c>
      <c r="CP218" s="239">
        <v>0</v>
      </c>
      <c r="CQ218" s="239">
        <v>0</v>
      </c>
      <c r="CR218" s="239">
        <v>0</v>
      </c>
      <c r="CS218" s="239">
        <v>0</v>
      </c>
      <c r="CT218" s="239">
        <v>0</v>
      </c>
      <c r="CU218" s="239">
        <v>0</v>
      </c>
      <c r="CV218" s="239">
        <v>0</v>
      </c>
      <c r="CW218" s="239">
        <v>0</v>
      </c>
      <c r="CX218" s="239">
        <v>0</v>
      </c>
      <c r="CY218" s="239">
        <v>0</v>
      </c>
      <c r="CZ218" s="239">
        <v>0</v>
      </c>
      <c r="DA218" s="239">
        <v>0</v>
      </c>
      <c r="DB218" s="239">
        <v>0</v>
      </c>
      <c r="DC218" s="239">
        <v>0</v>
      </c>
      <c r="DD218" s="239">
        <v>0</v>
      </c>
      <c r="DE218" s="239">
        <v>0</v>
      </c>
      <c r="DF218" s="239">
        <v>0</v>
      </c>
      <c r="DG218" s="239">
        <v>0</v>
      </c>
      <c r="DH218" s="239">
        <v>0</v>
      </c>
      <c r="DI218" s="239">
        <v>0</v>
      </c>
      <c r="DJ218" s="239">
        <v>-90879</v>
      </c>
      <c r="DK218" s="239">
        <v>0</v>
      </c>
      <c r="DL218" s="239">
        <v>-90879</v>
      </c>
      <c r="DM218" s="239">
        <v>0</v>
      </c>
      <c r="DN218" s="239">
        <v>0</v>
      </c>
      <c r="DO218" s="239">
        <v>0</v>
      </c>
      <c r="DP218" s="239">
        <v>13102</v>
      </c>
      <c r="DQ218" s="239">
        <v>0</v>
      </c>
      <c r="DR218" s="239">
        <v>13102</v>
      </c>
      <c r="DS218" s="239">
        <v>0</v>
      </c>
      <c r="DT218" s="239">
        <v>0</v>
      </c>
      <c r="DU218" s="239">
        <v>0</v>
      </c>
      <c r="DV218" s="239">
        <v>0</v>
      </c>
      <c r="DW218" s="239">
        <v>0</v>
      </c>
      <c r="DX218" s="239">
        <v>0</v>
      </c>
      <c r="DY218" s="239">
        <v>2817</v>
      </c>
      <c r="DZ218" s="239">
        <v>0</v>
      </c>
      <c r="EA218" s="239">
        <v>2817</v>
      </c>
      <c r="EB218" s="239">
        <v>0</v>
      </c>
      <c r="EC218" s="239">
        <v>0</v>
      </c>
      <c r="ED218" s="239">
        <v>0</v>
      </c>
      <c r="EE218" s="239">
        <v>0</v>
      </c>
      <c r="EF218" s="239">
        <v>0</v>
      </c>
      <c r="EG218" s="239">
        <v>0</v>
      </c>
      <c r="EH218" s="239">
        <v>0</v>
      </c>
      <c r="EI218" s="239">
        <v>0</v>
      </c>
      <c r="EJ218" s="239">
        <v>0</v>
      </c>
      <c r="EK218" s="239">
        <v>-1816</v>
      </c>
      <c r="EL218" s="239">
        <v>0</v>
      </c>
      <c r="EM218" s="239">
        <v>-1816</v>
      </c>
      <c r="EN218" s="239">
        <v>0</v>
      </c>
      <c r="EO218" s="239">
        <v>0</v>
      </c>
      <c r="EP218" s="239">
        <v>0</v>
      </c>
      <c r="EQ218" s="239">
        <v>-7780</v>
      </c>
      <c r="ER218" s="239">
        <v>0</v>
      </c>
      <c r="ES218" s="239">
        <v>-7780</v>
      </c>
      <c r="ET218" s="239">
        <v>-98954</v>
      </c>
      <c r="EU218" s="239">
        <v>0</v>
      </c>
      <c r="EV218" s="239">
        <v>-98954</v>
      </c>
      <c r="EW218" s="239">
        <v>-21488</v>
      </c>
      <c r="EX218" s="239">
        <v>0</v>
      </c>
      <c r="EY218" s="239">
        <v>-21488</v>
      </c>
      <c r="EZ218" s="239">
        <v>-114119</v>
      </c>
      <c r="FA218" s="239">
        <v>0</v>
      </c>
      <c r="FB218" s="239">
        <v>-114119</v>
      </c>
      <c r="FC218" s="239">
        <v>0</v>
      </c>
      <c r="FD218" s="239">
        <v>0</v>
      </c>
      <c r="FE218" s="239">
        <v>0</v>
      </c>
      <c r="FF218" s="239">
        <v>0</v>
      </c>
      <c r="FG218" s="239">
        <v>0</v>
      </c>
      <c r="FH218" s="239">
        <v>0</v>
      </c>
      <c r="FI218" s="239">
        <v>0</v>
      </c>
      <c r="FJ218" s="239">
        <v>0</v>
      </c>
      <c r="FK218" s="239">
        <v>0</v>
      </c>
      <c r="FL218" s="239">
        <v>16118219</v>
      </c>
      <c r="FM218" s="239">
        <v>0</v>
      </c>
      <c r="FN218" s="239">
        <v>16118219</v>
      </c>
      <c r="FO218" s="239">
        <v>667662</v>
      </c>
      <c r="FP218" s="239">
        <v>0</v>
      </c>
      <c r="FQ218" s="239">
        <v>667662</v>
      </c>
      <c r="FR218" s="239">
        <v>-3261739</v>
      </c>
      <c r="FS218" s="239">
        <v>0</v>
      </c>
      <c r="FT218" s="239">
        <v>-3261739</v>
      </c>
      <c r="FU218" s="239">
        <v>-824195</v>
      </c>
      <c r="FV218" s="239">
        <v>0</v>
      </c>
      <c r="FW218" s="239">
        <v>-824195</v>
      </c>
      <c r="FX218" s="239">
        <v>-90879</v>
      </c>
      <c r="FY218" s="239">
        <v>0</v>
      </c>
      <c r="FZ218" s="239">
        <v>-90879</v>
      </c>
      <c r="GA218" s="239">
        <v>-114119</v>
      </c>
      <c r="GB218" s="239">
        <v>0</v>
      </c>
      <c r="GC218" s="239">
        <v>-114119</v>
      </c>
      <c r="GD218" s="239">
        <v>0</v>
      </c>
      <c r="GE218" s="239">
        <v>0</v>
      </c>
      <c r="GF218" s="239">
        <v>0</v>
      </c>
      <c r="GG218" s="239">
        <v>-3623270</v>
      </c>
      <c r="GH218" s="239">
        <v>0</v>
      </c>
      <c r="GI218" s="239">
        <v>-3623270</v>
      </c>
      <c r="GJ218" s="239">
        <v>12494949</v>
      </c>
      <c r="GK218" s="239">
        <v>0</v>
      </c>
      <c r="GL218" s="239">
        <v>12494949</v>
      </c>
      <c r="GM218" s="214" t="s">
        <v>1158</v>
      </c>
    </row>
    <row r="219" spans="2:195" s="214" customFormat="1" x14ac:dyDescent="0.2">
      <c r="B219" s="602" t="s">
        <v>521</v>
      </c>
      <c r="C219" s="602" t="s">
        <v>520</v>
      </c>
      <c r="D219" s="239">
        <v>-1397523</v>
      </c>
      <c r="E219" s="239">
        <v>0</v>
      </c>
      <c r="F219" s="239">
        <v>-1397523</v>
      </c>
      <c r="G219" s="239">
        <v>25571</v>
      </c>
      <c r="H219" s="239">
        <v>0</v>
      </c>
      <c r="I219" s="239">
        <v>25571</v>
      </c>
      <c r="J219" s="239">
        <v>401184</v>
      </c>
      <c r="K219" s="239">
        <v>0</v>
      </c>
      <c r="L219" s="239">
        <v>401184</v>
      </c>
      <c r="M219" s="239">
        <v>-1778</v>
      </c>
      <c r="N219" s="239">
        <v>0</v>
      </c>
      <c r="O219" s="239">
        <v>-1778</v>
      </c>
      <c r="P219" s="239">
        <v>-972546</v>
      </c>
      <c r="Q219" s="239">
        <v>0</v>
      </c>
      <c r="R219" s="239">
        <v>-972546</v>
      </c>
      <c r="S219" s="239">
        <v>-4289327</v>
      </c>
      <c r="T219" s="239">
        <v>0</v>
      </c>
      <c r="U219" s="239">
        <v>-4289327</v>
      </c>
      <c r="V219" s="239">
        <v>-3302</v>
      </c>
      <c r="W219" s="239">
        <v>0</v>
      </c>
      <c r="X219" s="239">
        <v>-3302</v>
      </c>
      <c r="Y219" s="239">
        <v>-192491</v>
      </c>
      <c r="Z219" s="239">
        <v>0</v>
      </c>
      <c r="AA219" s="239">
        <v>-192491</v>
      </c>
      <c r="AB219" s="239">
        <v>-180248</v>
      </c>
      <c r="AC219" s="239">
        <v>0</v>
      </c>
      <c r="AD219" s="239">
        <v>-180248</v>
      </c>
      <c r="AE219" s="239">
        <v>0</v>
      </c>
      <c r="AF219" s="239">
        <v>0</v>
      </c>
      <c r="AG219" s="239">
        <v>0</v>
      </c>
      <c r="AH219" s="239">
        <v>388061</v>
      </c>
      <c r="AI219" s="239">
        <v>0</v>
      </c>
      <c r="AJ219" s="239">
        <v>388061</v>
      </c>
      <c r="AK219" s="239">
        <v>-30335</v>
      </c>
      <c r="AL219" s="239">
        <v>0</v>
      </c>
      <c r="AM219" s="239">
        <v>-30335</v>
      </c>
      <c r="AN219" s="239">
        <v>-2400038</v>
      </c>
      <c r="AO219" s="239">
        <v>0</v>
      </c>
      <c r="AP219" s="239">
        <v>-2400038</v>
      </c>
      <c r="AQ219" s="239">
        <v>91496</v>
      </c>
      <c r="AR219" s="239">
        <v>0</v>
      </c>
      <c r="AS219" s="239">
        <v>91496</v>
      </c>
      <c r="AT219" s="239">
        <v>-73197</v>
      </c>
      <c r="AU219" s="239">
        <v>0</v>
      </c>
      <c r="AV219" s="239">
        <v>-73197</v>
      </c>
      <c r="AW219" s="239">
        <v>0</v>
      </c>
      <c r="AX219" s="239">
        <v>0</v>
      </c>
      <c r="AY219" s="239">
        <v>0</v>
      </c>
      <c r="AZ219" s="239">
        <v>-38563</v>
      </c>
      <c r="BA219" s="239">
        <v>0</v>
      </c>
      <c r="BB219" s="239">
        <v>-38563</v>
      </c>
      <c r="BC219" s="239">
        <v>0</v>
      </c>
      <c r="BD219" s="239">
        <v>0</v>
      </c>
      <c r="BE219" s="239">
        <v>0</v>
      </c>
      <c r="BF219" s="239">
        <v>-6544394</v>
      </c>
      <c r="BG219" s="239">
        <v>0</v>
      </c>
      <c r="BH219" s="239">
        <v>-6544394</v>
      </c>
      <c r="BI219" s="239">
        <v>-2230</v>
      </c>
      <c r="BJ219" s="239">
        <v>0</v>
      </c>
      <c r="BK219" s="239">
        <v>-2230</v>
      </c>
      <c r="BL219" s="239">
        <v>-14342</v>
      </c>
      <c r="BM219" s="239">
        <v>0</v>
      </c>
      <c r="BN219" s="239">
        <v>-14342</v>
      </c>
      <c r="BO219" s="239">
        <v>-457545</v>
      </c>
      <c r="BP219" s="239">
        <v>0</v>
      </c>
      <c r="BQ219" s="239">
        <v>-457545</v>
      </c>
      <c r="BR219" s="239">
        <v>-7410</v>
      </c>
      <c r="BS219" s="239">
        <v>0</v>
      </c>
      <c r="BT219" s="239">
        <v>-7410</v>
      </c>
      <c r="BU219" s="239">
        <v>-481527</v>
      </c>
      <c r="BV219" s="239">
        <v>0</v>
      </c>
      <c r="BW219" s="239">
        <v>-481527</v>
      </c>
      <c r="BX219" s="239">
        <v>-46700</v>
      </c>
      <c r="BY219" s="239">
        <v>0</v>
      </c>
      <c r="BZ219" s="239">
        <v>-46700</v>
      </c>
      <c r="CA219" s="239">
        <v>3504</v>
      </c>
      <c r="CB219" s="239">
        <v>0</v>
      </c>
      <c r="CC219" s="239">
        <v>3504</v>
      </c>
      <c r="CD219" s="239">
        <v>0</v>
      </c>
      <c r="CE219" s="239">
        <v>0</v>
      </c>
      <c r="CF219" s="239">
        <v>0</v>
      </c>
      <c r="CG219" s="239">
        <v>0</v>
      </c>
      <c r="CH219" s="239">
        <v>0</v>
      </c>
      <c r="CI219" s="239">
        <v>0</v>
      </c>
      <c r="CJ219" s="239">
        <v>-6390</v>
      </c>
      <c r="CK219" s="239">
        <v>0</v>
      </c>
      <c r="CL219" s="239">
        <v>-6390</v>
      </c>
      <c r="CM219" s="239">
        <v>0</v>
      </c>
      <c r="CN219" s="239">
        <v>0</v>
      </c>
      <c r="CO219" s="239">
        <v>0</v>
      </c>
      <c r="CP219" s="239">
        <v>0</v>
      </c>
      <c r="CQ219" s="239">
        <v>0</v>
      </c>
      <c r="CR219" s="239">
        <v>0</v>
      </c>
      <c r="CS219" s="239">
        <v>0</v>
      </c>
      <c r="CT219" s="239">
        <v>0</v>
      </c>
      <c r="CU219" s="239">
        <v>0</v>
      </c>
      <c r="CV219" s="239">
        <v>0</v>
      </c>
      <c r="CW219" s="239">
        <v>0</v>
      </c>
      <c r="CX219" s="239">
        <v>0</v>
      </c>
      <c r="CY219" s="239">
        <v>0</v>
      </c>
      <c r="CZ219" s="239">
        <v>0</v>
      </c>
      <c r="DA219" s="239">
        <v>0</v>
      </c>
      <c r="DB219" s="239">
        <v>0</v>
      </c>
      <c r="DC219" s="239">
        <v>0</v>
      </c>
      <c r="DD219" s="239">
        <v>0</v>
      </c>
      <c r="DE219" s="239">
        <v>0</v>
      </c>
      <c r="DF219" s="239">
        <v>0</v>
      </c>
      <c r="DG219" s="239">
        <v>0</v>
      </c>
      <c r="DH219" s="239">
        <v>0</v>
      </c>
      <c r="DI219" s="239">
        <v>0</v>
      </c>
      <c r="DJ219" s="239">
        <v>-49586</v>
      </c>
      <c r="DK219" s="239">
        <v>0</v>
      </c>
      <c r="DL219" s="239">
        <v>-49586</v>
      </c>
      <c r="DM219" s="239">
        <v>0</v>
      </c>
      <c r="DN219" s="239">
        <v>0</v>
      </c>
      <c r="DO219" s="239">
        <v>0</v>
      </c>
      <c r="DP219" s="239">
        <v>0</v>
      </c>
      <c r="DQ219" s="239">
        <v>0</v>
      </c>
      <c r="DR219" s="239">
        <v>0</v>
      </c>
      <c r="DS219" s="239">
        <v>-1447</v>
      </c>
      <c r="DT219" s="239">
        <v>0</v>
      </c>
      <c r="DU219" s="239">
        <v>-1447</v>
      </c>
      <c r="DV219" s="239">
        <v>0</v>
      </c>
      <c r="DW219" s="239">
        <v>0</v>
      </c>
      <c r="DX219" s="239">
        <v>0</v>
      </c>
      <c r="DY219" s="239">
        <v>162</v>
      </c>
      <c r="DZ219" s="239">
        <v>0</v>
      </c>
      <c r="EA219" s="239">
        <v>162</v>
      </c>
      <c r="EB219" s="239">
        <v>0</v>
      </c>
      <c r="EC219" s="239">
        <v>0</v>
      </c>
      <c r="ED219" s="239">
        <v>0</v>
      </c>
      <c r="EE219" s="239">
        <v>0</v>
      </c>
      <c r="EF219" s="239">
        <v>0</v>
      </c>
      <c r="EG219" s="239">
        <v>0</v>
      </c>
      <c r="EH219" s="239">
        <v>782</v>
      </c>
      <c r="EI219" s="239">
        <v>0</v>
      </c>
      <c r="EJ219" s="239">
        <v>782</v>
      </c>
      <c r="EK219" s="239">
        <v>-38563</v>
      </c>
      <c r="EL219" s="239">
        <v>0</v>
      </c>
      <c r="EM219" s="239">
        <v>-38563</v>
      </c>
      <c r="EN219" s="239">
        <v>0</v>
      </c>
      <c r="EO219" s="239">
        <v>0</v>
      </c>
      <c r="EP219" s="239">
        <v>0</v>
      </c>
      <c r="EQ219" s="239">
        <v>-45750</v>
      </c>
      <c r="ER219" s="239">
        <v>0</v>
      </c>
      <c r="ES219" s="239">
        <v>-45750</v>
      </c>
      <c r="ET219" s="239">
        <v>-143610</v>
      </c>
      <c r="EU219" s="239">
        <v>0</v>
      </c>
      <c r="EV219" s="239">
        <v>-143610</v>
      </c>
      <c r="EW219" s="239">
        <v>-36773</v>
      </c>
      <c r="EX219" s="239">
        <v>0</v>
      </c>
      <c r="EY219" s="239">
        <v>-36773</v>
      </c>
      <c r="EZ219" s="239">
        <v>-265199</v>
      </c>
      <c r="FA219" s="239">
        <v>0</v>
      </c>
      <c r="FB219" s="239">
        <v>-265199</v>
      </c>
      <c r="FC219" s="239">
        <v>-6784</v>
      </c>
      <c r="FD219" s="239">
        <v>0</v>
      </c>
      <c r="FE219" s="239">
        <v>-6784</v>
      </c>
      <c r="FF219" s="239">
        <v>-9505</v>
      </c>
      <c r="FG219" s="239">
        <v>0</v>
      </c>
      <c r="FH219" s="239">
        <v>-9505</v>
      </c>
      <c r="FI219" s="239">
        <v>-16289</v>
      </c>
      <c r="FJ219" s="239">
        <v>0</v>
      </c>
      <c r="FK219" s="239">
        <v>-16289</v>
      </c>
      <c r="FL219" s="239">
        <v>24849363</v>
      </c>
      <c r="FM219" s="239">
        <v>0</v>
      </c>
      <c r="FN219" s="239">
        <v>24849363</v>
      </c>
      <c r="FO219" s="239">
        <v>-972546</v>
      </c>
      <c r="FP219" s="239">
        <v>0</v>
      </c>
      <c r="FQ219" s="239">
        <v>-972546</v>
      </c>
      <c r="FR219" s="239">
        <v>-6544394</v>
      </c>
      <c r="FS219" s="239">
        <v>0</v>
      </c>
      <c r="FT219" s="239">
        <v>-6544394</v>
      </c>
      <c r="FU219" s="239">
        <v>-481527</v>
      </c>
      <c r="FV219" s="239">
        <v>0</v>
      </c>
      <c r="FW219" s="239">
        <v>-481527</v>
      </c>
      <c r="FX219" s="239">
        <v>-49586</v>
      </c>
      <c r="FY219" s="239">
        <v>0</v>
      </c>
      <c r="FZ219" s="239">
        <v>-49586</v>
      </c>
      <c r="GA219" s="239">
        <v>-265199</v>
      </c>
      <c r="GB219" s="239">
        <v>0</v>
      </c>
      <c r="GC219" s="239">
        <v>-265199</v>
      </c>
      <c r="GD219" s="239">
        <v>-16289</v>
      </c>
      <c r="GE219" s="239">
        <v>0</v>
      </c>
      <c r="GF219" s="239">
        <v>-16289</v>
      </c>
      <c r="GG219" s="239">
        <v>-8329541</v>
      </c>
      <c r="GH219" s="239">
        <v>0</v>
      </c>
      <c r="GI219" s="239">
        <v>-8329541</v>
      </c>
      <c r="GJ219" s="239">
        <v>16519822</v>
      </c>
      <c r="GK219" s="239">
        <v>0</v>
      </c>
      <c r="GL219" s="239">
        <v>16519822</v>
      </c>
      <c r="GM219" s="214" t="s">
        <v>1158</v>
      </c>
    </row>
    <row r="220" spans="2:195" s="214" customFormat="1" x14ac:dyDescent="0.2">
      <c r="B220" s="602" t="s">
        <v>523</v>
      </c>
      <c r="C220" s="602" t="s">
        <v>522</v>
      </c>
      <c r="D220" s="239">
        <v>-1985103</v>
      </c>
      <c r="E220" s="239">
        <v>-9342</v>
      </c>
      <c r="F220" s="239">
        <v>-1994445</v>
      </c>
      <c r="G220" s="239">
        <v>1518</v>
      </c>
      <c r="H220" s="239">
        <v>0</v>
      </c>
      <c r="I220" s="239">
        <v>1518</v>
      </c>
      <c r="J220" s="239">
        <v>6608465</v>
      </c>
      <c r="K220" s="239">
        <v>9845</v>
      </c>
      <c r="L220" s="239">
        <v>6618310</v>
      </c>
      <c r="M220" s="239">
        <v>14452</v>
      </c>
      <c r="N220" s="239">
        <v>0</v>
      </c>
      <c r="O220" s="239">
        <v>14452</v>
      </c>
      <c r="P220" s="239">
        <v>4639332</v>
      </c>
      <c r="Q220" s="239">
        <v>503</v>
      </c>
      <c r="R220" s="239">
        <v>4639835</v>
      </c>
      <c r="S220" s="239">
        <v>-7663948</v>
      </c>
      <c r="T220" s="239">
        <v>-17922</v>
      </c>
      <c r="U220" s="239">
        <v>-7681870</v>
      </c>
      <c r="V220" s="239">
        <v>-35805</v>
      </c>
      <c r="W220" s="239">
        <v>0</v>
      </c>
      <c r="X220" s="239">
        <v>-35805</v>
      </c>
      <c r="Y220" s="239">
        <v>-172915</v>
      </c>
      <c r="Z220" s="239">
        <v>-164</v>
      </c>
      <c r="AA220" s="239">
        <v>-173079</v>
      </c>
      <c r="AB220" s="239">
        <v>-2763</v>
      </c>
      <c r="AC220" s="239">
        <v>0</v>
      </c>
      <c r="AD220" s="239">
        <v>-2763</v>
      </c>
      <c r="AE220" s="239">
        <v>0</v>
      </c>
      <c r="AF220" s="239">
        <v>0</v>
      </c>
      <c r="AG220" s="239">
        <v>0</v>
      </c>
      <c r="AH220" s="239">
        <v>1731058</v>
      </c>
      <c r="AI220" s="239">
        <v>13662</v>
      </c>
      <c r="AJ220" s="239">
        <v>1744720</v>
      </c>
      <c r="AK220" s="239">
        <v>500161</v>
      </c>
      <c r="AL220" s="239">
        <v>1227</v>
      </c>
      <c r="AM220" s="239">
        <v>501388</v>
      </c>
      <c r="AN220" s="239">
        <v>-5235259</v>
      </c>
      <c r="AO220" s="239">
        <v>-114002</v>
      </c>
      <c r="AP220" s="239">
        <v>-5349261</v>
      </c>
      <c r="AQ220" s="239">
        <v>-108843</v>
      </c>
      <c r="AR220" s="239">
        <v>0</v>
      </c>
      <c r="AS220" s="239">
        <v>-108843</v>
      </c>
      <c r="AT220" s="239">
        <v>-15009</v>
      </c>
      <c r="AU220" s="239">
        <v>0</v>
      </c>
      <c r="AV220" s="239">
        <v>-15009</v>
      </c>
      <c r="AW220" s="239">
        <v>0</v>
      </c>
      <c r="AX220" s="239">
        <v>0</v>
      </c>
      <c r="AY220" s="239">
        <v>0</v>
      </c>
      <c r="AZ220" s="239">
        <v>-13127</v>
      </c>
      <c r="BA220" s="239">
        <v>0</v>
      </c>
      <c r="BB220" s="239">
        <v>-13127</v>
      </c>
      <c r="BC220" s="239">
        <v>0</v>
      </c>
      <c r="BD220" s="239">
        <v>0</v>
      </c>
      <c r="BE220" s="239">
        <v>0</v>
      </c>
      <c r="BF220" s="239">
        <v>-10977882</v>
      </c>
      <c r="BG220" s="239">
        <v>-117199</v>
      </c>
      <c r="BH220" s="239">
        <v>-11095081</v>
      </c>
      <c r="BI220" s="239">
        <v>0</v>
      </c>
      <c r="BJ220" s="239">
        <v>0</v>
      </c>
      <c r="BK220" s="239">
        <v>0</v>
      </c>
      <c r="BL220" s="239">
        <v>-12182</v>
      </c>
      <c r="BM220" s="239">
        <v>0</v>
      </c>
      <c r="BN220" s="239">
        <v>-12182</v>
      </c>
      <c r="BO220" s="239">
        <v>-1735438</v>
      </c>
      <c r="BP220" s="239">
        <v>-78570</v>
      </c>
      <c r="BQ220" s="239">
        <v>-1814008</v>
      </c>
      <c r="BR220" s="239">
        <v>-125241</v>
      </c>
      <c r="BS220" s="239">
        <v>0</v>
      </c>
      <c r="BT220" s="239">
        <v>-125241</v>
      </c>
      <c r="BU220" s="239">
        <v>-1872861</v>
      </c>
      <c r="BV220" s="239">
        <v>-78570</v>
      </c>
      <c r="BW220" s="239">
        <v>-1951431</v>
      </c>
      <c r="BX220" s="239">
        <v>-121427</v>
      </c>
      <c r="BY220" s="239">
        <v>0</v>
      </c>
      <c r="BZ220" s="239">
        <v>-121427</v>
      </c>
      <c r="CA220" s="239">
        <v>-9342</v>
      </c>
      <c r="CB220" s="239">
        <v>0</v>
      </c>
      <c r="CC220" s="239">
        <v>-9342</v>
      </c>
      <c r="CD220" s="239">
        <v>-644697</v>
      </c>
      <c r="CE220" s="239">
        <v>0</v>
      </c>
      <c r="CF220" s="239">
        <v>-644697</v>
      </c>
      <c r="CG220" s="239">
        <v>-16947</v>
      </c>
      <c r="CH220" s="239">
        <v>0</v>
      </c>
      <c r="CI220" s="239">
        <v>-16947</v>
      </c>
      <c r="CJ220" s="239">
        <v>-3752</v>
      </c>
      <c r="CK220" s="239">
        <v>0</v>
      </c>
      <c r="CL220" s="239">
        <v>-3752</v>
      </c>
      <c r="CM220" s="239">
        <v>0</v>
      </c>
      <c r="CN220" s="239">
        <v>0</v>
      </c>
      <c r="CO220" s="239">
        <v>0</v>
      </c>
      <c r="CP220" s="239">
        <v>0</v>
      </c>
      <c r="CQ220" s="239">
        <v>0</v>
      </c>
      <c r="CR220" s="239">
        <v>0</v>
      </c>
      <c r="CS220" s="239">
        <v>0</v>
      </c>
      <c r="CT220" s="239">
        <v>0</v>
      </c>
      <c r="CU220" s="239">
        <v>0</v>
      </c>
      <c r="CV220" s="239">
        <v>0</v>
      </c>
      <c r="CW220" s="239">
        <v>0</v>
      </c>
      <c r="CX220" s="239">
        <v>0</v>
      </c>
      <c r="CY220" s="239">
        <v>0</v>
      </c>
      <c r="CZ220" s="239">
        <v>0</v>
      </c>
      <c r="DA220" s="239">
        <v>0</v>
      </c>
      <c r="DB220" s="239">
        <v>0</v>
      </c>
      <c r="DC220" s="239">
        <v>-176239</v>
      </c>
      <c r="DD220" s="239">
        <v>-176239</v>
      </c>
      <c r="DE220" s="239">
        <v>0</v>
      </c>
      <c r="DF220" s="239">
        <v>-29578</v>
      </c>
      <c r="DG220" s="239">
        <v>-29578</v>
      </c>
      <c r="DH220" s="239">
        <v>-205817</v>
      </c>
      <c r="DI220" s="239">
        <v>0</v>
      </c>
      <c r="DJ220" s="239">
        <v>-796165</v>
      </c>
      <c r="DK220" s="239">
        <v>-205817</v>
      </c>
      <c r="DL220" s="239">
        <v>-1001982</v>
      </c>
      <c r="DM220" s="239">
        <v>-126816</v>
      </c>
      <c r="DN220" s="239">
        <v>0</v>
      </c>
      <c r="DO220" s="239">
        <v>-126816</v>
      </c>
      <c r="DP220" s="239">
        <v>-50626</v>
      </c>
      <c r="DQ220" s="239">
        <v>0</v>
      </c>
      <c r="DR220" s="239">
        <v>-50626</v>
      </c>
      <c r="DS220" s="239">
        <v>0</v>
      </c>
      <c r="DT220" s="239">
        <v>0</v>
      </c>
      <c r="DU220" s="239">
        <v>0</v>
      </c>
      <c r="DV220" s="239">
        <v>1906</v>
      </c>
      <c r="DW220" s="239">
        <v>0</v>
      </c>
      <c r="DX220" s="239">
        <v>1906</v>
      </c>
      <c r="DY220" s="239">
        <v>3201</v>
      </c>
      <c r="DZ220" s="239">
        <v>0</v>
      </c>
      <c r="EA220" s="239">
        <v>3201</v>
      </c>
      <c r="EB220" s="239">
        <v>0</v>
      </c>
      <c r="EC220" s="239">
        <v>0</v>
      </c>
      <c r="ED220" s="239">
        <v>0</v>
      </c>
      <c r="EE220" s="239">
        <v>0</v>
      </c>
      <c r="EF220" s="239">
        <v>0</v>
      </c>
      <c r="EG220" s="239">
        <v>0</v>
      </c>
      <c r="EH220" s="239">
        <v>-6373</v>
      </c>
      <c r="EI220" s="239">
        <v>-17765</v>
      </c>
      <c r="EJ220" s="239">
        <v>-24138</v>
      </c>
      <c r="EK220" s="239">
        <v>-13127</v>
      </c>
      <c r="EL220" s="239">
        <v>0</v>
      </c>
      <c r="EM220" s="239">
        <v>-13127</v>
      </c>
      <c r="EN220" s="239">
        <v>0</v>
      </c>
      <c r="EO220" s="239">
        <v>0</v>
      </c>
      <c r="EP220" s="239">
        <v>0</v>
      </c>
      <c r="EQ220" s="239">
        <v>-25196</v>
      </c>
      <c r="ER220" s="239">
        <v>0</v>
      </c>
      <c r="ES220" s="239">
        <v>-25196</v>
      </c>
      <c r="ET220" s="239">
        <v>-109551</v>
      </c>
      <c r="EU220" s="239">
        <v>0</v>
      </c>
      <c r="EV220" s="239">
        <v>-109551</v>
      </c>
      <c r="EW220" s="239">
        <v>-61018</v>
      </c>
      <c r="EX220" s="239">
        <v>0</v>
      </c>
      <c r="EY220" s="239">
        <v>-61018</v>
      </c>
      <c r="EZ220" s="239">
        <v>-387600</v>
      </c>
      <c r="FA220" s="239">
        <v>-17765</v>
      </c>
      <c r="FB220" s="239">
        <v>-405365</v>
      </c>
      <c r="FC220" s="239">
        <v>0</v>
      </c>
      <c r="FD220" s="239">
        <v>0</v>
      </c>
      <c r="FE220" s="239">
        <v>0</v>
      </c>
      <c r="FF220" s="239">
        <v>0</v>
      </c>
      <c r="FG220" s="239">
        <v>0</v>
      </c>
      <c r="FH220" s="239">
        <v>0</v>
      </c>
      <c r="FI220" s="239">
        <v>0</v>
      </c>
      <c r="FJ220" s="239">
        <v>0</v>
      </c>
      <c r="FK220" s="239">
        <v>0</v>
      </c>
      <c r="FL220" s="239">
        <v>85923226</v>
      </c>
      <c r="FM220" s="239">
        <v>993147</v>
      </c>
      <c r="FN220" s="239">
        <v>86916373</v>
      </c>
      <c r="FO220" s="239">
        <v>4639332</v>
      </c>
      <c r="FP220" s="239">
        <v>503</v>
      </c>
      <c r="FQ220" s="239">
        <v>4639835</v>
      </c>
      <c r="FR220" s="239">
        <v>-10977882</v>
      </c>
      <c r="FS220" s="239">
        <v>-117199</v>
      </c>
      <c r="FT220" s="239">
        <v>-11095081</v>
      </c>
      <c r="FU220" s="239">
        <v>-1872861</v>
      </c>
      <c r="FV220" s="239">
        <v>-78570</v>
      </c>
      <c r="FW220" s="239">
        <v>-1951431</v>
      </c>
      <c r="FX220" s="239">
        <v>-796165</v>
      </c>
      <c r="FY220" s="239">
        <v>-205817</v>
      </c>
      <c r="FZ220" s="239">
        <v>-1001982</v>
      </c>
      <c r="GA220" s="239">
        <v>-387600</v>
      </c>
      <c r="GB220" s="239">
        <v>-17765</v>
      </c>
      <c r="GC220" s="239">
        <v>-405365</v>
      </c>
      <c r="GD220" s="239">
        <v>0</v>
      </c>
      <c r="GE220" s="239">
        <v>0</v>
      </c>
      <c r="GF220" s="239">
        <v>0</v>
      </c>
      <c r="GG220" s="239">
        <v>-9395176</v>
      </c>
      <c r="GH220" s="239">
        <v>-418848</v>
      </c>
      <c r="GI220" s="239">
        <v>-9814024</v>
      </c>
      <c r="GJ220" s="239">
        <v>76528050</v>
      </c>
      <c r="GK220" s="239">
        <v>574299</v>
      </c>
      <c r="GL220" s="239">
        <v>77102349</v>
      </c>
      <c r="GM220" s="214" t="s">
        <v>1160</v>
      </c>
    </row>
    <row r="221" spans="2:195" s="214" customFormat="1" x14ac:dyDescent="0.2">
      <c r="B221" s="602" t="s">
        <v>525</v>
      </c>
      <c r="C221" s="602" t="s">
        <v>524</v>
      </c>
      <c r="D221" s="239">
        <v>-1208982</v>
      </c>
      <c r="E221" s="239">
        <v>0</v>
      </c>
      <c r="F221" s="239">
        <v>-1208982</v>
      </c>
      <c r="G221" s="239">
        <v>22347</v>
      </c>
      <c r="H221" s="239">
        <v>0</v>
      </c>
      <c r="I221" s="239">
        <v>22347</v>
      </c>
      <c r="J221" s="239">
        <v>3480074</v>
      </c>
      <c r="K221" s="239">
        <v>0</v>
      </c>
      <c r="L221" s="239">
        <v>3480074</v>
      </c>
      <c r="M221" s="239">
        <v>12579</v>
      </c>
      <c r="N221" s="239">
        <v>0</v>
      </c>
      <c r="O221" s="239">
        <v>12579</v>
      </c>
      <c r="P221" s="239">
        <v>2306018</v>
      </c>
      <c r="Q221" s="239">
        <v>0</v>
      </c>
      <c r="R221" s="239">
        <v>2306018</v>
      </c>
      <c r="S221" s="239">
        <v>-2878574</v>
      </c>
      <c r="T221" s="239">
        <v>0</v>
      </c>
      <c r="U221" s="239">
        <v>-2878574</v>
      </c>
      <c r="V221" s="239">
        <v>0</v>
      </c>
      <c r="W221" s="239">
        <v>0</v>
      </c>
      <c r="X221" s="239">
        <v>0</v>
      </c>
      <c r="Y221" s="239">
        <v>-62050</v>
      </c>
      <c r="Z221" s="239">
        <v>0</v>
      </c>
      <c r="AA221" s="239">
        <v>-62050</v>
      </c>
      <c r="AB221" s="239">
        <v>0</v>
      </c>
      <c r="AC221" s="239">
        <v>0</v>
      </c>
      <c r="AD221" s="239">
        <v>0</v>
      </c>
      <c r="AE221" s="239">
        <v>0</v>
      </c>
      <c r="AF221" s="239">
        <v>0</v>
      </c>
      <c r="AG221" s="239">
        <v>0</v>
      </c>
      <c r="AH221" s="239">
        <v>1246207</v>
      </c>
      <c r="AI221" s="239">
        <v>0</v>
      </c>
      <c r="AJ221" s="239">
        <v>1246207</v>
      </c>
      <c r="AK221" s="239">
        <v>-16195</v>
      </c>
      <c r="AL221" s="239">
        <v>0</v>
      </c>
      <c r="AM221" s="239">
        <v>-16195</v>
      </c>
      <c r="AN221" s="239">
        <v>-3228978</v>
      </c>
      <c r="AO221" s="239">
        <v>0</v>
      </c>
      <c r="AP221" s="239">
        <v>-3228978</v>
      </c>
      <c r="AQ221" s="239">
        <v>-12947</v>
      </c>
      <c r="AR221" s="239">
        <v>0</v>
      </c>
      <c r="AS221" s="239">
        <v>-12947</v>
      </c>
      <c r="AT221" s="239">
        <v>-72836</v>
      </c>
      <c r="AU221" s="239">
        <v>0</v>
      </c>
      <c r="AV221" s="239">
        <v>-72836</v>
      </c>
      <c r="AW221" s="239">
        <v>0</v>
      </c>
      <c r="AX221" s="239">
        <v>0</v>
      </c>
      <c r="AY221" s="239">
        <v>0</v>
      </c>
      <c r="AZ221" s="239">
        <v>-8858</v>
      </c>
      <c r="BA221" s="239">
        <v>0</v>
      </c>
      <c r="BB221" s="239">
        <v>-8858</v>
      </c>
      <c r="BC221" s="239">
        <v>0</v>
      </c>
      <c r="BD221" s="239">
        <v>0</v>
      </c>
      <c r="BE221" s="239">
        <v>0</v>
      </c>
      <c r="BF221" s="239">
        <v>-5034231</v>
      </c>
      <c r="BG221" s="239">
        <v>0</v>
      </c>
      <c r="BH221" s="239">
        <v>-5034231</v>
      </c>
      <c r="BI221" s="239">
        <v>-115611</v>
      </c>
      <c r="BJ221" s="239">
        <v>0</v>
      </c>
      <c r="BK221" s="239">
        <v>-115611</v>
      </c>
      <c r="BL221" s="239">
        <v>-124034</v>
      </c>
      <c r="BM221" s="239">
        <v>0</v>
      </c>
      <c r="BN221" s="239">
        <v>-124034</v>
      </c>
      <c r="BO221" s="239">
        <v>-1088461</v>
      </c>
      <c r="BP221" s="239">
        <v>0</v>
      </c>
      <c r="BQ221" s="239">
        <v>-1088461</v>
      </c>
      <c r="BR221" s="239">
        <v>-62062</v>
      </c>
      <c r="BS221" s="239">
        <v>0</v>
      </c>
      <c r="BT221" s="239">
        <v>-62062</v>
      </c>
      <c r="BU221" s="239">
        <v>-1390168</v>
      </c>
      <c r="BV221" s="239">
        <v>0</v>
      </c>
      <c r="BW221" s="239">
        <v>-1390168</v>
      </c>
      <c r="BX221" s="239">
        <v>-102449</v>
      </c>
      <c r="BY221" s="239">
        <v>0</v>
      </c>
      <c r="BZ221" s="239">
        <v>-102449</v>
      </c>
      <c r="CA221" s="239">
        <v>-1695</v>
      </c>
      <c r="CB221" s="239">
        <v>0</v>
      </c>
      <c r="CC221" s="239">
        <v>-1695</v>
      </c>
      <c r="CD221" s="239">
        <v>-9978</v>
      </c>
      <c r="CE221" s="239">
        <v>0</v>
      </c>
      <c r="CF221" s="239">
        <v>-9978</v>
      </c>
      <c r="CG221" s="239">
        <v>11523</v>
      </c>
      <c r="CH221" s="239">
        <v>0</v>
      </c>
      <c r="CI221" s="239">
        <v>11523</v>
      </c>
      <c r="CJ221" s="239">
        <v>0</v>
      </c>
      <c r="CK221" s="239">
        <v>0</v>
      </c>
      <c r="CL221" s="239">
        <v>0</v>
      </c>
      <c r="CM221" s="239">
        <v>0</v>
      </c>
      <c r="CN221" s="239">
        <v>0</v>
      </c>
      <c r="CO221" s="239">
        <v>0</v>
      </c>
      <c r="CP221" s="239">
        <v>0</v>
      </c>
      <c r="CQ221" s="239">
        <v>0</v>
      </c>
      <c r="CR221" s="239">
        <v>0</v>
      </c>
      <c r="CS221" s="239">
        <v>0</v>
      </c>
      <c r="CT221" s="239">
        <v>0</v>
      </c>
      <c r="CU221" s="239">
        <v>0</v>
      </c>
      <c r="CV221" s="239">
        <v>0</v>
      </c>
      <c r="CW221" s="239">
        <v>0</v>
      </c>
      <c r="CX221" s="239">
        <v>0</v>
      </c>
      <c r="CY221" s="239">
        <v>0</v>
      </c>
      <c r="CZ221" s="239">
        <v>0</v>
      </c>
      <c r="DA221" s="239">
        <v>0</v>
      </c>
      <c r="DB221" s="239">
        <v>0</v>
      </c>
      <c r="DC221" s="239">
        <v>0</v>
      </c>
      <c r="DD221" s="239">
        <v>0</v>
      </c>
      <c r="DE221" s="239">
        <v>0</v>
      </c>
      <c r="DF221" s="239">
        <v>0</v>
      </c>
      <c r="DG221" s="239">
        <v>0</v>
      </c>
      <c r="DH221" s="239">
        <v>0</v>
      </c>
      <c r="DI221" s="239">
        <v>0</v>
      </c>
      <c r="DJ221" s="239">
        <v>-102599</v>
      </c>
      <c r="DK221" s="239">
        <v>0</v>
      </c>
      <c r="DL221" s="239">
        <v>-102599</v>
      </c>
      <c r="DM221" s="239">
        <v>-85564</v>
      </c>
      <c r="DN221" s="239">
        <v>0</v>
      </c>
      <c r="DO221" s="239">
        <v>-85564</v>
      </c>
      <c r="DP221" s="239">
        <v>-2179</v>
      </c>
      <c r="DQ221" s="239">
        <v>0</v>
      </c>
      <c r="DR221" s="239">
        <v>-2179</v>
      </c>
      <c r="DS221" s="239">
        <v>-6088</v>
      </c>
      <c r="DT221" s="239">
        <v>0</v>
      </c>
      <c r="DU221" s="239">
        <v>-6088</v>
      </c>
      <c r="DV221" s="239">
        <v>-6837</v>
      </c>
      <c r="DW221" s="239">
        <v>0</v>
      </c>
      <c r="DX221" s="239">
        <v>-6837</v>
      </c>
      <c r="DY221" s="239">
        <v>0</v>
      </c>
      <c r="DZ221" s="239">
        <v>0</v>
      </c>
      <c r="EA221" s="239">
        <v>0</v>
      </c>
      <c r="EB221" s="239">
        <v>0</v>
      </c>
      <c r="EC221" s="239">
        <v>0</v>
      </c>
      <c r="ED221" s="239">
        <v>0</v>
      </c>
      <c r="EE221" s="239">
        <v>0</v>
      </c>
      <c r="EF221" s="239">
        <v>0</v>
      </c>
      <c r="EG221" s="239">
        <v>0</v>
      </c>
      <c r="EH221" s="239">
        <v>0</v>
      </c>
      <c r="EI221" s="239">
        <v>0</v>
      </c>
      <c r="EJ221" s="239">
        <v>0</v>
      </c>
      <c r="EK221" s="239">
        <v>-8858</v>
      </c>
      <c r="EL221" s="239">
        <v>0</v>
      </c>
      <c r="EM221" s="239">
        <v>-8858</v>
      </c>
      <c r="EN221" s="239">
        <v>0</v>
      </c>
      <c r="EO221" s="239">
        <v>0</v>
      </c>
      <c r="EP221" s="239">
        <v>0</v>
      </c>
      <c r="EQ221" s="239">
        <v>-20241</v>
      </c>
      <c r="ER221" s="239">
        <v>0</v>
      </c>
      <c r="ES221" s="239">
        <v>-20241</v>
      </c>
      <c r="ET221" s="239">
        <v>-232552</v>
      </c>
      <c r="EU221" s="239">
        <v>0</v>
      </c>
      <c r="EV221" s="239">
        <v>-232552</v>
      </c>
      <c r="EW221" s="239">
        <v>-46916</v>
      </c>
      <c r="EX221" s="239">
        <v>0</v>
      </c>
      <c r="EY221" s="239">
        <v>-46916</v>
      </c>
      <c r="EZ221" s="239">
        <v>-409235</v>
      </c>
      <c r="FA221" s="239">
        <v>0</v>
      </c>
      <c r="FB221" s="239">
        <v>-409235</v>
      </c>
      <c r="FC221" s="239">
        <v>0</v>
      </c>
      <c r="FD221" s="239">
        <v>0</v>
      </c>
      <c r="FE221" s="239">
        <v>0</v>
      </c>
      <c r="FF221" s="239">
        <v>0</v>
      </c>
      <c r="FG221" s="239">
        <v>0</v>
      </c>
      <c r="FH221" s="239">
        <v>0</v>
      </c>
      <c r="FI221" s="239">
        <v>0</v>
      </c>
      <c r="FJ221" s="239">
        <v>0</v>
      </c>
      <c r="FK221" s="239">
        <v>0</v>
      </c>
      <c r="FL221" s="239">
        <v>56307205</v>
      </c>
      <c r="FM221" s="239">
        <v>0</v>
      </c>
      <c r="FN221" s="239">
        <v>56307205</v>
      </c>
      <c r="FO221" s="239">
        <v>2306018</v>
      </c>
      <c r="FP221" s="239">
        <v>0</v>
      </c>
      <c r="FQ221" s="239">
        <v>2306018</v>
      </c>
      <c r="FR221" s="239">
        <v>-5034231</v>
      </c>
      <c r="FS221" s="239">
        <v>0</v>
      </c>
      <c r="FT221" s="239">
        <v>-5034231</v>
      </c>
      <c r="FU221" s="239">
        <v>-1390168</v>
      </c>
      <c r="FV221" s="239">
        <v>0</v>
      </c>
      <c r="FW221" s="239">
        <v>-1390168</v>
      </c>
      <c r="FX221" s="239">
        <v>-102599</v>
      </c>
      <c r="FY221" s="239">
        <v>0</v>
      </c>
      <c r="FZ221" s="239">
        <v>-102599</v>
      </c>
      <c r="GA221" s="239">
        <v>-409235</v>
      </c>
      <c r="GB221" s="239">
        <v>0</v>
      </c>
      <c r="GC221" s="239">
        <v>-409235</v>
      </c>
      <c r="GD221" s="239">
        <v>0</v>
      </c>
      <c r="GE221" s="239">
        <v>0</v>
      </c>
      <c r="GF221" s="239">
        <v>0</v>
      </c>
      <c r="GG221" s="239">
        <v>-4630215</v>
      </c>
      <c r="GH221" s="239">
        <v>0</v>
      </c>
      <c r="GI221" s="239">
        <v>-4630215</v>
      </c>
      <c r="GJ221" s="239">
        <v>51676990</v>
      </c>
      <c r="GK221" s="239">
        <v>0</v>
      </c>
      <c r="GL221" s="239">
        <v>51676990</v>
      </c>
      <c r="GM221" s="214" t="s">
        <v>1158</v>
      </c>
    </row>
    <row r="222" spans="2:195" s="214" customFormat="1" x14ac:dyDescent="0.2">
      <c r="B222" s="602" t="s">
        <v>527</v>
      </c>
      <c r="C222" s="602" t="s">
        <v>526</v>
      </c>
      <c r="D222" s="239">
        <v>-2450953</v>
      </c>
      <c r="E222" s="239">
        <v>-6590</v>
      </c>
      <c r="F222" s="239">
        <v>-2457543</v>
      </c>
      <c r="G222" s="239">
        <v>1798</v>
      </c>
      <c r="H222" s="239">
        <v>0</v>
      </c>
      <c r="I222" s="239">
        <v>1798</v>
      </c>
      <c r="J222" s="239">
        <v>585222</v>
      </c>
      <c r="K222" s="239">
        <v>5073</v>
      </c>
      <c r="L222" s="239">
        <v>590295</v>
      </c>
      <c r="M222" s="239">
        <v>790</v>
      </c>
      <c r="N222" s="239">
        <v>0</v>
      </c>
      <c r="O222" s="239">
        <v>790</v>
      </c>
      <c r="P222" s="239">
        <v>-1863143</v>
      </c>
      <c r="Q222" s="239">
        <v>-1517</v>
      </c>
      <c r="R222" s="239">
        <v>-1864660</v>
      </c>
      <c r="S222" s="239">
        <v>-2012900</v>
      </c>
      <c r="T222" s="239">
        <v>0</v>
      </c>
      <c r="U222" s="239">
        <v>-2012900</v>
      </c>
      <c r="V222" s="239">
        <v>0</v>
      </c>
      <c r="W222" s="239">
        <v>0</v>
      </c>
      <c r="X222" s="239">
        <v>0</v>
      </c>
      <c r="Y222" s="239">
        <v>-45800</v>
      </c>
      <c r="Z222" s="239">
        <v>0</v>
      </c>
      <c r="AA222" s="239">
        <v>-45800</v>
      </c>
      <c r="AB222" s="239">
        <v>-45800</v>
      </c>
      <c r="AC222" s="239">
        <v>0</v>
      </c>
      <c r="AD222" s="239">
        <v>-45800</v>
      </c>
      <c r="AE222" s="239">
        <v>0</v>
      </c>
      <c r="AF222" s="239">
        <v>0</v>
      </c>
      <c r="AG222" s="239">
        <v>0</v>
      </c>
      <c r="AH222" s="239">
        <v>1460211</v>
      </c>
      <c r="AI222" s="239">
        <v>15731</v>
      </c>
      <c r="AJ222" s="239">
        <v>1475942</v>
      </c>
      <c r="AK222" s="239">
        <v>-39931</v>
      </c>
      <c r="AL222" s="239">
        <v>0</v>
      </c>
      <c r="AM222" s="239">
        <v>-39931</v>
      </c>
      <c r="AN222" s="239">
        <v>-3818204</v>
      </c>
      <c r="AO222" s="239">
        <v>0</v>
      </c>
      <c r="AP222" s="239">
        <v>-3818204</v>
      </c>
      <c r="AQ222" s="239">
        <v>36199</v>
      </c>
      <c r="AR222" s="239">
        <v>0</v>
      </c>
      <c r="AS222" s="239">
        <v>36199</v>
      </c>
      <c r="AT222" s="239">
        <v>-35915</v>
      </c>
      <c r="AU222" s="239">
        <v>0</v>
      </c>
      <c r="AV222" s="239">
        <v>-35915</v>
      </c>
      <c r="AW222" s="239">
        <v>0</v>
      </c>
      <c r="AX222" s="239">
        <v>0</v>
      </c>
      <c r="AY222" s="239">
        <v>0</v>
      </c>
      <c r="AZ222" s="239">
        <v>0</v>
      </c>
      <c r="BA222" s="239">
        <v>0</v>
      </c>
      <c r="BB222" s="239">
        <v>0</v>
      </c>
      <c r="BC222" s="239">
        <v>0</v>
      </c>
      <c r="BD222" s="239">
        <v>0</v>
      </c>
      <c r="BE222" s="239">
        <v>0</v>
      </c>
      <c r="BF222" s="239">
        <v>-4456340</v>
      </c>
      <c r="BG222" s="239">
        <v>15731</v>
      </c>
      <c r="BH222" s="239">
        <v>-4440609</v>
      </c>
      <c r="BI222" s="239">
        <v>-9987</v>
      </c>
      <c r="BJ222" s="239">
        <v>0</v>
      </c>
      <c r="BK222" s="239">
        <v>-9987</v>
      </c>
      <c r="BL222" s="239">
        <v>0</v>
      </c>
      <c r="BM222" s="239">
        <v>0</v>
      </c>
      <c r="BN222" s="239">
        <v>0</v>
      </c>
      <c r="BO222" s="239">
        <v>-2800789</v>
      </c>
      <c r="BP222" s="239">
        <v>0</v>
      </c>
      <c r="BQ222" s="239">
        <v>-2800789</v>
      </c>
      <c r="BR222" s="239">
        <v>-114984</v>
      </c>
      <c r="BS222" s="239">
        <v>0</v>
      </c>
      <c r="BT222" s="239">
        <v>-114984</v>
      </c>
      <c r="BU222" s="239">
        <v>-2925760</v>
      </c>
      <c r="BV222" s="239">
        <v>0</v>
      </c>
      <c r="BW222" s="239">
        <v>-2925760</v>
      </c>
      <c r="BX222" s="239">
        <v>-19435</v>
      </c>
      <c r="BY222" s="239">
        <v>0</v>
      </c>
      <c r="BZ222" s="239">
        <v>-19435</v>
      </c>
      <c r="CA222" s="239">
        <v>0</v>
      </c>
      <c r="CB222" s="239">
        <v>0</v>
      </c>
      <c r="CC222" s="239">
        <v>0</v>
      </c>
      <c r="CD222" s="239">
        <v>0</v>
      </c>
      <c r="CE222" s="239">
        <v>0</v>
      </c>
      <c r="CF222" s="239">
        <v>0</v>
      </c>
      <c r="CG222" s="239">
        <v>0</v>
      </c>
      <c r="CH222" s="239">
        <v>0</v>
      </c>
      <c r="CI222" s="239">
        <v>0</v>
      </c>
      <c r="CJ222" s="239">
        <v>0</v>
      </c>
      <c r="CK222" s="239">
        <v>0</v>
      </c>
      <c r="CL222" s="239">
        <v>0</v>
      </c>
      <c r="CM222" s="239">
        <v>0</v>
      </c>
      <c r="CN222" s="239">
        <v>0</v>
      </c>
      <c r="CO222" s="239">
        <v>0</v>
      </c>
      <c r="CP222" s="239">
        <v>0</v>
      </c>
      <c r="CQ222" s="239">
        <v>0</v>
      </c>
      <c r="CR222" s="239">
        <v>0</v>
      </c>
      <c r="CS222" s="239">
        <v>0</v>
      </c>
      <c r="CT222" s="239">
        <v>0</v>
      </c>
      <c r="CU222" s="239">
        <v>0</v>
      </c>
      <c r="CV222" s="239">
        <v>0</v>
      </c>
      <c r="CW222" s="239">
        <v>0</v>
      </c>
      <c r="CX222" s="239">
        <v>0</v>
      </c>
      <c r="CY222" s="239">
        <v>0</v>
      </c>
      <c r="CZ222" s="239">
        <v>0</v>
      </c>
      <c r="DA222" s="239">
        <v>0</v>
      </c>
      <c r="DB222" s="239">
        <v>0</v>
      </c>
      <c r="DC222" s="239">
        <v>0</v>
      </c>
      <c r="DD222" s="239">
        <v>0</v>
      </c>
      <c r="DE222" s="239">
        <v>0</v>
      </c>
      <c r="DF222" s="239">
        <v>0</v>
      </c>
      <c r="DG222" s="239">
        <v>0</v>
      </c>
      <c r="DH222" s="239">
        <v>0</v>
      </c>
      <c r="DI222" s="239">
        <v>0</v>
      </c>
      <c r="DJ222" s="239">
        <v>-19435</v>
      </c>
      <c r="DK222" s="239">
        <v>0</v>
      </c>
      <c r="DL222" s="239">
        <v>-19435</v>
      </c>
      <c r="DM222" s="239">
        <v>-182603</v>
      </c>
      <c r="DN222" s="239">
        <v>0</v>
      </c>
      <c r="DO222" s="239">
        <v>-182603</v>
      </c>
      <c r="DP222" s="239">
        <v>0</v>
      </c>
      <c r="DQ222" s="239">
        <v>0</v>
      </c>
      <c r="DR222" s="239">
        <v>0</v>
      </c>
      <c r="DS222" s="239">
        <v>0</v>
      </c>
      <c r="DT222" s="239">
        <v>0</v>
      </c>
      <c r="DU222" s="239">
        <v>0</v>
      </c>
      <c r="DV222" s="239">
        <v>0</v>
      </c>
      <c r="DW222" s="239">
        <v>0</v>
      </c>
      <c r="DX222" s="239">
        <v>0</v>
      </c>
      <c r="DY222" s="239">
        <v>572</v>
      </c>
      <c r="DZ222" s="239">
        <v>0</v>
      </c>
      <c r="EA222" s="239">
        <v>572</v>
      </c>
      <c r="EB222" s="239">
        <v>0</v>
      </c>
      <c r="EC222" s="239">
        <v>0</v>
      </c>
      <c r="ED222" s="239">
        <v>0</v>
      </c>
      <c r="EE222" s="239">
        <v>29876</v>
      </c>
      <c r="EF222" s="239">
        <v>0</v>
      </c>
      <c r="EG222" s="239">
        <v>29876</v>
      </c>
      <c r="EH222" s="239">
        <v>0</v>
      </c>
      <c r="EI222" s="239">
        <v>0</v>
      </c>
      <c r="EJ222" s="239">
        <v>0</v>
      </c>
      <c r="EK222" s="239">
        <v>0</v>
      </c>
      <c r="EL222" s="239">
        <v>0</v>
      </c>
      <c r="EM222" s="239">
        <v>0</v>
      </c>
      <c r="EN222" s="239">
        <v>0</v>
      </c>
      <c r="EO222" s="239">
        <v>0</v>
      </c>
      <c r="EP222" s="239">
        <v>0</v>
      </c>
      <c r="EQ222" s="239">
        <v>-28695</v>
      </c>
      <c r="ER222" s="239">
        <v>0</v>
      </c>
      <c r="ES222" s="239">
        <v>-28695</v>
      </c>
      <c r="ET222" s="239">
        <v>-68610</v>
      </c>
      <c r="EU222" s="239">
        <v>0</v>
      </c>
      <c r="EV222" s="239">
        <v>-68610</v>
      </c>
      <c r="EW222" s="239">
        <v>-20808</v>
      </c>
      <c r="EX222" s="239">
        <v>0</v>
      </c>
      <c r="EY222" s="239">
        <v>-20808</v>
      </c>
      <c r="EZ222" s="239">
        <v>-270268</v>
      </c>
      <c r="FA222" s="239">
        <v>0</v>
      </c>
      <c r="FB222" s="239">
        <v>-270268</v>
      </c>
      <c r="FC222" s="239">
        <v>0</v>
      </c>
      <c r="FD222" s="239">
        <v>0</v>
      </c>
      <c r="FE222" s="239">
        <v>0</v>
      </c>
      <c r="FF222" s="239">
        <v>0</v>
      </c>
      <c r="FG222" s="239">
        <v>0</v>
      </c>
      <c r="FH222" s="239">
        <v>0</v>
      </c>
      <c r="FI222" s="239">
        <v>0</v>
      </c>
      <c r="FJ222" s="239">
        <v>0</v>
      </c>
      <c r="FK222" s="239">
        <v>0</v>
      </c>
      <c r="FL222" s="239">
        <v>61102473</v>
      </c>
      <c r="FM222" s="239">
        <v>703300</v>
      </c>
      <c r="FN222" s="239">
        <v>61805773</v>
      </c>
      <c r="FO222" s="239">
        <v>-1863143</v>
      </c>
      <c r="FP222" s="239">
        <v>-1517</v>
      </c>
      <c r="FQ222" s="239">
        <v>-1864660</v>
      </c>
      <c r="FR222" s="239">
        <v>-4456340</v>
      </c>
      <c r="FS222" s="239">
        <v>15731</v>
      </c>
      <c r="FT222" s="239">
        <v>-4440609</v>
      </c>
      <c r="FU222" s="239">
        <v>-2925760</v>
      </c>
      <c r="FV222" s="239">
        <v>0</v>
      </c>
      <c r="FW222" s="239">
        <v>-2925760</v>
      </c>
      <c r="FX222" s="239">
        <v>-19435</v>
      </c>
      <c r="FY222" s="239">
        <v>0</v>
      </c>
      <c r="FZ222" s="239">
        <v>-19435</v>
      </c>
      <c r="GA222" s="239">
        <v>-270268</v>
      </c>
      <c r="GB222" s="239">
        <v>0</v>
      </c>
      <c r="GC222" s="239">
        <v>-270268</v>
      </c>
      <c r="GD222" s="239">
        <v>0</v>
      </c>
      <c r="GE222" s="239">
        <v>0</v>
      </c>
      <c r="GF222" s="239">
        <v>0</v>
      </c>
      <c r="GG222" s="239">
        <v>-9534946</v>
      </c>
      <c r="GH222" s="239">
        <v>14214</v>
      </c>
      <c r="GI222" s="239">
        <v>-9520732</v>
      </c>
      <c r="GJ222" s="239">
        <v>51567527</v>
      </c>
      <c r="GK222" s="239">
        <v>717514</v>
      </c>
      <c r="GL222" s="239">
        <v>52285041</v>
      </c>
      <c r="GM222" s="214" t="s">
        <v>1158</v>
      </c>
    </row>
    <row r="223" spans="2:195" s="214" customFormat="1" x14ac:dyDescent="0.2">
      <c r="B223" s="602" t="s">
        <v>529</v>
      </c>
      <c r="C223" s="602" t="s">
        <v>528</v>
      </c>
      <c r="D223" s="239">
        <v>-1531395</v>
      </c>
      <c r="E223" s="239">
        <v>0</v>
      </c>
      <c r="F223" s="239">
        <v>-1531395</v>
      </c>
      <c r="G223" s="239">
        <v>32481</v>
      </c>
      <c r="H223" s="239">
        <v>0</v>
      </c>
      <c r="I223" s="239">
        <v>32481</v>
      </c>
      <c r="J223" s="239">
        <v>3618426</v>
      </c>
      <c r="K223" s="239">
        <v>0</v>
      </c>
      <c r="L223" s="239">
        <v>3618426</v>
      </c>
      <c r="M223" s="239">
        <v>-54286</v>
      </c>
      <c r="N223" s="239">
        <v>0</v>
      </c>
      <c r="O223" s="239">
        <v>-54286</v>
      </c>
      <c r="P223" s="239">
        <v>2065226</v>
      </c>
      <c r="Q223" s="239">
        <v>0</v>
      </c>
      <c r="R223" s="239">
        <v>2065226</v>
      </c>
      <c r="S223" s="239">
        <v>-2701801</v>
      </c>
      <c r="T223" s="239">
        <v>0</v>
      </c>
      <c r="U223" s="239">
        <v>-2701801</v>
      </c>
      <c r="V223" s="239">
        <v>-7719</v>
      </c>
      <c r="W223" s="239">
        <v>0</v>
      </c>
      <c r="X223" s="239">
        <v>-7719</v>
      </c>
      <c r="Y223" s="239">
        <v>-158015</v>
      </c>
      <c r="Z223" s="239">
        <v>0</v>
      </c>
      <c r="AA223" s="239">
        <v>-158015</v>
      </c>
      <c r="AB223" s="239">
        <v>-1113</v>
      </c>
      <c r="AC223" s="239">
        <v>0</v>
      </c>
      <c r="AD223" s="239">
        <v>-1113</v>
      </c>
      <c r="AE223" s="239">
        <v>0</v>
      </c>
      <c r="AF223" s="239">
        <v>0</v>
      </c>
      <c r="AG223" s="239">
        <v>0</v>
      </c>
      <c r="AH223" s="239">
        <v>616664</v>
      </c>
      <c r="AI223" s="239">
        <v>0</v>
      </c>
      <c r="AJ223" s="239">
        <v>616664</v>
      </c>
      <c r="AK223" s="239">
        <v>-56919</v>
      </c>
      <c r="AL223" s="239">
        <v>0</v>
      </c>
      <c r="AM223" s="239">
        <v>-56919</v>
      </c>
      <c r="AN223" s="239">
        <v>-3135218</v>
      </c>
      <c r="AO223" s="239">
        <v>0</v>
      </c>
      <c r="AP223" s="239">
        <v>-3135218</v>
      </c>
      <c r="AQ223" s="239">
        <v>-97002</v>
      </c>
      <c r="AR223" s="239">
        <v>0</v>
      </c>
      <c r="AS223" s="239">
        <v>-97002</v>
      </c>
      <c r="AT223" s="239">
        <v>-72155</v>
      </c>
      <c r="AU223" s="239">
        <v>0</v>
      </c>
      <c r="AV223" s="239">
        <v>-72155</v>
      </c>
      <c r="AW223" s="239">
        <v>-2257</v>
      </c>
      <c r="AX223" s="239">
        <v>0</v>
      </c>
      <c r="AY223" s="239">
        <v>-2257</v>
      </c>
      <c r="AZ223" s="239">
        <v>-8498</v>
      </c>
      <c r="BA223" s="239">
        <v>0</v>
      </c>
      <c r="BB223" s="239">
        <v>-8498</v>
      </c>
      <c r="BC223" s="239">
        <v>0</v>
      </c>
      <c r="BD223" s="239">
        <v>0</v>
      </c>
      <c r="BE223" s="239">
        <v>0</v>
      </c>
      <c r="BF223" s="239">
        <v>-5615201</v>
      </c>
      <c r="BG223" s="239">
        <v>0</v>
      </c>
      <c r="BH223" s="239">
        <v>-5615201</v>
      </c>
      <c r="BI223" s="239">
        <v>0</v>
      </c>
      <c r="BJ223" s="239">
        <v>0</v>
      </c>
      <c r="BK223" s="239">
        <v>0</v>
      </c>
      <c r="BL223" s="239">
        <v>0</v>
      </c>
      <c r="BM223" s="239">
        <v>0</v>
      </c>
      <c r="BN223" s="239">
        <v>0</v>
      </c>
      <c r="BO223" s="239">
        <v>-462873</v>
      </c>
      <c r="BP223" s="239">
        <v>0</v>
      </c>
      <c r="BQ223" s="239">
        <v>-462873</v>
      </c>
      <c r="BR223" s="239">
        <v>-16649</v>
      </c>
      <c r="BS223" s="239">
        <v>0</v>
      </c>
      <c r="BT223" s="239">
        <v>-16649</v>
      </c>
      <c r="BU223" s="239">
        <v>-479522</v>
      </c>
      <c r="BV223" s="239">
        <v>0</v>
      </c>
      <c r="BW223" s="239">
        <v>-479522</v>
      </c>
      <c r="BX223" s="239">
        <v>-14872</v>
      </c>
      <c r="BY223" s="239">
        <v>0</v>
      </c>
      <c r="BZ223" s="239">
        <v>-14872</v>
      </c>
      <c r="CA223" s="239">
        <v>238</v>
      </c>
      <c r="CB223" s="239">
        <v>0</v>
      </c>
      <c r="CC223" s="239">
        <v>238</v>
      </c>
      <c r="CD223" s="239">
        <v>-202991</v>
      </c>
      <c r="CE223" s="239">
        <v>0</v>
      </c>
      <c r="CF223" s="239">
        <v>-202991</v>
      </c>
      <c r="CG223" s="239">
        <v>35756</v>
      </c>
      <c r="CH223" s="239">
        <v>0</v>
      </c>
      <c r="CI223" s="239">
        <v>35756</v>
      </c>
      <c r="CJ223" s="239">
        <v>0</v>
      </c>
      <c r="CK223" s="239">
        <v>0</v>
      </c>
      <c r="CL223" s="239">
        <v>0</v>
      </c>
      <c r="CM223" s="239">
        <v>0</v>
      </c>
      <c r="CN223" s="239">
        <v>0</v>
      </c>
      <c r="CO223" s="239">
        <v>0</v>
      </c>
      <c r="CP223" s="239">
        <v>0</v>
      </c>
      <c r="CQ223" s="239">
        <v>0</v>
      </c>
      <c r="CR223" s="239">
        <v>0</v>
      </c>
      <c r="CS223" s="239">
        <v>0</v>
      </c>
      <c r="CT223" s="239">
        <v>0</v>
      </c>
      <c r="CU223" s="239">
        <v>0</v>
      </c>
      <c r="CV223" s="239">
        <v>-1675</v>
      </c>
      <c r="CW223" s="239">
        <v>0</v>
      </c>
      <c r="CX223" s="239">
        <v>-1675</v>
      </c>
      <c r="CY223" s="239">
        <v>0</v>
      </c>
      <c r="CZ223" s="239">
        <v>0</v>
      </c>
      <c r="DA223" s="239">
        <v>0</v>
      </c>
      <c r="DB223" s="239">
        <v>0</v>
      </c>
      <c r="DC223" s="239">
        <v>0</v>
      </c>
      <c r="DD223" s="239">
        <v>0</v>
      </c>
      <c r="DE223" s="239">
        <v>0</v>
      </c>
      <c r="DF223" s="239">
        <v>0</v>
      </c>
      <c r="DG223" s="239">
        <v>0</v>
      </c>
      <c r="DH223" s="239">
        <v>0</v>
      </c>
      <c r="DI223" s="239">
        <v>0</v>
      </c>
      <c r="DJ223" s="239">
        <v>-183544</v>
      </c>
      <c r="DK223" s="239">
        <v>0</v>
      </c>
      <c r="DL223" s="239">
        <v>-183544</v>
      </c>
      <c r="DM223" s="239">
        <v>0</v>
      </c>
      <c r="DN223" s="239">
        <v>0</v>
      </c>
      <c r="DO223" s="239">
        <v>0</v>
      </c>
      <c r="DP223" s="239">
        <v>1013</v>
      </c>
      <c r="DQ223" s="239">
        <v>0</v>
      </c>
      <c r="DR223" s="239">
        <v>1013</v>
      </c>
      <c r="DS223" s="239">
        <v>0</v>
      </c>
      <c r="DT223" s="239">
        <v>0</v>
      </c>
      <c r="DU223" s="239">
        <v>0</v>
      </c>
      <c r="DV223" s="239">
        <v>0</v>
      </c>
      <c r="DW223" s="239">
        <v>0</v>
      </c>
      <c r="DX223" s="239">
        <v>0</v>
      </c>
      <c r="DY223" s="239">
        <v>0</v>
      </c>
      <c r="DZ223" s="239">
        <v>0</v>
      </c>
      <c r="EA223" s="239">
        <v>0</v>
      </c>
      <c r="EB223" s="239">
        <v>0</v>
      </c>
      <c r="EC223" s="239">
        <v>0</v>
      </c>
      <c r="ED223" s="239">
        <v>0</v>
      </c>
      <c r="EE223" s="239">
        <v>0</v>
      </c>
      <c r="EF223" s="239">
        <v>0</v>
      </c>
      <c r="EG223" s="239">
        <v>0</v>
      </c>
      <c r="EH223" s="239">
        <v>0</v>
      </c>
      <c r="EI223" s="239">
        <v>0</v>
      </c>
      <c r="EJ223" s="239">
        <v>0</v>
      </c>
      <c r="EK223" s="239">
        <v>-8498</v>
      </c>
      <c r="EL223" s="239">
        <v>0</v>
      </c>
      <c r="EM223" s="239">
        <v>-8498</v>
      </c>
      <c r="EN223" s="239">
        <v>0</v>
      </c>
      <c r="EO223" s="239">
        <v>0</v>
      </c>
      <c r="EP223" s="239">
        <v>0</v>
      </c>
      <c r="EQ223" s="239">
        <v>-34692</v>
      </c>
      <c r="ER223" s="239">
        <v>0</v>
      </c>
      <c r="ES223" s="239">
        <v>-34692</v>
      </c>
      <c r="ET223" s="239">
        <v>-239318</v>
      </c>
      <c r="EU223" s="239">
        <v>0</v>
      </c>
      <c r="EV223" s="239">
        <v>-239318</v>
      </c>
      <c r="EW223" s="239">
        <v>-31129</v>
      </c>
      <c r="EX223" s="239">
        <v>0</v>
      </c>
      <c r="EY223" s="239">
        <v>-31129</v>
      </c>
      <c r="EZ223" s="239">
        <v>-312624</v>
      </c>
      <c r="FA223" s="239">
        <v>0</v>
      </c>
      <c r="FB223" s="239">
        <v>-312624</v>
      </c>
      <c r="FC223" s="239">
        <v>-1193</v>
      </c>
      <c r="FD223" s="239">
        <v>0</v>
      </c>
      <c r="FE223" s="239">
        <v>-1193</v>
      </c>
      <c r="FF223" s="239">
        <v>0</v>
      </c>
      <c r="FG223" s="239">
        <v>0</v>
      </c>
      <c r="FH223" s="239">
        <v>0</v>
      </c>
      <c r="FI223" s="239">
        <v>-1193</v>
      </c>
      <c r="FJ223" s="239">
        <v>0</v>
      </c>
      <c r="FK223" s="239">
        <v>-1193</v>
      </c>
      <c r="FL223" s="239">
        <v>30355597</v>
      </c>
      <c r="FM223" s="239">
        <v>0</v>
      </c>
      <c r="FN223" s="239">
        <v>30355597</v>
      </c>
      <c r="FO223" s="239">
        <v>2065226</v>
      </c>
      <c r="FP223" s="239">
        <v>0</v>
      </c>
      <c r="FQ223" s="239">
        <v>2065226</v>
      </c>
      <c r="FR223" s="239">
        <v>-5615201</v>
      </c>
      <c r="FS223" s="239">
        <v>0</v>
      </c>
      <c r="FT223" s="239">
        <v>-5615201</v>
      </c>
      <c r="FU223" s="239">
        <v>-479522</v>
      </c>
      <c r="FV223" s="239">
        <v>0</v>
      </c>
      <c r="FW223" s="239">
        <v>-479522</v>
      </c>
      <c r="FX223" s="239">
        <v>-183544</v>
      </c>
      <c r="FY223" s="239">
        <v>0</v>
      </c>
      <c r="FZ223" s="239">
        <v>-183544</v>
      </c>
      <c r="GA223" s="239">
        <v>-312624</v>
      </c>
      <c r="GB223" s="239">
        <v>0</v>
      </c>
      <c r="GC223" s="239">
        <v>-312624</v>
      </c>
      <c r="GD223" s="239">
        <v>-1193</v>
      </c>
      <c r="GE223" s="239">
        <v>0</v>
      </c>
      <c r="GF223" s="239">
        <v>-1193</v>
      </c>
      <c r="GG223" s="239">
        <v>-4526858</v>
      </c>
      <c r="GH223" s="239">
        <v>0</v>
      </c>
      <c r="GI223" s="239">
        <v>-4526858</v>
      </c>
      <c r="GJ223" s="239">
        <v>25828739</v>
      </c>
      <c r="GK223" s="239">
        <v>0</v>
      </c>
      <c r="GL223" s="239">
        <v>25828739</v>
      </c>
      <c r="GM223" s="214" t="s">
        <v>1158</v>
      </c>
    </row>
    <row r="224" spans="2:195" s="214" customFormat="1" x14ac:dyDescent="0.2">
      <c r="B224" s="602" t="s">
        <v>531</v>
      </c>
      <c r="C224" s="602" t="s">
        <v>530</v>
      </c>
      <c r="D224" s="239">
        <v>-1970222</v>
      </c>
      <c r="E224" s="239">
        <v>0</v>
      </c>
      <c r="F224" s="239">
        <v>-1970222</v>
      </c>
      <c r="G224" s="239">
        <v>15771</v>
      </c>
      <c r="H224" s="239">
        <v>0</v>
      </c>
      <c r="I224" s="239">
        <v>15771</v>
      </c>
      <c r="J224" s="239">
        <v>1570635</v>
      </c>
      <c r="K224" s="239">
        <v>0</v>
      </c>
      <c r="L224" s="239">
        <v>1570635</v>
      </c>
      <c r="M224" s="239">
        <v>-15229</v>
      </c>
      <c r="N224" s="239">
        <v>0</v>
      </c>
      <c r="O224" s="239">
        <v>-15229</v>
      </c>
      <c r="P224" s="239">
        <v>-399045</v>
      </c>
      <c r="Q224" s="239">
        <v>0</v>
      </c>
      <c r="R224" s="239">
        <v>-399045</v>
      </c>
      <c r="S224" s="239">
        <v>-1938533</v>
      </c>
      <c r="T224" s="239">
        <v>0</v>
      </c>
      <c r="U224" s="239">
        <v>-1938533</v>
      </c>
      <c r="V224" s="239">
        <v>-5212</v>
      </c>
      <c r="W224" s="239">
        <v>0</v>
      </c>
      <c r="X224" s="239">
        <v>-5212</v>
      </c>
      <c r="Y224" s="239">
        <v>-130859</v>
      </c>
      <c r="Z224" s="239">
        <v>0</v>
      </c>
      <c r="AA224" s="239">
        <v>-130859</v>
      </c>
      <c r="AB224" s="239">
        <v>-113059</v>
      </c>
      <c r="AC224" s="239">
        <v>0</v>
      </c>
      <c r="AD224" s="239">
        <v>-113059</v>
      </c>
      <c r="AE224" s="239">
        <v>6430</v>
      </c>
      <c r="AF224" s="239">
        <v>0</v>
      </c>
      <c r="AG224" s="239">
        <v>6430</v>
      </c>
      <c r="AH224" s="239">
        <v>1235308</v>
      </c>
      <c r="AI224" s="239">
        <v>0</v>
      </c>
      <c r="AJ224" s="239">
        <v>1235308</v>
      </c>
      <c r="AK224" s="239">
        <v>125767</v>
      </c>
      <c r="AL224" s="239">
        <v>0</v>
      </c>
      <c r="AM224" s="239">
        <v>125767</v>
      </c>
      <c r="AN224" s="239">
        <v>-1877379</v>
      </c>
      <c r="AO224" s="239">
        <v>0</v>
      </c>
      <c r="AP224" s="239">
        <v>-1877379</v>
      </c>
      <c r="AQ224" s="239">
        <v>13947</v>
      </c>
      <c r="AR224" s="239">
        <v>0</v>
      </c>
      <c r="AS224" s="239">
        <v>13947</v>
      </c>
      <c r="AT224" s="239">
        <v>-20003</v>
      </c>
      <c r="AU224" s="239">
        <v>0</v>
      </c>
      <c r="AV224" s="239">
        <v>-20003</v>
      </c>
      <c r="AW224" s="239">
        <v>0</v>
      </c>
      <c r="AX224" s="239">
        <v>0</v>
      </c>
      <c r="AY224" s="239">
        <v>0</v>
      </c>
      <c r="AZ224" s="239">
        <v>0</v>
      </c>
      <c r="BA224" s="239">
        <v>0</v>
      </c>
      <c r="BB224" s="239">
        <v>0</v>
      </c>
      <c r="BC224" s="239">
        <v>0</v>
      </c>
      <c r="BD224" s="239">
        <v>0</v>
      </c>
      <c r="BE224" s="239">
        <v>0</v>
      </c>
      <c r="BF224" s="239">
        <v>-2591752</v>
      </c>
      <c r="BG224" s="239">
        <v>0</v>
      </c>
      <c r="BH224" s="239">
        <v>-2591752</v>
      </c>
      <c r="BI224" s="239">
        <v>-18366</v>
      </c>
      <c r="BJ224" s="239">
        <v>0</v>
      </c>
      <c r="BK224" s="239">
        <v>-18366</v>
      </c>
      <c r="BL224" s="239">
        <v>71163</v>
      </c>
      <c r="BM224" s="239">
        <v>0</v>
      </c>
      <c r="BN224" s="239">
        <v>71163</v>
      </c>
      <c r="BO224" s="239">
        <v>-1618616</v>
      </c>
      <c r="BP224" s="239">
        <v>0</v>
      </c>
      <c r="BQ224" s="239">
        <v>-1618616</v>
      </c>
      <c r="BR224" s="239">
        <v>16687</v>
      </c>
      <c r="BS224" s="239">
        <v>0</v>
      </c>
      <c r="BT224" s="239">
        <v>16687</v>
      </c>
      <c r="BU224" s="239">
        <v>-1549132</v>
      </c>
      <c r="BV224" s="239">
        <v>0</v>
      </c>
      <c r="BW224" s="239">
        <v>-1549132</v>
      </c>
      <c r="BX224" s="239">
        <v>-53396</v>
      </c>
      <c r="BY224" s="239">
        <v>0</v>
      </c>
      <c r="BZ224" s="239">
        <v>-53396</v>
      </c>
      <c r="CA224" s="239">
        <v>236</v>
      </c>
      <c r="CB224" s="239">
        <v>0</v>
      </c>
      <c r="CC224" s="239">
        <v>236</v>
      </c>
      <c r="CD224" s="239">
        <v>-301900</v>
      </c>
      <c r="CE224" s="239">
        <v>0</v>
      </c>
      <c r="CF224" s="239">
        <v>-301900</v>
      </c>
      <c r="CG224" s="239">
        <v>0</v>
      </c>
      <c r="CH224" s="239">
        <v>0</v>
      </c>
      <c r="CI224" s="239">
        <v>0</v>
      </c>
      <c r="CJ224" s="239">
        <v>-5001</v>
      </c>
      <c r="CK224" s="239">
        <v>0</v>
      </c>
      <c r="CL224" s="239">
        <v>-5001</v>
      </c>
      <c r="CM224" s="239">
        <v>0</v>
      </c>
      <c r="CN224" s="239">
        <v>0</v>
      </c>
      <c r="CO224" s="239">
        <v>0</v>
      </c>
      <c r="CP224" s="239">
        <v>0</v>
      </c>
      <c r="CQ224" s="239">
        <v>0</v>
      </c>
      <c r="CR224" s="239">
        <v>0</v>
      </c>
      <c r="CS224" s="239">
        <v>0</v>
      </c>
      <c r="CT224" s="239">
        <v>0</v>
      </c>
      <c r="CU224" s="239">
        <v>0</v>
      </c>
      <c r="CV224" s="239">
        <v>0</v>
      </c>
      <c r="CW224" s="239">
        <v>0</v>
      </c>
      <c r="CX224" s="239">
        <v>0</v>
      </c>
      <c r="CY224" s="239">
        <v>0</v>
      </c>
      <c r="CZ224" s="239">
        <v>0</v>
      </c>
      <c r="DA224" s="239">
        <v>0</v>
      </c>
      <c r="DB224" s="239">
        <v>0</v>
      </c>
      <c r="DC224" s="239">
        <v>0</v>
      </c>
      <c r="DD224" s="239">
        <v>0</v>
      </c>
      <c r="DE224" s="239">
        <v>0</v>
      </c>
      <c r="DF224" s="239">
        <v>0</v>
      </c>
      <c r="DG224" s="239">
        <v>0</v>
      </c>
      <c r="DH224" s="239">
        <v>0</v>
      </c>
      <c r="DI224" s="239">
        <v>0</v>
      </c>
      <c r="DJ224" s="239">
        <v>-360061</v>
      </c>
      <c r="DK224" s="239">
        <v>0</v>
      </c>
      <c r="DL224" s="239">
        <v>-360061</v>
      </c>
      <c r="DM224" s="239">
        <v>0</v>
      </c>
      <c r="DN224" s="239">
        <v>0</v>
      </c>
      <c r="DO224" s="239">
        <v>0</v>
      </c>
      <c r="DP224" s="239">
        <v>0</v>
      </c>
      <c r="DQ224" s="239">
        <v>0</v>
      </c>
      <c r="DR224" s="239">
        <v>0</v>
      </c>
      <c r="DS224" s="239">
        <v>0</v>
      </c>
      <c r="DT224" s="239">
        <v>0</v>
      </c>
      <c r="DU224" s="239">
        <v>0</v>
      </c>
      <c r="DV224" s="239">
        <v>0</v>
      </c>
      <c r="DW224" s="239">
        <v>0</v>
      </c>
      <c r="DX224" s="239">
        <v>0</v>
      </c>
      <c r="DY224" s="239">
        <v>4799</v>
      </c>
      <c r="DZ224" s="239">
        <v>0</v>
      </c>
      <c r="EA224" s="239">
        <v>4799</v>
      </c>
      <c r="EB224" s="239">
        <v>0</v>
      </c>
      <c r="EC224" s="239">
        <v>0</v>
      </c>
      <c r="ED224" s="239">
        <v>0</v>
      </c>
      <c r="EE224" s="239">
        <v>0</v>
      </c>
      <c r="EF224" s="239">
        <v>0</v>
      </c>
      <c r="EG224" s="239">
        <v>0</v>
      </c>
      <c r="EH224" s="239">
        <v>675</v>
      </c>
      <c r="EI224" s="239">
        <v>0</v>
      </c>
      <c r="EJ224" s="239">
        <v>675</v>
      </c>
      <c r="EK224" s="239">
        <v>0</v>
      </c>
      <c r="EL224" s="239">
        <v>0</v>
      </c>
      <c r="EM224" s="239">
        <v>0</v>
      </c>
      <c r="EN224" s="239">
        <v>0</v>
      </c>
      <c r="EO224" s="239">
        <v>0</v>
      </c>
      <c r="EP224" s="239">
        <v>0</v>
      </c>
      <c r="EQ224" s="239">
        <v>-43216</v>
      </c>
      <c r="ER224" s="239">
        <v>0</v>
      </c>
      <c r="ES224" s="239">
        <v>-43216</v>
      </c>
      <c r="ET224" s="239">
        <v>-304876</v>
      </c>
      <c r="EU224" s="239">
        <v>0</v>
      </c>
      <c r="EV224" s="239">
        <v>-304876</v>
      </c>
      <c r="EW224" s="239">
        <v>-19620</v>
      </c>
      <c r="EX224" s="239">
        <v>0</v>
      </c>
      <c r="EY224" s="239">
        <v>-19620</v>
      </c>
      <c r="EZ224" s="239">
        <v>-362238</v>
      </c>
      <c r="FA224" s="239">
        <v>0</v>
      </c>
      <c r="FB224" s="239">
        <v>-362238</v>
      </c>
      <c r="FC224" s="239">
        <v>-2804</v>
      </c>
      <c r="FD224" s="239">
        <v>0</v>
      </c>
      <c r="FE224" s="239">
        <v>-2804</v>
      </c>
      <c r="FF224" s="239">
        <v>0</v>
      </c>
      <c r="FG224" s="239">
        <v>0</v>
      </c>
      <c r="FH224" s="239">
        <v>0</v>
      </c>
      <c r="FI224" s="239">
        <v>-2804</v>
      </c>
      <c r="FJ224" s="239">
        <v>0</v>
      </c>
      <c r="FK224" s="239">
        <v>-2804</v>
      </c>
      <c r="FL224" s="239">
        <v>53410167</v>
      </c>
      <c r="FM224" s="239">
        <v>0</v>
      </c>
      <c r="FN224" s="239">
        <v>53410167</v>
      </c>
      <c r="FO224" s="239">
        <v>-399045</v>
      </c>
      <c r="FP224" s="239">
        <v>0</v>
      </c>
      <c r="FQ224" s="239">
        <v>-399045</v>
      </c>
      <c r="FR224" s="239">
        <v>-2591752</v>
      </c>
      <c r="FS224" s="239">
        <v>0</v>
      </c>
      <c r="FT224" s="239">
        <v>-2591752</v>
      </c>
      <c r="FU224" s="239">
        <v>-1549132</v>
      </c>
      <c r="FV224" s="239">
        <v>0</v>
      </c>
      <c r="FW224" s="239">
        <v>-1549132</v>
      </c>
      <c r="FX224" s="239">
        <v>-360061</v>
      </c>
      <c r="FY224" s="239">
        <v>0</v>
      </c>
      <c r="FZ224" s="239">
        <v>-360061</v>
      </c>
      <c r="GA224" s="239">
        <v>-362238</v>
      </c>
      <c r="GB224" s="239">
        <v>0</v>
      </c>
      <c r="GC224" s="239">
        <v>-362238</v>
      </c>
      <c r="GD224" s="239">
        <v>-2804</v>
      </c>
      <c r="GE224" s="239">
        <v>0</v>
      </c>
      <c r="GF224" s="239">
        <v>-2804</v>
      </c>
      <c r="GG224" s="239">
        <v>-5265032</v>
      </c>
      <c r="GH224" s="239">
        <v>0</v>
      </c>
      <c r="GI224" s="239">
        <v>-5265032</v>
      </c>
      <c r="GJ224" s="239">
        <v>48145135</v>
      </c>
      <c r="GK224" s="239">
        <v>0</v>
      </c>
      <c r="GL224" s="239">
        <v>48145135</v>
      </c>
      <c r="GM224" s="214" t="s">
        <v>1158</v>
      </c>
    </row>
    <row r="225" spans="1:195" s="214" customFormat="1" x14ac:dyDescent="0.2">
      <c r="B225" s="602" t="s">
        <v>533</v>
      </c>
      <c r="C225" s="602" t="s">
        <v>532</v>
      </c>
      <c r="D225" s="239">
        <v>-1106768</v>
      </c>
      <c r="E225" s="239">
        <v>0</v>
      </c>
      <c r="F225" s="239">
        <v>-1106768</v>
      </c>
      <c r="G225" s="239">
        <v>953</v>
      </c>
      <c r="H225" s="239">
        <v>0</v>
      </c>
      <c r="I225" s="239">
        <v>953</v>
      </c>
      <c r="J225" s="239">
        <v>436426</v>
      </c>
      <c r="K225" s="239">
        <v>0</v>
      </c>
      <c r="L225" s="239">
        <v>436426</v>
      </c>
      <c r="M225" s="239">
        <v>3501</v>
      </c>
      <c r="N225" s="239">
        <v>0</v>
      </c>
      <c r="O225" s="239">
        <v>3501</v>
      </c>
      <c r="P225" s="239">
        <v>-665888</v>
      </c>
      <c r="Q225" s="239">
        <v>0</v>
      </c>
      <c r="R225" s="239">
        <v>-665888</v>
      </c>
      <c r="S225" s="239">
        <v>-1450022</v>
      </c>
      <c r="T225" s="239">
        <v>0</v>
      </c>
      <c r="U225" s="239">
        <v>-1450022</v>
      </c>
      <c r="V225" s="239">
        <v>0</v>
      </c>
      <c r="W225" s="239">
        <v>0</v>
      </c>
      <c r="X225" s="239">
        <v>0</v>
      </c>
      <c r="Y225" s="239">
        <v>-76266</v>
      </c>
      <c r="Z225" s="239">
        <v>0</v>
      </c>
      <c r="AA225" s="239">
        <v>-76266</v>
      </c>
      <c r="AB225" s="239">
        <v>0</v>
      </c>
      <c r="AC225" s="239">
        <v>0</v>
      </c>
      <c r="AD225" s="239">
        <v>0</v>
      </c>
      <c r="AE225" s="239">
        <v>0</v>
      </c>
      <c r="AF225" s="239">
        <v>0</v>
      </c>
      <c r="AG225" s="239">
        <v>0</v>
      </c>
      <c r="AH225" s="239">
        <v>265697</v>
      </c>
      <c r="AI225" s="239">
        <v>0</v>
      </c>
      <c r="AJ225" s="239">
        <v>265697</v>
      </c>
      <c r="AK225" s="239">
        <v>-27025</v>
      </c>
      <c r="AL225" s="239">
        <v>0</v>
      </c>
      <c r="AM225" s="239">
        <v>-27025</v>
      </c>
      <c r="AN225" s="239">
        <v>-1567953</v>
      </c>
      <c r="AO225" s="239">
        <v>0</v>
      </c>
      <c r="AP225" s="239">
        <v>-1567953</v>
      </c>
      <c r="AQ225" s="239">
        <v>-21440</v>
      </c>
      <c r="AR225" s="239">
        <v>0</v>
      </c>
      <c r="AS225" s="239">
        <v>-21440</v>
      </c>
      <c r="AT225" s="239">
        <v>-20892</v>
      </c>
      <c r="AU225" s="239">
        <v>0</v>
      </c>
      <c r="AV225" s="239">
        <v>-20892</v>
      </c>
      <c r="AW225" s="239">
        <v>0</v>
      </c>
      <c r="AX225" s="239">
        <v>0</v>
      </c>
      <c r="AY225" s="239">
        <v>0</v>
      </c>
      <c r="AZ225" s="239">
        <v>-9850</v>
      </c>
      <c r="BA225" s="239">
        <v>0</v>
      </c>
      <c r="BB225" s="239">
        <v>-9850</v>
      </c>
      <c r="BC225" s="239">
        <v>-1287</v>
      </c>
      <c r="BD225" s="239">
        <v>0</v>
      </c>
      <c r="BE225" s="239">
        <v>-1287</v>
      </c>
      <c r="BF225" s="239">
        <v>-2909038</v>
      </c>
      <c r="BG225" s="239">
        <v>0</v>
      </c>
      <c r="BH225" s="239">
        <v>-2909038</v>
      </c>
      <c r="BI225" s="239">
        <v>0</v>
      </c>
      <c r="BJ225" s="239">
        <v>0</v>
      </c>
      <c r="BK225" s="239">
        <v>0</v>
      </c>
      <c r="BL225" s="239">
        <v>0</v>
      </c>
      <c r="BM225" s="239">
        <v>0</v>
      </c>
      <c r="BN225" s="239">
        <v>0</v>
      </c>
      <c r="BO225" s="239">
        <v>-162812</v>
      </c>
      <c r="BP225" s="239">
        <v>0</v>
      </c>
      <c r="BQ225" s="239">
        <v>-162812</v>
      </c>
      <c r="BR225" s="239">
        <v>4974</v>
      </c>
      <c r="BS225" s="239">
        <v>0</v>
      </c>
      <c r="BT225" s="239">
        <v>4974</v>
      </c>
      <c r="BU225" s="239">
        <v>-157838</v>
      </c>
      <c r="BV225" s="239">
        <v>0</v>
      </c>
      <c r="BW225" s="239">
        <v>-157838</v>
      </c>
      <c r="BX225" s="239">
        <v>-48381</v>
      </c>
      <c r="BY225" s="239">
        <v>0</v>
      </c>
      <c r="BZ225" s="239">
        <v>-48381</v>
      </c>
      <c r="CA225" s="239">
        <v>-149</v>
      </c>
      <c r="CB225" s="239">
        <v>0</v>
      </c>
      <c r="CC225" s="239">
        <v>-149</v>
      </c>
      <c r="CD225" s="239">
        <v>-22169</v>
      </c>
      <c r="CE225" s="239">
        <v>0</v>
      </c>
      <c r="CF225" s="239">
        <v>-22169</v>
      </c>
      <c r="CG225" s="239">
        <v>-2620</v>
      </c>
      <c r="CH225" s="239">
        <v>0</v>
      </c>
      <c r="CI225" s="239">
        <v>-2620</v>
      </c>
      <c r="CJ225" s="239">
        <v>-2054</v>
      </c>
      <c r="CK225" s="239">
        <v>0</v>
      </c>
      <c r="CL225" s="239">
        <v>-2054</v>
      </c>
      <c r="CM225" s="239">
        <v>0</v>
      </c>
      <c r="CN225" s="239">
        <v>0</v>
      </c>
      <c r="CO225" s="239">
        <v>0</v>
      </c>
      <c r="CP225" s="239">
        <v>-9850</v>
      </c>
      <c r="CQ225" s="239">
        <v>0</v>
      </c>
      <c r="CR225" s="239">
        <v>-9850</v>
      </c>
      <c r="CS225" s="239">
        <v>-1287</v>
      </c>
      <c r="CT225" s="239">
        <v>0</v>
      </c>
      <c r="CU225" s="239">
        <v>-1287</v>
      </c>
      <c r="CV225" s="239">
        <v>0</v>
      </c>
      <c r="CW225" s="239">
        <v>0</v>
      </c>
      <c r="CX225" s="239">
        <v>0</v>
      </c>
      <c r="CY225" s="239">
        <v>0</v>
      </c>
      <c r="CZ225" s="239">
        <v>0</v>
      </c>
      <c r="DA225" s="239">
        <v>0</v>
      </c>
      <c r="DB225" s="239">
        <v>0</v>
      </c>
      <c r="DC225" s="239">
        <v>0</v>
      </c>
      <c r="DD225" s="239">
        <v>0</v>
      </c>
      <c r="DE225" s="239">
        <v>0</v>
      </c>
      <c r="DF225" s="239">
        <v>0</v>
      </c>
      <c r="DG225" s="239">
        <v>0</v>
      </c>
      <c r="DH225" s="239">
        <v>0</v>
      </c>
      <c r="DI225" s="239">
        <v>0</v>
      </c>
      <c r="DJ225" s="239">
        <v>-86510</v>
      </c>
      <c r="DK225" s="239">
        <v>0</v>
      </c>
      <c r="DL225" s="239">
        <v>-86510</v>
      </c>
      <c r="DM225" s="239">
        <v>-339</v>
      </c>
      <c r="DN225" s="239">
        <v>0</v>
      </c>
      <c r="DO225" s="239">
        <v>-339</v>
      </c>
      <c r="DP225" s="239">
        <v>0</v>
      </c>
      <c r="DQ225" s="239">
        <v>0</v>
      </c>
      <c r="DR225" s="239">
        <v>0</v>
      </c>
      <c r="DS225" s="239">
        <v>0</v>
      </c>
      <c r="DT225" s="239">
        <v>0</v>
      </c>
      <c r="DU225" s="239">
        <v>0</v>
      </c>
      <c r="DV225" s="239">
        <v>0</v>
      </c>
      <c r="DW225" s="239">
        <v>0</v>
      </c>
      <c r="DX225" s="239">
        <v>0</v>
      </c>
      <c r="DY225" s="239">
        <v>0</v>
      </c>
      <c r="DZ225" s="239">
        <v>0</v>
      </c>
      <c r="EA225" s="239">
        <v>0</v>
      </c>
      <c r="EB225" s="239">
        <v>0</v>
      </c>
      <c r="EC225" s="239">
        <v>0</v>
      </c>
      <c r="ED225" s="239">
        <v>0</v>
      </c>
      <c r="EE225" s="239">
        <v>0</v>
      </c>
      <c r="EF225" s="239">
        <v>0</v>
      </c>
      <c r="EG225" s="239">
        <v>0</v>
      </c>
      <c r="EH225" s="239">
        <v>0</v>
      </c>
      <c r="EI225" s="239">
        <v>0</v>
      </c>
      <c r="EJ225" s="239">
        <v>0</v>
      </c>
      <c r="EK225" s="239">
        <v>0</v>
      </c>
      <c r="EL225" s="239">
        <v>0</v>
      </c>
      <c r="EM225" s="239">
        <v>0</v>
      </c>
      <c r="EN225" s="239">
        <v>0</v>
      </c>
      <c r="EO225" s="239">
        <v>0</v>
      </c>
      <c r="EP225" s="239">
        <v>0</v>
      </c>
      <c r="EQ225" s="239">
        <v>-29263</v>
      </c>
      <c r="ER225" s="239">
        <v>0</v>
      </c>
      <c r="ES225" s="239">
        <v>-29263</v>
      </c>
      <c r="ET225" s="239">
        <v>-190118</v>
      </c>
      <c r="EU225" s="239">
        <v>0</v>
      </c>
      <c r="EV225" s="239">
        <v>-190118</v>
      </c>
      <c r="EW225" s="239">
        <v>-27629</v>
      </c>
      <c r="EX225" s="239">
        <v>0</v>
      </c>
      <c r="EY225" s="239">
        <v>-27629</v>
      </c>
      <c r="EZ225" s="239">
        <v>-247349</v>
      </c>
      <c r="FA225" s="239">
        <v>0</v>
      </c>
      <c r="FB225" s="239">
        <v>-247349</v>
      </c>
      <c r="FC225" s="239">
        <v>-3481</v>
      </c>
      <c r="FD225" s="239">
        <v>0</v>
      </c>
      <c r="FE225" s="239">
        <v>-3481</v>
      </c>
      <c r="FF225" s="239">
        <v>0</v>
      </c>
      <c r="FG225" s="239">
        <v>0</v>
      </c>
      <c r="FH225" s="239">
        <v>0</v>
      </c>
      <c r="FI225" s="239">
        <v>-3481</v>
      </c>
      <c r="FJ225" s="239">
        <v>0</v>
      </c>
      <c r="FK225" s="239">
        <v>-3481</v>
      </c>
      <c r="FL225" s="239">
        <v>14633655</v>
      </c>
      <c r="FM225" s="239">
        <v>0</v>
      </c>
      <c r="FN225" s="239">
        <v>14633655</v>
      </c>
      <c r="FO225" s="239">
        <v>-665888</v>
      </c>
      <c r="FP225" s="239">
        <v>0</v>
      </c>
      <c r="FQ225" s="239">
        <v>-665888</v>
      </c>
      <c r="FR225" s="239">
        <v>-2909038</v>
      </c>
      <c r="FS225" s="239">
        <v>0</v>
      </c>
      <c r="FT225" s="239">
        <v>-2909038</v>
      </c>
      <c r="FU225" s="239">
        <v>-157838</v>
      </c>
      <c r="FV225" s="239">
        <v>0</v>
      </c>
      <c r="FW225" s="239">
        <v>-157838</v>
      </c>
      <c r="FX225" s="239">
        <v>-86510</v>
      </c>
      <c r="FY225" s="239">
        <v>0</v>
      </c>
      <c r="FZ225" s="239">
        <v>-86510</v>
      </c>
      <c r="GA225" s="239">
        <v>-247349</v>
      </c>
      <c r="GB225" s="239">
        <v>0</v>
      </c>
      <c r="GC225" s="239">
        <v>-247349</v>
      </c>
      <c r="GD225" s="239">
        <v>-3481</v>
      </c>
      <c r="GE225" s="239">
        <v>0</v>
      </c>
      <c r="GF225" s="239">
        <v>-3481</v>
      </c>
      <c r="GG225" s="239">
        <v>-4070104</v>
      </c>
      <c r="GH225" s="239">
        <v>0</v>
      </c>
      <c r="GI225" s="239">
        <v>-4070104</v>
      </c>
      <c r="GJ225" s="239">
        <v>10563551</v>
      </c>
      <c r="GK225" s="239">
        <v>0</v>
      </c>
      <c r="GL225" s="239">
        <v>10563551</v>
      </c>
      <c r="GM225" s="214" t="s">
        <v>746</v>
      </c>
    </row>
    <row r="226" spans="1:195" s="214" customFormat="1" x14ac:dyDescent="0.2">
      <c r="B226" s="602" t="s">
        <v>535</v>
      </c>
      <c r="C226" s="602" t="s">
        <v>534</v>
      </c>
      <c r="D226" s="239">
        <v>-1608769</v>
      </c>
      <c r="E226" s="239">
        <v>0</v>
      </c>
      <c r="F226" s="239">
        <v>-1608769</v>
      </c>
      <c r="G226" s="239">
        <v>8715</v>
      </c>
      <c r="H226" s="239">
        <v>0</v>
      </c>
      <c r="I226" s="239">
        <v>8715</v>
      </c>
      <c r="J226" s="239">
        <v>542763</v>
      </c>
      <c r="K226" s="239">
        <v>0</v>
      </c>
      <c r="L226" s="239">
        <v>542763</v>
      </c>
      <c r="M226" s="239">
        <v>-4113</v>
      </c>
      <c r="N226" s="239">
        <v>0</v>
      </c>
      <c r="O226" s="239">
        <v>-4113</v>
      </c>
      <c r="P226" s="239">
        <v>-1061404</v>
      </c>
      <c r="Q226" s="239">
        <v>0</v>
      </c>
      <c r="R226" s="239">
        <v>-1061404</v>
      </c>
      <c r="S226" s="239">
        <v>-3052649</v>
      </c>
      <c r="T226" s="239">
        <v>0</v>
      </c>
      <c r="U226" s="239">
        <v>-3052649</v>
      </c>
      <c r="V226" s="239">
        <v>-15788</v>
      </c>
      <c r="W226" s="239">
        <v>0</v>
      </c>
      <c r="X226" s="239">
        <v>-15788</v>
      </c>
      <c r="Y226" s="239">
        <v>-107175</v>
      </c>
      <c r="Z226" s="239">
        <v>0</v>
      </c>
      <c r="AA226" s="239">
        <v>-107175</v>
      </c>
      <c r="AB226" s="239">
        <v>-91980</v>
      </c>
      <c r="AC226" s="239">
        <v>0</v>
      </c>
      <c r="AD226" s="239">
        <v>-91980</v>
      </c>
      <c r="AE226" s="239">
        <v>1851</v>
      </c>
      <c r="AF226" s="239">
        <v>0</v>
      </c>
      <c r="AG226" s="239">
        <v>1851</v>
      </c>
      <c r="AH226" s="239">
        <v>251433</v>
      </c>
      <c r="AI226" s="239">
        <v>0</v>
      </c>
      <c r="AJ226" s="239">
        <v>251433</v>
      </c>
      <c r="AK226" s="239">
        <v>80283</v>
      </c>
      <c r="AL226" s="239">
        <v>0</v>
      </c>
      <c r="AM226" s="239">
        <v>80283</v>
      </c>
      <c r="AN226" s="239">
        <v>-1016575</v>
      </c>
      <c r="AO226" s="239">
        <v>0</v>
      </c>
      <c r="AP226" s="239">
        <v>-1016575</v>
      </c>
      <c r="AQ226" s="239">
        <v>-3050</v>
      </c>
      <c r="AR226" s="239">
        <v>0</v>
      </c>
      <c r="AS226" s="239">
        <v>-3050</v>
      </c>
      <c r="AT226" s="239">
        <v>-12526</v>
      </c>
      <c r="AU226" s="239">
        <v>0</v>
      </c>
      <c r="AV226" s="239">
        <v>-12526</v>
      </c>
      <c r="AW226" s="239">
        <v>-2556</v>
      </c>
      <c r="AX226" s="239">
        <v>0</v>
      </c>
      <c r="AY226" s="239">
        <v>-2556</v>
      </c>
      <c r="AZ226" s="239">
        <v>-43065</v>
      </c>
      <c r="BA226" s="239">
        <v>0</v>
      </c>
      <c r="BB226" s="239">
        <v>-43065</v>
      </c>
      <c r="BC226" s="239">
        <v>0</v>
      </c>
      <c r="BD226" s="239">
        <v>0</v>
      </c>
      <c r="BE226" s="239">
        <v>0</v>
      </c>
      <c r="BF226" s="239">
        <v>-3905880</v>
      </c>
      <c r="BG226" s="239">
        <v>0</v>
      </c>
      <c r="BH226" s="239">
        <v>-3905880</v>
      </c>
      <c r="BI226" s="239">
        <v>0</v>
      </c>
      <c r="BJ226" s="239">
        <v>0</v>
      </c>
      <c r="BK226" s="239">
        <v>0</v>
      </c>
      <c r="BL226" s="239">
        <v>0</v>
      </c>
      <c r="BM226" s="239">
        <v>0</v>
      </c>
      <c r="BN226" s="239">
        <v>0</v>
      </c>
      <c r="BO226" s="239">
        <v>-318950</v>
      </c>
      <c r="BP226" s="239">
        <v>0</v>
      </c>
      <c r="BQ226" s="239">
        <v>-318950</v>
      </c>
      <c r="BR226" s="239">
        <v>1951</v>
      </c>
      <c r="BS226" s="239">
        <v>0</v>
      </c>
      <c r="BT226" s="239">
        <v>1951</v>
      </c>
      <c r="BU226" s="239">
        <v>-316999</v>
      </c>
      <c r="BV226" s="239">
        <v>0</v>
      </c>
      <c r="BW226" s="239">
        <v>-316999</v>
      </c>
      <c r="BX226" s="239">
        <v>-88350</v>
      </c>
      <c r="BY226" s="239">
        <v>0</v>
      </c>
      <c r="BZ226" s="239">
        <v>-88350</v>
      </c>
      <c r="CA226" s="239">
        <v>-1095</v>
      </c>
      <c r="CB226" s="239">
        <v>0</v>
      </c>
      <c r="CC226" s="239">
        <v>-1095</v>
      </c>
      <c r="CD226" s="239">
        <v>-52109</v>
      </c>
      <c r="CE226" s="239">
        <v>0</v>
      </c>
      <c r="CF226" s="239">
        <v>-52109</v>
      </c>
      <c r="CG226" s="239">
        <v>463</v>
      </c>
      <c r="CH226" s="239">
        <v>0</v>
      </c>
      <c r="CI226" s="239">
        <v>463</v>
      </c>
      <c r="CJ226" s="239">
        <v>-3132</v>
      </c>
      <c r="CK226" s="239">
        <v>0</v>
      </c>
      <c r="CL226" s="239">
        <v>-3132</v>
      </c>
      <c r="CM226" s="239">
        <v>-639</v>
      </c>
      <c r="CN226" s="239">
        <v>0</v>
      </c>
      <c r="CO226" s="239">
        <v>-639</v>
      </c>
      <c r="CP226" s="239">
        <v>0</v>
      </c>
      <c r="CQ226" s="239">
        <v>0</v>
      </c>
      <c r="CR226" s="239">
        <v>0</v>
      </c>
      <c r="CS226" s="239">
        <v>0</v>
      </c>
      <c r="CT226" s="239">
        <v>0</v>
      </c>
      <c r="CU226" s="239">
        <v>0</v>
      </c>
      <c r="CV226" s="239">
        <v>0</v>
      </c>
      <c r="CW226" s="239">
        <v>0</v>
      </c>
      <c r="CX226" s="239">
        <v>0</v>
      </c>
      <c r="CY226" s="239">
        <v>0</v>
      </c>
      <c r="CZ226" s="239">
        <v>0</v>
      </c>
      <c r="DA226" s="239">
        <v>0</v>
      </c>
      <c r="DB226" s="239">
        <v>0</v>
      </c>
      <c r="DC226" s="239">
        <v>0</v>
      </c>
      <c r="DD226" s="239">
        <v>0</v>
      </c>
      <c r="DE226" s="239">
        <v>0</v>
      </c>
      <c r="DF226" s="239">
        <v>0</v>
      </c>
      <c r="DG226" s="239">
        <v>0</v>
      </c>
      <c r="DH226" s="239">
        <v>0</v>
      </c>
      <c r="DI226" s="239">
        <v>0</v>
      </c>
      <c r="DJ226" s="239">
        <v>-144862</v>
      </c>
      <c r="DK226" s="239">
        <v>0</v>
      </c>
      <c r="DL226" s="239">
        <v>-144862</v>
      </c>
      <c r="DM226" s="239">
        <v>0</v>
      </c>
      <c r="DN226" s="239">
        <v>0</v>
      </c>
      <c r="DO226" s="239">
        <v>0</v>
      </c>
      <c r="DP226" s="239">
        <v>0</v>
      </c>
      <c r="DQ226" s="239">
        <v>0</v>
      </c>
      <c r="DR226" s="239">
        <v>0</v>
      </c>
      <c r="DS226" s="239">
        <v>-4250</v>
      </c>
      <c r="DT226" s="239">
        <v>0</v>
      </c>
      <c r="DU226" s="239">
        <v>-4250</v>
      </c>
      <c r="DV226" s="239">
        <v>211</v>
      </c>
      <c r="DW226" s="239">
        <v>0</v>
      </c>
      <c r="DX226" s="239">
        <v>211</v>
      </c>
      <c r="DY226" s="239">
        <v>0</v>
      </c>
      <c r="DZ226" s="239">
        <v>0</v>
      </c>
      <c r="EA226" s="239">
        <v>0</v>
      </c>
      <c r="EB226" s="239">
        <v>0</v>
      </c>
      <c r="EC226" s="239">
        <v>0</v>
      </c>
      <c r="ED226" s="239">
        <v>0</v>
      </c>
      <c r="EE226" s="239">
        <v>0</v>
      </c>
      <c r="EF226" s="239">
        <v>0</v>
      </c>
      <c r="EG226" s="239">
        <v>0</v>
      </c>
      <c r="EH226" s="239">
        <v>0</v>
      </c>
      <c r="EI226" s="239">
        <v>0</v>
      </c>
      <c r="EJ226" s="239">
        <v>0</v>
      </c>
      <c r="EK226" s="239">
        <v>-44803</v>
      </c>
      <c r="EL226" s="239">
        <v>0</v>
      </c>
      <c r="EM226" s="239">
        <v>-44803</v>
      </c>
      <c r="EN226" s="239">
        <v>-1500</v>
      </c>
      <c r="EO226" s="239">
        <v>0</v>
      </c>
      <c r="EP226" s="239">
        <v>-1500</v>
      </c>
      <c r="EQ226" s="239">
        <v>-35045</v>
      </c>
      <c r="ER226" s="239">
        <v>0</v>
      </c>
      <c r="ES226" s="239">
        <v>-35045</v>
      </c>
      <c r="ET226" s="239">
        <v>-207480</v>
      </c>
      <c r="EU226" s="239">
        <v>0</v>
      </c>
      <c r="EV226" s="239">
        <v>-207480</v>
      </c>
      <c r="EW226" s="239">
        <v>-53793</v>
      </c>
      <c r="EX226" s="239">
        <v>0</v>
      </c>
      <c r="EY226" s="239">
        <v>-53793</v>
      </c>
      <c r="EZ226" s="239">
        <v>-346660</v>
      </c>
      <c r="FA226" s="239">
        <v>0</v>
      </c>
      <c r="FB226" s="239">
        <v>-346660</v>
      </c>
      <c r="FC226" s="239">
        <v>0</v>
      </c>
      <c r="FD226" s="239">
        <v>0</v>
      </c>
      <c r="FE226" s="239">
        <v>0</v>
      </c>
      <c r="FF226" s="239">
        <v>9618</v>
      </c>
      <c r="FG226" s="239">
        <v>0</v>
      </c>
      <c r="FH226" s="239">
        <v>9618</v>
      </c>
      <c r="FI226" s="239">
        <v>9618</v>
      </c>
      <c r="FJ226" s="239">
        <v>0</v>
      </c>
      <c r="FK226" s="239">
        <v>9618</v>
      </c>
      <c r="FL226" s="239">
        <v>21954955</v>
      </c>
      <c r="FM226" s="239">
        <v>0</v>
      </c>
      <c r="FN226" s="239">
        <v>21954955</v>
      </c>
      <c r="FO226" s="239">
        <v>-1061404</v>
      </c>
      <c r="FP226" s="239">
        <v>0</v>
      </c>
      <c r="FQ226" s="239">
        <v>-1061404</v>
      </c>
      <c r="FR226" s="239">
        <v>-3905880</v>
      </c>
      <c r="FS226" s="239">
        <v>0</v>
      </c>
      <c r="FT226" s="239">
        <v>-3905880</v>
      </c>
      <c r="FU226" s="239">
        <v>-316999</v>
      </c>
      <c r="FV226" s="239">
        <v>0</v>
      </c>
      <c r="FW226" s="239">
        <v>-316999</v>
      </c>
      <c r="FX226" s="239">
        <v>-144862</v>
      </c>
      <c r="FY226" s="239">
        <v>0</v>
      </c>
      <c r="FZ226" s="239">
        <v>-144862</v>
      </c>
      <c r="GA226" s="239">
        <v>-346660</v>
      </c>
      <c r="GB226" s="239">
        <v>0</v>
      </c>
      <c r="GC226" s="239">
        <v>-346660</v>
      </c>
      <c r="GD226" s="239">
        <v>9618</v>
      </c>
      <c r="GE226" s="239">
        <v>0</v>
      </c>
      <c r="GF226" s="239">
        <v>9618</v>
      </c>
      <c r="GG226" s="239">
        <v>-5766187</v>
      </c>
      <c r="GH226" s="239">
        <v>0</v>
      </c>
      <c r="GI226" s="239">
        <v>-5766187</v>
      </c>
      <c r="GJ226" s="239">
        <v>16188768</v>
      </c>
      <c r="GK226" s="239">
        <v>0</v>
      </c>
      <c r="GL226" s="239">
        <v>16188768</v>
      </c>
      <c r="GM226" s="214" t="s">
        <v>1158</v>
      </c>
    </row>
    <row r="227" spans="1:195" s="214" customFormat="1" x14ac:dyDescent="0.2">
      <c r="B227" s="602" t="s">
        <v>537</v>
      </c>
      <c r="C227" s="602" t="s">
        <v>536</v>
      </c>
      <c r="D227" s="239">
        <v>-2588415</v>
      </c>
      <c r="E227" s="239">
        <v>0</v>
      </c>
      <c r="F227" s="239">
        <v>-2588415</v>
      </c>
      <c r="G227" s="239">
        <v>69728</v>
      </c>
      <c r="H227" s="239">
        <v>0</v>
      </c>
      <c r="I227" s="239">
        <v>69728</v>
      </c>
      <c r="J227" s="239">
        <v>8308567</v>
      </c>
      <c r="K227" s="239">
        <v>0</v>
      </c>
      <c r="L227" s="239">
        <v>8308567</v>
      </c>
      <c r="M227" s="239">
        <v>81618</v>
      </c>
      <c r="N227" s="239">
        <v>0</v>
      </c>
      <c r="O227" s="239">
        <v>81618</v>
      </c>
      <c r="P227" s="239">
        <v>5871498</v>
      </c>
      <c r="Q227" s="239">
        <v>0</v>
      </c>
      <c r="R227" s="239">
        <v>5871498</v>
      </c>
      <c r="S227" s="239">
        <v>-7275192</v>
      </c>
      <c r="T227" s="239">
        <v>0</v>
      </c>
      <c r="U227" s="239">
        <v>-7275192</v>
      </c>
      <c r="V227" s="239">
        <v>-19197</v>
      </c>
      <c r="W227" s="239">
        <v>0</v>
      </c>
      <c r="X227" s="239">
        <v>-19197</v>
      </c>
      <c r="Y227" s="239">
        <v>-502748</v>
      </c>
      <c r="Z227" s="239">
        <v>0</v>
      </c>
      <c r="AA227" s="239">
        <v>-502748</v>
      </c>
      <c r="AB227" s="239">
        <v>-483928</v>
      </c>
      <c r="AC227" s="239">
        <v>0</v>
      </c>
      <c r="AD227" s="239">
        <v>-483928</v>
      </c>
      <c r="AE227" s="239">
        <v>357</v>
      </c>
      <c r="AF227" s="239">
        <v>0</v>
      </c>
      <c r="AG227" s="239">
        <v>357</v>
      </c>
      <c r="AH227" s="239">
        <v>2256321</v>
      </c>
      <c r="AI227" s="239">
        <v>0</v>
      </c>
      <c r="AJ227" s="239">
        <v>2256321</v>
      </c>
      <c r="AK227" s="239">
        <v>1349731</v>
      </c>
      <c r="AL227" s="239">
        <v>0</v>
      </c>
      <c r="AM227" s="239">
        <v>1349731</v>
      </c>
      <c r="AN227" s="239">
        <v>-7661602</v>
      </c>
      <c r="AO227" s="239">
        <v>0</v>
      </c>
      <c r="AP227" s="239">
        <v>-7661602</v>
      </c>
      <c r="AQ227" s="239">
        <v>423064</v>
      </c>
      <c r="AR227" s="239">
        <v>0</v>
      </c>
      <c r="AS227" s="239">
        <v>423064</v>
      </c>
      <c r="AT227" s="239">
        <v>-115256</v>
      </c>
      <c r="AU227" s="239">
        <v>0</v>
      </c>
      <c r="AV227" s="239">
        <v>-115256</v>
      </c>
      <c r="AW227" s="239">
        <v>0</v>
      </c>
      <c r="AX227" s="239">
        <v>0</v>
      </c>
      <c r="AY227" s="239">
        <v>0</v>
      </c>
      <c r="AZ227" s="239">
        <v>0</v>
      </c>
      <c r="BA227" s="239">
        <v>0</v>
      </c>
      <c r="BB227" s="239">
        <v>0</v>
      </c>
      <c r="BC227" s="239">
        <v>0</v>
      </c>
      <c r="BD227" s="239">
        <v>0</v>
      </c>
      <c r="BE227" s="239">
        <v>0</v>
      </c>
      <c r="BF227" s="239">
        <v>-11525682</v>
      </c>
      <c r="BG227" s="239">
        <v>0</v>
      </c>
      <c r="BH227" s="239">
        <v>-11525682</v>
      </c>
      <c r="BI227" s="239">
        <v>0</v>
      </c>
      <c r="BJ227" s="239">
        <v>0</v>
      </c>
      <c r="BK227" s="239">
        <v>0</v>
      </c>
      <c r="BL227" s="239">
        <v>1865</v>
      </c>
      <c r="BM227" s="239">
        <v>0</v>
      </c>
      <c r="BN227" s="239">
        <v>1865</v>
      </c>
      <c r="BO227" s="239">
        <v>-5473093</v>
      </c>
      <c r="BP227" s="239">
        <v>0</v>
      </c>
      <c r="BQ227" s="239">
        <v>-5473093</v>
      </c>
      <c r="BR227" s="239">
        <v>-153890</v>
      </c>
      <c r="BS227" s="239">
        <v>0</v>
      </c>
      <c r="BT227" s="239">
        <v>-153890</v>
      </c>
      <c r="BU227" s="239">
        <v>-5625118</v>
      </c>
      <c r="BV227" s="239">
        <v>0</v>
      </c>
      <c r="BW227" s="239">
        <v>-5625118</v>
      </c>
      <c r="BX227" s="239">
        <v>-242461</v>
      </c>
      <c r="BY227" s="239">
        <v>0</v>
      </c>
      <c r="BZ227" s="239">
        <v>-242461</v>
      </c>
      <c r="CA227" s="239">
        <v>568</v>
      </c>
      <c r="CB227" s="239">
        <v>0</v>
      </c>
      <c r="CC227" s="239">
        <v>568</v>
      </c>
      <c r="CD227" s="239">
        <v>-76799</v>
      </c>
      <c r="CE227" s="239">
        <v>0</v>
      </c>
      <c r="CF227" s="239">
        <v>-76799</v>
      </c>
      <c r="CG227" s="239">
        <v>-12111</v>
      </c>
      <c r="CH227" s="239">
        <v>0</v>
      </c>
      <c r="CI227" s="239">
        <v>-12111</v>
      </c>
      <c r="CJ227" s="239">
        <v>-773</v>
      </c>
      <c r="CK227" s="239">
        <v>0</v>
      </c>
      <c r="CL227" s="239">
        <v>-773</v>
      </c>
      <c r="CM227" s="239">
        <v>0</v>
      </c>
      <c r="CN227" s="239">
        <v>0</v>
      </c>
      <c r="CO227" s="239">
        <v>0</v>
      </c>
      <c r="CP227" s="239">
        <v>0</v>
      </c>
      <c r="CQ227" s="239">
        <v>0</v>
      </c>
      <c r="CR227" s="239">
        <v>0</v>
      </c>
      <c r="CS227" s="239">
        <v>0</v>
      </c>
      <c r="CT227" s="239">
        <v>0</v>
      </c>
      <c r="CU227" s="239">
        <v>0</v>
      </c>
      <c r="CV227" s="239">
        <v>0</v>
      </c>
      <c r="CW227" s="239">
        <v>0</v>
      </c>
      <c r="CX227" s="239">
        <v>0</v>
      </c>
      <c r="CY227" s="239">
        <v>0</v>
      </c>
      <c r="CZ227" s="239">
        <v>0</v>
      </c>
      <c r="DA227" s="239">
        <v>0</v>
      </c>
      <c r="DB227" s="239">
        <v>0</v>
      </c>
      <c r="DC227" s="239">
        <v>0</v>
      </c>
      <c r="DD227" s="239">
        <v>0</v>
      </c>
      <c r="DE227" s="239">
        <v>0</v>
      </c>
      <c r="DF227" s="239">
        <v>0</v>
      </c>
      <c r="DG227" s="239">
        <v>0</v>
      </c>
      <c r="DH227" s="239">
        <v>0</v>
      </c>
      <c r="DI227" s="239">
        <v>0</v>
      </c>
      <c r="DJ227" s="239">
        <v>-331576</v>
      </c>
      <c r="DK227" s="239">
        <v>0</v>
      </c>
      <c r="DL227" s="239">
        <v>-331576</v>
      </c>
      <c r="DM227" s="239">
        <v>-5549</v>
      </c>
      <c r="DN227" s="239">
        <v>0</v>
      </c>
      <c r="DO227" s="239">
        <v>-5549</v>
      </c>
      <c r="DP227" s="239">
        <v>-70469</v>
      </c>
      <c r="DQ227" s="239">
        <v>0</v>
      </c>
      <c r="DR227" s="239">
        <v>-70469</v>
      </c>
      <c r="DS227" s="239">
        <v>0</v>
      </c>
      <c r="DT227" s="239">
        <v>0</v>
      </c>
      <c r="DU227" s="239">
        <v>0</v>
      </c>
      <c r="DV227" s="239">
        <v>0</v>
      </c>
      <c r="DW227" s="239">
        <v>0</v>
      </c>
      <c r="DX227" s="239">
        <v>0</v>
      </c>
      <c r="DY227" s="239">
        <v>31985</v>
      </c>
      <c r="DZ227" s="239">
        <v>0</v>
      </c>
      <c r="EA227" s="239">
        <v>31985</v>
      </c>
      <c r="EB227" s="239">
        <v>0</v>
      </c>
      <c r="EC227" s="239">
        <v>0</v>
      </c>
      <c r="ED227" s="239">
        <v>0</v>
      </c>
      <c r="EE227" s="239">
        <v>8134</v>
      </c>
      <c r="EF227" s="239">
        <v>0</v>
      </c>
      <c r="EG227" s="239">
        <v>8134</v>
      </c>
      <c r="EH227" s="239">
        <v>482</v>
      </c>
      <c r="EI227" s="239">
        <v>0</v>
      </c>
      <c r="EJ227" s="239">
        <v>482</v>
      </c>
      <c r="EK227" s="239">
        <v>0</v>
      </c>
      <c r="EL227" s="239">
        <v>0</v>
      </c>
      <c r="EM227" s="239">
        <v>0</v>
      </c>
      <c r="EN227" s="239">
        <v>0</v>
      </c>
      <c r="EO227" s="239">
        <v>0</v>
      </c>
      <c r="EP227" s="239">
        <v>0</v>
      </c>
      <c r="EQ227" s="239">
        <v>-9950</v>
      </c>
      <c r="ER227" s="239">
        <v>0</v>
      </c>
      <c r="ES227" s="239">
        <v>-9950</v>
      </c>
      <c r="ET227" s="239">
        <v>-287689</v>
      </c>
      <c r="EU227" s="239">
        <v>0</v>
      </c>
      <c r="EV227" s="239">
        <v>-287689</v>
      </c>
      <c r="EW227" s="239">
        <v>-55331</v>
      </c>
      <c r="EX227" s="239">
        <v>0</v>
      </c>
      <c r="EY227" s="239">
        <v>-55331</v>
      </c>
      <c r="EZ227" s="239">
        <v>-388387</v>
      </c>
      <c r="FA227" s="239">
        <v>0</v>
      </c>
      <c r="FB227" s="239">
        <v>-388387</v>
      </c>
      <c r="FC227" s="239">
        <v>0</v>
      </c>
      <c r="FD227" s="239">
        <v>0</v>
      </c>
      <c r="FE227" s="239">
        <v>0</v>
      </c>
      <c r="FF227" s="239">
        <v>-1075</v>
      </c>
      <c r="FG227" s="239">
        <v>0</v>
      </c>
      <c r="FH227" s="239">
        <v>-1075</v>
      </c>
      <c r="FI227" s="239">
        <v>-1075</v>
      </c>
      <c r="FJ227" s="239">
        <v>0</v>
      </c>
      <c r="FK227" s="239">
        <v>-1075</v>
      </c>
      <c r="FL227" s="239">
        <v>104708975</v>
      </c>
      <c r="FM227" s="239">
        <v>0</v>
      </c>
      <c r="FN227" s="239">
        <v>104708975</v>
      </c>
      <c r="FO227" s="239">
        <v>5871498</v>
      </c>
      <c r="FP227" s="239">
        <v>0</v>
      </c>
      <c r="FQ227" s="239">
        <v>5871498</v>
      </c>
      <c r="FR227" s="239">
        <v>-11525682</v>
      </c>
      <c r="FS227" s="239">
        <v>0</v>
      </c>
      <c r="FT227" s="239">
        <v>-11525682</v>
      </c>
      <c r="FU227" s="239">
        <v>-5625118</v>
      </c>
      <c r="FV227" s="239">
        <v>0</v>
      </c>
      <c r="FW227" s="239">
        <v>-5625118</v>
      </c>
      <c r="FX227" s="239">
        <v>-331576</v>
      </c>
      <c r="FY227" s="239">
        <v>0</v>
      </c>
      <c r="FZ227" s="239">
        <v>-331576</v>
      </c>
      <c r="GA227" s="239">
        <v>-388387</v>
      </c>
      <c r="GB227" s="239">
        <v>0</v>
      </c>
      <c r="GC227" s="239">
        <v>-388387</v>
      </c>
      <c r="GD227" s="239">
        <v>-1075</v>
      </c>
      <c r="GE227" s="239">
        <v>0</v>
      </c>
      <c r="GF227" s="239">
        <v>-1075</v>
      </c>
      <c r="GG227" s="239">
        <v>-12000340</v>
      </c>
      <c r="GH227" s="239">
        <v>0</v>
      </c>
      <c r="GI227" s="239">
        <v>-12000340</v>
      </c>
      <c r="GJ227" s="239">
        <v>92708635</v>
      </c>
      <c r="GK227" s="239">
        <v>0</v>
      </c>
      <c r="GL227" s="239">
        <v>92708635</v>
      </c>
      <c r="GM227" s="214" t="s">
        <v>1160</v>
      </c>
    </row>
    <row r="228" spans="1:195" s="214" customFormat="1" x14ac:dyDescent="0.2">
      <c r="B228" s="602" t="s">
        <v>539</v>
      </c>
      <c r="C228" s="602" t="s">
        <v>538</v>
      </c>
      <c r="D228" s="239">
        <v>-2578092</v>
      </c>
      <c r="E228" s="239">
        <v>0</v>
      </c>
      <c r="F228" s="239">
        <v>-2578092</v>
      </c>
      <c r="G228" s="239">
        <v>352457</v>
      </c>
      <c r="H228" s="239">
        <v>0</v>
      </c>
      <c r="I228" s="239">
        <v>352457</v>
      </c>
      <c r="J228" s="239">
        <v>5652658</v>
      </c>
      <c r="K228" s="239">
        <v>0</v>
      </c>
      <c r="L228" s="239">
        <v>5652658</v>
      </c>
      <c r="M228" s="239">
        <v>109354</v>
      </c>
      <c r="N228" s="239">
        <v>0</v>
      </c>
      <c r="O228" s="239">
        <v>109354</v>
      </c>
      <c r="P228" s="239">
        <v>3536377</v>
      </c>
      <c r="Q228" s="239">
        <v>0</v>
      </c>
      <c r="R228" s="239">
        <v>3536377</v>
      </c>
      <c r="S228" s="239">
        <v>-12302530</v>
      </c>
      <c r="T228" s="239">
        <v>0</v>
      </c>
      <c r="U228" s="239">
        <v>-12302530</v>
      </c>
      <c r="V228" s="239">
        <v>-48893</v>
      </c>
      <c r="W228" s="239">
        <v>0</v>
      </c>
      <c r="X228" s="239">
        <v>-48893</v>
      </c>
      <c r="Y228" s="239">
        <v>-405470</v>
      </c>
      <c r="Z228" s="239">
        <v>0</v>
      </c>
      <c r="AA228" s="239">
        <v>-405470</v>
      </c>
      <c r="AB228" s="239">
        <v>-316465</v>
      </c>
      <c r="AC228" s="239">
        <v>0</v>
      </c>
      <c r="AD228" s="239">
        <v>-316465</v>
      </c>
      <c r="AE228" s="239">
        <v>-5540</v>
      </c>
      <c r="AF228" s="239">
        <v>0</v>
      </c>
      <c r="AG228" s="239">
        <v>-5540</v>
      </c>
      <c r="AH228" s="239">
        <v>2264038</v>
      </c>
      <c r="AI228" s="239">
        <v>0</v>
      </c>
      <c r="AJ228" s="239">
        <v>2264038</v>
      </c>
      <c r="AK228" s="239">
        <v>1457245</v>
      </c>
      <c r="AL228" s="239">
        <v>0</v>
      </c>
      <c r="AM228" s="239">
        <v>1457245</v>
      </c>
      <c r="AN228" s="239">
        <v>-6124614</v>
      </c>
      <c r="AO228" s="239">
        <v>0</v>
      </c>
      <c r="AP228" s="239">
        <v>-6124614</v>
      </c>
      <c r="AQ228" s="239">
        <v>-65671</v>
      </c>
      <c r="AR228" s="239">
        <v>0</v>
      </c>
      <c r="AS228" s="239">
        <v>-65671</v>
      </c>
      <c r="AT228" s="239">
        <v>-84776</v>
      </c>
      <c r="AU228" s="239">
        <v>0</v>
      </c>
      <c r="AV228" s="239">
        <v>-84776</v>
      </c>
      <c r="AW228" s="239">
        <v>14989</v>
      </c>
      <c r="AX228" s="239">
        <v>0</v>
      </c>
      <c r="AY228" s="239">
        <v>14989</v>
      </c>
      <c r="AZ228" s="239">
        <v>0</v>
      </c>
      <c r="BA228" s="239">
        <v>0</v>
      </c>
      <c r="BB228" s="239">
        <v>0</v>
      </c>
      <c r="BC228" s="239">
        <v>0</v>
      </c>
      <c r="BD228" s="239">
        <v>0</v>
      </c>
      <c r="BE228" s="239">
        <v>0</v>
      </c>
      <c r="BF228" s="239">
        <v>-15246789</v>
      </c>
      <c r="BG228" s="239">
        <v>0</v>
      </c>
      <c r="BH228" s="239">
        <v>-15246789</v>
      </c>
      <c r="BI228" s="239">
        <v>-113712</v>
      </c>
      <c r="BJ228" s="239">
        <v>0</v>
      </c>
      <c r="BK228" s="239">
        <v>-113712</v>
      </c>
      <c r="BL228" s="239">
        <v>-138844</v>
      </c>
      <c r="BM228" s="239">
        <v>0</v>
      </c>
      <c r="BN228" s="239">
        <v>-138844</v>
      </c>
      <c r="BO228" s="239">
        <v>-3025289</v>
      </c>
      <c r="BP228" s="239">
        <v>0</v>
      </c>
      <c r="BQ228" s="239">
        <v>-3025289</v>
      </c>
      <c r="BR228" s="239">
        <v>144440</v>
      </c>
      <c r="BS228" s="239">
        <v>0</v>
      </c>
      <c r="BT228" s="239">
        <v>144440</v>
      </c>
      <c r="BU228" s="239">
        <v>-3133405</v>
      </c>
      <c r="BV228" s="239">
        <v>0</v>
      </c>
      <c r="BW228" s="239">
        <v>-3133405</v>
      </c>
      <c r="BX228" s="239">
        <v>-492440</v>
      </c>
      <c r="BY228" s="239">
        <v>0</v>
      </c>
      <c r="BZ228" s="239">
        <v>-492440</v>
      </c>
      <c r="CA228" s="239">
        <v>8386</v>
      </c>
      <c r="CB228" s="239">
        <v>0</v>
      </c>
      <c r="CC228" s="239">
        <v>8386</v>
      </c>
      <c r="CD228" s="239">
        <v>-332528</v>
      </c>
      <c r="CE228" s="239">
        <v>0</v>
      </c>
      <c r="CF228" s="239">
        <v>-332528</v>
      </c>
      <c r="CG228" s="239">
        <v>5958</v>
      </c>
      <c r="CH228" s="239">
        <v>0</v>
      </c>
      <c r="CI228" s="239">
        <v>5958</v>
      </c>
      <c r="CJ228" s="239">
        <v>-7665</v>
      </c>
      <c r="CK228" s="239">
        <v>0</v>
      </c>
      <c r="CL228" s="239">
        <v>-7665</v>
      </c>
      <c r="CM228" s="239">
        <v>0</v>
      </c>
      <c r="CN228" s="239">
        <v>0</v>
      </c>
      <c r="CO228" s="239">
        <v>0</v>
      </c>
      <c r="CP228" s="239">
        <v>0</v>
      </c>
      <c r="CQ228" s="239">
        <v>0</v>
      </c>
      <c r="CR228" s="239">
        <v>0</v>
      </c>
      <c r="CS228" s="239">
        <v>0</v>
      </c>
      <c r="CT228" s="239">
        <v>0</v>
      </c>
      <c r="CU228" s="239">
        <v>0</v>
      </c>
      <c r="CV228" s="239">
        <v>0</v>
      </c>
      <c r="CW228" s="239">
        <v>0</v>
      </c>
      <c r="CX228" s="239">
        <v>0</v>
      </c>
      <c r="CY228" s="239">
        <v>0</v>
      </c>
      <c r="CZ228" s="239">
        <v>0</v>
      </c>
      <c r="DA228" s="239">
        <v>0</v>
      </c>
      <c r="DB228" s="239">
        <v>0</v>
      </c>
      <c r="DC228" s="239">
        <v>0</v>
      </c>
      <c r="DD228" s="239">
        <v>0</v>
      </c>
      <c r="DE228" s="239">
        <v>0</v>
      </c>
      <c r="DF228" s="239">
        <v>0</v>
      </c>
      <c r="DG228" s="239">
        <v>0</v>
      </c>
      <c r="DH228" s="239">
        <v>0</v>
      </c>
      <c r="DI228" s="239">
        <v>0</v>
      </c>
      <c r="DJ228" s="239">
        <v>-818289</v>
      </c>
      <c r="DK228" s="239">
        <v>0</v>
      </c>
      <c r="DL228" s="239">
        <v>-818289</v>
      </c>
      <c r="DM228" s="239">
        <v>0</v>
      </c>
      <c r="DN228" s="239">
        <v>0</v>
      </c>
      <c r="DO228" s="239">
        <v>0</v>
      </c>
      <c r="DP228" s="239">
        <v>0</v>
      </c>
      <c r="DQ228" s="239">
        <v>0</v>
      </c>
      <c r="DR228" s="239">
        <v>0</v>
      </c>
      <c r="DS228" s="239">
        <v>-755</v>
      </c>
      <c r="DT228" s="239">
        <v>0</v>
      </c>
      <c r="DU228" s="239">
        <v>-755</v>
      </c>
      <c r="DV228" s="239">
        <v>-2348</v>
      </c>
      <c r="DW228" s="239">
        <v>0</v>
      </c>
      <c r="DX228" s="239">
        <v>-2348</v>
      </c>
      <c r="DY228" s="239">
        <v>5342</v>
      </c>
      <c r="DZ228" s="239">
        <v>0</v>
      </c>
      <c r="EA228" s="239">
        <v>5342</v>
      </c>
      <c r="EB228" s="239">
        <v>0</v>
      </c>
      <c r="EC228" s="239">
        <v>0</v>
      </c>
      <c r="ED228" s="239">
        <v>0</v>
      </c>
      <c r="EE228" s="239">
        <v>0</v>
      </c>
      <c r="EF228" s="239">
        <v>0</v>
      </c>
      <c r="EG228" s="239">
        <v>0</v>
      </c>
      <c r="EH228" s="239">
        <v>-526</v>
      </c>
      <c r="EI228" s="239">
        <v>0</v>
      </c>
      <c r="EJ228" s="239">
        <v>-526</v>
      </c>
      <c r="EK228" s="239">
        <v>0</v>
      </c>
      <c r="EL228" s="239">
        <v>0</v>
      </c>
      <c r="EM228" s="239">
        <v>0</v>
      </c>
      <c r="EN228" s="239">
        <v>-1500</v>
      </c>
      <c r="EO228" s="239">
        <v>0</v>
      </c>
      <c r="EP228" s="239">
        <v>-1500</v>
      </c>
      <c r="EQ228" s="239">
        <v>-43602</v>
      </c>
      <c r="ER228" s="239">
        <v>0</v>
      </c>
      <c r="ES228" s="239">
        <v>-43602</v>
      </c>
      <c r="ET228" s="239">
        <v>-353318</v>
      </c>
      <c r="EU228" s="239">
        <v>0</v>
      </c>
      <c r="EV228" s="239">
        <v>-353318</v>
      </c>
      <c r="EW228" s="239">
        <v>-48959</v>
      </c>
      <c r="EX228" s="239">
        <v>0</v>
      </c>
      <c r="EY228" s="239">
        <v>-48959</v>
      </c>
      <c r="EZ228" s="239">
        <v>-445666</v>
      </c>
      <c r="FA228" s="239">
        <v>0</v>
      </c>
      <c r="FB228" s="239">
        <v>-445666</v>
      </c>
      <c r="FC228" s="239">
        <v>-5912</v>
      </c>
      <c r="FD228" s="239">
        <v>0</v>
      </c>
      <c r="FE228" s="239">
        <v>-5912</v>
      </c>
      <c r="FF228" s="239">
        <v>-1439</v>
      </c>
      <c r="FG228" s="239">
        <v>0</v>
      </c>
      <c r="FH228" s="239">
        <v>-1439</v>
      </c>
      <c r="FI228" s="239">
        <v>-7351</v>
      </c>
      <c r="FJ228" s="239">
        <v>0</v>
      </c>
      <c r="FK228" s="239">
        <v>-7351</v>
      </c>
      <c r="FL228" s="239">
        <v>112413794</v>
      </c>
      <c r="FM228" s="239">
        <v>0</v>
      </c>
      <c r="FN228" s="239">
        <v>112413794</v>
      </c>
      <c r="FO228" s="239">
        <v>3536377</v>
      </c>
      <c r="FP228" s="239">
        <v>0</v>
      </c>
      <c r="FQ228" s="239">
        <v>3536377</v>
      </c>
      <c r="FR228" s="239">
        <v>-15246789</v>
      </c>
      <c r="FS228" s="239">
        <v>0</v>
      </c>
      <c r="FT228" s="239">
        <v>-15246789</v>
      </c>
      <c r="FU228" s="239">
        <v>-3133405</v>
      </c>
      <c r="FV228" s="239">
        <v>0</v>
      </c>
      <c r="FW228" s="239">
        <v>-3133405</v>
      </c>
      <c r="FX228" s="239">
        <v>-818289</v>
      </c>
      <c r="FY228" s="239">
        <v>0</v>
      </c>
      <c r="FZ228" s="239">
        <v>-818289</v>
      </c>
      <c r="GA228" s="239">
        <v>-445666</v>
      </c>
      <c r="GB228" s="239">
        <v>0</v>
      </c>
      <c r="GC228" s="239">
        <v>-445666</v>
      </c>
      <c r="GD228" s="239">
        <v>-7351</v>
      </c>
      <c r="GE228" s="239">
        <v>0</v>
      </c>
      <c r="GF228" s="239">
        <v>-7351</v>
      </c>
      <c r="GG228" s="239">
        <v>-16115123</v>
      </c>
      <c r="GH228" s="239">
        <v>0</v>
      </c>
      <c r="GI228" s="239">
        <v>-16115123</v>
      </c>
      <c r="GJ228" s="239">
        <v>96298671</v>
      </c>
      <c r="GK228" s="239">
        <v>0</v>
      </c>
      <c r="GL228" s="239">
        <v>96298671</v>
      </c>
      <c r="GM228" s="214" t="s">
        <v>1160</v>
      </c>
    </row>
    <row r="229" spans="1:195" s="214" customFormat="1" x14ac:dyDescent="0.2">
      <c r="B229" s="602" t="s">
        <v>541</v>
      </c>
      <c r="C229" s="602" t="s">
        <v>540</v>
      </c>
      <c r="D229" s="239">
        <v>-4081749</v>
      </c>
      <c r="E229" s="239">
        <v>0</v>
      </c>
      <c r="F229" s="239">
        <v>-4081749</v>
      </c>
      <c r="G229" s="239">
        <v>82714</v>
      </c>
      <c r="H229" s="239">
        <v>0</v>
      </c>
      <c r="I229" s="239">
        <v>82714</v>
      </c>
      <c r="J229" s="239">
        <v>1330777</v>
      </c>
      <c r="K229" s="239">
        <v>0</v>
      </c>
      <c r="L229" s="239">
        <v>1330777</v>
      </c>
      <c r="M229" s="239">
        <v>-20186</v>
      </c>
      <c r="N229" s="239">
        <v>0</v>
      </c>
      <c r="O229" s="239">
        <v>-20186</v>
      </c>
      <c r="P229" s="239">
        <v>-2688444</v>
      </c>
      <c r="Q229" s="239">
        <v>0</v>
      </c>
      <c r="R229" s="239">
        <v>-2688444</v>
      </c>
      <c r="S229" s="239">
        <v>-7267079</v>
      </c>
      <c r="T229" s="239">
        <v>0</v>
      </c>
      <c r="U229" s="239">
        <v>-7267079</v>
      </c>
      <c r="V229" s="239">
        <v>-26760</v>
      </c>
      <c r="W229" s="239">
        <v>0</v>
      </c>
      <c r="X229" s="239">
        <v>-26760</v>
      </c>
      <c r="Y229" s="239">
        <v>-271385</v>
      </c>
      <c r="Z229" s="239">
        <v>0</v>
      </c>
      <c r="AA229" s="239">
        <v>-271385</v>
      </c>
      <c r="AB229" s="239">
        <v>-229732</v>
      </c>
      <c r="AC229" s="239">
        <v>0</v>
      </c>
      <c r="AD229" s="239">
        <v>-229732</v>
      </c>
      <c r="AE229" s="239">
        <v>-870</v>
      </c>
      <c r="AF229" s="239">
        <v>0</v>
      </c>
      <c r="AG229" s="239">
        <v>-870</v>
      </c>
      <c r="AH229" s="239">
        <v>518568</v>
      </c>
      <c r="AI229" s="239">
        <v>0</v>
      </c>
      <c r="AJ229" s="239">
        <v>518568</v>
      </c>
      <c r="AK229" s="239">
        <v>216944</v>
      </c>
      <c r="AL229" s="239">
        <v>0</v>
      </c>
      <c r="AM229" s="239">
        <v>216944</v>
      </c>
      <c r="AN229" s="239">
        <v>-2372880</v>
      </c>
      <c r="AO229" s="239">
        <v>0</v>
      </c>
      <c r="AP229" s="239">
        <v>-2372880</v>
      </c>
      <c r="AQ229" s="239">
        <v>-33069</v>
      </c>
      <c r="AR229" s="239">
        <v>0</v>
      </c>
      <c r="AS229" s="239">
        <v>-33069</v>
      </c>
      <c r="AT229" s="239">
        <v>-114717</v>
      </c>
      <c r="AU229" s="239">
        <v>0</v>
      </c>
      <c r="AV229" s="239">
        <v>-114717</v>
      </c>
      <c r="AW229" s="239">
        <v>-1147</v>
      </c>
      <c r="AX229" s="239">
        <v>0</v>
      </c>
      <c r="AY229" s="239">
        <v>-1147</v>
      </c>
      <c r="AZ229" s="239">
        <v>-29412</v>
      </c>
      <c r="BA229" s="239">
        <v>0</v>
      </c>
      <c r="BB229" s="239">
        <v>-29412</v>
      </c>
      <c r="BC229" s="239">
        <v>-10361</v>
      </c>
      <c r="BD229" s="239">
        <v>0</v>
      </c>
      <c r="BE229" s="239">
        <v>-10361</v>
      </c>
      <c r="BF229" s="239">
        <v>-9364538</v>
      </c>
      <c r="BG229" s="239">
        <v>0</v>
      </c>
      <c r="BH229" s="239">
        <v>-9364538</v>
      </c>
      <c r="BI229" s="239">
        <v>0</v>
      </c>
      <c r="BJ229" s="239">
        <v>0</v>
      </c>
      <c r="BK229" s="239">
        <v>0</v>
      </c>
      <c r="BL229" s="239">
        <v>-1653</v>
      </c>
      <c r="BM229" s="239">
        <v>0</v>
      </c>
      <c r="BN229" s="239">
        <v>-1653</v>
      </c>
      <c r="BO229" s="239">
        <v>-736622</v>
      </c>
      <c r="BP229" s="239">
        <v>0</v>
      </c>
      <c r="BQ229" s="239">
        <v>-736622</v>
      </c>
      <c r="BR229" s="239">
        <v>-47620</v>
      </c>
      <c r="BS229" s="239">
        <v>0</v>
      </c>
      <c r="BT229" s="239">
        <v>-47620</v>
      </c>
      <c r="BU229" s="239">
        <v>-785895</v>
      </c>
      <c r="BV229" s="239">
        <v>0</v>
      </c>
      <c r="BW229" s="239">
        <v>-785895</v>
      </c>
      <c r="BX229" s="239">
        <v>-215746</v>
      </c>
      <c r="BY229" s="239">
        <v>0</v>
      </c>
      <c r="BZ229" s="239">
        <v>-215746</v>
      </c>
      <c r="CA229" s="239">
        <v>-4045</v>
      </c>
      <c r="CB229" s="239">
        <v>0</v>
      </c>
      <c r="CC229" s="239">
        <v>-4045</v>
      </c>
      <c r="CD229" s="239">
        <v>-86348</v>
      </c>
      <c r="CE229" s="239">
        <v>0</v>
      </c>
      <c r="CF229" s="239">
        <v>-86348</v>
      </c>
      <c r="CG229" s="239">
        <v>-45446</v>
      </c>
      <c r="CH229" s="239">
        <v>0</v>
      </c>
      <c r="CI229" s="239">
        <v>-45446</v>
      </c>
      <c r="CJ229" s="239">
        <v>0</v>
      </c>
      <c r="CK229" s="239">
        <v>0</v>
      </c>
      <c r="CL229" s="239">
        <v>0</v>
      </c>
      <c r="CM229" s="239">
        <v>0</v>
      </c>
      <c r="CN229" s="239">
        <v>0</v>
      </c>
      <c r="CO229" s="239">
        <v>0</v>
      </c>
      <c r="CP229" s="239">
        <v>0</v>
      </c>
      <c r="CQ229" s="239">
        <v>0</v>
      </c>
      <c r="CR229" s="239">
        <v>0</v>
      </c>
      <c r="CS229" s="239">
        <v>0</v>
      </c>
      <c r="CT229" s="239">
        <v>0</v>
      </c>
      <c r="CU229" s="239">
        <v>0</v>
      </c>
      <c r="CV229" s="239">
        <v>0</v>
      </c>
      <c r="CW229" s="239">
        <v>0</v>
      </c>
      <c r="CX229" s="239">
        <v>0</v>
      </c>
      <c r="CY229" s="239">
        <v>0</v>
      </c>
      <c r="CZ229" s="239">
        <v>0</v>
      </c>
      <c r="DA229" s="239">
        <v>0</v>
      </c>
      <c r="DB229" s="239">
        <v>0</v>
      </c>
      <c r="DC229" s="239">
        <v>0</v>
      </c>
      <c r="DD229" s="239">
        <v>0</v>
      </c>
      <c r="DE229" s="239">
        <v>0</v>
      </c>
      <c r="DF229" s="239">
        <v>0</v>
      </c>
      <c r="DG229" s="239">
        <v>0</v>
      </c>
      <c r="DH229" s="239">
        <v>0</v>
      </c>
      <c r="DI229" s="239">
        <v>0</v>
      </c>
      <c r="DJ229" s="239">
        <v>-351585</v>
      </c>
      <c r="DK229" s="239">
        <v>0</v>
      </c>
      <c r="DL229" s="239">
        <v>-351585</v>
      </c>
      <c r="DM229" s="239">
        <v>0</v>
      </c>
      <c r="DN229" s="239">
        <v>0</v>
      </c>
      <c r="DO229" s="239">
        <v>0</v>
      </c>
      <c r="DP229" s="239">
        <v>0</v>
      </c>
      <c r="DQ229" s="239">
        <v>0</v>
      </c>
      <c r="DR229" s="239">
        <v>0</v>
      </c>
      <c r="DS229" s="239">
        <v>0</v>
      </c>
      <c r="DT229" s="239">
        <v>0</v>
      </c>
      <c r="DU229" s="239">
        <v>0</v>
      </c>
      <c r="DV229" s="239">
        <v>-215</v>
      </c>
      <c r="DW229" s="239">
        <v>0</v>
      </c>
      <c r="DX229" s="239">
        <v>-215</v>
      </c>
      <c r="DY229" s="239">
        <v>6257</v>
      </c>
      <c r="DZ229" s="239">
        <v>0</v>
      </c>
      <c r="EA229" s="239">
        <v>6257</v>
      </c>
      <c r="EB229" s="239">
        <v>0</v>
      </c>
      <c r="EC229" s="239">
        <v>0</v>
      </c>
      <c r="ED229" s="239">
        <v>0</v>
      </c>
      <c r="EE229" s="239">
        <v>1496</v>
      </c>
      <c r="EF229" s="239">
        <v>0</v>
      </c>
      <c r="EG229" s="239">
        <v>1496</v>
      </c>
      <c r="EH229" s="239">
        <v>0</v>
      </c>
      <c r="EI229" s="239">
        <v>0</v>
      </c>
      <c r="EJ229" s="239">
        <v>0</v>
      </c>
      <c r="EK229" s="239">
        <v>-29412</v>
      </c>
      <c r="EL229" s="239">
        <v>0</v>
      </c>
      <c r="EM229" s="239">
        <v>-29412</v>
      </c>
      <c r="EN229" s="239">
        <v>0</v>
      </c>
      <c r="EO229" s="239">
        <v>0</v>
      </c>
      <c r="EP229" s="239">
        <v>0</v>
      </c>
      <c r="EQ229" s="239">
        <v>-106528</v>
      </c>
      <c r="ER229" s="239">
        <v>0</v>
      </c>
      <c r="ES229" s="239">
        <v>-106528</v>
      </c>
      <c r="ET229" s="239">
        <v>-569795</v>
      </c>
      <c r="EU229" s="239">
        <v>0</v>
      </c>
      <c r="EV229" s="239">
        <v>-569795</v>
      </c>
      <c r="EW229" s="239">
        <v>-95237</v>
      </c>
      <c r="EX229" s="239">
        <v>0</v>
      </c>
      <c r="EY229" s="239">
        <v>-95237</v>
      </c>
      <c r="EZ229" s="239">
        <v>-793434</v>
      </c>
      <c r="FA229" s="239">
        <v>0</v>
      </c>
      <c r="FB229" s="239">
        <v>-793434</v>
      </c>
      <c r="FC229" s="239">
        <v>0</v>
      </c>
      <c r="FD229" s="239">
        <v>0</v>
      </c>
      <c r="FE229" s="239">
        <v>0</v>
      </c>
      <c r="FF229" s="239">
        <v>-16076</v>
      </c>
      <c r="FG229" s="239">
        <v>0</v>
      </c>
      <c r="FH229" s="239">
        <v>-16076</v>
      </c>
      <c r="FI229" s="239">
        <v>-16076</v>
      </c>
      <c r="FJ229" s="239">
        <v>0</v>
      </c>
      <c r="FK229" s="239">
        <v>-16076</v>
      </c>
      <c r="FL229" s="239">
        <v>47973380</v>
      </c>
      <c r="FM229" s="239">
        <v>0</v>
      </c>
      <c r="FN229" s="239">
        <v>47973380</v>
      </c>
      <c r="FO229" s="239">
        <v>-2688444</v>
      </c>
      <c r="FP229" s="239">
        <v>0</v>
      </c>
      <c r="FQ229" s="239">
        <v>-2688444</v>
      </c>
      <c r="FR229" s="239">
        <v>-9364538</v>
      </c>
      <c r="FS229" s="239">
        <v>0</v>
      </c>
      <c r="FT229" s="239">
        <v>-9364538</v>
      </c>
      <c r="FU229" s="239">
        <v>-785895</v>
      </c>
      <c r="FV229" s="239">
        <v>0</v>
      </c>
      <c r="FW229" s="239">
        <v>-785895</v>
      </c>
      <c r="FX229" s="239">
        <v>-351585</v>
      </c>
      <c r="FY229" s="239">
        <v>0</v>
      </c>
      <c r="FZ229" s="239">
        <v>-351585</v>
      </c>
      <c r="GA229" s="239">
        <v>-793434</v>
      </c>
      <c r="GB229" s="239">
        <v>0</v>
      </c>
      <c r="GC229" s="239">
        <v>-793434</v>
      </c>
      <c r="GD229" s="239">
        <v>-16076</v>
      </c>
      <c r="GE229" s="239">
        <v>0</v>
      </c>
      <c r="GF229" s="239">
        <v>-16076</v>
      </c>
      <c r="GG229" s="239">
        <v>-13999972</v>
      </c>
      <c r="GH229" s="239">
        <v>0</v>
      </c>
      <c r="GI229" s="239">
        <v>-13999972</v>
      </c>
      <c r="GJ229" s="239">
        <v>33973408</v>
      </c>
      <c r="GK229" s="239">
        <v>0</v>
      </c>
      <c r="GL229" s="239">
        <v>33973408</v>
      </c>
      <c r="GM229" s="214" t="s">
        <v>1158</v>
      </c>
    </row>
    <row r="230" spans="1:195" s="214" customFormat="1" x14ac:dyDescent="0.2">
      <c r="B230" s="602" t="s">
        <v>543</v>
      </c>
      <c r="C230" s="602" t="s">
        <v>542</v>
      </c>
      <c r="D230" s="239">
        <v>-1914961</v>
      </c>
      <c r="E230" s="239">
        <v>0</v>
      </c>
      <c r="F230" s="239">
        <v>-1914961</v>
      </c>
      <c r="G230" s="239">
        <v>261080</v>
      </c>
      <c r="H230" s="239">
        <v>0</v>
      </c>
      <c r="I230" s="239">
        <v>261080</v>
      </c>
      <c r="J230" s="239">
        <v>2145202</v>
      </c>
      <c r="K230" s="239">
        <v>0</v>
      </c>
      <c r="L230" s="239">
        <v>2145202</v>
      </c>
      <c r="M230" s="239">
        <v>150160</v>
      </c>
      <c r="N230" s="239">
        <v>0</v>
      </c>
      <c r="O230" s="239">
        <v>150160</v>
      </c>
      <c r="P230" s="239">
        <v>641481</v>
      </c>
      <c r="Q230" s="239">
        <v>0</v>
      </c>
      <c r="R230" s="239">
        <v>641481</v>
      </c>
      <c r="S230" s="239">
        <v>-4123524</v>
      </c>
      <c r="T230" s="239">
        <v>-4893</v>
      </c>
      <c r="U230" s="239">
        <v>-4128417</v>
      </c>
      <c r="V230" s="239">
        <v>-12041</v>
      </c>
      <c r="W230" s="239">
        <v>0</v>
      </c>
      <c r="X230" s="239">
        <v>-12041</v>
      </c>
      <c r="Y230" s="239">
        <v>-208087</v>
      </c>
      <c r="Z230" s="239">
        <v>0</v>
      </c>
      <c r="AA230" s="239">
        <v>-208087</v>
      </c>
      <c r="AB230" s="239">
        <v>0</v>
      </c>
      <c r="AC230" s="239">
        <v>0</v>
      </c>
      <c r="AD230" s="239">
        <v>0</v>
      </c>
      <c r="AE230" s="239">
        <v>0</v>
      </c>
      <c r="AF230" s="239">
        <v>0</v>
      </c>
      <c r="AG230" s="239">
        <v>0</v>
      </c>
      <c r="AH230" s="239">
        <v>914516</v>
      </c>
      <c r="AI230" s="239">
        <v>0</v>
      </c>
      <c r="AJ230" s="239">
        <v>914516</v>
      </c>
      <c r="AK230" s="239">
        <v>-31251</v>
      </c>
      <c r="AL230" s="239">
        <v>0</v>
      </c>
      <c r="AM230" s="239">
        <v>-31251</v>
      </c>
      <c r="AN230" s="239">
        <v>-2667462</v>
      </c>
      <c r="AO230" s="239">
        <v>0</v>
      </c>
      <c r="AP230" s="239">
        <v>-2667462</v>
      </c>
      <c r="AQ230" s="239">
        <v>-7283</v>
      </c>
      <c r="AR230" s="239">
        <v>0</v>
      </c>
      <c r="AS230" s="239">
        <v>-7283</v>
      </c>
      <c r="AT230" s="239">
        <v>-26826</v>
      </c>
      <c r="AU230" s="239">
        <v>0</v>
      </c>
      <c r="AV230" s="239">
        <v>-26826</v>
      </c>
      <c r="AW230" s="239">
        <v>2236</v>
      </c>
      <c r="AX230" s="239">
        <v>0</v>
      </c>
      <c r="AY230" s="239">
        <v>2236</v>
      </c>
      <c r="AZ230" s="239">
        <v>-58970</v>
      </c>
      <c r="BA230" s="239">
        <v>0</v>
      </c>
      <c r="BB230" s="239">
        <v>-58970</v>
      </c>
      <c r="BC230" s="239">
        <v>1952</v>
      </c>
      <c r="BD230" s="239">
        <v>0</v>
      </c>
      <c r="BE230" s="239">
        <v>1952</v>
      </c>
      <c r="BF230" s="239">
        <v>-6204699</v>
      </c>
      <c r="BG230" s="239">
        <v>-4893</v>
      </c>
      <c r="BH230" s="239">
        <v>-6209592</v>
      </c>
      <c r="BI230" s="239">
        <v>0</v>
      </c>
      <c r="BJ230" s="239">
        <v>0</v>
      </c>
      <c r="BK230" s="239">
        <v>0</v>
      </c>
      <c r="BL230" s="239">
        <v>0</v>
      </c>
      <c r="BM230" s="239">
        <v>0</v>
      </c>
      <c r="BN230" s="239">
        <v>0</v>
      </c>
      <c r="BO230" s="239">
        <v>-1192803</v>
      </c>
      <c r="BP230" s="239">
        <v>0</v>
      </c>
      <c r="BQ230" s="239">
        <v>-1192803</v>
      </c>
      <c r="BR230" s="239">
        <v>1342</v>
      </c>
      <c r="BS230" s="239">
        <v>0</v>
      </c>
      <c r="BT230" s="239">
        <v>1342</v>
      </c>
      <c r="BU230" s="239">
        <v>-1191461</v>
      </c>
      <c r="BV230" s="239">
        <v>0</v>
      </c>
      <c r="BW230" s="239">
        <v>-1191461</v>
      </c>
      <c r="BX230" s="239">
        <v>-73362</v>
      </c>
      <c r="BY230" s="239">
        <v>0</v>
      </c>
      <c r="BZ230" s="239">
        <v>-73362</v>
      </c>
      <c r="CA230" s="239">
        <v>365</v>
      </c>
      <c r="CB230" s="239">
        <v>0</v>
      </c>
      <c r="CC230" s="239">
        <v>365</v>
      </c>
      <c r="CD230" s="239">
        <v>-15967</v>
      </c>
      <c r="CE230" s="239">
        <v>0</v>
      </c>
      <c r="CF230" s="239">
        <v>-15967</v>
      </c>
      <c r="CG230" s="239">
        <v>1002</v>
      </c>
      <c r="CH230" s="239">
        <v>0</v>
      </c>
      <c r="CI230" s="239">
        <v>1002</v>
      </c>
      <c r="CJ230" s="239">
        <v>0</v>
      </c>
      <c r="CK230" s="239">
        <v>0</v>
      </c>
      <c r="CL230" s="239">
        <v>0</v>
      </c>
      <c r="CM230" s="239">
        <v>0</v>
      </c>
      <c r="CN230" s="239">
        <v>0</v>
      </c>
      <c r="CO230" s="239">
        <v>0</v>
      </c>
      <c r="CP230" s="239">
        <v>0</v>
      </c>
      <c r="CQ230" s="239">
        <v>0</v>
      </c>
      <c r="CR230" s="239">
        <v>0</v>
      </c>
      <c r="CS230" s="239">
        <v>821</v>
      </c>
      <c r="CT230" s="239">
        <v>0</v>
      </c>
      <c r="CU230" s="239">
        <v>821</v>
      </c>
      <c r="CV230" s="239">
        <v>-394</v>
      </c>
      <c r="CW230" s="239">
        <v>0</v>
      </c>
      <c r="CX230" s="239">
        <v>-394</v>
      </c>
      <c r="CY230" s="239">
        <v>0</v>
      </c>
      <c r="CZ230" s="239">
        <v>0</v>
      </c>
      <c r="DA230" s="239">
        <v>0</v>
      </c>
      <c r="DB230" s="239">
        <v>0</v>
      </c>
      <c r="DC230" s="239">
        <v>0</v>
      </c>
      <c r="DD230" s="239">
        <v>0</v>
      </c>
      <c r="DE230" s="239">
        <v>0</v>
      </c>
      <c r="DF230" s="239">
        <v>0</v>
      </c>
      <c r="DG230" s="239">
        <v>0</v>
      </c>
      <c r="DH230" s="239">
        <v>0</v>
      </c>
      <c r="DI230" s="239">
        <v>0</v>
      </c>
      <c r="DJ230" s="239">
        <v>-87535</v>
      </c>
      <c r="DK230" s="239">
        <v>0</v>
      </c>
      <c r="DL230" s="239">
        <v>-87535</v>
      </c>
      <c r="DM230" s="239">
        <v>-6126</v>
      </c>
      <c r="DN230" s="239">
        <v>0</v>
      </c>
      <c r="DO230" s="239">
        <v>-6126</v>
      </c>
      <c r="DP230" s="239">
        <v>-4368</v>
      </c>
      <c r="DQ230" s="239">
        <v>0</v>
      </c>
      <c r="DR230" s="239">
        <v>-4368</v>
      </c>
      <c r="DS230" s="239">
        <v>-284</v>
      </c>
      <c r="DT230" s="239">
        <v>0</v>
      </c>
      <c r="DU230" s="239">
        <v>-284</v>
      </c>
      <c r="DV230" s="239">
        <v>0</v>
      </c>
      <c r="DW230" s="239">
        <v>0</v>
      </c>
      <c r="DX230" s="239">
        <v>0</v>
      </c>
      <c r="DY230" s="239">
        <v>5518</v>
      </c>
      <c r="DZ230" s="239">
        <v>0</v>
      </c>
      <c r="EA230" s="239">
        <v>5518</v>
      </c>
      <c r="EB230" s="239">
        <v>0</v>
      </c>
      <c r="EC230" s="239">
        <v>0</v>
      </c>
      <c r="ED230" s="239">
        <v>0</v>
      </c>
      <c r="EE230" s="239">
        <v>0</v>
      </c>
      <c r="EF230" s="239">
        <v>0</v>
      </c>
      <c r="EG230" s="239">
        <v>0</v>
      </c>
      <c r="EH230" s="239">
        <v>886</v>
      </c>
      <c r="EI230" s="239">
        <v>0</v>
      </c>
      <c r="EJ230" s="239">
        <v>886</v>
      </c>
      <c r="EK230" s="239">
        <v>-58970</v>
      </c>
      <c r="EL230" s="239">
        <v>0</v>
      </c>
      <c r="EM230" s="239">
        <v>-58970</v>
      </c>
      <c r="EN230" s="239">
        <v>0</v>
      </c>
      <c r="EO230" s="239">
        <v>0</v>
      </c>
      <c r="EP230" s="239">
        <v>0</v>
      </c>
      <c r="EQ230" s="239">
        <v>-48943</v>
      </c>
      <c r="ER230" s="239">
        <v>0</v>
      </c>
      <c r="ES230" s="239">
        <v>-48943</v>
      </c>
      <c r="ET230" s="239">
        <v>-290055</v>
      </c>
      <c r="EU230" s="239">
        <v>0</v>
      </c>
      <c r="EV230" s="239">
        <v>-290055</v>
      </c>
      <c r="EW230" s="239">
        <v>-51027</v>
      </c>
      <c r="EX230" s="239">
        <v>0</v>
      </c>
      <c r="EY230" s="239">
        <v>-51027</v>
      </c>
      <c r="EZ230" s="239">
        <v>-453369</v>
      </c>
      <c r="FA230" s="239">
        <v>0</v>
      </c>
      <c r="FB230" s="239">
        <v>-453369</v>
      </c>
      <c r="FC230" s="239">
        <v>-4608</v>
      </c>
      <c r="FD230" s="239">
        <v>0</v>
      </c>
      <c r="FE230" s="239">
        <v>-4608</v>
      </c>
      <c r="FF230" s="239">
        <v>0</v>
      </c>
      <c r="FG230" s="239">
        <v>0</v>
      </c>
      <c r="FH230" s="239">
        <v>0</v>
      </c>
      <c r="FI230" s="239">
        <v>-4608</v>
      </c>
      <c r="FJ230" s="239">
        <v>0</v>
      </c>
      <c r="FK230" s="239">
        <v>-4608</v>
      </c>
      <c r="FL230" s="239">
        <v>46801676</v>
      </c>
      <c r="FM230" s="239">
        <v>22135</v>
      </c>
      <c r="FN230" s="239">
        <v>46823811</v>
      </c>
      <c r="FO230" s="239">
        <v>641481</v>
      </c>
      <c r="FP230" s="239">
        <v>0</v>
      </c>
      <c r="FQ230" s="239">
        <v>641481</v>
      </c>
      <c r="FR230" s="239">
        <v>-6204699</v>
      </c>
      <c r="FS230" s="239">
        <v>-4893</v>
      </c>
      <c r="FT230" s="239">
        <v>-6209592</v>
      </c>
      <c r="FU230" s="239">
        <v>-1191461</v>
      </c>
      <c r="FV230" s="239">
        <v>0</v>
      </c>
      <c r="FW230" s="239">
        <v>-1191461</v>
      </c>
      <c r="FX230" s="239">
        <v>-87535</v>
      </c>
      <c r="FY230" s="239">
        <v>0</v>
      </c>
      <c r="FZ230" s="239">
        <v>-87535</v>
      </c>
      <c r="GA230" s="239">
        <v>-453369</v>
      </c>
      <c r="GB230" s="239">
        <v>0</v>
      </c>
      <c r="GC230" s="239">
        <v>-453369</v>
      </c>
      <c r="GD230" s="239">
        <v>-4608</v>
      </c>
      <c r="GE230" s="239">
        <v>0</v>
      </c>
      <c r="GF230" s="239">
        <v>-4608</v>
      </c>
      <c r="GG230" s="239">
        <v>-7300191</v>
      </c>
      <c r="GH230" s="239">
        <v>-4893</v>
      </c>
      <c r="GI230" s="239">
        <v>-7305084</v>
      </c>
      <c r="GJ230" s="239">
        <v>39501485</v>
      </c>
      <c r="GK230" s="239">
        <v>17242</v>
      </c>
      <c r="GL230" s="239">
        <v>39518727</v>
      </c>
      <c r="GM230" s="214" t="s">
        <v>1158</v>
      </c>
    </row>
    <row r="231" spans="1:195" s="214" customFormat="1" x14ac:dyDescent="0.2">
      <c r="B231" s="602" t="s">
        <v>545</v>
      </c>
      <c r="C231" s="602" t="s">
        <v>544</v>
      </c>
      <c r="D231" s="239">
        <v>-3368518</v>
      </c>
      <c r="E231" s="239">
        <v>0</v>
      </c>
      <c r="F231" s="239">
        <v>-3368518</v>
      </c>
      <c r="G231" s="239">
        <v>69422</v>
      </c>
      <c r="H231" s="239">
        <v>0</v>
      </c>
      <c r="I231" s="239">
        <v>69422</v>
      </c>
      <c r="J231" s="239">
        <v>5264427</v>
      </c>
      <c r="K231" s="239">
        <v>0</v>
      </c>
      <c r="L231" s="239">
        <v>5264427</v>
      </c>
      <c r="M231" s="239">
        <v>25054</v>
      </c>
      <c r="N231" s="239">
        <v>0</v>
      </c>
      <c r="O231" s="239">
        <v>25054</v>
      </c>
      <c r="P231" s="239">
        <v>1990385</v>
      </c>
      <c r="Q231" s="239">
        <v>0</v>
      </c>
      <c r="R231" s="239">
        <v>1990385</v>
      </c>
      <c r="S231" s="239">
        <v>-8116613</v>
      </c>
      <c r="T231" s="239">
        <v>0</v>
      </c>
      <c r="U231" s="239">
        <v>-8116613</v>
      </c>
      <c r="V231" s="239">
        <v>-13645</v>
      </c>
      <c r="W231" s="239">
        <v>0</v>
      </c>
      <c r="X231" s="239">
        <v>-13645</v>
      </c>
      <c r="Y231" s="239">
        <v>-75600</v>
      </c>
      <c r="Z231" s="239">
        <v>0</v>
      </c>
      <c r="AA231" s="239">
        <v>-75600</v>
      </c>
      <c r="AB231" s="239">
        <v>-61199</v>
      </c>
      <c r="AC231" s="239">
        <v>0</v>
      </c>
      <c r="AD231" s="239">
        <v>-61199</v>
      </c>
      <c r="AE231" s="239">
        <v>-1152</v>
      </c>
      <c r="AF231" s="239">
        <v>0</v>
      </c>
      <c r="AG231" s="239">
        <v>-1152</v>
      </c>
      <c r="AH231" s="239">
        <v>1601759</v>
      </c>
      <c r="AI231" s="239">
        <v>0</v>
      </c>
      <c r="AJ231" s="239">
        <v>1601759</v>
      </c>
      <c r="AK231" s="239">
        <v>890203</v>
      </c>
      <c r="AL231" s="239">
        <v>0</v>
      </c>
      <c r="AM231" s="239">
        <v>890203</v>
      </c>
      <c r="AN231" s="239">
        <v>-4561025</v>
      </c>
      <c r="AO231" s="239">
        <v>0</v>
      </c>
      <c r="AP231" s="239">
        <v>-4561025</v>
      </c>
      <c r="AQ231" s="239">
        <v>38375</v>
      </c>
      <c r="AR231" s="239">
        <v>0</v>
      </c>
      <c r="AS231" s="239">
        <v>38375</v>
      </c>
      <c r="AT231" s="239">
        <v>-26225</v>
      </c>
      <c r="AU231" s="239">
        <v>0</v>
      </c>
      <c r="AV231" s="239">
        <v>-26225</v>
      </c>
      <c r="AW231" s="239">
        <v>0</v>
      </c>
      <c r="AX231" s="239">
        <v>0</v>
      </c>
      <c r="AY231" s="239">
        <v>0</v>
      </c>
      <c r="AZ231" s="239">
        <v>0</v>
      </c>
      <c r="BA231" s="239">
        <v>0</v>
      </c>
      <c r="BB231" s="239">
        <v>0</v>
      </c>
      <c r="BC231" s="239">
        <v>0</v>
      </c>
      <c r="BD231" s="239">
        <v>0</v>
      </c>
      <c r="BE231" s="239">
        <v>0</v>
      </c>
      <c r="BF231" s="239">
        <v>-10249126</v>
      </c>
      <c r="BG231" s="239">
        <v>0</v>
      </c>
      <c r="BH231" s="239">
        <v>-10249126</v>
      </c>
      <c r="BI231" s="239">
        <v>0</v>
      </c>
      <c r="BJ231" s="239">
        <v>0</v>
      </c>
      <c r="BK231" s="239">
        <v>0</v>
      </c>
      <c r="BL231" s="239">
        <v>0</v>
      </c>
      <c r="BM231" s="239">
        <v>0</v>
      </c>
      <c r="BN231" s="239">
        <v>0</v>
      </c>
      <c r="BO231" s="239">
        <v>-2852929</v>
      </c>
      <c r="BP231" s="239">
        <v>0</v>
      </c>
      <c r="BQ231" s="239">
        <v>-2852929</v>
      </c>
      <c r="BR231" s="239">
        <v>-47487</v>
      </c>
      <c r="BS231" s="239">
        <v>0</v>
      </c>
      <c r="BT231" s="239">
        <v>-47487</v>
      </c>
      <c r="BU231" s="239">
        <v>-2900416</v>
      </c>
      <c r="BV231" s="239">
        <v>0</v>
      </c>
      <c r="BW231" s="239">
        <v>-2900416</v>
      </c>
      <c r="BX231" s="239">
        <v>-237975</v>
      </c>
      <c r="BY231" s="239">
        <v>0</v>
      </c>
      <c r="BZ231" s="239">
        <v>-237975</v>
      </c>
      <c r="CA231" s="239">
        <v>-3528</v>
      </c>
      <c r="CB231" s="239">
        <v>0</v>
      </c>
      <c r="CC231" s="239">
        <v>-3528</v>
      </c>
      <c r="CD231" s="239">
        <v>-59505</v>
      </c>
      <c r="CE231" s="239">
        <v>0</v>
      </c>
      <c r="CF231" s="239">
        <v>-59505</v>
      </c>
      <c r="CG231" s="239">
        <v>656</v>
      </c>
      <c r="CH231" s="239">
        <v>0</v>
      </c>
      <c r="CI231" s="239">
        <v>656</v>
      </c>
      <c r="CJ231" s="239">
        <v>0</v>
      </c>
      <c r="CK231" s="239">
        <v>0</v>
      </c>
      <c r="CL231" s="239">
        <v>0</v>
      </c>
      <c r="CM231" s="239">
        <v>0</v>
      </c>
      <c r="CN231" s="239">
        <v>0</v>
      </c>
      <c r="CO231" s="239">
        <v>0</v>
      </c>
      <c r="CP231" s="239">
        <v>0</v>
      </c>
      <c r="CQ231" s="239">
        <v>0</v>
      </c>
      <c r="CR231" s="239">
        <v>0</v>
      </c>
      <c r="CS231" s="239">
        <v>0</v>
      </c>
      <c r="CT231" s="239">
        <v>0</v>
      </c>
      <c r="CU231" s="239">
        <v>0</v>
      </c>
      <c r="CV231" s="239">
        <v>0</v>
      </c>
      <c r="CW231" s="239">
        <v>0</v>
      </c>
      <c r="CX231" s="239">
        <v>0</v>
      </c>
      <c r="CY231" s="239">
        <v>0</v>
      </c>
      <c r="CZ231" s="239">
        <v>0</v>
      </c>
      <c r="DA231" s="239">
        <v>0</v>
      </c>
      <c r="DB231" s="239">
        <v>0</v>
      </c>
      <c r="DC231" s="239">
        <v>0</v>
      </c>
      <c r="DD231" s="239">
        <v>0</v>
      </c>
      <c r="DE231" s="239">
        <v>0</v>
      </c>
      <c r="DF231" s="239">
        <v>0</v>
      </c>
      <c r="DG231" s="239">
        <v>0</v>
      </c>
      <c r="DH231" s="239">
        <v>0</v>
      </c>
      <c r="DI231" s="239">
        <v>0</v>
      </c>
      <c r="DJ231" s="239">
        <v>-300352</v>
      </c>
      <c r="DK231" s="239">
        <v>0</v>
      </c>
      <c r="DL231" s="239">
        <v>-300352</v>
      </c>
      <c r="DM231" s="239">
        <v>-226</v>
      </c>
      <c r="DN231" s="239">
        <v>0</v>
      </c>
      <c r="DO231" s="239">
        <v>-226</v>
      </c>
      <c r="DP231" s="239">
        <v>27851</v>
      </c>
      <c r="DQ231" s="239">
        <v>0</v>
      </c>
      <c r="DR231" s="239">
        <v>27851</v>
      </c>
      <c r="DS231" s="239">
        <v>-10913</v>
      </c>
      <c r="DT231" s="239">
        <v>0</v>
      </c>
      <c r="DU231" s="239">
        <v>-10913</v>
      </c>
      <c r="DV231" s="239">
        <v>-14588</v>
      </c>
      <c r="DW231" s="239">
        <v>0</v>
      </c>
      <c r="DX231" s="239">
        <v>-14588</v>
      </c>
      <c r="DY231" s="239">
        <v>537</v>
      </c>
      <c r="DZ231" s="239">
        <v>0</v>
      </c>
      <c r="EA231" s="239">
        <v>537</v>
      </c>
      <c r="EB231" s="239">
        <v>0</v>
      </c>
      <c r="EC231" s="239">
        <v>0</v>
      </c>
      <c r="ED231" s="239">
        <v>0</v>
      </c>
      <c r="EE231" s="239">
        <v>0</v>
      </c>
      <c r="EF231" s="239">
        <v>0</v>
      </c>
      <c r="EG231" s="239">
        <v>0</v>
      </c>
      <c r="EH231" s="239">
        <v>0</v>
      </c>
      <c r="EI231" s="239">
        <v>0</v>
      </c>
      <c r="EJ231" s="239">
        <v>0</v>
      </c>
      <c r="EK231" s="239">
        <v>0</v>
      </c>
      <c r="EL231" s="239">
        <v>0</v>
      </c>
      <c r="EM231" s="239">
        <v>0</v>
      </c>
      <c r="EN231" s="239">
        <v>-3000</v>
      </c>
      <c r="EO231" s="239">
        <v>0</v>
      </c>
      <c r="EP231" s="239">
        <v>-3000</v>
      </c>
      <c r="EQ231" s="239">
        <v>-63098</v>
      </c>
      <c r="ER231" s="239">
        <v>0</v>
      </c>
      <c r="ES231" s="239">
        <v>-63098</v>
      </c>
      <c r="ET231" s="239">
        <v>-548826</v>
      </c>
      <c r="EU231" s="239">
        <v>0</v>
      </c>
      <c r="EV231" s="239">
        <v>-548826</v>
      </c>
      <c r="EW231" s="239">
        <v>-57504</v>
      </c>
      <c r="EX231" s="239">
        <v>0</v>
      </c>
      <c r="EY231" s="239">
        <v>-57504</v>
      </c>
      <c r="EZ231" s="239">
        <v>-669767</v>
      </c>
      <c r="FA231" s="239">
        <v>0</v>
      </c>
      <c r="FB231" s="239">
        <v>-669767</v>
      </c>
      <c r="FC231" s="239">
        <v>-2060</v>
      </c>
      <c r="FD231" s="239">
        <v>0</v>
      </c>
      <c r="FE231" s="239">
        <v>-2060</v>
      </c>
      <c r="FF231" s="239">
        <v>0</v>
      </c>
      <c r="FG231" s="239">
        <v>0</v>
      </c>
      <c r="FH231" s="239">
        <v>0</v>
      </c>
      <c r="FI231" s="239">
        <v>-2060</v>
      </c>
      <c r="FJ231" s="239">
        <v>0</v>
      </c>
      <c r="FK231" s="239">
        <v>-2060</v>
      </c>
      <c r="FL231" s="239">
        <v>81158364</v>
      </c>
      <c r="FM231" s="239">
        <v>0</v>
      </c>
      <c r="FN231" s="239">
        <v>81158364</v>
      </c>
      <c r="FO231" s="239">
        <v>1990385</v>
      </c>
      <c r="FP231" s="239">
        <v>0</v>
      </c>
      <c r="FQ231" s="239">
        <v>1990385</v>
      </c>
      <c r="FR231" s="239">
        <v>-10249126</v>
      </c>
      <c r="FS231" s="239">
        <v>0</v>
      </c>
      <c r="FT231" s="239">
        <v>-10249126</v>
      </c>
      <c r="FU231" s="239">
        <v>-2900416</v>
      </c>
      <c r="FV231" s="239">
        <v>0</v>
      </c>
      <c r="FW231" s="239">
        <v>-2900416</v>
      </c>
      <c r="FX231" s="239">
        <v>-300352</v>
      </c>
      <c r="FY231" s="239">
        <v>0</v>
      </c>
      <c r="FZ231" s="239">
        <v>-300352</v>
      </c>
      <c r="GA231" s="239">
        <v>-669767</v>
      </c>
      <c r="GB231" s="239">
        <v>0</v>
      </c>
      <c r="GC231" s="239">
        <v>-669767</v>
      </c>
      <c r="GD231" s="239">
        <v>-2060</v>
      </c>
      <c r="GE231" s="239">
        <v>0</v>
      </c>
      <c r="GF231" s="239">
        <v>-2060</v>
      </c>
      <c r="GG231" s="239">
        <v>-12131336</v>
      </c>
      <c r="GH231" s="239">
        <v>0</v>
      </c>
      <c r="GI231" s="239">
        <v>-12131336</v>
      </c>
      <c r="GJ231" s="239">
        <v>69027028</v>
      </c>
      <c r="GK231" s="239">
        <v>0</v>
      </c>
      <c r="GL231" s="239">
        <v>69027028</v>
      </c>
      <c r="GM231" s="214" t="s">
        <v>1160</v>
      </c>
    </row>
    <row r="232" spans="1:195" s="214" customFormat="1" x14ac:dyDescent="0.2">
      <c r="B232" s="602" t="s">
        <v>547</v>
      </c>
      <c r="C232" s="602" t="s">
        <v>546</v>
      </c>
      <c r="D232" s="239">
        <v>-1205806</v>
      </c>
      <c r="E232" s="239">
        <v>0</v>
      </c>
      <c r="F232" s="239">
        <v>-1205806</v>
      </c>
      <c r="G232" s="239">
        <v>-116307</v>
      </c>
      <c r="H232" s="239">
        <v>0</v>
      </c>
      <c r="I232" s="239">
        <v>-116307</v>
      </c>
      <c r="J232" s="239">
        <v>6712481</v>
      </c>
      <c r="K232" s="239">
        <v>0</v>
      </c>
      <c r="L232" s="239">
        <v>6712481</v>
      </c>
      <c r="M232" s="239">
        <v>-226953</v>
      </c>
      <c r="N232" s="239">
        <v>0</v>
      </c>
      <c r="O232" s="239">
        <v>-226953</v>
      </c>
      <c r="P232" s="239">
        <v>5163415</v>
      </c>
      <c r="Q232" s="239">
        <v>0</v>
      </c>
      <c r="R232" s="239">
        <v>5163415</v>
      </c>
      <c r="S232" s="239">
        <v>-2358752</v>
      </c>
      <c r="T232" s="239">
        <v>0</v>
      </c>
      <c r="U232" s="239">
        <v>-2358752</v>
      </c>
      <c r="V232" s="239">
        <v>-15077</v>
      </c>
      <c r="W232" s="239">
        <v>0</v>
      </c>
      <c r="X232" s="239">
        <v>-15077</v>
      </c>
      <c r="Y232" s="239">
        <v>-209856</v>
      </c>
      <c r="Z232" s="239">
        <v>0</v>
      </c>
      <c r="AA232" s="239">
        <v>-209856</v>
      </c>
      <c r="AB232" s="239">
        <v>-37009</v>
      </c>
      <c r="AC232" s="239">
        <v>0</v>
      </c>
      <c r="AD232" s="239">
        <v>-37009</v>
      </c>
      <c r="AE232" s="239">
        <v>-5366</v>
      </c>
      <c r="AF232" s="239">
        <v>0</v>
      </c>
      <c r="AG232" s="239">
        <v>-5366</v>
      </c>
      <c r="AH232" s="239">
        <v>871741</v>
      </c>
      <c r="AI232" s="239">
        <v>0</v>
      </c>
      <c r="AJ232" s="239">
        <v>871741</v>
      </c>
      <c r="AK232" s="239">
        <v>513016</v>
      </c>
      <c r="AL232" s="239">
        <v>0</v>
      </c>
      <c r="AM232" s="239">
        <v>513016</v>
      </c>
      <c r="AN232" s="239">
        <v>-1132531</v>
      </c>
      <c r="AO232" s="239">
        <v>0</v>
      </c>
      <c r="AP232" s="239">
        <v>-1132531</v>
      </c>
      <c r="AQ232" s="239">
        <v>-294732</v>
      </c>
      <c r="AR232" s="239">
        <v>0</v>
      </c>
      <c r="AS232" s="239">
        <v>-294732</v>
      </c>
      <c r="AT232" s="239">
        <v>-50014</v>
      </c>
      <c r="AU232" s="239">
        <v>0</v>
      </c>
      <c r="AV232" s="239">
        <v>-50014</v>
      </c>
      <c r="AW232" s="239">
        <v>0</v>
      </c>
      <c r="AX232" s="239">
        <v>0</v>
      </c>
      <c r="AY232" s="239">
        <v>0</v>
      </c>
      <c r="AZ232" s="239">
        <v>-12768</v>
      </c>
      <c r="BA232" s="239">
        <v>0</v>
      </c>
      <c r="BB232" s="239">
        <v>-12768</v>
      </c>
      <c r="BC232" s="239">
        <v>0</v>
      </c>
      <c r="BD232" s="239">
        <v>0</v>
      </c>
      <c r="BE232" s="239">
        <v>0</v>
      </c>
      <c r="BF232" s="239">
        <v>-2673896</v>
      </c>
      <c r="BG232" s="239">
        <v>0</v>
      </c>
      <c r="BH232" s="239">
        <v>-2673896</v>
      </c>
      <c r="BI232" s="239">
        <v>0</v>
      </c>
      <c r="BJ232" s="239">
        <v>0</v>
      </c>
      <c r="BK232" s="239">
        <v>0</v>
      </c>
      <c r="BL232" s="239">
        <v>-22547</v>
      </c>
      <c r="BM232" s="239">
        <v>0</v>
      </c>
      <c r="BN232" s="239">
        <v>-22547</v>
      </c>
      <c r="BO232" s="239">
        <v>-428965</v>
      </c>
      <c r="BP232" s="239">
        <v>0</v>
      </c>
      <c r="BQ232" s="239">
        <v>-428965</v>
      </c>
      <c r="BR232" s="239">
        <v>63344</v>
      </c>
      <c r="BS232" s="239">
        <v>0</v>
      </c>
      <c r="BT232" s="239">
        <v>63344</v>
      </c>
      <c r="BU232" s="239">
        <v>-388168</v>
      </c>
      <c r="BV232" s="239">
        <v>0</v>
      </c>
      <c r="BW232" s="239">
        <v>-388168</v>
      </c>
      <c r="BX232" s="239">
        <v>-103645</v>
      </c>
      <c r="BY232" s="239">
        <v>0</v>
      </c>
      <c r="BZ232" s="239">
        <v>-103645</v>
      </c>
      <c r="CA232" s="239">
        <v>-36909</v>
      </c>
      <c r="CB232" s="239">
        <v>0</v>
      </c>
      <c r="CC232" s="239">
        <v>-36909</v>
      </c>
      <c r="CD232" s="239">
        <v>-12900</v>
      </c>
      <c r="CE232" s="239">
        <v>0</v>
      </c>
      <c r="CF232" s="239">
        <v>-12900</v>
      </c>
      <c r="CG232" s="239">
        <v>3081</v>
      </c>
      <c r="CH232" s="239">
        <v>0</v>
      </c>
      <c r="CI232" s="239">
        <v>3081</v>
      </c>
      <c r="CJ232" s="239">
        <v>-1418</v>
      </c>
      <c r="CK232" s="239">
        <v>0</v>
      </c>
      <c r="CL232" s="239">
        <v>-1418</v>
      </c>
      <c r="CM232" s="239">
        <v>-1442</v>
      </c>
      <c r="CN232" s="239">
        <v>0</v>
      </c>
      <c r="CO232" s="239">
        <v>-1442</v>
      </c>
      <c r="CP232" s="239">
        <v>-12768</v>
      </c>
      <c r="CQ232" s="239">
        <v>0</v>
      </c>
      <c r="CR232" s="239">
        <v>-12768</v>
      </c>
      <c r="CS232" s="239">
        <v>0</v>
      </c>
      <c r="CT232" s="239">
        <v>0</v>
      </c>
      <c r="CU232" s="239">
        <v>0</v>
      </c>
      <c r="CV232" s="239">
        <v>-2757</v>
      </c>
      <c r="CW232" s="239">
        <v>0</v>
      </c>
      <c r="CX232" s="239">
        <v>-2757</v>
      </c>
      <c r="CY232" s="239">
        <v>1204</v>
      </c>
      <c r="CZ232" s="239">
        <v>0</v>
      </c>
      <c r="DA232" s="239">
        <v>1204</v>
      </c>
      <c r="DB232" s="239">
        <v>-62957</v>
      </c>
      <c r="DC232" s="239">
        <v>0</v>
      </c>
      <c r="DD232" s="239">
        <v>-62957</v>
      </c>
      <c r="DE232" s="239">
        <v>-13540</v>
      </c>
      <c r="DF232" s="239">
        <v>0</v>
      </c>
      <c r="DG232" s="239">
        <v>-13540</v>
      </c>
      <c r="DH232" s="239">
        <v>0</v>
      </c>
      <c r="DI232" s="239">
        <v>0</v>
      </c>
      <c r="DJ232" s="239">
        <v>-244051</v>
      </c>
      <c r="DK232" s="239">
        <v>0</v>
      </c>
      <c r="DL232" s="239">
        <v>-244051</v>
      </c>
      <c r="DM232" s="239">
        <v>0</v>
      </c>
      <c r="DN232" s="239">
        <v>0</v>
      </c>
      <c r="DO232" s="239">
        <v>0</v>
      </c>
      <c r="DP232" s="239">
        <v>210</v>
      </c>
      <c r="DQ232" s="239">
        <v>0</v>
      </c>
      <c r="DR232" s="239">
        <v>210</v>
      </c>
      <c r="DS232" s="239">
        <v>0</v>
      </c>
      <c r="DT232" s="239">
        <v>0</v>
      </c>
      <c r="DU232" s="239">
        <v>0</v>
      </c>
      <c r="DV232" s="239">
        <v>43</v>
      </c>
      <c r="DW232" s="239">
        <v>0</v>
      </c>
      <c r="DX232" s="239">
        <v>43</v>
      </c>
      <c r="DY232" s="239">
        <v>2500</v>
      </c>
      <c r="DZ232" s="239">
        <v>0</v>
      </c>
      <c r="EA232" s="239">
        <v>2500</v>
      </c>
      <c r="EB232" s="239">
        <v>0</v>
      </c>
      <c r="EC232" s="239">
        <v>0</v>
      </c>
      <c r="ED232" s="239">
        <v>0</v>
      </c>
      <c r="EE232" s="239">
        <v>-2754</v>
      </c>
      <c r="EF232" s="239">
        <v>0</v>
      </c>
      <c r="EG232" s="239">
        <v>-2754</v>
      </c>
      <c r="EH232" s="239">
        <v>0</v>
      </c>
      <c r="EI232" s="239">
        <v>0</v>
      </c>
      <c r="EJ232" s="239">
        <v>0</v>
      </c>
      <c r="EK232" s="239">
        <v>0</v>
      </c>
      <c r="EL232" s="239">
        <v>0</v>
      </c>
      <c r="EM232" s="239">
        <v>0</v>
      </c>
      <c r="EN232" s="239">
        <v>-1500</v>
      </c>
      <c r="EO232" s="239">
        <v>0</v>
      </c>
      <c r="EP232" s="239">
        <v>-1500</v>
      </c>
      <c r="EQ232" s="239">
        <v>-34285</v>
      </c>
      <c r="ER232" s="239">
        <v>0</v>
      </c>
      <c r="ES232" s="239">
        <v>-34285</v>
      </c>
      <c r="ET232" s="239">
        <v>-172493</v>
      </c>
      <c r="EU232" s="239">
        <v>0</v>
      </c>
      <c r="EV232" s="239">
        <v>-172493</v>
      </c>
      <c r="EW232" s="239">
        <v>-44912</v>
      </c>
      <c r="EX232" s="239">
        <v>0</v>
      </c>
      <c r="EY232" s="239">
        <v>-44912</v>
      </c>
      <c r="EZ232" s="239">
        <v>-253191</v>
      </c>
      <c r="FA232" s="239">
        <v>0</v>
      </c>
      <c r="FB232" s="239">
        <v>-253191</v>
      </c>
      <c r="FC232" s="239">
        <v>0</v>
      </c>
      <c r="FD232" s="239">
        <v>0</v>
      </c>
      <c r="FE232" s="239">
        <v>0</v>
      </c>
      <c r="FF232" s="239">
        <v>0</v>
      </c>
      <c r="FG232" s="239">
        <v>0</v>
      </c>
      <c r="FH232" s="239">
        <v>0</v>
      </c>
      <c r="FI232" s="239">
        <v>0</v>
      </c>
      <c r="FJ232" s="239">
        <v>0</v>
      </c>
      <c r="FK232" s="239">
        <v>0</v>
      </c>
      <c r="FL232" s="239">
        <v>39804296</v>
      </c>
      <c r="FM232" s="239">
        <v>0</v>
      </c>
      <c r="FN232" s="239">
        <v>39804296</v>
      </c>
      <c r="FO232" s="239">
        <v>5163415</v>
      </c>
      <c r="FP232" s="239">
        <v>0</v>
      </c>
      <c r="FQ232" s="239">
        <v>5163415</v>
      </c>
      <c r="FR232" s="239">
        <v>-2673896</v>
      </c>
      <c r="FS232" s="239">
        <v>0</v>
      </c>
      <c r="FT232" s="239">
        <v>-2673896</v>
      </c>
      <c r="FU232" s="239">
        <v>-388168</v>
      </c>
      <c r="FV232" s="239">
        <v>0</v>
      </c>
      <c r="FW232" s="239">
        <v>-388168</v>
      </c>
      <c r="FX232" s="239">
        <v>-244051</v>
      </c>
      <c r="FY232" s="239">
        <v>0</v>
      </c>
      <c r="FZ232" s="239">
        <v>-244051</v>
      </c>
      <c r="GA232" s="239">
        <v>-253191</v>
      </c>
      <c r="GB232" s="239">
        <v>0</v>
      </c>
      <c r="GC232" s="239">
        <v>-253191</v>
      </c>
      <c r="GD232" s="239">
        <v>0</v>
      </c>
      <c r="GE232" s="239">
        <v>0</v>
      </c>
      <c r="GF232" s="239">
        <v>0</v>
      </c>
      <c r="GG232" s="239">
        <v>1604109</v>
      </c>
      <c r="GH232" s="239">
        <v>0</v>
      </c>
      <c r="GI232" s="239">
        <v>1604109</v>
      </c>
      <c r="GJ232" s="239">
        <v>41408405</v>
      </c>
      <c r="GK232" s="239">
        <v>0</v>
      </c>
      <c r="GL232" s="239">
        <v>41408405</v>
      </c>
      <c r="GM232" s="214" t="s">
        <v>1158</v>
      </c>
    </row>
    <row r="233" spans="1:195" s="214" customFormat="1" x14ac:dyDescent="0.2">
      <c r="B233" s="602" t="s">
        <v>549</v>
      </c>
      <c r="C233" s="602" t="s">
        <v>548</v>
      </c>
      <c r="D233" s="239">
        <v>-1404014</v>
      </c>
      <c r="E233" s="239">
        <v>0</v>
      </c>
      <c r="F233" s="239">
        <v>-1404014</v>
      </c>
      <c r="G233" s="239">
        <v>23457</v>
      </c>
      <c r="H233" s="239">
        <v>0</v>
      </c>
      <c r="I233" s="239">
        <v>23457</v>
      </c>
      <c r="J233" s="239">
        <v>1022634</v>
      </c>
      <c r="K233" s="239">
        <v>0</v>
      </c>
      <c r="L233" s="239">
        <v>1022634</v>
      </c>
      <c r="M233" s="239">
        <v>176042</v>
      </c>
      <c r="N233" s="239">
        <v>0</v>
      </c>
      <c r="O233" s="239">
        <v>176042</v>
      </c>
      <c r="P233" s="239">
        <v>-181881</v>
      </c>
      <c r="Q233" s="239">
        <v>0</v>
      </c>
      <c r="R233" s="239">
        <v>-181881</v>
      </c>
      <c r="S233" s="239">
        <v>-3945416</v>
      </c>
      <c r="T233" s="239">
        <v>0</v>
      </c>
      <c r="U233" s="239">
        <v>-3945416</v>
      </c>
      <c r="V233" s="239">
        <v>-11959</v>
      </c>
      <c r="W233" s="239">
        <v>0</v>
      </c>
      <c r="X233" s="239">
        <v>-11959</v>
      </c>
      <c r="Y233" s="239">
        <v>-209262</v>
      </c>
      <c r="Z233" s="239">
        <v>0</v>
      </c>
      <c r="AA233" s="239">
        <v>-209262</v>
      </c>
      <c r="AB233" s="239">
        <v>-186431</v>
      </c>
      <c r="AC233" s="239">
        <v>0</v>
      </c>
      <c r="AD233" s="239">
        <v>-186431</v>
      </c>
      <c r="AE233" s="239">
        <v>-1237</v>
      </c>
      <c r="AF233" s="239">
        <v>0</v>
      </c>
      <c r="AG233" s="239">
        <v>-1237</v>
      </c>
      <c r="AH233" s="239">
        <v>777465</v>
      </c>
      <c r="AI233" s="239">
        <v>0</v>
      </c>
      <c r="AJ233" s="239">
        <v>777465</v>
      </c>
      <c r="AK233" s="239">
        <v>-64256</v>
      </c>
      <c r="AL233" s="239">
        <v>0</v>
      </c>
      <c r="AM233" s="239">
        <v>-64256</v>
      </c>
      <c r="AN233" s="239">
        <v>-2938922</v>
      </c>
      <c r="AO233" s="239">
        <v>0</v>
      </c>
      <c r="AP233" s="239">
        <v>-2938922</v>
      </c>
      <c r="AQ233" s="239">
        <v>-3660</v>
      </c>
      <c r="AR233" s="239">
        <v>0</v>
      </c>
      <c r="AS233" s="239">
        <v>-3660</v>
      </c>
      <c r="AT233" s="239">
        <v>-89073</v>
      </c>
      <c r="AU233" s="239">
        <v>0</v>
      </c>
      <c r="AV233" s="239">
        <v>-89073</v>
      </c>
      <c r="AW233" s="239">
        <v>-3287</v>
      </c>
      <c r="AX233" s="239">
        <v>0</v>
      </c>
      <c r="AY233" s="239">
        <v>-3287</v>
      </c>
      <c r="AZ233" s="239">
        <v>-14059</v>
      </c>
      <c r="BA233" s="239">
        <v>0</v>
      </c>
      <c r="BB233" s="239">
        <v>-14059</v>
      </c>
      <c r="BC233" s="239">
        <v>389</v>
      </c>
      <c r="BD233" s="239">
        <v>0</v>
      </c>
      <c r="BE233" s="239">
        <v>389</v>
      </c>
      <c r="BF233" s="239">
        <v>-6490081</v>
      </c>
      <c r="BG233" s="239">
        <v>0</v>
      </c>
      <c r="BH233" s="239">
        <v>-6490081</v>
      </c>
      <c r="BI233" s="239">
        <v>0</v>
      </c>
      <c r="BJ233" s="239">
        <v>0</v>
      </c>
      <c r="BK233" s="239">
        <v>0</v>
      </c>
      <c r="BL233" s="239">
        <v>0</v>
      </c>
      <c r="BM233" s="239">
        <v>0</v>
      </c>
      <c r="BN233" s="239">
        <v>0</v>
      </c>
      <c r="BO233" s="239">
        <v>-1015323</v>
      </c>
      <c r="BP233" s="239">
        <v>0</v>
      </c>
      <c r="BQ233" s="239">
        <v>-1015323</v>
      </c>
      <c r="BR233" s="239">
        <v>4541</v>
      </c>
      <c r="BS233" s="239">
        <v>0</v>
      </c>
      <c r="BT233" s="239">
        <v>4541</v>
      </c>
      <c r="BU233" s="239">
        <v>-1010782</v>
      </c>
      <c r="BV233" s="239">
        <v>0</v>
      </c>
      <c r="BW233" s="239">
        <v>-1010782</v>
      </c>
      <c r="BX233" s="239">
        <v>-119332</v>
      </c>
      <c r="BY233" s="239">
        <v>0</v>
      </c>
      <c r="BZ233" s="239">
        <v>-119332</v>
      </c>
      <c r="CA233" s="239">
        <v>0</v>
      </c>
      <c r="CB233" s="239">
        <v>0</v>
      </c>
      <c r="CC233" s="239">
        <v>0</v>
      </c>
      <c r="CD233" s="239">
        <v>-58221</v>
      </c>
      <c r="CE233" s="239">
        <v>0</v>
      </c>
      <c r="CF233" s="239">
        <v>-58221</v>
      </c>
      <c r="CG233" s="239">
        <v>0</v>
      </c>
      <c r="CH233" s="239">
        <v>0</v>
      </c>
      <c r="CI233" s="239">
        <v>0</v>
      </c>
      <c r="CJ233" s="239">
        <v>0</v>
      </c>
      <c r="CK233" s="239">
        <v>0</v>
      </c>
      <c r="CL233" s="239">
        <v>0</v>
      </c>
      <c r="CM233" s="239">
        <v>0</v>
      </c>
      <c r="CN233" s="239">
        <v>0</v>
      </c>
      <c r="CO233" s="239">
        <v>0</v>
      </c>
      <c r="CP233" s="239">
        <v>0</v>
      </c>
      <c r="CQ233" s="239">
        <v>0</v>
      </c>
      <c r="CR233" s="239">
        <v>0</v>
      </c>
      <c r="CS233" s="239">
        <v>0</v>
      </c>
      <c r="CT233" s="239">
        <v>0</v>
      </c>
      <c r="CU233" s="239">
        <v>0</v>
      </c>
      <c r="CV233" s="239">
        <v>-10220</v>
      </c>
      <c r="CW233" s="239">
        <v>0</v>
      </c>
      <c r="CX233" s="239">
        <v>-10220</v>
      </c>
      <c r="CY233" s="239">
        <v>0</v>
      </c>
      <c r="CZ233" s="239">
        <v>0</v>
      </c>
      <c r="DA233" s="239">
        <v>0</v>
      </c>
      <c r="DB233" s="239">
        <v>0</v>
      </c>
      <c r="DC233" s="239">
        <v>0</v>
      </c>
      <c r="DD233" s="239">
        <v>0</v>
      </c>
      <c r="DE233" s="239">
        <v>-6852</v>
      </c>
      <c r="DF233" s="239">
        <v>0</v>
      </c>
      <c r="DG233" s="239">
        <v>-6852</v>
      </c>
      <c r="DH233" s="239">
        <v>0</v>
      </c>
      <c r="DI233" s="239">
        <v>0</v>
      </c>
      <c r="DJ233" s="239">
        <v>-194625</v>
      </c>
      <c r="DK233" s="239">
        <v>0</v>
      </c>
      <c r="DL233" s="239">
        <v>-194625</v>
      </c>
      <c r="DM233" s="239">
        <v>0</v>
      </c>
      <c r="DN233" s="239">
        <v>0</v>
      </c>
      <c r="DO233" s="239">
        <v>0</v>
      </c>
      <c r="DP233" s="239">
        <v>0</v>
      </c>
      <c r="DQ233" s="239">
        <v>0</v>
      </c>
      <c r="DR233" s="239">
        <v>0</v>
      </c>
      <c r="DS233" s="239">
        <v>-1717</v>
      </c>
      <c r="DT233" s="239">
        <v>0</v>
      </c>
      <c r="DU233" s="239">
        <v>-1717</v>
      </c>
      <c r="DV233" s="239">
        <v>0</v>
      </c>
      <c r="DW233" s="239">
        <v>0</v>
      </c>
      <c r="DX233" s="239">
        <v>0</v>
      </c>
      <c r="DY233" s="239">
        <v>2177</v>
      </c>
      <c r="DZ233" s="239">
        <v>0</v>
      </c>
      <c r="EA233" s="239">
        <v>2177</v>
      </c>
      <c r="EB233" s="239">
        <v>0</v>
      </c>
      <c r="EC233" s="239">
        <v>0</v>
      </c>
      <c r="ED233" s="239">
        <v>0</v>
      </c>
      <c r="EE233" s="239">
        <v>0</v>
      </c>
      <c r="EF233" s="239">
        <v>0</v>
      </c>
      <c r="EG233" s="239">
        <v>0</v>
      </c>
      <c r="EH233" s="239">
        <v>0</v>
      </c>
      <c r="EI233" s="239">
        <v>0</v>
      </c>
      <c r="EJ233" s="239">
        <v>0</v>
      </c>
      <c r="EK233" s="239">
        <v>-14059</v>
      </c>
      <c r="EL233" s="239">
        <v>0</v>
      </c>
      <c r="EM233" s="239">
        <v>-14059</v>
      </c>
      <c r="EN233" s="239">
        <v>-1500</v>
      </c>
      <c r="EO233" s="239">
        <v>0</v>
      </c>
      <c r="EP233" s="239">
        <v>-1500</v>
      </c>
      <c r="EQ233" s="239">
        <v>-22780</v>
      </c>
      <c r="ER233" s="239">
        <v>0</v>
      </c>
      <c r="ES233" s="239">
        <v>-22780</v>
      </c>
      <c r="ET233" s="239">
        <v>-275724</v>
      </c>
      <c r="EU233" s="239">
        <v>0</v>
      </c>
      <c r="EV233" s="239">
        <v>-275724</v>
      </c>
      <c r="EW233" s="239">
        <v>-61923</v>
      </c>
      <c r="EX233" s="239">
        <v>0</v>
      </c>
      <c r="EY233" s="239">
        <v>-61923</v>
      </c>
      <c r="EZ233" s="239">
        <v>-375526</v>
      </c>
      <c r="FA233" s="239">
        <v>0</v>
      </c>
      <c r="FB233" s="239">
        <v>-375526</v>
      </c>
      <c r="FC233" s="239">
        <v>0</v>
      </c>
      <c r="FD233" s="239">
        <v>0</v>
      </c>
      <c r="FE233" s="239">
        <v>0</v>
      </c>
      <c r="FF233" s="239">
        <v>0</v>
      </c>
      <c r="FG233" s="239">
        <v>0</v>
      </c>
      <c r="FH233" s="239">
        <v>0</v>
      </c>
      <c r="FI233" s="239">
        <v>0</v>
      </c>
      <c r="FJ233" s="239">
        <v>0</v>
      </c>
      <c r="FK233" s="239">
        <v>0</v>
      </c>
      <c r="FL233" s="239">
        <v>41755636</v>
      </c>
      <c r="FM233" s="239">
        <v>0</v>
      </c>
      <c r="FN233" s="239">
        <v>41755636</v>
      </c>
      <c r="FO233" s="239">
        <v>-181881</v>
      </c>
      <c r="FP233" s="239">
        <v>0</v>
      </c>
      <c r="FQ233" s="239">
        <v>-181881</v>
      </c>
      <c r="FR233" s="239">
        <v>-6490081</v>
      </c>
      <c r="FS233" s="239">
        <v>0</v>
      </c>
      <c r="FT233" s="239">
        <v>-6490081</v>
      </c>
      <c r="FU233" s="239">
        <v>-1010782</v>
      </c>
      <c r="FV233" s="239">
        <v>0</v>
      </c>
      <c r="FW233" s="239">
        <v>-1010782</v>
      </c>
      <c r="FX233" s="239">
        <v>-194625</v>
      </c>
      <c r="FY233" s="239">
        <v>0</v>
      </c>
      <c r="FZ233" s="239">
        <v>-194625</v>
      </c>
      <c r="GA233" s="239">
        <v>-375526</v>
      </c>
      <c r="GB233" s="239">
        <v>0</v>
      </c>
      <c r="GC233" s="239">
        <v>-375526</v>
      </c>
      <c r="GD233" s="239">
        <v>0</v>
      </c>
      <c r="GE233" s="239">
        <v>0</v>
      </c>
      <c r="GF233" s="239">
        <v>0</v>
      </c>
      <c r="GG233" s="239">
        <v>-8252895</v>
      </c>
      <c r="GH233" s="239">
        <v>0</v>
      </c>
      <c r="GI233" s="239">
        <v>-8252895</v>
      </c>
      <c r="GJ233" s="239">
        <v>33502741</v>
      </c>
      <c r="GK233" s="239">
        <v>0</v>
      </c>
      <c r="GL233" s="239">
        <v>33502741</v>
      </c>
      <c r="GM233" s="214" t="s">
        <v>1158</v>
      </c>
    </row>
    <row r="234" spans="1:195" s="214" customFormat="1" x14ac:dyDescent="0.2">
      <c r="B234" s="602" t="s">
        <v>551</v>
      </c>
      <c r="C234" s="602" t="s">
        <v>550</v>
      </c>
      <c r="D234" s="239">
        <v>-5939101</v>
      </c>
      <c r="E234" s="239">
        <v>-21578</v>
      </c>
      <c r="F234" s="239">
        <v>-5960679</v>
      </c>
      <c r="G234" s="239">
        <v>160425</v>
      </c>
      <c r="H234" s="239">
        <v>37584</v>
      </c>
      <c r="I234" s="239">
        <v>198009</v>
      </c>
      <c r="J234" s="239">
        <v>16834819</v>
      </c>
      <c r="K234" s="239">
        <v>236493</v>
      </c>
      <c r="L234" s="239">
        <v>17071312</v>
      </c>
      <c r="M234" s="239">
        <v>145724</v>
      </c>
      <c r="N234" s="239">
        <v>12052</v>
      </c>
      <c r="O234" s="239">
        <v>157776</v>
      </c>
      <c r="P234" s="239">
        <v>11201867</v>
      </c>
      <c r="Q234" s="239">
        <v>264551</v>
      </c>
      <c r="R234" s="239">
        <v>11466418</v>
      </c>
      <c r="S234" s="239">
        <v>-16587879</v>
      </c>
      <c r="T234" s="239">
        <v>-32361</v>
      </c>
      <c r="U234" s="239">
        <v>-16620240</v>
      </c>
      <c r="V234" s="239">
        <v>-130453</v>
      </c>
      <c r="W234" s="239">
        <v>0</v>
      </c>
      <c r="X234" s="239">
        <v>-130453</v>
      </c>
      <c r="Y234" s="239">
        <v>-300688</v>
      </c>
      <c r="Z234" s="239">
        <v>0</v>
      </c>
      <c r="AA234" s="239">
        <v>-300688</v>
      </c>
      <c r="AB234" s="239">
        <v>-298870</v>
      </c>
      <c r="AC234" s="239">
        <v>0</v>
      </c>
      <c r="AD234" s="239">
        <v>-298870</v>
      </c>
      <c r="AE234" s="239">
        <v>85880</v>
      </c>
      <c r="AF234" s="239">
        <v>0</v>
      </c>
      <c r="AG234" s="239">
        <v>85880</v>
      </c>
      <c r="AH234" s="239">
        <v>5170867</v>
      </c>
      <c r="AI234" s="239">
        <v>101666</v>
      </c>
      <c r="AJ234" s="239">
        <v>5272533</v>
      </c>
      <c r="AK234" s="239">
        <v>674736</v>
      </c>
      <c r="AL234" s="239">
        <v>0</v>
      </c>
      <c r="AM234" s="239">
        <v>674736</v>
      </c>
      <c r="AN234" s="239">
        <v>-21766098</v>
      </c>
      <c r="AO234" s="239">
        <v>-154991</v>
      </c>
      <c r="AP234" s="239">
        <v>-21921089</v>
      </c>
      <c r="AQ234" s="239">
        <v>26736</v>
      </c>
      <c r="AR234" s="239">
        <v>0</v>
      </c>
      <c r="AS234" s="239">
        <v>26736</v>
      </c>
      <c r="AT234" s="239">
        <v>-26453</v>
      </c>
      <c r="AU234" s="239">
        <v>0</v>
      </c>
      <c r="AV234" s="239">
        <v>-26453</v>
      </c>
      <c r="AW234" s="239">
        <v>0</v>
      </c>
      <c r="AX234" s="239">
        <v>0</v>
      </c>
      <c r="AY234" s="239">
        <v>0</v>
      </c>
      <c r="AZ234" s="239">
        <v>0</v>
      </c>
      <c r="BA234" s="239">
        <v>0</v>
      </c>
      <c r="BB234" s="239">
        <v>0</v>
      </c>
      <c r="BC234" s="239">
        <v>0</v>
      </c>
      <c r="BD234" s="239">
        <v>0</v>
      </c>
      <c r="BE234" s="239">
        <v>0</v>
      </c>
      <c r="BF234" s="239">
        <v>-32808779</v>
      </c>
      <c r="BG234" s="239">
        <v>-85686</v>
      </c>
      <c r="BH234" s="239">
        <v>-32894465</v>
      </c>
      <c r="BI234" s="239">
        <v>-65513</v>
      </c>
      <c r="BJ234" s="239">
        <v>0</v>
      </c>
      <c r="BK234" s="239">
        <v>-65513</v>
      </c>
      <c r="BL234" s="239">
        <v>245154</v>
      </c>
      <c r="BM234" s="239">
        <v>-2004</v>
      </c>
      <c r="BN234" s="239">
        <v>243150</v>
      </c>
      <c r="BO234" s="239">
        <v>-6228441</v>
      </c>
      <c r="BP234" s="239">
        <v>-315564</v>
      </c>
      <c r="BQ234" s="239">
        <v>-6544005</v>
      </c>
      <c r="BR234" s="239">
        <v>545976</v>
      </c>
      <c r="BS234" s="239">
        <v>8582</v>
      </c>
      <c r="BT234" s="239">
        <v>554558</v>
      </c>
      <c r="BU234" s="239">
        <v>-5502824</v>
      </c>
      <c r="BV234" s="239">
        <v>-308986</v>
      </c>
      <c r="BW234" s="239">
        <v>-5811810</v>
      </c>
      <c r="BX234" s="239">
        <v>-7372</v>
      </c>
      <c r="BY234" s="239">
        <v>0</v>
      </c>
      <c r="BZ234" s="239">
        <v>-7372</v>
      </c>
      <c r="CA234" s="239">
        <v>-679</v>
      </c>
      <c r="CB234" s="239">
        <v>0</v>
      </c>
      <c r="CC234" s="239">
        <v>-679</v>
      </c>
      <c r="CD234" s="239">
        <v>-204091</v>
      </c>
      <c r="CE234" s="239">
        <v>-8886</v>
      </c>
      <c r="CF234" s="239">
        <v>-212977</v>
      </c>
      <c r="CG234" s="239">
        <v>-3201</v>
      </c>
      <c r="CH234" s="239">
        <v>0</v>
      </c>
      <c r="CI234" s="239">
        <v>-3201</v>
      </c>
      <c r="CJ234" s="239">
        <v>0</v>
      </c>
      <c r="CK234" s="239">
        <v>0</v>
      </c>
      <c r="CL234" s="239">
        <v>0</v>
      </c>
      <c r="CM234" s="239">
        <v>0</v>
      </c>
      <c r="CN234" s="239">
        <v>0</v>
      </c>
      <c r="CO234" s="239">
        <v>0</v>
      </c>
      <c r="CP234" s="239">
        <v>0</v>
      </c>
      <c r="CQ234" s="239">
        <v>0</v>
      </c>
      <c r="CR234" s="239">
        <v>0</v>
      </c>
      <c r="CS234" s="239">
        <v>0</v>
      </c>
      <c r="CT234" s="239">
        <v>0</v>
      </c>
      <c r="CU234" s="239">
        <v>0</v>
      </c>
      <c r="CV234" s="239">
        <v>0</v>
      </c>
      <c r="CW234" s="239">
        <v>0</v>
      </c>
      <c r="CX234" s="239">
        <v>0</v>
      </c>
      <c r="CY234" s="239">
        <v>0</v>
      </c>
      <c r="CZ234" s="239">
        <v>0</v>
      </c>
      <c r="DA234" s="239">
        <v>0</v>
      </c>
      <c r="DB234" s="239">
        <v>-115837</v>
      </c>
      <c r="DC234" s="239">
        <v>0</v>
      </c>
      <c r="DD234" s="239">
        <v>-115837</v>
      </c>
      <c r="DE234" s="239">
        <v>-69953</v>
      </c>
      <c r="DF234" s="239">
        <v>4167</v>
      </c>
      <c r="DG234" s="239">
        <v>-65786</v>
      </c>
      <c r="DH234" s="239">
        <v>4167</v>
      </c>
      <c r="DI234" s="239">
        <v>0</v>
      </c>
      <c r="DJ234" s="239">
        <v>-401133</v>
      </c>
      <c r="DK234" s="239">
        <v>-4719</v>
      </c>
      <c r="DL234" s="239">
        <v>-405852</v>
      </c>
      <c r="DM234" s="239">
        <v>0</v>
      </c>
      <c r="DN234" s="239">
        <v>0</v>
      </c>
      <c r="DO234" s="239">
        <v>0</v>
      </c>
      <c r="DP234" s="239">
        <v>0</v>
      </c>
      <c r="DQ234" s="239">
        <v>0</v>
      </c>
      <c r="DR234" s="239">
        <v>0</v>
      </c>
      <c r="DS234" s="239">
        <v>-12670</v>
      </c>
      <c r="DT234" s="239">
        <v>0</v>
      </c>
      <c r="DU234" s="239">
        <v>-12670</v>
      </c>
      <c r="DV234" s="239">
        <v>19249</v>
      </c>
      <c r="DW234" s="239">
        <v>0</v>
      </c>
      <c r="DX234" s="239">
        <v>19249</v>
      </c>
      <c r="DY234" s="239">
        <v>3217</v>
      </c>
      <c r="DZ234" s="239">
        <v>0</v>
      </c>
      <c r="EA234" s="239">
        <v>3217</v>
      </c>
      <c r="EB234" s="239">
        <v>0</v>
      </c>
      <c r="EC234" s="239">
        <v>0</v>
      </c>
      <c r="ED234" s="239">
        <v>0</v>
      </c>
      <c r="EE234" s="239">
        <v>0</v>
      </c>
      <c r="EF234" s="239">
        <v>0</v>
      </c>
      <c r="EG234" s="239">
        <v>0</v>
      </c>
      <c r="EH234" s="239">
        <v>37314</v>
      </c>
      <c r="EI234" s="239">
        <v>0</v>
      </c>
      <c r="EJ234" s="239">
        <v>37314</v>
      </c>
      <c r="EK234" s="239">
        <v>0</v>
      </c>
      <c r="EL234" s="239">
        <v>0</v>
      </c>
      <c r="EM234" s="239">
        <v>0</v>
      </c>
      <c r="EN234" s="239">
        <v>0</v>
      </c>
      <c r="EO234" s="239">
        <v>0</v>
      </c>
      <c r="EP234" s="239">
        <v>0</v>
      </c>
      <c r="EQ234" s="239">
        <v>-70232</v>
      </c>
      <c r="ER234" s="239">
        <v>0</v>
      </c>
      <c r="ES234" s="239">
        <v>-70232</v>
      </c>
      <c r="ET234" s="239">
        <v>-815524</v>
      </c>
      <c r="EU234" s="239">
        <v>0</v>
      </c>
      <c r="EV234" s="239">
        <v>-815524</v>
      </c>
      <c r="EW234" s="239">
        <v>-142630</v>
      </c>
      <c r="EX234" s="239">
        <v>-1000</v>
      </c>
      <c r="EY234" s="239">
        <v>-143630</v>
      </c>
      <c r="EZ234" s="239">
        <v>-981276</v>
      </c>
      <c r="FA234" s="239">
        <v>-1000</v>
      </c>
      <c r="FB234" s="239">
        <v>-982276</v>
      </c>
      <c r="FC234" s="239">
        <v>0</v>
      </c>
      <c r="FD234" s="239">
        <v>0</v>
      </c>
      <c r="FE234" s="239">
        <v>0</v>
      </c>
      <c r="FF234" s="239">
        <v>0</v>
      </c>
      <c r="FG234" s="239">
        <v>0</v>
      </c>
      <c r="FH234" s="239">
        <v>0</v>
      </c>
      <c r="FI234" s="239">
        <v>0</v>
      </c>
      <c r="FJ234" s="239">
        <v>0</v>
      </c>
      <c r="FK234" s="239">
        <v>0</v>
      </c>
      <c r="FL234" s="239">
        <v>237890525</v>
      </c>
      <c r="FM234" s="239">
        <v>2594109</v>
      </c>
      <c r="FN234" s="239">
        <v>240484634</v>
      </c>
      <c r="FO234" s="239">
        <v>11201867</v>
      </c>
      <c r="FP234" s="239">
        <v>264551</v>
      </c>
      <c r="FQ234" s="239">
        <v>11466418</v>
      </c>
      <c r="FR234" s="239">
        <v>-32808779</v>
      </c>
      <c r="FS234" s="239">
        <v>-85686</v>
      </c>
      <c r="FT234" s="239">
        <v>-32894465</v>
      </c>
      <c r="FU234" s="239">
        <v>-5502824</v>
      </c>
      <c r="FV234" s="239">
        <v>-308986</v>
      </c>
      <c r="FW234" s="239">
        <v>-5811810</v>
      </c>
      <c r="FX234" s="239">
        <v>-401133</v>
      </c>
      <c r="FY234" s="239">
        <v>-4719</v>
      </c>
      <c r="FZ234" s="239">
        <v>-405852</v>
      </c>
      <c r="GA234" s="239">
        <v>-981276</v>
      </c>
      <c r="GB234" s="239">
        <v>-1000</v>
      </c>
      <c r="GC234" s="239">
        <v>-982276</v>
      </c>
      <c r="GD234" s="239">
        <v>0</v>
      </c>
      <c r="GE234" s="239">
        <v>0</v>
      </c>
      <c r="GF234" s="239">
        <v>0</v>
      </c>
      <c r="GG234" s="239">
        <v>-28492145</v>
      </c>
      <c r="GH234" s="239">
        <v>-135840</v>
      </c>
      <c r="GI234" s="239">
        <v>-28627985</v>
      </c>
      <c r="GJ234" s="239">
        <v>209398380</v>
      </c>
      <c r="GK234" s="239">
        <v>2458269</v>
      </c>
      <c r="GL234" s="239">
        <v>211856649</v>
      </c>
      <c r="GM234" s="214" t="s">
        <v>1160</v>
      </c>
    </row>
    <row r="235" spans="1:195" s="214" customFormat="1" x14ac:dyDescent="0.2">
      <c r="B235" s="602" t="s">
        <v>553</v>
      </c>
      <c r="C235" s="602" t="s">
        <v>552</v>
      </c>
      <c r="D235" s="239">
        <v>-1360661</v>
      </c>
      <c r="E235" s="239">
        <v>0</v>
      </c>
      <c r="F235" s="239">
        <v>-1360661</v>
      </c>
      <c r="G235" s="239">
        <v>10708</v>
      </c>
      <c r="H235" s="239">
        <v>0</v>
      </c>
      <c r="I235" s="239">
        <v>10708</v>
      </c>
      <c r="J235" s="239">
        <v>1951939</v>
      </c>
      <c r="K235" s="239">
        <v>0</v>
      </c>
      <c r="L235" s="239">
        <v>1951939</v>
      </c>
      <c r="M235" s="239">
        <v>18627</v>
      </c>
      <c r="N235" s="239">
        <v>0</v>
      </c>
      <c r="O235" s="239">
        <v>18627</v>
      </c>
      <c r="P235" s="239">
        <v>620613</v>
      </c>
      <c r="Q235" s="239">
        <v>0</v>
      </c>
      <c r="R235" s="239">
        <v>620613</v>
      </c>
      <c r="S235" s="239">
        <v>-3920663</v>
      </c>
      <c r="T235" s="239">
        <v>0</v>
      </c>
      <c r="U235" s="239">
        <v>-3920663</v>
      </c>
      <c r="V235" s="239">
        <v>-24969</v>
      </c>
      <c r="W235" s="239">
        <v>0</v>
      </c>
      <c r="X235" s="239">
        <v>-24969</v>
      </c>
      <c r="Y235" s="239">
        <v>-155855</v>
      </c>
      <c r="Z235" s="239">
        <v>0</v>
      </c>
      <c r="AA235" s="239">
        <v>-155855</v>
      </c>
      <c r="AB235" s="239">
        <v>-134070</v>
      </c>
      <c r="AC235" s="239">
        <v>0</v>
      </c>
      <c r="AD235" s="239">
        <v>-134070</v>
      </c>
      <c r="AE235" s="239">
        <v>1071</v>
      </c>
      <c r="AF235" s="239">
        <v>0</v>
      </c>
      <c r="AG235" s="239">
        <v>1071</v>
      </c>
      <c r="AH235" s="239">
        <v>658541</v>
      </c>
      <c r="AI235" s="239">
        <v>0</v>
      </c>
      <c r="AJ235" s="239">
        <v>658541</v>
      </c>
      <c r="AK235" s="239">
        <v>208802</v>
      </c>
      <c r="AL235" s="239">
        <v>0</v>
      </c>
      <c r="AM235" s="239">
        <v>208802</v>
      </c>
      <c r="AN235" s="239">
        <v>-2639342</v>
      </c>
      <c r="AO235" s="239">
        <v>0</v>
      </c>
      <c r="AP235" s="239">
        <v>-2639342</v>
      </c>
      <c r="AQ235" s="239">
        <v>40889</v>
      </c>
      <c r="AR235" s="239">
        <v>0</v>
      </c>
      <c r="AS235" s="239">
        <v>40889</v>
      </c>
      <c r="AT235" s="239">
        <v>-87313</v>
      </c>
      <c r="AU235" s="239">
        <v>0</v>
      </c>
      <c r="AV235" s="239">
        <v>-87313</v>
      </c>
      <c r="AW235" s="239">
        <v>4968</v>
      </c>
      <c r="AX235" s="239">
        <v>0</v>
      </c>
      <c r="AY235" s="239">
        <v>4968</v>
      </c>
      <c r="AZ235" s="239">
        <v>-21132</v>
      </c>
      <c r="BA235" s="239">
        <v>0</v>
      </c>
      <c r="BB235" s="239">
        <v>-21132</v>
      </c>
      <c r="BC235" s="239">
        <v>0</v>
      </c>
      <c r="BD235" s="239">
        <v>0</v>
      </c>
      <c r="BE235" s="239">
        <v>0</v>
      </c>
      <c r="BF235" s="239">
        <v>-5911105</v>
      </c>
      <c r="BG235" s="239">
        <v>0</v>
      </c>
      <c r="BH235" s="239">
        <v>-5911105</v>
      </c>
      <c r="BI235" s="239">
        <v>-13849</v>
      </c>
      <c r="BJ235" s="239">
        <v>0</v>
      </c>
      <c r="BK235" s="239">
        <v>-13849</v>
      </c>
      <c r="BL235" s="239">
        <v>-124</v>
      </c>
      <c r="BM235" s="239">
        <v>0</v>
      </c>
      <c r="BN235" s="239">
        <v>-124</v>
      </c>
      <c r="BO235" s="239">
        <v>-1010161</v>
      </c>
      <c r="BP235" s="239">
        <v>0</v>
      </c>
      <c r="BQ235" s="239">
        <v>-1010161</v>
      </c>
      <c r="BR235" s="239">
        <v>-47968</v>
      </c>
      <c r="BS235" s="239">
        <v>0</v>
      </c>
      <c r="BT235" s="239">
        <v>-47968</v>
      </c>
      <c r="BU235" s="239">
        <v>-1072102</v>
      </c>
      <c r="BV235" s="239">
        <v>0</v>
      </c>
      <c r="BW235" s="239">
        <v>-1072102</v>
      </c>
      <c r="BX235" s="239">
        <v>-72117</v>
      </c>
      <c r="BY235" s="239">
        <v>0</v>
      </c>
      <c r="BZ235" s="239">
        <v>-72117</v>
      </c>
      <c r="CA235" s="239">
        <v>-64</v>
      </c>
      <c r="CB235" s="239">
        <v>0</v>
      </c>
      <c r="CC235" s="239">
        <v>-64</v>
      </c>
      <c r="CD235" s="239">
        <v>-4096</v>
      </c>
      <c r="CE235" s="239">
        <v>0</v>
      </c>
      <c r="CF235" s="239">
        <v>-4096</v>
      </c>
      <c r="CG235" s="239">
        <v>0</v>
      </c>
      <c r="CH235" s="239">
        <v>0</v>
      </c>
      <c r="CI235" s="239">
        <v>0</v>
      </c>
      <c r="CJ235" s="239">
        <v>-1363</v>
      </c>
      <c r="CK235" s="239">
        <v>0</v>
      </c>
      <c r="CL235" s="239">
        <v>-1363</v>
      </c>
      <c r="CM235" s="239">
        <v>0</v>
      </c>
      <c r="CN235" s="239">
        <v>0</v>
      </c>
      <c r="CO235" s="239">
        <v>0</v>
      </c>
      <c r="CP235" s="239">
        <v>0</v>
      </c>
      <c r="CQ235" s="239">
        <v>0</v>
      </c>
      <c r="CR235" s="239">
        <v>0</v>
      </c>
      <c r="CS235" s="239">
        <v>0</v>
      </c>
      <c r="CT235" s="239">
        <v>0</v>
      </c>
      <c r="CU235" s="239">
        <v>0</v>
      </c>
      <c r="CV235" s="239">
        <v>0</v>
      </c>
      <c r="CW235" s="239">
        <v>0</v>
      </c>
      <c r="CX235" s="239">
        <v>0</v>
      </c>
      <c r="CY235" s="239">
        <v>0</v>
      </c>
      <c r="CZ235" s="239">
        <v>0</v>
      </c>
      <c r="DA235" s="239">
        <v>0</v>
      </c>
      <c r="DB235" s="239">
        <v>-9858</v>
      </c>
      <c r="DC235" s="239">
        <v>0</v>
      </c>
      <c r="DD235" s="239">
        <v>-9858</v>
      </c>
      <c r="DE235" s="239">
        <v>910</v>
      </c>
      <c r="DF235" s="239">
        <v>0</v>
      </c>
      <c r="DG235" s="239">
        <v>910</v>
      </c>
      <c r="DH235" s="239">
        <v>0</v>
      </c>
      <c r="DI235" s="239">
        <v>0</v>
      </c>
      <c r="DJ235" s="239">
        <v>-86588</v>
      </c>
      <c r="DK235" s="239">
        <v>0</v>
      </c>
      <c r="DL235" s="239">
        <v>-86588</v>
      </c>
      <c r="DM235" s="239">
        <v>0</v>
      </c>
      <c r="DN235" s="239">
        <v>0</v>
      </c>
      <c r="DO235" s="239">
        <v>0</v>
      </c>
      <c r="DP235" s="239">
        <v>0</v>
      </c>
      <c r="DQ235" s="239">
        <v>0</v>
      </c>
      <c r="DR235" s="239">
        <v>0</v>
      </c>
      <c r="DS235" s="239">
        <v>-1610</v>
      </c>
      <c r="DT235" s="239">
        <v>0</v>
      </c>
      <c r="DU235" s="239">
        <v>-1610</v>
      </c>
      <c r="DV235" s="239">
        <v>1605</v>
      </c>
      <c r="DW235" s="239">
        <v>0</v>
      </c>
      <c r="DX235" s="239">
        <v>1605</v>
      </c>
      <c r="DY235" s="239">
        <v>11412</v>
      </c>
      <c r="DZ235" s="239">
        <v>0</v>
      </c>
      <c r="EA235" s="239">
        <v>11412</v>
      </c>
      <c r="EB235" s="239">
        <v>0</v>
      </c>
      <c r="EC235" s="239">
        <v>0</v>
      </c>
      <c r="ED235" s="239">
        <v>0</v>
      </c>
      <c r="EE235" s="239">
        <v>0</v>
      </c>
      <c r="EF235" s="239">
        <v>0</v>
      </c>
      <c r="EG235" s="239">
        <v>0</v>
      </c>
      <c r="EH235" s="239">
        <v>0</v>
      </c>
      <c r="EI235" s="239">
        <v>0</v>
      </c>
      <c r="EJ235" s="239">
        <v>0</v>
      </c>
      <c r="EK235" s="239">
        <v>-21132</v>
      </c>
      <c r="EL235" s="239">
        <v>0</v>
      </c>
      <c r="EM235" s="239">
        <v>-21132</v>
      </c>
      <c r="EN235" s="239">
        <v>-1500</v>
      </c>
      <c r="EO235" s="239">
        <v>0</v>
      </c>
      <c r="EP235" s="239">
        <v>-1500</v>
      </c>
      <c r="EQ235" s="239">
        <v>-38388</v>
      </c>
      <c r="ER235" s="239">
        <v>0</v>
      </c>
      <c r="ES235" s="239">
        <v>-38388</v>
      </c>
      <c r="ET235" s="239">
        <v>-140043</v>
      </c>
      <c r="EU235" s="239">
        <v>0</v>
      </c>
      <c r="EV235" s="239">
        <v>-140043</v>
      </c>
      <c r="EW235" s="239">
        <v>-49382</v>
      </c>
      <c r="EX235" s="239">
        <v>0</v>
      </c>
      <c r="EY235" s="239">
        <v>-49382</v>
      </c>
      <c r="EZ235" s="239">
        <v>-239038</v>
      </c>
      <c r="FA235" s="239">
        <v>0</v>
      </c>
      <c r="FB235" s="239">
        <v>-239038</v>
      </c>
      <c r="FC235" s="239">
        <v>-33903</v>
      </c>
      <c r="FD235" s="239">
        <v>0</v>
      </c>
      <c r="FE235" s="239">
        <v>-33903</v>
      </c>
      <c r="FF235" s="239">
        <v>272</v>
      </c>
      <c r="FG235" s="239">
        <v>0</v>
      </c>
      <c r="FH235" s="239">
        <v>272</v>
      </c>
      <c r="FI235" s="239">
        <v>-33631</v>
      </c>
      <c r="FJ235" s="239">
        <v>0</v>
      </c>
      <c r="FK235" s="239">
        <v>-33631</v>
      </c>
      <c r="FL235" s="239">
        <v>34967543</v>
      </c>
      <c r="FM235" s="239">
        <v>0</v>
      </c>
      <c r="FN235" s="239">
        <v>34967543</v>
      </c>
      <c r="FO235" s="239">
        <v>620613</v>
      </c>
      <c r="FP235" s="239">
        <v>0</v>
      </c>
      <c r="FQ235" s="239">
        <v>620613</v>
      </c>
      <c r="FR235" s="239">
        <v>-5911105</v>
      </c>
      <c r="FS235" s="239">
        <v>0</v>
      </c>
      <c r="FT235" s="239">
        <v>-5911105</v>
      </c>
      <c r="FU235" s="239">
        <v>-1072102</v>
      </c>
      <c r="FV235" s="239">
        <v>0</v>
      </c>
      <c r="FW235" s="239">
        <v>-1072102</v>
      </c>
      <c r="FX235" s="239">
        <v>-86588</v>
      </c>
      <c r="FY235" s="239">
        <v>0</v>
      </c>
      <c r="FZ235" s="239">
        <v>-86588</v>
      </c>
      <c r="GA235" s="239">
        <v>-239038</v>
      </c>
      <c r="GB235" s="239">
        <v>0</v>
      </c>
      <c r="GC235" s="239">
        <v>-239038</v>
      </c>
      <c r="GD235" s="239">
        <v>-33631</v>
      </c>
      <c r="GE235" s="239">
        <v>0</v>
      </c>
      <c r="GF235" s="239">
        <v>-33631</v>
      </c>
      <c r="GG235" s="239">
        <v>-6721851</v>
      </c>
      <c r="GH235" s="239">
        <v>0</v>
      </c>
      <c r="GI235" s="239">
        <v>-6721851</v>
      </c>
      <c r="GJ235" s="239">
        <v>28245692</v>
      </c>
      <c r="GK235" s="239">
        <v>0</v>
      </c>
      <c r="GL235" s="239">
        <v>28245692</v>
      </c>
      <c r="GM235" s="214" t="s">
        <v>1158</v>
      </c>
    </row>
    <row r="236" spans="1:195" s="214" customFormat="1" x14ac:dyDescent="0.2">
      <c r="B236" s="602" t="s">
        <v>555</v>
      </c>
      <c r="C236" s="602" t="s">
        <v>554</v>
      </c>
      <c r="D236" s="239">
        <v>-8639815</v>
      </c>
      <c r="E236" s="239">
        <v>0</v>
      </c>
      <c r="F236" s="239">
        <v>-8639815</v>
      </c>
      <c r="G236" s="239">
        <v>1008873</v>
      </c>
      <c r="H236" s="239">
        <v>0</v>
      </c>
      <c r="I236" s="239">
        <v>1008873</v>
      </c>
      <c r="J236" s="239">
        <v>3488349</v>
      </c>
      <c r="K236" s="239">
        <v>0</v>
      </c>
      <c r="L236" s="239">
        <v>3488349</v>
      </c>
      <c r="M236" s="239">
        <v>111158</v>
      </c>
      <c r="N236" s="239">
        <v>0</v>
      </c>
      <c r="O236" s="239">
        <v>111158</v>
      </c>
      <c r="P236" s="239">
        <v>-4031435</v>
      </c>
      <c r="Q236" s="239">
        <v>0</v>
      </c>
      <c r="R236" s="239">
        <v>-4031435</v>
      </c>
      <c r="S236" s="239">
        <v>-11649302</v>
      </c>
      <c r="T236" s="239">
        <v>0</v>
      </c>
      <c r="U236" s="239">
        <v>-11649302</v>
      </c>
      <c r="V236" s="239">
        <v>-39653</v>
      </c>
      <c r="W236" s="239">
        <v>0</v>
      </c>
      <c r="X236" s="239">
        <v>-39653</v>
      </c>
      <c r="Y236" s="239">
        <v>-460487</v>
      </c>
      <c r="Z236" s="239">
        <v>0</v>
      </c>
      <c r="AA236" s="239">
        <v>-460487</v>
      </c>
      <c r="AB236" s="239">
        <v>-400332</v>
      </c>
      <c r="AC236" s="239">
        <v>0</v>
      </c>
      <c r="AD236" s="239">
        <v>-400332</v>
      </c>
      <c r="AE236" s="239">
        <v>-3589</v>
      </c>
      <c r="AF236" s="239">
        <v>0</v>
      </c>
      <c r="AG236" s="239">
        <v>-3589</v>
      </c>
      <c r="AH236" s="239">
        <v>1794977</v>
      </c>
      <c r="AI236" s="239">
        <v>0</v>
      </c>
      <c r="AJ236" s="239">
        <v>1794977</v>
      </c>
      <c r="AK236" s="239">
        <v>733264</v>
      </c>
      <c r="AL236" s="239">
        <v>0</v>
      </c>
      <c r="AM236" s="239">
        <v>733264</v>
      </c>
      <c r="AN236" s="239">
        <v>-7688974</v>
      </c>
      <c r="AO236" s="239">
        <v>0</v>
      </c>
      <c r="AP236" s="239">
        <v>-7688974</v>
      </c>
      <c r="AQ236" s="239">
        <v>399823</v>
      </c>
      <c r="AR236" s="239">
        <v>0</v>
      </c>
      <c r="AS236" s="239">
        <v>399823</v>
      </c>
      <c r="AT236" s="239">
        <v>-138771</v>
      </c>
      <c r="AU236" s="239">
        <v>0</v>
      </c>
      <c r="AV236" s="239">
        <v>-138771</v>
      </c>
      <c r="AW236" s="239">
        <v>-4535</v>
      </c>
      <c r="AX236" s="239">
        <v>0</v>
      </c>
      <c r="AY236" s="239">
        <v>-4535</v>
      </c>
      <c r="AZ236" s="239">
        <v>-34223</v>
      </c>
      <c r="BA236" s="239">
        <v>0</v>
      </c>
      <c r="BB236" s="239">
        <v>-34223</v>
      </c>
      <c r="BC236" s="239">
        <v>0</v>
      </c>
      <c r="BD236" s="239">
        <v>0</v>
      </c>
      <c r="BE236" s="239">
        <v>0</v>
      </c>
      <c r="BF236" s="239">
        <v>-17048228</v>
      </c>
      <c r="BG236" s="239">
        <v>0</v>
      </c>
      <c r="BH236" s="239">
        <v>-17048228</v>
      </c>
      <c r="BI236" s="239">
        <v>0</v>
      </c>
      <c r="BJ236" s="239">
        <v>0</v>
      </c>
      <c r="BK236" s="239">
        <v>0</v>
      </c>
      <c r="BL236" s="239">
        <v>12259</v>
      </c>
      <c r="BM236" s="239">
        <v>0</v>
      </c>
      <c r="BN236" s="239">
        <v>12259</v>
      </c>
      <c r="BO236" s="239">
        <v>-2334732</v>
      </c>
      <c r="BP236" s="239">
        <v>0</v>
      </c>
      <c r="BQ236" s="239">
        <v>-2334732</v>
      </c>
      <c r="BR236" s="239">
        <v>86452</v>
      </c>
      <c r="BS236" s="239">
        <v>0</v>
      </c>
      <c r="BT236" s="239">
        <v>86452</v>
      </c>
      <c r="BU236" s="239">
        <v>-2236021</v>
      </c>
      <c r="BV236" s="239">
        <v>0</v>
      </c>
      <c r="BW236" s="239">
        <v>-2236021</v>
      </c>
      <c r="BX236" s="239">
        <v>-616498</v>
      </c>
      <c r="BY236" s="239">
        <v>0</v>
      </c>
      <c r="BZ236" s="239">
        <v>-616498</v>
      </c>
      <c r="CA236" s="239">
        <v>569</v>
      </c>
      <c r="CB236" s="239">
        <v>0</v>
      </c>
      <c r="CC236" s="239">
        <v>569</v>
      </c>
      <c r="CD236" s="239">
        <v>-500873</v>
      </c>
      <c r="CE236" s="239">
        <v>0</v>
      </c>
      <c r="CF236" s="239">
        <v>-500873</v>
      </c>
      <c r="CG236" s="239">
        <v>193</v>
      </c>
      <c r="CH236" s="239">
        <v>0</v>
      </c>
      <c r="CI236" s="239">
        <v>193</v>
      </c>
      <c r="CJ236" s="239">
        <v>-22508</v>
      </c>
      <c r="CK236" s="239">
        <v>0</v>
      </c>
      <c r="CL236" s="239">
        <v>-22508</v>
      </c>
      <c r="CM236" s="239">
        <v>0</v>
      </c>
      <c r="CN236" s="239">
        <v>0</v>
      </c>
      <c r="CO236" s="239">
        <v>0</v>
      </c>
      <c r="CP236" s="239">
        <v>0</v>
      </c>
      <c r="CQ236" s="239">
        <v>0</v>
      </c>
      <c r="CR236" s="239">
        <v>0</v>
      </c>
      <c r="CS236" s="239">
        <v>0</v>
      </c>
      <c r="CT236" s="239">
        <v>0</v>
      </c>
      <c r="CU236" s="239">
        <v>0</v>
      </c>
      <c r="CV236" s="239">
        <v>0</v>
      </c>
      <c r="CW236" s="239">
        <v>0</v>
      </c>
      <c r="CX236" s="239">
        <v>0</v>
      </c>
      <c r="CY236" s="239">
        <v>0</v>
      </c>
      <c r="CZ236" s="239">
        <v>0</v>
      </c>
      <c r="DA236" s="239">
        <v>0</v>
      </c>
      <c r="DB236" s="239">
        <v>0</v>
      </c>
      <c r="DC236" s="239">
        <v>0</v>
      </c>
      <c r="DD236" s="239">
        <v>0</v>
      </c>
      <c r="DE236" s="239">
        <v>0</v>
      </c>
      <c r="DF236" s="239">
        <v>0</v>
      </c>
      <c r="DG236" s="239">
        <v>0</v>
      </c>
      <c r="DH236" s="239">
        <v>0</v>
      </c>
      <c r="DI236" s="239">
        <v>0</v>
      </c>
      <c r="DJ236" s="239">
        <v>-1139117</v>
      </c>
      <c r="DK236" s="239">
        <v>0</v>
      </c>
      <c r="DL236" s="239">
        <v>-1139117</v>
      </c>
      <c r="DM236" s="239">
        <v>0</v>
      </c>
      <c r="DN236" s="239">
        <v>0</v>
      </c>
      <c r="DO236" s="239">
        <v>0</v>
      </c>
      <c r="DP236" s="239">
        <v>264</v>
      </c>
      <c r="DQ236" s="239">
        <v>0</v>
      </c>
      <c r="DR236" s="239">
        <v>264</v>
      </c>
      <c r="DS236" s="239">
        <v>0</v>
      </c>
      <c r="DT236" s="239">
        <v>0</v>
      </c>
      <c r="DU236" s="239">
        <v>0</v>
      </c>
      <c r="DV236" s="239">
        <v>-51674</v>
      </c>
      <c r="DW236" s="239">
        <v>0</v>
      </c>
      <c r="DX236" s="239">
        <v>-51674</v>
      </c>
      <c r="DY236" s="239">
        <v>2704</v>
      </c>
      <c r="DZ236" s="239">
        <v>0</v>
      </c>
      <c r="EA236" s="239">
        <v>2704</v>
      </c>
      <c r="EB236" s="239">
        <v>0</v>
      </c>
      <c r="EC236" s="239">
        <v>0</v>
      </c>
      <c r="ED236" s="239">
        <v>0</v>
      </c>
      <c r="EE236" s="239">
        <v>0</v>
      </c>
      <c r="EF236" s="239">
        <v>0</v>
      </c>
      <c r="EG236" s="239">
        <v>0</v>
      </c>
      <c r="EH236" s="239">
        <v>0</v>
      </c>
      <c r="EI236" s="239">
        <v>0</v>
      </c>
      <c r="EJ236" s="239">
        <v>0</v>
      </c>
      <c r="EK236" s="239">
        <v>-34223</v>
      </c>
      <c r="EL236" s="239">
        <v>0</v>
      </c>
      <c r="EM236" s="239">
        <v>-34223</v>
      </c>
      <c r="EN236" s="239">
        <v>0</v>
      </c>
      <c r="EO236" s="239">
        <v>0</v>
      </c>
      <c r="EP236" s="239">
        <v>0</v>
      </c>
      <c r="EQ236" s="239">
        <v>-204824</v>
      </c>
      <c r="ER236" s="239">
        <v>0</v>
      </c>
      <c r="ES236" s="239">
        <v>-204824</v>
      </c>
      <c r="ET236" s="239">
        <v>-1298132</v>
      </c>
      <c r="EU236" s="239">
        <v>0</v>
      </c>
      <c r="EV236" s="239">
        <v>-1298132</v>
      </c>
      <c r="EW236" s="239">
        <v>-178655</v>
      </c>
      <c r="EX236" s="239">
        <v>0</v>
      </c>
      <c r="EY236" s="239">
        <v>-178655</v>
      </c>
      <c r="EZ236" s="239">
        <v>-1764540</v>
      </c>
      <c r="FA236" s="239">
        <v>0</v>
      </c>
      <c r="FB236" s="239">
        <v>-1764540</v>
      </c>
      <c r="FC236" s="239">
        <v>0</v>
      </c>
      <c r="FD236" s="239">
        <v>0</v>
      </c>
      <c r="FE236" s="239">
        <v>0</v>
      </c>
      <c r="FF236" s="239">
        <v>0</v>
      </c>
      <c r="FG236" s="239">
        <v>0</v>
      </c>
      <c r="FH236" s="239">
        <v>0</v>
      </c>
      <c r="FI236" s="239">
        <v>0</v>
      </c>
      <c r="FJ236" s="239">
        <v>0</v>
      </c>
      <c r="FK236" s="239">
        <v>0</v>
      </c>
      <c r="FL236" s="239">
        <v>101419626</v>
      </c>
      <c r="FM236" s="239">
        <v>0</v>
      </c>
      <c r="FN236" s="239">
        <v>101419626</v>
      </c>
      <c r="FO236" s="239">
        <v>-4031435</v>
      </c>
      <c r="FP236" s="239">
        <v>0</v>
      </c>
      <c r="FQ236" s="239">
        <v>-4031435</v>
      </c>
      <c r="FR236" s="239">
        <v>-17048228</v>
      </c>
      <c r="FS236" s="239">
        <v>0</v>
      </c>
      <c r="FT236" s="239">
        <v>-17048228</v>
      </c>
      <c r="FU236" s="239">
        <v>-2236021</v>
      </c>
      <c r="FV236" s="239">
        <v>0</v>
      </c>
      <c r="FW236" s="239">
        <v>-2236021</v>
      </c>
      <c r="FX236" s="239">
        <v>-1139117</v>
      </c>
      <c r="FY236" s="239">
        <v>0</v>
      </c>
      <c r="FZ236" s="239">
        <v>-1139117</v>
      </c>
      <c r="GA236" s="239">
        <v>-1764540</v>
      </c>
      <c r="GB236" s="239">
        <v>0</v>
      </c>
      <c r="GC236" s="239">
        <v>-1764540</v>
      </c>
      <c r="GD236" s="239">
        <v>0</v>
      </c>
      <c r="GE236" s="239">
        <v>0</v>
      </c>
      <c r="GF236" s="239">
        <v>0</v>
      </c>
      <c r="GG236" s="239">
        <v>-26219341</v>
      </c>
      <c r="GH236" s="239">
        <v>0</v>
      </c>
      <c r="GI236" s="239">
        <v>-26219341</v>
      </c>
      <c r="GJ236" s="239">
        <v>75200285</v>
      </c>
      <c r="GK236" s="239">
        <v>0</v>
      </c>
      <c r="GL236" s="239">
        <v>75200285</v>
      </c>
      <c r="GM236" s="214" t="s">
        <v>746</v>
      </c>
    </row>
    <row r="237" spans="1:195" s="214" customFormat="1" x14ac:dyDescent="0.2">
      <c r="B237" s="602" t="s">
        <v>557</v>
      </c>
      <c r="C237" s="602" t="s">
        <v>556</v>
      </c>
      <c r="D237" s="239">
        <v>-3065691</v>
      </c>
      <c r="E237" s="239">
        <v>0</v>
      </c>
      <c r="F237" s="239">
        <v>-3065691</v>
      </c>
      <c r="G237" s="239">
        <v>160297</v>
      </c>
      <c r="H237" s="239">
        <v>0</v>
      </c>
      <c r="I237" s="239">
        <v>160297</v>
      </c>
      <c r="J237" s="239">
        <v>4289253</v>
      </c>
      <c r="K237" s="239">
        <v>0</v>
      </c>
      <c r="L237" s="239">
        <v>4289253</v>
      </c>
      <c r="M237" s="239">
        <v>192264</v>
      </c>
      <c r="N237" s="239">
        <v>0</v>
      </c>
      <c r="O237" s="239">
        <v>192264</v>
      </c>
      <c r="P237" s="239">
        <v>1576123</v>
      </c>
      <c r="Q237" s="239">
        <v>0</v>
      </c>
      <c r="R237" s="239">
        <v>1576123</v>
      </c>
      <c r="S237" s="239">
        <v>-2413885</v>
      </c>
      <c r="T237" s="239">
        <v>0</v>
      </c>
      <c r="U237" s="239">
        <v>-2413885</v>
      </c>
      <c r="V237" s="239">
        <v>-6897</v>
      </c>
      <c r="W237" s="239">
        <v>0</v>
      </c>
      <c r="X237" s="239">
        <v>-6897</v>
      </c>
      <c r="Y237" s="239">
        <v>-53935</v>
      </c>
      <c r="Z237" s="239">
        <v>0</v>
      </c>
      <c r="AA237" s="239">
        <v>-53935</v>
      </c>
      <c r="AB237" s="239">
        <v>-48880</v>
      </c>
      <c r="AC237" s="239">
        <v>0</v>
      </c>
      <c r="AD237" s="239">
        <v>-48880</v>
      </c>
      <c r="AE237" s="239">
        <v>2813</v>
      </c>
      <c r="AF237" s="239">
        <v>0</v>
      </c>
      <c r="AG237" s="239">
        <v>2813</v>
      </c>
      <c r="AH237" s="239">
        <v>2758256</v>
      </c>
      <c r="AI237" s="239">
        <v>0</v>
      </c>
      <c r="AJ237" s="239">
        <v>2758256</v>
      </c>
      <c r="AK237" s="239">
        <v>-94466</v>
      </c>
      <c r="AL237" s="239">
        <v>0</v>
      </c>
      <c r="AM237" s="239">
        <v>-94466</v>
      </c>
      <c r="AN237" s="239">
        <v>-4522640</v>
      </c>
      <c r="AO237" s="239">
        <v>0</v>
      </c>
      <c r="AP237" s="239">
        <v>-4522640</v>
      </c>
      <c r="AQ237" s="239">
        <v>-50427</v>
      </c>
      <c r="AR237" s="239">
        <v>0</v>
      </c>
      <c r="AS237" s="239">
        <v>-50427</v>
      </c>
      <c r="AT237" s="239">
        <v>0</v>
      </c>
      <c r="AU237" s="239">
        <v>0</v>
      </c>
      <c r="AV237" s="239">
        <v>0</v>
      </c>
      <c r="AW237" s="239">
        <v>0</v>
      </c>
      <c r="AX237" s="239">
        <v>0</v>
      </c>
      <c r="AY237" s="239">
        <v>0</v>
      </c>
      <c r="AZ237" s="239">
        <v>0</v>
      </c>
      <c r="BA237" s="239">
        <v>0</v>
      </c>
      <c r="BB237" s="239">
        <v>0</v>
      </c>
      <c r="BC237" s="239">
        <v>0</v>
      </c>
      <c r="BD237" s="239">
        <v>0</v>
      </c>
      <c r="BE237" s="239">
        <v>0</v>
      </c>
      <c r="BF237" s="239">
        <v>-4377097</v>
      </c>
      <c r="BG237" s="239">
        <v>0</v>
      </c>
      <c r="BH237" s="239">
        <v>-4377097</v>
      </c>
      <c r="BI237" s="239">
        <v>-68559</v>
      </c>
      <c r="BJ237" s="239">
        <v>0</v>
      </c>
      <c r="BK237" s="239">
        <v>-68559</v>
      </c>
      <c r="BL237" s="239">
        <v>-11068</v>
      </c>
      <c r="BM237" s="239">
        <v>0</v>
      </c>
      <c r="BN237" s="239">
        <v>-11068</v>
      </c>
      <c r="BO237" s="239">
        <v>-4528445</v>
      </c>
      <c r="BP237" s="239">
        <v>0</v>
      </c>
      <c r="BQ237" s="239">
        <v>-4528445</v>
      </c>
      <c r="BR237" s="239">
        <v>1177260</v>
      </c>
      <c r="BS237" s="239">
        <v>0</v>
      </c>
      <c r="BT237" s="239">
        <v>1177260</v>
      </c>
      <c r="BU237" s="239">
        <v>-3430812</v>
      </c>
      <c r="BV237" s="239">
        <v>0</v>
      </c>
      <c r="BW237" s="239">
        <v>-3430812</v>
      </c>
      <c r="BX237" s="239">
        <v>-121459</v>
      </c>
      <c r="BY237" s="239">
        <v>0</v>
      </c>
      <c r="BZ237" s="239">
        <v>-121459</v>
      </c>
      <c r="CA237" s="239">
        <v>0</v>
      </c>
      <c r="CB237" s="239">
        <v>0</v>
      </c>
      <c r="CC237" s="239">
        <v>0</v>
      </c>
      <c r="CD237" s="239">
        <v>-93746</v>
      </c>
      <c r="CE237" s="239">
        <v>0</v>
      </c>
      <c r="CF237" s="239">
        <v>-93746</v>
      </c>
      <c r="CG237" s="239">
        <v>3924</v>
      </c>
      <c r="CH237" s="239">
        <v>0</v>
      </c>
      <c r="CI237" s="239">
        <v>3924</v>
      </c>
      <c r="CJ237" s="239">
        <v>0</v>
      </c>
      <c r="CK237" s="239">
        <v>0</v>
      </c>
      <c r="CL237" s="239">
        <v>0</v>
      </c>
      <c r="CM237" s="239">
        <v>0</v>
      </c>
      <c r="CN237" s="239">
        <v>0</v>
      </c>
      <c r="CO237" s="239">
        <v>0</v>
      </c>
      <c r="CP237" s="239">
        <v>0</v>
      </c>
      <c r="CQ237" s="239">
        <v>0</v>
      </c>
      <c r="CR237" s="239">
        <v>0</v>
      </c>
      <c r="CS237" s="239">
        <v>0</v>
      </c>
      <c r="CT237" s="239">
        <v>0</v>
      </c>
      <c r="CU237" s="239">
        <v>0</v>
      </c>
      <c r="CV237" s="239">
        <v>0</v>
      </c>
      <c r="CW237" s="239">
        <v>0</v>
      </c>
      <c r="CX237" s="239">
        <v>0</v>
      </c>
      <c r="CY237" s="239">
        <v>0</v>
      </c>
      <c r="CZ237" s="239">
        <v>0</v>
      </c>
      <c r="DA237" s="239">
        <v>0</v>
      </c>
      <c r="DB237" s="239">
        <v>0</v>
      </c>
      <c r="DC237" s="239">
        <v>0</v>
      </c>
      <c r="DD237" s="239">
        <v>0</v>
      </c>
      <c r="DE237" s="239">
        <v>0</v>
      </c>
      <c r="DF237" s="239">
        <v>0</v>
      </c>
      <c r="DG237" s="239">
        <v>0</v>
      </c>
      <c r="DH237" s="239">
        <v>0</v>
      </c>
      <c r="DI237" s="239">
        <v>0</v>
      </c>
      <c r="DJ237" s="239">
        <v>-211281</v>
      </c>
      <c r="DK237" s="239">
        <v>0</v>
      </c>
      <c r="DL237" s="239">
        <v>-211281</v>
      </c>
      <c r="DM237" s="239">
        <v>0</v>
      </c>
      <c r="DN237" s="239">
        <v>0</v>
      </c>
      <c r="DO237" s="239">
        <v>0</v>
      </c>
      <c r="DP237" s="239">
        <v>0</v>
      </c>
      <c r="DQ237" s="239">
        <v>0</v>
      </c>
      <c r="DR237" s="239">
        <v>0</v>
      </c>
      <c r="DS237" s="239">
        <v>0</v>
      </c>
      <c r="DT237" s="239">
        <v>0</v>
      </c>
      <c r="DU237" s="239">
        <v>0</v>
      </c>
      <c r="DV237" s="239">
        <v>25113</v>
      </c>
      <c r="DW237" s="239">
        <v>0</v>
      </c>
      <c r="DX237" s="239">
        <v>25113</v>
      </c>
      <c r="DY237" s="239">
        <v>3120</v>
      </c>
      <c r="DZ237" s="239">
        <v>0</v>
      </c>
      <c r="EA237" s="239">
        <v>3120</v>
      </c>
      <c r="EB237" s="239">
        <v>0</v>
      </c>
      <c r="EC237" s="239">
        <v>0</v>
      </c>
      <c r="ED237" s="239">
        <v>0</v>
      </c>
      <c r="EE237" s="239">
        <v>0</v>
      </c>
      <c r="EF237" s="239">
        <v>0</v>
      </c>
      <c r="EG237" s="239">
        <v>0</v>
      </c>
      <c r="EH237" s="239">
        <v>770</v>
      </c>
      <c r="EI237" s="239">
        <v>0</v>
      </c>
      <c r="EJ237" s="239">
        <v>770</v>
      </c>
      <c r="EK237" s="239">
        <v>0</v>
      </c>
      <c r="EL237" s="239">
        <v>0</v>
      </c>
      <c r="EM237" s="239">
        <v>0</v>
      </c>
      <c r="EN237" s="239">
        <v>0</v>
      </c>
      <c r="EO237" s="239">
        <v>0</v>
      </c>
      <c r="EP237" s="239">
        <v>0</v>
      </c>
      <c r="EQ237" s="239">
        <v>-17618</v>
      </c>
      <c r="ER237" s="239">
        <v>0</v>
      </c>
      <c r="ES237" s="239">
        <v>-17618</v>
      </c>
      <c r="ET237" s="239">
        <v>-306203</v>
      </c>
      <c r="EU237" s="239">
        <v>0</v>
      </c>
      <c r="EV237" s="239">
        <v>-306203</v>
      </c>
      <c r="EW237" s="239">
        <v>-11279</v>
      </c>
      <c r="EX237" s="239">
        <v>0</v>
      </c>
      <c r="EY237" s="239">
        <v>-11279</v>
      </c>
      <c r="EZ237" s="239">
        <v>-306097</v>
      </c>
      <c r="FA237" s="239">
        <v>0</v>
      </c>
      <c r="FB237" s="239">
        <v>-306097</v>
      </c>
      <c r="FC237" s="239">
        <v>-7340</v>
      </c>
      <c r="FD237" s="239">
        <v>0</v>
      </c>
      <c r="FE237" s="239">
        <v>-7340</v>
      </c>
      <c r="FF237" s="239">
        <v>0</v>
      </c>
      <c r="FG237" s="239">
        <v>0</v>
      </c>
      <c r="FH237" s="239">
        <v>0</v>
      </c>
      <c r="FI237" s="239">
        <v>-7340</v>
      </c>
      <c r="FJ237" s="239">
        <v>0</v>
      </c>
      <c r="FK237" s="239">
        <v>-7340</v>
      </c>
      <c r="FL237" s="239">
        <v>110641234</v>
      </c>
      <c r="FM237" s="239">
        <v>0</v>
      </c>
      <c r="FN237" s="239">
        <v>110641234</v>
      </c>
      <c r="FO237" s="239">
        <v>1576123</v>
      </c>
      <c r="FP237" s="239">
        <v>0</v>
      </c>
      <c r="FQ237" s="239">
        <v>1576123</v>
      </c>
      <c r="FR237" s="239">
        <v>-4377097</v>
      </c>
      <c r="FS237" s="239">
        <v>0</v>
      </c>
      <c r="FT237" s="239">
        <v>-4377097</v>
      </c>
      <c r="FU237" s="239">
        <v>-3430812</v>
      </c>
      <c r="FV237" s="239">
        <v>0</v>
      </c>
      <c r="FW237" s="239">
        <v>-3430812</v>
      </c>
      <c r="FX237" s="239">
        <v>-211281</v>
      </c>
      <c r="FY237" s="239">
        <v>0</v>
      </c>
      <c r="FZ237" s="239">
        <v>-211281</v>
      </c>
      <c r="GA237" s="239">
        <v>-306097</v>
      </c>
      <c r="GB237" s="239">
        <v>0</v>
      </c>
      <c r="GC237" s="239">
        <v>-306097</v>
      </c>
      <c r="GD237" s="239">
        <v>-7340</v>
      </c>
      <c r="GE237" s="239">
        <v>0</v>
      </c>
      <c r="GF237" s="239">
        <v>-7340</v>
      </c>
      <c r="GG237" s="239">
        <v>-6756504</v>
      </c>
      <c r="GH237" s="239">
        <v>0</v>
      </c>
      <c r="GI237" s="239">
        <v>-6756504</v>
      </c>
      <c r="GJ237" s="239">
        <v>103884730</v>
      </c>
      <c r="GK237" s="239">
        <v>0</v>
      </c>
      <c r="GL237" s="239">
        <v>103884730</v>
      </c>
      <c r="GM237" s="214" t="s">
        <v>746</v>
      </c>
    </row>
    <row r="238" spans="1:195" s="214" customFormat="1" x14ac:dyDescent="0.2">
      <c r="B238" s="602" t="s">
        <v>559</v>
      </c>
      <c r="C238" s="602" t="s">
        <v>558</v>
      </c>
      <c r="D238" s="239">
        <v>-2326086</v>
      </c>
      <c r="E238" s="239">
        <v>0</v>
      </c>
      <c r="F238" s="239">
        <v>-2326086</v>
      </c>
      <c r="G238" s="239">
        <v>78237</v>
      </c>
      <c r="H238" s="239">
        <v>0</v>
      </c>
      <c r="I238" s="239">
        <v>78237</v>
      </c>
      <c r="J238" s="239">
        <v>8440828</v>
      </c>
      <c r="K238" s="239">
        <v>0</v>
      </c>
      <c r="L238" s="239">
        <v>8440828</v>
      </c>
      <c r="M238" s="239">
        <v>308474</v>
      </c>
      <c r="N238" s="239">
        <v>0</v>
      </c>
      <c r="O238" s="239">
        <v>308474</v>
      </c>
      <c r="P238" s="239">
        <v>6501453</v>
      </c>
      <c r="Q238" s="239">
        <v>0</v>
      </c>
      <c r="R238" s="239">
        <v>6501453</v>
      </c>
      <c r="S238" s="239">
        <v>-3745384</v>
      </c>
      <c r="T238" s="239">
        <v>0</v>
      </c>
      <c r="U238" s="239">
        <v>-3745384</v>
      </c>
      <c r="V238" s="239">
        <v>-21574</v>
      </c>
      <c r="W238" s="239">
        <v>0</v>
      </c>
      <c r="X238" s="239">
        <v>-21574</v>
      </c>
      <c r="Y238" s="239">
        <v>-184319</v>
      </c>
      <c r="Z238" s="239">
        <v>0</v>
      </c>
      <c r="AA238" s="239">
        <v>-184319</v>
      </c>
      <c r="AB238" s="239">
        <v>-163146</v>
      </c>
      <c r="AC238" s="239">
        <v>0</v>
      </c>
      <c r="AD238" s="239">
        <v>-163146</v>
      </c>
      <c r="AE238" s="239">
        <v>-3821</v>
      </c>
      <c r="AF238" s="239">
        <v>0</v>
      </c>
      <c r="AG238" s="239">
        <v>-3821</v>
      </c>
      <c r="AH238" s="239">
        <v>2854735</v>
      </c>
      <c r="AI238" s="239">
        <v>0</v>
      </c>
      <c r="AJ238" s="239">
        <v>2854735</v>
      </c>
      <c r="AK238" s="239">
        <v>1813788</v>
      </c>
      <c r="AL238" s="239">
        <v>0</v>
      </c>
      <c r="AM238" s="239">
        <v>1813788</v>
      </c>
      <c r="AN238" s="239">
        <v>-5460677</v>
      </c>
      <c r="AO238" s="239">
        <v>0</v>
      </c>
      <c r="AP238" s="239">
        <v>-5460677</v>
      </c>
      <c r="AQ238" s="239">
        <v>-28905</v>
      </c>
      <c r="AR238" s="239">
        <v>0</v>
      </c>
      <c r="AS238" s="239">
        <v>-28905</v>
      </c>
      <c r="AT238" s="239">
        <v>-89018</v>
      </c>
      <c r="AU238" s="239">
        <v>0</v>
      </c>
      <c r="AV238" s="239">
        <v>-89018</v>
      </c>
      <c r="AW238" s="239">
        <v>62756</v>
      </c>
      <c r="AX238" s="239">
        <v>0</v>
      </c>
      <c r="AY238" s="239">
        <v>62756</v>
      </c>
      <c r="AZ238" s="239">
        <v>-1074</v>
      </c>
      <c r="BA238" s="239">
        <v>0</v>
      </c>
      <c r="BB238" s="239">
        <v>-1074</v>
      </c>
      <c r="BC238" s="239">
        <v>0</v>
      </c>
      <c r="BD238" s="239">
        <v>0</v>
      </c>
      <c r="BE238" s="239">
        <v>0</v>
      </c>
      <c r="BF238" s="239">
        <v>-4778098</v>
      </c>
      <c r="BG238" s="239">
        <v>0</v>
      </c>
      <c r="BH238" s="239">
        <v>-4778098</v>
      </c>
      <c r="BI238" s="239">
        <v>-85281</v>
      </c>
      <c r="BJ238" s="239">
        <v>0</v>
      </c>
      <c r="BK238" s="239">
        <v>-85281</v>
      </c>
      <c r="BL238" s="239">
        <v>-25899</v>
      </c>
      <c r="BM238" s="239">
        <v>0</v>
      </c>
      <c r="BN238" s="239">
        <v>-25899</v>
      </c>
      <c r="BO238" s="239">
        <v>-3031946</v>
      </c>
      <c r="BP238" s="239">
        <v>0</v>
      </c>
      <c r="BQ238" s="239">
        <v>-3031946</v>
      </c>
      <c r="BR238" s="239">
        <v>414622</v>
      </c>
      <c r="BS238" s="239">
        <v>0</v>
      </c>
      <c r="BT238" s="239">
        <v>414622</v>
      </c>
      <c r="BU238" s="239">
        <v>-2728504</v>
      </c>
      <c r="BV238" s="239">
        <v>0</v>
      </c>
      <c r="BW238" s="239">
        <v>-2728504</v>
      </c>
      <c r="BX238" s="239">
        <v>-25329</v>
      </c>
      <c r="BY238" s="239">
        <v>0</v>
      </c>
      <c r="BZ238" s="239">
        <v>-25329</v>
      </c>
      <c r="CA238" s="239">
        <v>10087</v>
      </c>
      <c r="CB238" s="239">
        <v>0</v>
      </c>
      <c r="CC238" s="239">
        <v>10087</v>
      </c>
      <c r="CD238" s="239">
        <v>-6244</v>
      </c>
      <c r="CE238" s="239">
        <v>0</v>
      </c>
      <c r="CF238" s="239">
        <v>-6244</v>
      </c>
      <c r="CG238" s="239">
        <v>0</v>
      </c>
      <c r="CH238" s="239">
        <v>0</v>
      </c>
      <c r="CI238" s="239">
        <v>0</v>
      </c>
      <c r="CJ238" s="239">
        <v>0</v>
      </c>
      <c r="CK238" s="239">
        <v>0</v>
      </c>
      <c r="CL238" s="239">
        <v>0</v>
      </c>
      <c r="CM238" s="239">
        <v>0</v>
      </c>
      <c r="CN238" s="239">
        <v>0</v>
      </c>
      <c r="CO238" s="239">
        <v>0</v>
      </c>
      <c r="CP238" s="239">
        <v>0</v>
      </c>
      <c r="CQ238" s="239">
        <v>0</v>
      </c>
      <c r="CR238" s="239">
        <v>0</v>
      </c>
      <c r="CS238" s="239">
        <v>0</v>
      </c>
      <c r="CT238" s="239">
        <v>0</v>
      </c>
      <c r="CU238" s="239">
        <v>0</v>
      </c>
      <c r="CV238" s="239">
        <v>0</v>
      </c>
      <c r="CW238" s="239">
        <v>0</v>
      </c>
      <c r="CX238" s="239">
        <v>0</v>
      </c>
      <c r="CY238" s="239">
        <v>0</v>
      </c>
      <c r="CZ238" s="239">
        <v>0</v>
      </c>
      <c r="DA238" s="239">
        <v>0</v>
      </c>
      <c r="DB238" s="239">
        <v>0</v>
      </c>
      <c r="DC238" s="239">
        <v>0</v>
      </c>
      <c r="DD238" s="239">
        <v>0</v>
      </c>
      <c r="DE238" s="239">
        <v>0</v>
      </c>
      <c r="DF238" s="239">
        <v>0</v>
      </c>
      <c r="DG238" s="239">
        <v>0</v>
      </c>
      <c r="DH238" s="239">
        <v>0</v>
      </c>
      <c r="DI238" s="239">
        <v>0</v>
      </c>
      <c r="DJ238" s="239">
        <v>-21486</v>
      </c>
      <c r="DK238" s="239">
        <v>0</v>
      </c>
      <c r="DL238" s="239">
        <v>-21486</v>
      </c>
      <c r="DM238" s="239">
        <v>-353</v>
      </c>
      <c r="DN238" s="239">
        <v>0</v>
      </c>
      <c r="DO238" s="239">
        <v>-353</v>
      </c>
      <c r="DP238" s="239">
        <v>61189</v>
      </c>
      <c r="DQ238" s="239">
        <v>0</v>
      </c>
      <c r="DR238" s="239">
        <v>61189</v>
      </c>
      <c r="DS238" s="239">
        <v>-7234</v>
      </c>
      <c r="DT238" s="239">
        <v>0</v>
      </c>
      <c r="DU238" s="239">
        <v>-7234</v>
      </c>
      <c r="DV238" s="239">
        <v>-6497</v>
      </c>
      <c r="DW238" s="239">
        <v>0</v>
      </c>
      <c r="DX238" s="239">
        <v>-6497</v>
      </c>
      <c r="DY238" s="239">
        <v>8974</v>
      </c>
      <c r="DZ238" s="239">
        <v>0</v>
      </c>
      <c r="EA238" s="239">
        <v>8974</v>
      </c>
      <c r="EB238" s="239">
        <v>0</v>
      </c>
      <c r="EC238" s="239">
        <v>0</v>
      </c>
      <c r="ED238" s="239">
        <v>0</v>
      </c>
      <c r="EE238" s="239">
        <v>0</v>
      </c>
      <c r="EF238" s="239">
        <v>0</v>
      </c>
      <c r="EG238" s="239">
        <v>0</v>
      </c>
      <c r="EH238" s="239">
        <v>0</v>
      </c>
      <c r="EI238" s="239">
        <v>0</v>
      </c>
      <c r="EJ238" s="239">
        <v>0</v>
      </c>
      <c r="EK238" s="239">
        <v>-1074</v>
      </c>
      <c r="EL238" s="239">
        <v>0</v>
      </c>
      <c r="EM238" s="239">
        <v>-1074</v>
      </c>
      <c r="EN238" s="239">
        <v>0</v>
      </c>
      <c r="EO238" s="239">
        <v>0</v>
      </c>
      <c r="EP238" s="239">
        <v>0</v>
      </c>
      <c r="EQ238" s="239">
        <v>-22383</v>
      </c>
      <c r="ER238" s="239">
        <v>0</v>
      </c>
      <c r="ES238" s="239">
        <v>-22383</v>
      </c>
      <c r="ET238" s="239">
        <v>-227583</v>
      </c>
      <c r="EU238" s="239">
        <v>0</v>
      </c>
      <c r="EV238" s="239">
        <v>-227583</v>
      </c>
      <c r="EW238" s="239">
        <v>-22192</v>
      </c>
      <c r="EX238" s="239">
        <v>0</v>
      </c>
      <c r="EY238" s="239">
        <v>-22192</v>
      </c>
      <c r="EZ238" s="239">
        <v>-217153</v>
      </c>
      <c r="FA238" s="239">
        <v>0</v>
      </c>
      <c r="FB238" s="239">
        <v>-217153</v>
      </c>
      <c r="FC238" s="239">
        <v>0</v>
      </c>
      <c r="FD238" s="239">
        <v>0</v>
      </c>
      <c r="FE238" s="239">
        <v>0</v>
      </c>
      <c r="FF238" s="239">
        <v>0</v>
      </c>
      <c r="FG238" s="239">
        <v>0</v>
      </c>
      <c r="FH238" s="239">
        <v>0</v>
      </c>
      <c r="FI238" s="239">
        <v>0</v>
      </c>
      <c r="FJ238" s="239">
        <v>0</v>
      </c>
      <c r="FK238" s="239">
        <v>0</v>
      </c>
      <c r="FL238" s="239">
        <v>116665960</v>
      </c>
      <c r="FM238" s="239">
        <v>0</v>
      </c>
      <c r="FN238" s="239">
        <v>116665960</v>
      </c>
      <c r="FO238" s="239">
        <v>6501453</v>
      </c>
      <c r="FP238" s="239">
        <v>0</v>
      </c>
      <c r="FQ238" s="239">
        <v>6501453</v>
      </c>
      <c r="FR238" s="239">
        <v>-4778098</v>
      </c>
      <c r="FS238" s="239">
        <v>0</v>
      </c>
      <c r="FT238" s="239">
        <v>-4778098</v>
      </c>
      <c r="FU238" s="239">
        <v>-2728504</v>
      </c>
      <c r="FV238" s="239">
        <v>0</v>
      </c>
      <c r="FW238" s="239">
        <v>-2728504</v>
      </c>
      <c r="FX238" s="239">
        <v>-21486</v>
      </c>
      <c r="FY238" s="239">
        <v>0</v>
      </c>
      <c r="FZ238" s="239">
        <v>-21486</v>
      </c>
      <c r="GA238" s="239">
        <v>-217153</v>
      </c>
      <c r="GB238" s="239">
        <v>0</v>
      </c>
      <c r="GC238" s="239">
        <v>-217153</v>
      </c>
      <c r="GD238" s="239">
        <v>0</v>
      </c>
      <c r="GE238" s="239">
        <v>0</v>
      </c>
      <c r="GF238" s="239">
        <v>0</v>
      </c>
      <c r="GG238" s="239">
        <v>-1243788</v>
      </c>
      <c r="GH238" s="239">
        <v>0</v>
      </c>
      <c r="GI238" s="239">
        <v>-1243788</v>
      </c>
      <c r="GJ238" s="239">
        <v>115422172</v>
      </c>
      <c r="GK238" s="239">
        <v>0</v>
      </c>
      <c r="GL238" s="239">
        <v>115422172</v>
      </c>
      <c r="GM238" s="214" t="s">
        <v>1160</v>
      </c>
    </row>
    <row r="239" spans="1:195" s="214" customFormat="1" x14ac:dyDescent="0.2">
      <c r="B239" s="602" t="s">
        <v>561</v>
      </c>
      <c r="C239" s="602" t="s">
        <v>560</v>
      </c>
      <c r="D239" s="239">
        <v>-1393862</v>
      </c>
      <c r="E239" s="239">
        <v>0</v>
      </c>
      <c r="F239" s="239">
        <v>-1393862</v>
      </c>
      <c r="G239" s="239">
        <v>18956</v>
      </c>
      <c r="H239" s="239">
        <v>0</v>
      </c>
      <c r="I239" s="239">
        <v>18956</v>
      </c>
      <c r="J239" s="239">
        <v>1284551</v>
      </c>
      <c r="K239" s="239">
        <v>0</v>
      </c>
      <c r="L239" s="239">
        <v>1284551</v>
      </c>
      <c r="M239" s="239">
        <v>283</v>
      </c>
      <c r="N239" s="239">
        <v>0</v>
      </c>
      <c r="O239" s="239">
        <v>283</v>
      </c>
      <c r="P239" s="239">
        <v>-90072</v>
      </c>
      <c r="Q239" s="239">
        <v>0</v>
      </c>
      <c r="R239" s="239">
        <v>-90072</v>
      </c>
      <c r="S239" s="239">
        <v>-1554840</v>
      </c>
      <c r="T239" s="239">
        <v>0</v>
      </c>
      <c r="U239" s="239">
        <v>-1554840</v>
      </c>
      <c r="V239" s="239">
        <v>-1451</v>
      </c>
      <c r="W239" s="239">
        <v>0</v>
      </c>
      <c r="X239" s="239">
        <v>-1451</v>
      </c>
      <c r="Y239" s="239">
        <v>-64459</v>
      </c>
      <c r="Z239" s="239">
        <v>0</v>
      </c>
      <c r="AA239" s="239">
        <v>-64459</v>
      </c>
      <c r="AB239" s="239">
        <v>-64459</v>
      </c>
      <c r="AC239" s="239">
        <v>0</v>
      </c>
      <c r="AD239" s="239">
        <v>-64459</v>
      </c>
      <c r="AE239" s="239">
        <v>0</v>
      </c>
      <c r="AF239" s="239">
        <v>0</v>
      </c>
      <c r="AG239" s="239">
        <v>0</v>
      </c>
      <c r="AH239" s="239">
        <v>795733</v>
      </c>
      <c r="AI239" s="239">
        <v>0</v>
      </c>
      <c r="AJ239" s="239">
        <v>795733</v>
      </c>
      <c r="AK239" s="239">
        <v>-7042</v>
      </c>
      <c r="AL239" s="239">
        <v>0</v>
      </c>
      <c r="AM239" s="239">
        <v>-7042</v>
      </c>
      <c r="AN239" s="239">
        <v>-2055305</v>
      </c>
      <c r="AO239" s="239">
        <v>0</v>
      </c>
      <c r="AP239" s="239">
        <v>-2055305</v>
      </c>
      <c r="AQ239" s="239">
        <v>-117836</v>
      </c>
      <c r="AR239" s="239">
        <v>0</v>
      </c>
      <c r="AS239" s="239">
        <v>-117836</v>
      </c>
      <c r="AT239" s="239">
        <v>-67385</v>
      </c>
      <c r="AU239" s="239">
        <v>0</v>
      </c>
      <c r="AV239" s="239">
        <v>-67385</v>
      </c>
      <c r="AW239" s="239">
        <v>0</v>
      </c>
      <c r="AX239" s="239">
        <v>0</v>
      </c>
      <c r="AY239" s="239">
        <v>0</v>
      </c>
      <c r="AZ239" s="239">
        <v>-1198</v>
      </c>
      <c r="BA239" s="239">
        <v>0</v>
      </c>
      <c r="BB239" s="239">
        <v>-1198</v>
      </c>
      <c r="BC239" s="239">
        <v>0</v>
      </c>
      <c r="BD239" s="239">
        <v>0</v>
      </c>
      <c r="BE239" s="239">
        <v>0</v>
      </c>
      <c r="BF239" s="239">
        <v>-3072332</v>
      </c>
      <c r="BG239" s="239">
        <v>0</v>
      </c>
      <c r="BH239" s="239">
        <v>-3072332</v>
      </c>
      <c r="BI239" s="239">
        <v>-29058</v>
      </c>
      <c r="BJ239" s="239">
        <v>0</v>
      </c>
      <c r="BK239" s="239">
        <v>-29058</v>
      </c>
      <c r="BL239" s="239">
        <v>-2338</v>
      </c>
      <c r="BM239" s="239">
        <v>0</v>
      </c>
      <c r="BN239" s="239">
        <v>-2338</v>
      </c>
      <c r="BO239" s="239">
        <v>-1682033</v>
      </c>
      <c r="BP239" s="239">
        <v>0</v>
      </c>
      <c r="BQ239" s="239">
        <v>-1682033</v>
      </c>
      <c r="BR239" s="239">
        <v>170282</v>
      </c>
      <c r="BS239" s="239">
        <v>0</v>
      </c>
      <c r="BT239" s="239">
        <v>170282</v>
      </c>
      <c r="BU239" s="239">
        <v>-1543147</v>
      </c>
      <c r="BV239" s="239">
        <v>0</v>
      </c>
      <c r="BW239" s="239">
        <v>-1543147</v>
      </c>
      <c r="BX239" s="239">
        <v>-32969</v>
      </c>
      <c r="BY239" s="239">
        <v>0</v>
      </c>
      <c r="BZ239" s="239">
        <v>-32969</v>
      </c>
      <c r="CA239" s="239">
        <v>-12705</v>
      </c>
      <c r="CB239" s="239">
        <v>0</v>
      </c>
      <c r="CC239" s="239">
        <v>-12705</v>
      </c>
      <c r="CD239" s="239">
        <v>-24094</v>
      </c>
      <c r="CE239" s="239">
        <v>0</v>
      </c>
      <c r="CF239" s="239">
        <v>-24094</v>
      </c>
      <c r="CG239" s="239">
        <v>0</v>
      </c>
      <c r="CH239" s="239">
        <v>0</v>
      </c>
      <c r="CI239" s="239">
        <v>0</v>
      </c>
      <c r="CJ239" s="239">
        <v>-1806</v>
      </c>
      <c r="CK239" s="239">
        <v>0</v>
      </c>
      <c r="CL239" s="239">
        <v>-1806</v>
      </c>
      <c r="CM239" s="239">
        <v>0</v>
      </c>
      <c r="CN239" s="239">
        <v>0</v>
      </c>
      <c r="CO239" s="239">
        <v>0</v>
      </c>
      <c r="CP239" s="239">
        <v>0</v>
      </c>
      <c r="CQ239" s="239">
        <v>0</v>
      </c>
      <c r="CR239" s="239">
        <v>0</v>
      </c>
      <c r="CS239" s="239">
        <v>0</v>
      </c>
      <c r="CT239" s="239">
        <v>0</v>
      </c>
      <c r="CU239" s="239">
        <v>0</v>
      </c>
      <c r="CV239" s="239">
        <v>0</v>
      </c>
      <c r="CW239" s="239">
        <v>0</v>
      </c>
      <c r="CX239" s="239">
        <v>0</v>
      </c>
      <c r="CY239" s="239">
        <v>0</v>
      </c>
      <c r="CZ239" s="239">
        <v>0</v>
      </c>
      <c r="DA239" s="239">
        <v>0</v>
      </c>
      <c r="DB239" s="239">
        <v>0</v>
      </c>
      <c r="DC239" s="239">
        <v>0</v>
      </c>
      <c r="DD239" s="239">
        <v>0</v>
      </c>
      <c r="DE239" s="239">
        <v>0</v>
      </c>
      <c r="DF239" s="239">
        <v>0</v>
      </c>
      <c r="DG239" s="239">
        <v>0</v>
      </c>
      <c r="DH239" s="239">
        <v>0</v>
      </c>
      <c r="DI239" s="239">
        <v>0</v>
      </c>
      <c r="DJ239" s="239">
        <v>-71574</v>
      </c>
      <c r="DK239" s="239">
        <v>0</v>
      </c>
      <c r="DL239" s="239">
        <v>-71574</v>
      </c>
      <c r="DM239" s="239">
        <v>0</v>
      </c>
      <c r="DN239" s="239">
        <v>0</v>
      </c>
      <c r="DO239" s="239">
        <v>0</v>
      </c>
      <c r="DP239" s="239">
        <v>0</v>
      </c>
      <c r="DQ239" s="239">
        <v>0</v>
      </c>
      <c r="DR239" s="239">
        <v>0</v>
      </c>
      <c r="DS239" s="239">
        <v>0</v>
      </c>
      <c r="DT239" s="239">
        <v>0</v>
      </c>
      <c r="DU239" s="239">
        <v>0</v>
      </c>
      <c r="DV239" s="239">
        <v>0</v>
      </c>
      <c r="DW239" s="239">
        <v>0</v>
      </c>
      <c r="DX239" s="239">
        <v>0</v>
      </c>
      <c r="DY239" s="239">
        <v>0</v>
      </c>
      <c r="DZ239" s="239">
        <v>0</v>
      </c>
      <c r="EA239" s="239">
        <v>0</v>
      </c>
      <c r="EB239" s="239">
        <v>0</v>
      </c>
      <c r="EC239" s="239">
        <v>0</v>
      </c>
      <c r="ED239" s="239">
        <v>0</v>
      </c>
      <c r="EE239" s="239">
        <v>0</v>
      </c>
      <c r="EF239" s="239">
        <v>0</v>
      </c>
      <c r="EG239" s="239">
        <v>0</v>
      </c>
      <c r="EH239" s="239">
        <v>0</v>
      </c>
      <c r="EI239" s="239">
        <v>0</v>
      </c>
      <c r="EJ239" s="239">
        <v>0</v>
      </c>
      <c r="EK239" s="239">
        <v>0</v>
      </c>
      <c r="EL239" s="239">
        <v>0</v>
      </c>
      <c r="EM239" s="239">
        <v>0</v>
      </c>
      <c r="EN239" s="239">
        <v>0</v>
      </c>
      <c r="EO239" s="239">
        <v>0</v>
      </c>
      <c r="EP239" s="239">
        <v>0</v>
      </c>
      <c r="EQ239" s="239">
        <v>-7561</v>
      </c>
      <c r="ER239" s="239">
        <v>0</v>
      </c>
      <c r="ES239" s="239">
        <v>-7561</v>
      </c>
      <c r="ET239" s="239">
        <v>-132691</v>
      </c>
      <c r="EU239" s="239">
        <v>0</v>
      </c>
      <c r="EV239" s="239">
        <v>-132691</v>
      </c>
      <c r="EW239" s="239">
        <v>-29285</v>
      </c>
      <c r="EX239" s="239">
        <v>0</v>
      </c>
      <c r="EY239" s="239">
        <v>-29285</v>
      </c>
      <c r="EZ239" s="239">
        <v>-169537</v>
      </c>
      <c r="FA239" s="239">
        <v>0</v>
      </c>
      <c r="FB239" s="239">
        <v>-169537</v>
      </c>
      <c r="FC239" s="239">
        <v>0</v>
      </c>
      <c r="FD239" s="239">
        <v>0</v>
      </c>
      <c r="FE239" s="239">
        <v>0</v>
      </c>
      <c r="FF239" s="239">
        <v>0</v>
      </c>
      <c r="FG239" s="239">
        <v>0</v>
      </c>
      <c r="FH239" s="239">
        <v>0</v>
      </c>
      <c r="FI239" s="239">
        <v>0</v>
      </c>
      <c r="FJ239" s="239">
        <v>0</v>
      </c>
      <c r="FK239" s="239">
        <v>0</v>
      </c>
      <c r="FL239" s="239">
        <v>37681428</v>
      </c>
      <c r="FM239" s="239">
        <v>0</v>
      </c>
      <c r="FN239" s="239">
        <v>37681428</v>
      </c>
      <c r="FO239" s="239">
        <v>-90072</v>
      </c>
      <c r="FP239" s="239">
        <v>0</v>
      </c>
      <c r="FQ239" s="239">
        <v>-90072</v>
      </c>
      <c r="FR239" s="239">
        <v>-3072332</v>
      </c>
      <c r="FS239" s="239">
        <v>0</v>
      </c>
      <c r="FT239" s="239">
        <v>-3072332</v>
      </c>
      <c r="FU239" s="239">
        <v>-1543147</v>
      </c>
      <c r="FV239" s="239">
        <v>0</v>
      </c>
      <c r="FW239" s="239">
        <v>-1543147</v>
      </c>
      <c r="FX239" s="239">
        <v>-71574</v>
      </c>
      <c r="FY239" s="239">
        <v>0</v>
      </c>
      <c r="FZ239" s="239">
        <v>-71574</v>
      </c>
      <c r="GA239" s="239">
        <v>-169537</v>
      </c>
      <c r="GB239" s="239">
        <v>0</v>
      </c>
      <c r="GC239" s="239">
        <v>-169537</v>
      </c>
      <c r="GD239" s="239">
        <v>0</v>
      </c>
      <c r="GE239" s="239">
        <v>0</v>
      </c>
      <c r="GF239" s="239">
        <v>0</v>
      </c>
      <c r="GG239" s="239">
        <v>-4946662</v>
      </c>
      <c r="GH239" s="239">
        <v>0</v>
      </c>
      <c r="GI239" s="239">
        <v>-4946662</v>
      </c>
      <c r="GJ239" s="239">
        <v>32734766</v>
      </c>
      <c r="GK239" s="239">
        <v>0</v>
      </c>
      <c r="GL239" s="239">
        <v>32734766</v>
      </c>
      <c r="GM239" s="214" t="s">
        <v>1158</v>
      </c>
    </row>
    <row r="240" spans="1:195" s="214" customFormat="1" x14ac:dyDescent="0.2">
      <c r="A240" s="215" t="s">
        <v>1667</v>
      </c>
      <c r="B240" s="602" t="s">
        <v>563</v>
      </c>
      <c r="C240" s="602" t="s">
        <v>562</v>
      </c>
      <c r="D240" s="239">
        <v>-2370061</v>
      </c>
      <c r="E240" s="239">
        <v>0</v>
      </c>
      <c r="F240" s="239">
        <v>-2370061</v>
      </c>
      <c r="G240" s="239">
        <v>949</v>
      </c>
      <c r="H240" s="239">
        <v>0</v>
      </c>
      <c r="I240" s="239">
        <v>949</v>
      </c>
      <c r="J240" s="239">
        <v>2470197</v>
      </c>
      <c r="K240" s="239">
        <v>0</v>
      </c>
      <c r="L240" s="239">
        <v>2470197</v>
      </c>
      <c r="M240" s="239">
        <v>222188</v>
      </c>
      <c r="N240" s="239">
        <v>0</v>
      </c>
      <c r="O240" s="239">
        <v>222188</v>
      </c>
      <c r="P240" s="239">
        <v>323273</v>
      </c>
      <c r="Q240" s="239">
        <v>0</v>
      </c>
      <c r="R240" s="239">
        <v>323273</v>
      </c>
      <c r="S240" s="239">
        <v>-4275408</v>
      </c>
      <c r="T240" s="239">
        <v>0</v>
      </c>
      <c r="U240" s="239">
        <v>-4275408</v>
      </c>
      <c r="V240" s="239">
        <v>-4624</v>
      </c>
      <c r="W240" s="239">
        <v>0</v>
      </c>
      <c r="X240" s="239">
        <v>-4624</v>
      </c>
      <c r="Y240" s="239">
        <v>-133160</v>
      </c>
      <c r="Z240" s="239">
        <v>0</v>
      </c>
      <c r="AA240" s="239">
        <v>-133160</v>
      </c>
      <c r="AB240" s="239">
        <v>-115627</v>
      </c>
      <c r="AC240" s="239">
        <v>0</v>
      </c>
      <c r="AD240" s="239">
        <v>-115627</v>
      </c>
      <c r="AE240" s="239">
        <v>102</v>
      </c>
      <c r="AF240" s="239">
        <v>0</v>
      </c>
      <c r="AG240" s="239">
        <v>102</v>
      </c>
      <c r="AH240" s="239">
        <v>2124179</v>
      </c>
      <c r="AI240" s="239">
        <v>17804</v>
      </c>
      <c r="AJ240" s="239">
        <v>2141983</v>
      </c>
      <c r="AK240" s="239">
        <v>-46683</v>
      </c>
      <c r="AL240" s="239">
        <v>-204</v>
      </c>
      <c r="AM240" s="239">
        <v>-46887</v>
      </c>
      <c r="AN240" s="239">
        <v>-10610072</v>
      </c>
      <c r="AO240" s="239">
        <v>0</v>
      </c>
      <c r="AP240" s="239">
        <v>-10610072</v>
      </c>
      <c r="AQ240" s="239">
        <v>-106261</v>
      </c>
      <c r="AR240" s="239">
        <v>0</v>
      </c>
      <c r="AS240" s="239">
        <v>-106261</v>
      </c>
      <c r="AT240" s="239">
        <v>-27606</v>
      </c>
      <c r="AU240" s="239">
        <v>0</v>
      </c>
      <c r="AV240" s="239">
        <v>-27606</v>
      </c>
      <c r="AW240" s="239">
        <v>0</v>
      </c>
      <c r="AX240" s="239">
        <v>0</v>
      </c>
      <c r="AY240" s="239">
        <v>0</v>
      </c>
      <c r="AZ240" s="239">
        <v>-55470</v>
      </c>
      <c r="BA240" s="239">
        <v>0</v>
      </c>
      <c r="BB240" s="239">
        <v>-55470</v>
      </c>
      <c r="BC240" s="239">
        <v>-1014</v>
      </c>
      <c r="BD240" s="239">
        <v>0</v>
      </c>
      <c r="BE240" s="239">
        <v>-1014</v>
      </c>
      <c r="BF240" s="239">
        <v>-13131495</v>
      </c>
      <c r="BG240" s="239">
        <v>17600</v>
      </c>
      <c r="BH240" s="239">
        <v>-13113895</v>
      </c>
      <c r="BI240" s="239">
        <v>0</v>
      </c>
      <c r="BJ240" s="239">
        <v>0</v>
      </c>
      <c r="BK240" s="239">
        <v>0</v>
      </c>
      <c r="BL240" s="239">
        <v>0</v>
      </c>
      <c r="BM240" s="239">
        <v>0</v>
      </c>
      <c r="BN240" s="239">
        <v>0</v>
      </c>
      <c r="BO240" s="239">
        <v>-1974891</v>
      </c>
      <c r="BP240" s="239">
        <v>0</v>
      </c>
      <c r="BQ240" s="239">
        <v>-1974891</v>
      </c>
      <c r="BR240" s="239">
        <v>-44616</v>
      </c>
      <c r="BS240" s="239">
        <v>0</v>
      </c>
      <c r="BT240" s="239">
        <v>-44616</v>
      </c>
      <c r="BU240" s="239">
        <v>-2019507</v>
      </c>
      <c r="BV240" s="239">
        <v>0</v>
      </c>
      <c r="BW240" s="239">
        <v>-2019507</v>
      </c>
      <c r="BX240" s="239">
        <v>-120412</v>
      </c>
      <c r="BY240" s="239">
        <v>0</v>
      </c>
      <c r="BZ240" s="239">
        <v>-120412</v>
      </c>
      <c r="CA240" s="239">
        <v>-7098</v>
      </c>
      <c r="CB240" s="239">
        <v>0</v>
      </c>
      <c r="CC240" s="239">
        <v>-7098</v>
      </c>
      <c r="CD240" s="239">
        <v>-40723</v>
      </c>
      <c r="CE240" s="239">
        <v>0</v>
      </c>
      <c r="CF240" s="239">
        <v>-40723</v>
      </c>
      <c r="CG240" s="239">
        <v>0</v>
      </c>
      <c r="CH240" s="239">
        <v>0</v>
      </c>
      <c r="CI240" s="239">
        <v>0</v>
      </c>
      <c r="CJ240" s="239">
        <v>0</v>
      </c>
      <c r="CK240" s="239">
        <v>0</v>
      </c>
      <c r="CL240" s="239">
        <v>0</v>
      </c>
      <c r="CM240" s="239">
        <v>0</v>
      </c>
      <c r="CN240" s="239">
        <v>0</v>
      </c>
      <c r="CO240" s="239">
        <v>0</v>
      </c>
      <c r="CP240" s="239">
        <v>0</v>
      </c>
      <c r="CQ240" s="239">
        <v>0</v>
      </c>
      <c r="CR240" s="239">
        <v>0</v>
      </c>
      <c r="CS240" s="239">
        <v>-1014</v>
      </c>
      <c r="CT240" s="239">
        <v>0</v>
      </c>
      <c r="CU240" s="239">
        <v>-1014</v>
      </c>
      <c r="CV240" s="239">
        <v>-55189</v>
      </c>
      <c r="CW240" s="239">
        <v>0</v>
      </c>
      <c r="CX240" s="239">
        <v>-55189</v>
      </c>
      <c r="CY240" s="239">
        <v>0</v>
      </c>
      <c r="CZ240" s="239">
        <v>0</v>
      </c>
      <c r="DA240" s="239">
        <v>0</v>
      </c>
      <c r="DB240" s="239">
        <v>0</v>
      </c>
      <c r="DC240" s="239">
        <v>0</v>
      </c>
      <c r="DD240" s="239">
        <v>0</v>
      </c>
      <c r="DE240" s="239">
        <v>0</v>
      </c>
      <c r="DF240" s="239">
        <v>0</v>
      </c>
      <c r="DG240" s="239">
        <v>0</v>
      </c>
      <c r="DH240" s="239">
        <v>0</v>
      </c>
      <c r="DI240" s="239">
        <v>0</v>
      </c>
      <c r="DJ240" s="239">
        <v>-224436</v>
      </c>
      <c r="DK240" s="239">
        <v>0</v>
      </c>
      <c r="DL240" s="239">
        <v>-224436</v>
      </c>
      <c r="DM240" s="239">
        <v>-78062</v>
      </c>
      <c r="DN240" s="239">
        <v>-49134</v>
      </c>
      <c r="DO240" s="239">
        <v>-127196</v>
      </c>
      <c r="DP240" s="239">
        <v>5556</v>
      </c>
      <c r="DQ240" s="239">
        <v>-38235</v>
      </c>
      <c r="DR240" s="239">
        <v>-32679</v>
      </c>
      <c r="DS240" s="239">
        <v>0</v>
      </c>
      <c r="DT240" s="239">
        <v>0</v>
      </c>
      <c r="DU240" s="239">
        <v>0</v>
      </c>
      <c r="DV240" s="239">
        <v>0</v>
      </c>
      <c r="DW240" s="239">
        <v>0</v>
      </c>
      <c r="DX240" s="239">
        <v>0</v>
      </c>
      <c r="DY240" s="239">
        <v>0</v>
      </c>
      <c r="DZ240" s="239">
        <v>0</v>
      </c>
      <c r="EA240" s="239">
        <v>0</v>
      </c>
      <c r="EB240" s="239">
        <v>0</v>
      </c>
      <c r="EC240" s="239">
        <v>0</v>
      </c>
      <c r="ED240" s="239">
        <v>0</v>
      </c>
      <c r="EE240" s="239">
        <v>0</v>
      </c>
      <c r="EF240" s="239">
        <v>0</v>
      </c>
      <c r="EG240" s="239">
        <v>0</v>
      </c>
      <c r="EH240" s="239">
        <v>182</v>
      </c>
      <c r="EI240" s="239">
        <v>0</v>
      </c>
      <c r="EJ240" s="239">
        <v>182</v>
      </c>
      <c r="EK240" s="239">
        <v>-55470</v>
      </c>
      <c r="EL240" s="239">
        <v>0</v>
      </c>
      <c r="EM240" s="239">
        <v>-55470</v>
      </c>
      <c r="EN240" s="239">
        <v>-1188</v>
      </c>
      <c r="EO240" s="239">
        <v>0</v>
      </c>
      <c r="EP240" s="239">
        <v>-1188</v>
      </c>
      <c r="EQ240" s="239">
        <v>-33104</v>
      </c>
      <c r="ER240" s="239">
        <v>0</v>
      </c>
      <c r="ES240" s="239">
        <v>-33104</v>
      </c>
      <c r="ET240" s="239">
        <v>-455600</v>
      </c>
      <c r="EU240" s="239">
        <v>0</v>
      </c>
      <c r="EV240" s="239">
        <v>-455600</v>
      </c>
      <c r="EW240" s="239">
        <v>-65184</v>
      </c>
      <c r="EX240" s="239">
        <v>0</v>
      </c>
      <c r="EY240" s="239">
        <v>-65184</v>
      </c>
      <c r="EZ240" s="239">
        <v>-682870</v>
      </c>
      <c r="FA240" s="239">
        <v>-87369</v>
      </c>
      <c r="FB240" s="239">
        <v>-770239</v>
      </c>
      <c r="FC240" s="239">
        <v>0</v>
      </c>
      <c r="FD240" s="239">
        <v>0</v>
      </c>
      <c r="FE240" s="239">
        <v>0</v>
      </c>
      <c r="FF240" s="239">
        <v>0</v>
      </c>
      <c r="FG240" s="239">
        <v>0</v>
      </c>
      <c r="FH240" s="239">
        <v>0</v>
      </c>
      <c r="FI240" s="239">
        <v>0</v>
      </c>
      <c r="FJ240" s="239">
        <v>0</v>
      </c>
      <c r="FK240" s="239">
        <v>0</v>
      </c>
      <c r="FL240" s="239">
        <v>95522775</v>
      </c>
      <c r="FM240" s="239">
        <v>630576</v>
      </c>
      <c r="FN240" s="239">
        <v>96153351</v>
      </c>
      <c r="FO240" s="239">
        <v>323273</v>
      </c>
      <c r="FP240" s="239">
        <v>0</v>
      </c>
      <c r="FQ240" s="239">
        <v>323273</v>
      </c>
      <c r="FR240" s="239">
        <v>-13131495</v>
      </c>
      <c r="FS240" s="239">
        <v>17600</v>
      </c>
      <c r="FT240" s="239">
        <v>-13113895</v>
      </c>
      <c r="FU240" s="239">
        <v>-2019507</v>
      </c>
      <c r="FV240" s="239">
        <v>0</v>
      </c>
      <c r="FW240" s="239">
        <v>-2019507</v>
      </c>
      <c r="FX240" s="239">
        <v>-224436</v>
      </c>
      <c r="FY240" s="239">
        <v>0</v>
      </c>
      <c r="FZ240" s="239">
        <v>-224436</v>
      </c>
      <c r="GA240" s="239">
        <v>-682870</v>
      </c>
      <c r="GB240" s="239">
        <v>-87369</v>
      </c>
      <c r="GC240" s="239">
        <v>-770239</v>
      </c>
      <c r="GD240" s="239">
        <v>0</v>
      </c>
      <c r="GE240" s="239">
        <v>0</v>
      </c>
      <c r="GF240" s="239">
        <v>0</v>
      </c>
      <c r="GG240" s="239">
        <v>-15735035</v>
      </c>
      <c r="GH240" s="239">
        <v>-69769</v>
      </c>
      <c r="GI240" s="239">
        <v>-15804804</v>
      </c>
      <c r="GJ240" s="239">
        <v>79787740</v>
      </c>
      <c r="GK240" s="239">
        <v>560807</v>
      </c>
      <c r="GL240" s="239">
        <v>80348547</v>
      </c>
      <c r="GM240" s="214" t="s">
        <v>1158</v>
      </c>
    </row>
    <row r="241" spans="2:195" s="214" customFormat="1" x14ac:dyDescent="0.2">
      <c r="B241" s="602" t="s">
        <v>565</v>
      </c>
      <c r="C241" s="602" t="s">
        <v>564</v>
      </c>
      <c r="D241" s="239">
        <v>-1532407</v>
      </c>
      <c r="E241" s="239">
        <v>0</v>
      </c>
      <c r="F241" s="239">
        <v>-1532407</v>
      </c>
      <c r="G241" s="239">
        <v>7787</v>
      </c>
      <c r="H241" s="239">
        <v>0</v>
      </c>
      <c r="I241" s="239">
        <v>7787</v>
      </c>
      <c r="J241" s="239">
        <v>879550</v>
      </c>
      <c r="K241" s="239">
        <v>0</v>
      </c>
      <c r="L241" s="239">
        <v>879550</v>
      </c>
      <c r="M241" s="239">
        <v>54808</v>
      </c>
      <c r="N241" s="239">
        <v>0</v>
      </c>
      <c r="O241" s="239">
        <v>54808</v>
      </c>
      <c r="P241" s="239">
        <v>-590262</v>
      </c>
      <c r="Q241" s="239">
        <v>0</v>
      </c>
      <c r="R241" s="239">
        <v>-590262</v>
      </c>
      <c r="S241" s="239">
        <v>-2173572</v>
      </c>
      <c r="T241" s="239">
        <v>0</v>
      </c>
      <c r="U241" s="239">
        <v>-2173572</v>
      </c>
      <c r="V241" s="239">
        <v>-2470</v>
      </c>
      <c r="W241" s="239">
        <v>0</v>
      </c>
      <c r="X241" s="239">
        <v>-2470</v>
      </c>
      <c r="Y241" s="239">
        <v>-134960</v>
      </c>
      <c r="Z241" s="239">
        <v>0</v>
      </c>
      <c r="AA241" s="239">
        <v>-134960</v>
      </c>
      <c r="AB241" s="239">
        <v>-118285</v>
      </c>
      <c r="AC241" s="239">
        <v>0</v>
      </c>
      <c r="AD241" s="239">
        <v>-118285</v>
      </c>
      <c r="AE241" s="239">
        <v>1074</v>
      </c>
      <c r="AF241" s="239">
        <v>0</v>
      </c>
      <c r="AG241" s="239">
        <v>1074</v>
      </c>
      <c r="AH241" s="239">
        <v>598066</v>
      </c>
      <c r="AI241" s="239">
        <v>0</v>
      </c>
      <c r="AJ241" s="239">
        <v>598066</v>
      </c>
      <c r="AK241" s="239">
        <v>13012</v>
      </c>
      <c r="AL241" s="239">
        <v>0</v>
      </c>
      <c r="AM241" s="239">
        <v>13012</v>
      </c>
      <c r="AN241" s="239">
        <v>-1381240</v>
      </c>
      <c r="AO241" s="239">
        <v>0</v>
      </c>
      <c r="AP241" s="239">
        <v>-1381240</v>
      </c>
      <c r="AQ241" s="239">
        <v>2164</v>
      </c>
      <c r="AR241" s="239">
        <v>0</v>
      </c>
      <c r="AS241" s="239">
        <v>2164</v>
      </c>
      <c r="AT241" s="239">
        <v>-33731</v>
      </c>
      <c r="AU241" s="239">
        <v>0</v>
      </c>
      <c r="AV241" s="239">
        <v>-33731</v>
      </c>
      <c r="AW241" s="239">
        <v>0</v>
      </c>
      <c r="AX241" s="239">
        <v>0</v>
      </c>
      <c r="AY241" s="239">
        <v>0</v>
      </c>
      <c r="AZ241" s="239">
        <v>-20725</v>
      </c>
      <c r="BA241" s="239">
        <v>0</v>
      </c>
      <c r="BB241" s="239">
        <v>-20725</v>
      </c>
      <c r="BC241" s="239">
        <v>-3785</v>
      </c>
      <c r="BD241" s="239">
        <v>0</v>
      </c>
      <c r="BE241" s="239">
        <v>-3785</v>
      </c>
      <c r="BF241" s="239">
        <v>-3134771</v>
      </c>
      <c r="BG241" s="239">
        <v>0</v>
      </c>
      <c r="BH241" s="239">
        <v>-3134771</v>
      </c>
      <c r="BI241" s="239">
        <v>-574168</v>
      </c>
      <c r="BJ241" s="239">
        <v>0</v>
      </c>
      <c r="BK241" s="239">
        <v>-574168</v>
      </c>
      <c r="BL241" s="239">
        <v>-73891</v>
      </c>
      <c r="BM241" s="239">
        <v>0</v>
      </c>
      <c r="BN241" s="239">
        <v>-73891</v>
      </c>
      <c r="BO241" s="239">
        <v>-526076</v>
      </c>
      <c r="BP241" s="239">
        <v>0</v>
      </c>
      <c r="BQ241" s="239">
        <v>-526076</v>
      </c>
      <c r="BR241" s="239">
        <v>-94340</v>
      </c>
      <c r="BS241" s="239">
        <v>0</v>
      </c>
      <c r="BT241" s="239">
        <v>-94340</v>
      </c>
      <c r="BU241" s="239">
        <v>-1268475</v>
      </c>
      <c r="BV241" s="239">
        <v>0</v>
      </c>
      <c r="BW241" s="239">
        <v>-1268475</v>
      </c>
      <c r="BX241" s="239">
        <v>-45429</v>
      </c>
      <c r="BY241" s="239">
        <v>0</v>
      </c>
      <c r="BZ241" s="239">
        <v>-45429</v>
      </c>
      <c r="CA241" s="239">
        <v>0</v>
      </c>
      <c r="CB241" s="239">
        <v>0</v>
      </c>
      <c r="CC241" s="239">
        <v>0</v>
      </c>
      <c r="CD241" s="239">
        <v>-25552</v>
      </c>
      <c r="CE241" s="239">
        <v>0</v>
      </c>
      <c r="CF241" s="239">
        <v>-25552</v>
      </c>
      <c r="CG241" s="239">
        <v>1535</v>
      </c>
      <c r="CH241" s="239">
        <v>0</v>
      </c>
      <c r="CI241" s="239">
        <v>1535</v>
      </c>
      <c r="CJ241" s="239">
        <v>0</v>
      </c>
      <c r="CK241" s="239">
        <v>0</v>
      </c>
      <c r="CL241" s="239">
        <v>0</v>
      </c>
      <c r="CM241" s="239">
        <v>0</v>
      </c>
      <c r="CN241" s="239">
        <v>0</v>
      </c>
      <c r="CO241" s="239">
        <v>0</v>
      </c>
      <c r="CP241" s="239">
        <v>0</v>
      </c>
      <c r="CQ241" s="239">
        <v>0</v>
      </c>
      <c r="CR241" s="239">
        <v>0</v>
      </c>
      <c r="CS241" s="239">
        <v>0</v>
      </c>
      <c r="CT241" s="239">
        <v>0</v>
      </c>
      <c r="CU241" s="239">
        <v>0</v>
      </c>
      <c r="CV241" s="239">
        <v>-469</v>
      </c>
      <c r="CW241" s="239">
        <v>0</v>
      </c>
      <c r="CX241" s="239">
        <v>-469</v>
      </c>
      <c r="CY241" s="239">
        <v>0</v>
      </c>
      <c r="CZ241" s="239">
        <v>0</v>
      </c>
      <c r="DA241" s="239">
        <v>0</v>
      </c>
      <c r="DB241" s="239">
        <v>0</v>
      </c>
      <c r="DC241" s="239">
        <v>0</v>
      </c>
      <c r="DD241" s="239">
        <v>0</v>
      </c>
      <c r="DE241" s="239">
        <v>0</v>
      </c>
      <c r="DF241" s="239">
        <v>0</v>
      </c>
      <c r="DG241" s="239">
        <v>0</v>
      </c>
      <c r="DH241" s="239">
        <v>0</v>
      </c>
      <c r="DI241" s="239">
        <v>0</v>
      </c>
      <c r="DJ241" s="239">
        <v>-69915</v>
      </c>
      <c r="DK241" s="239">
        <v>0</v>
      </c>
      <c r="DL241" s="239">
        <v>-69915</v>
      </c>
      <c r="DM241" s="239">
        <v>0</v>
      </c>
      <c r="DN241" s="239">
        <v>0</v>
      </c>
      <c r="DO241" s="239">
        <v>0</v>
      </c>
      <c r="DP241" s="239">
        <v>0</v>
      </c>
      <c r="DQ241" s="239">
        <v>0</v>
      </c>
      <c r="DR241" s="239">
        <v>0</v>
      </c>
      <c r="DS241" s="239">
        <v>0</v>
      </c>
      <c r="DT241" s="239">
        <v>0</v>
      </c>
      <c r="DU241" s="239">
        <v>0</v>
      </c>
      <c r="DV241" s="239">
        <v>0</v>
      </c>
      <c r="DW241" s="239">
        <v>0</v>
      </c>
      <c r="DX241" s="239">
        <v>0</v>
      </c>
      <c r="DY241" s="239">
        <v>601</v>
      </c>
      <c r="DZ241" s="239">
        <v>0</v>
      </c>
      <c r="EA241" s="239">
        <v>601</v>
      </c>
      <c r="EB241" s="239">
        <v>0</v>
      </c>
      <c r="EC241" s="239">
        <v>0</v>
      </c>
      <c r="ED241" s="239">
        <v>0</v>
      </c>
      <c r="EE241" s="239">
        <v>0</v>
      </c>
      <c r="EF241" s="239">
        <v>0</v>
      </c>
      <c r="EG241" s="239">
        <v>0</v>
      </c>
      <c r="EH241" s="239">
        <v>0</v>
      </c>
      <c r="EI241" s="239">
        <v>0</v>
      </c>
      <c r="EJ241" s="239">
        <v>0</v>
      </c>
      <c r="EK241" s="239">
        <v>-22111</v>
      </c>
      <c r="EL241" s="239">
        <v>0</v>
      </c>
      <c r="EM241" s="239">
        <v>-22111</v>
      </c>
      <c r="EN241" s="239">
        <v>0</v>
      </c>
      <c r="EO241" s="239">
        <v>0</v>
      </c>
      <c r="EP241" s="239">
        <v>0</v>
      </c>
      <c r="EQ241" s="239">
        <v>-49125</v>
      </c>
      <c r="ER241" s="239">
        <v>0</v>
      </c>
      <c r="ES241" s="239">
        <v>-49125</v>
      </c>
      <c r="ET241" s="239">
        <v>-178077</v>
      </c>
      <c r="EU241" s="239">
        <v>0</v>
      </c>
      <c r="EV241" s="239">
        <v>-178077</v>
      </c>
      <c r="EW241" s="239">
        <v>-35225</v>
      </c>
      <c r="EX241" s="239">
        <v>0</v>
      </c>
      <c r="EY241" s="239">
        <v>-35225</v>
      </c>
      <c r="EZ241" s="239">
        <v>-283937</v>
      </c>
      <c r="FA241" s="239">
        <v>0</v>
      </c>
      <c r="FB241" s="239">
        <v>-283937</v>
      </c>
      <c r="FC241" s="239">
        <v>-3052</v>
      </c>
      <c r="FD241" s="239">
        <v>0</v>
      </c>
      <c r="FE241" s="239">
        <v>-3052</v>
      </c>
      <c r="FF241" s="239">
        <v>0</v>
      </c>
      <c r="FG241" s="239">
        <v>0</v>
      </c>
      <c r="FH241" s="239">
        <v>0</v>
      </c>
      <c r="FI241" s="239">
        <v>-3052</v>
      </c>
      <c r="FJ241" s="239">
        <v>0</v>
      </c>
      <c r="FK241" s="239">
        <v>-3052</v>
      </c>
      <c r="FL241" s="239">
        <v>29807461</v>
      </c>
      <c r="FM241" s="239">
        <v>0</v>
      </c>
      <c r="FN241" s="239">
        <v>29807461</v>
      </c>
      <c r="FO241" s="239">
        <v>-590262</v>
      </c>
      <c r="FP241" s="239">
        <v>0</v>
      </c>
      <c r="FQ241" s="239">
        <v>-590262</v>
      </c>
      <c r="FR241" s="239">
        <v>-3134771</v>
      </c>
      <c r="FS241" s="239">
        <v>0</v>
      </c>
      <c r="FT241" s="239">
        <v>-3134771</v>
      </c>
      <c r="FU241" s="239">
        <v>-1268475</v>
      </c>
      <c r="FV241" s="239">
        <v>0</v>
      </c>
      <c r="FW241" s="239">
        <v>-1268475</v>
      </c>
      <c r="FX241" s="239">
        <v>-69915</v>
      </c>
      <c r="FY241" s="239">
        <v>0</v>
      </c>
      <c r="FZ241" s="239">
        <v>-69915</v>
      </c>
      <c r="GA241" s="239">
        <v>-283937</v>
      </c>
      <c r="GB241" s="239">
        <v>0</v>
      </c>
      <c r="GC241" s="239">
        <v>-283937</v>
      </c>
      <c r="GD241" s="239">
        <v>-3052</v>
      </c>
      <c r="GE241" s="239">
        <v>0</v>
      </c>
      <c r="GF241" s="239">
        <v>-3052</v>
      </c>
      <c r="GG241" s="239">
        <v>-5350412</v>
      </c>
      <c r="GH241" s="239">
        <v>0</v>
      </c>
      <c r="GI241" s="239">
        <v>-5350412</v>
      </c>
      <c r="GJ241" s="239">
        <v>24457049</v>
      </c>
      <c r="GK241" s="239">
        <v>0</v>
      </c>
      <c r="GL241" s="239">
        <v>24457049</v>
      </c>
      <c r="GM241" s="214" t="s">
        <v>1158</v>
      </c>
    </row>
    <row r="242" spans="2:195" s="214" customFormat="1" x14ac:dyDescent="0.2">
      <c r="B242" s="602" t="s">
        <v>567</v>
      </c>
      <c r="C242" s="602" t="s">
        <v>566</v>
      </c>
      <c r="D242" s="239">
        <v>-2178771</v>
      </c>
      <c r="E242" s="239">
        <v>-91970</v>
      </c>
      <c r="F242" s="239">
        <v>-2270741</v>
      </c>
      <c r="G242" s="239">
        <v>28479</v>
      </c>
      <c r="H242" s="239">
        <v>0</v>
      </c>
      <c r="I242" s="239">
        <v>28479</v>
      </c>
      <c r="J242" s="239">
        <v>8944382</v>
      </c>
      <c r="K242" s="239">
        <v>250963</v>
      </c>
      <c r="L242" s="239">
        <v>9195345</v>
      </c>
      <c r="M242" s="239">
        <v>122234</v>
      </c>
      <c r="N242" s="239">
        <v>0</v>
      </c>
      <c r="O242" s="239">
        <v>122234</v>
      </c>
      <c r="P242" s="239">
        <v>6916324</v>
      </c>
      <c r="Q242" s="239">
        <v>158993</v>
      </c>
      <c r="R242" s="239">
        <v>7075317</v>
      </c>
      <c r="S242" s="239">
        <v>-5666357</v>
      </c>
      <c r="T242" s="239">
        <v>-11769</v>
      </c>
      <c r="U242" s="239">
        <v>-5678126</v>
      </c>
      <c r="V242" s="239">
        <v>-35808</v>
      </c>
      <c r="W242" s="239">
        <v>0</v>
      </c>
      <c r="X242" s="239">
        <v>-35808</v>
      </c>
      <c r="Y242" s="239">
        <v>-276764</v>
      </c>
      <c r="Z242" s="239">
        <v>315</v>
      </c>
      <c r="AA242" s="239">
        <v>-276449</v>
      </c>
      <c r="AB242" s="239">
        <v>-274871</v>
      </c>
      <c r="AC242" s="239">
        <v>315</v>
      </c>
      <c r="AD242" s="239">
        <v>-274556</v>
      </c>
      <c r="AE242" s="239">
        <v>-1893</v>
      </c>
      <c r="AF242" s="239">
        <v>0</v>
      </c>
      <c r="AG242" s="239">
        <v>-1893</v>
      </c>
      <c r="AH242" s="239">
        <v>2190066</v>
      </c>
      <c r="AI242" s="239">
        <v>140753</v>
      </c>
      <c r="AJ242" s="239">
        <v>2330819</v>
      </c>
      <c r="AK242" s="239">
        <v>1246231</v>
      </c>
      <c r="AL242" s="239">
        <v>131484</v>
      </c>
      <c r="AM242" s="239">
        <v>1377715</v>
      </c>
      <c r="AN242" s="239">
        <v>-8758588</v>
      </c>
      <c r="AO242" s="239">
        <v>-57267</v>
      </c>
      <c r="AP242" s="239">
        <v>-8815855</v>
      </c>
      <c r="AQ242" s="239">
        <v>-89228</v>
      </c>
      <c r="AR242" s="239">
        <v>-9788</v>
      </c>
      <c r="AS242" s="239">
        <v>-99016</v>
      </c>
      <c r="AT242" s="239">
        <v>-78853</v>
      </c>
      <c r="AU242" s="239">
        <v>0</v>
      </c>
      <c r="AV242" s="239">
        <v>-78853</v>
      </c>
      <c r="AW242" s="239">
        <v>-248</v>
      </c>
      <c r="AX242" s="239">
        <v>0</v>
      </c>
      <c r="AY242" s="239">
        <v>-248</v>
      </c>
      <c r="AZ242" s="239">
        <v>-19969</v>
      </c>
      <c r="BA242" s="239">
        <v>0</v>
      </c>
      <c r="BB242" s="239">
        <v>-19969</v>
      </c>
      <c r="BC242" s="239">
        <v>1468</v>
      </c>
      <c r="BD242" s="239">
        <v>0</v>
      </c>
      <c r="BE242" s="239">
        <v>1468</v>
      </c>
      <c r="BF242" s="239">
        <v>-11452242</v>
      </c>
      <c r="BG242" s="239">
        <v>193728</v>
      </c>
      <c r="BH242" s="239">
        <v>-11258514</v>
      </c>
      <c r="BI242" s="239">
        <v>-187511</v>
      </c>
      <c r="BJ242" s="239">
        <v>0</v>
      </c>
      <c r="BK242" s="239">
        <v>-187511</v>
      </c>
      <c r="BL242" s="239">
        <v>-32862</v>
      </c>
      <c r="BM242" s="239">
        <v>0</v>
      </c>
      <c r="BN242" s="239">
        <v>-32862</v>
      </c>
      <c r="BO242" s="239">
        <v>-4591206</v>
      </c>
      <c r="BP242" s="239">
        <v>-113792</v>
      </c>
      <c r="BQ242" s="239">
        <v>-4704998</v>
      </c>
      <c r="BR242" s="239">
        <v>-168504</v>
      </c>
      <c r="BS242" s="239">
        <v>-142193</v>
      </c>
      <c r="BT242" s="239">
        <v>-310697</v>
      </c>
      <c r="BU242" s="239">
        <v>-4980083</v>
      </c>
      <c r="BV242" s="239">
        <v>-255985</v>
      </c>
      <c r="BW242" s="239">
        <v>-5236068</v>
      </c>
      <c r="BX242" s="239">
        <v>-78487</v>
      </c>
      <c r="BY242" s="239">
        <v>0</v>
      </c>
      <c r="BZ242" s="239">
        <v>-78487</v>
      </c>
      <c r="CA242" s="239">
        <v>1967</v>
      </c>
      <c r="CB242" s="239">
        <v>0</v>
      </c>
      <c r="CC242" s="239">
        <v>1967</v>
      </c>
      <c r="CD242" s="239">
        <v>-20726</v>
      </c>
      <c r="CE242" s="239">
        <v>0</v>
      </c>
      <c r="CF242" s="239">
        <v>-20726</v>
      </c>
      <c r="CG242" s="239">
        <v>-6810</v>
      </c>
      <c r="CH242" s="239">
        <v>0</v>
      </c>
      <c r="CI242" s="239">
        <v>-6810</v>
      </c>
      <c r="CJ242" s="239">
        <v>0</v>
      </c>
      <c r="CK242" s="239">
        <v>0</v>
      </c>
      <c r="CL242" s="239">
        <v>0</v>
      </c>
      <c r="CM242" s="239">
        <v>0</v>
      </c>
      <c r="CN242" s="239">
        <v>0</v>
      </c>
      <c r="CO242" s="239">
        <v>0</v>
      </c>
      <c r="CP242" s="239">
        <v>-21693</v>
      </c>
      <c r="CQ242" s="239">
        <v>0</v>
      </c>
      <c r="CR242" s="239">
        <v>-21693</v>
      </c>
      <c r="CS242" s="239">
        <v>1468</v>
      </c>
      <c r="CT242" s="239">
        <v>0</v>
      </c>
      <c r="CU242" s="239">
        <v>1468</v>
      </c>
      <c r="CV242" s="239">
        <v>0</v>
      </c>
      <c r="CW242" s="239">
        <v>0</v>
      </c>
      <c r="CX242" s="239">
        <v>0</v>
      </c>
      <c r="CY242" s="239">
        <v>0</v>
      </c>
      <c r="CZ242" s="239">
        <v>0</v>
      </c>
      <c r="DA242" s="239">
        <v>0</v>
      </c>
      <c r="DB242" s="239">
        <v>-51233</v>
      </c>
      <c r="DC242" s="239">
        <v>-2274</v>
      </c>
      <c r="DD242" s="239">
        <v>-53507</v>
      </c>
      <c r="DE242" s="239">
        <v>-10000</v>
      </c>
      <c r="DF242" s="239">
        <v>0</v>
      </c>
      <c r="DG242" s="239">
        <v>-10000</v>
      </c>
      <c r="DH242" s="239">
        <v>0</v>
      </c>
      <c r="DI242" s="239">
        <v>0</v>
      </c>
      <c r="DJ242" s="239">
        <v>-185514</v>
      </c>
      <c r="DK242" s="239">
        <v>-2274</v>
      </c>
      <c r="DL242" s="239">
        <v>-187788</v>
      </c>
      <c r="DM242" s="239">
        <v>0</v>
      </c>
      <c r="DN242" s="239">
        <v>0</v>
      </c>
      <c r="DO242" s="239">
        <v>0</v>
      </c>
      <c r="DP242" s="239">
        <v>0</v>
      </c>
      <c r="DQ242" s="239">
        <v>0</v>
      </c>
      <c r="DR242" s="239">
        <v>0</v>
      </c>
      <c r="DS242" s="239">
        <v>-2434</v>
      </c>
      <c r="DT242" s="239">
        <v>0</v>
      </c>
      <c r="DU242" s="239">
        <v>-2434</v>
      </c>
      <c r="DV242" s="239">
        <v>0</v>
      </c>
      <c r="DW242" s="239">
        <v>0</v>
      </c>
      <c r="DX242" s="239">
        <v>0</v>
      </c>
      <c r="DY242" s="239">
        <v>3076</v>
      </c>
      <c r="DZ242" s="239">
        <v>0</v>
      </c>
      <c r="EA242" s="239">
        <v>3076</v>
      </c>
      <c r="EB242" s="239">
        <v>0</v>
      </c>
      <c r="EC242" s="239">
        <v>0</v>
      </c>
      <c r="ED242" s="239">
        <v>0</v>
      </c>
      <c r="EE242" s="239">
        <v>0</v>
      </c>
      <c r="EF242" s="239">
        <v>0</v>
      </c>
      <c r="EG242" s="239">
        <v>0</v>
      </c>
      <c r="EH242" s="239">
        <v>0</v>
      </c>
      <c r="EI242" s="239">
        <v>0</v>
      </c>
      <c r="EJ242" s="239">
        <v>0</v>
      </c>
      <c r="EK242" s="239">
        <v>-18090</v>
      </c>
      <c r="EL242" s="239">
        <v>0</v>
      </c>
      <c r="EM242" s="239">
        <v>-18090</v>
      </c>
      <c r="EN242" s="239">
        <v>0</v>
      </c>
      <c r="EO242" s="239">
        <v>0</v>
      </c>
      <c r="EP242" s="239">
        <v>0</v>
      </c>
      <c r="EQ242" s="239">
        <v>-30322</v>
      </c>
      <c r="ER242" s="239">
        <v>0</v>
      </c>
      <c r="ES242" s="239">
        <v>-30322</v>
      </c>
      <c r="ET242" s="239">
        <v>-282677</v>
      </c>
      <c r="EU242" s="239">
        <v>-16452</v>
      </c>
      <c r="EV242" s="239">
        <v>-299129</v>
      </c>
      <c r="EW242" s="239">
        <v>-89491</v>
      </c>
      <c r="EX242" s="239">
        <v>0</v>
      </c>
      <c r="EY242" s="239">
        <v>-89491</v>
      </c>
      <c r="EZ242" s="239">
        <v>-419938</v>
      </c>
      <c r="FA242" s="239">
        <v>-16452</v>
      </c>
      <c r="FB242" s="239">
        <v>-436390</v>
      </c>
      <c r="FC242" s="239">
        <v>0</v>
      </c>
      <c r="FD242" s="239">
        <v>0</v>
      </c>
      <c r="FE242" s="239">
        <v>0</v>
      </c>
      <c r="FF242" s="239">
        <v>-3221</v>
      </c>
      <c r="FG242" s="239">
        <v>0</v>
      </c>
      <c r="FH242" s="239">
        <v>-3221</v>
      </c>
      <c r="FI242" s="239">
        <v>-3221</v>
      </c>
      <c r="FJ242" s="239">
        <v>0</v>
      </c>
      <c r="FK242" s="239">
        <v>-3221</v>
      </c>
      <c r="FL242" s="239">
        <v>146903332</v>
      </c>
      <c r="FM242" s="239">
        <v>10695679</v>
      </c>
      <c r="FN242" s="239">
        <v>157599011</v>
      </c>
      <c r="FO242" s="239">
        <v>6916324</v>
      </c>
      <c r="FP242" s="239">
        <v>158993</v>
      </c>
      <c r="FQ242" s="239">
        <v>7075317</v>
      </c>
      <c r="FR242" s="239">
        <v>-11452242</v>
      </c>
      <c r="FS242" s="239">
        <v>193728</v>
      </c>
      <c r="FT242" s="239">
        <v>-11258514</v>
      </c>
      <c r="FU242" s="239">
        <v>-4980083</v>
      </c>
      <c r="FV242" s="239">
        <v>-255985</v>
      </c>
      <c r="FW242" s="239">
        <v>-5236068</v>
      </c>
      <c r="FX242" s="239">
        <v>-185514</v>
      </c>
      <c r="FY242" s="239">
        <v>-2274</v>
      </c>
      <c r="FZ242" s="239">
        <v>-187788</v>
      </c>
      <c r="GA242" s="239">
        <v>-419938</v>
      </c>
      <c r="GB242" s="239">
        <v>-16452</v>
      </c>
      <c r="GC242" s="239">
        <v>-436390</v>
      </c>
      <c r="GD242" s="239">
        <v>-3221</v>
      </c>
      <c r="GE242" s="239">
        <v>0</v>
      </c>
      <c r="GF242" s="239">
        <v>-3221</v>
      </c>
      <c r="GG242" s="239">
        <v>-10124674</v>
      </c>
      <c r="GH242" s="239">
        <v>78010</v>
      </c>
      <c r="GI242" s="239">
        <v>-10046664</v>
      </c>
      <c r="GJ242" s="239">
        <v>136778658</v>
      </c>
      <c r="GK242" s="239">
        <v>10773689</v>
      </c>
      <c r="GL242" s="239">
        <v>147552347</v>
      </c>
      <c r="GM242" s="214" t="s">
        <v>746</v>
      </c>
    </row>
    <row r="243" spans="2:195" s="214" customFormat="1" x14ac:dyDescent="0.2">
      <c r="B243" s="602" t="s">
        <v>569</v>
      </c>
      <c r="C243" s="602" t="s">
        <v>568</v>
      </c>
      <c r="D243" s="239">
        <v>-1776336</v>
      </c>
      <c r="E243" s="239">
        <v>0</v>
      </c>
      <c r="F243" s="239">
        <v>-1776336</v>
      </c>
      <c r="G243" s="239">
        <v>28791</v>
      </c>
      <c r="H243" s="239">
        <v>0</v>
      </c>
      <c r="I243" s="239">
        <v>28791</v>
      </c>
      <c r="J243" s="239">
        <v>2246213</v>
      </c>
      <c r="K243" s="239">
        <v>0</v>
      </c>
      <c r="L243" s="239">
        <v>2246213</v>
      </c>
      <c r="M243" s="239">
        <v>-13095</v>
      </c>
      <c r="N243" s="239">
        <v>0</v>
      </c>
      <c r="O243" s="239">
        <v>-13095</v>
      </c>
      <c r="P243" s="239">
        <v>485573</v>
      </c>
      <c r="Q243" s="239">
        <v>0</v>
      </c>
      <c r="R243" s="239">
        <v>485573</v>
      </c>
      <c r="S243" s="239">
        <v>-6213599</v>
      </c>
      <c r="T243" s="239">
        <v>0</v>
      </c>
      <c r="U243" s="239">
        <v>-6213599</v>
      </c>
      <c r="V243" s="239">
        <v>0</v>
      </c>
      <c r="W243" s="239">
        <v>0</v>
      </c>
      <c r="X243" s="239">
        <v>0</v>
      </c>
      <c r="Y243" s="239">
        <v>-366218</v>
      </c>
      <c r="Z243" s="239">
        <v>0</v>
      </c>
      <c r="AA243" s="239">
        <v>-366218</v>
      </c>
      <c r="AB243" s="239">
        <v>-298011</v>
      </c>
      <c r="AC243" s="239">
        <v>0</v>
      </c>
      <c r="AD243" s="239">
        <v>-298011</v>
      </c>
      <c r="AE243" s="239">
        <v>0</v>
      </c>
      <c r="AF243" s="239">
        <v>0</v>
      </c>
      <c r="AG243" s="239">
        <v>0</v>
      </c>
      <c r="AH243" s="239">
        <v>590441</v>
      </c>
      <c r="AI243" s="239">
        <v>0</v>
      </c>
      <c r="AJ243" s="239">
        <v>590441</v>
      </c>
      <c r="AK243" s="239">
        <v>-5537</v>
      </c>
      <c r="AL243" s="239">
        <v>0</v>
      </c>
      <c r="AM243" s="239">
        <v>-5537</v>
      </c>
      <c r="AN243" s="239">
        <v>-2567340</v>
      </c>
      <c r="AO243" s="239">
        <v>0</v>
      </c>
      <c r="AP243" s="239">
        <v>-2567340</v>
      </c>
      <c r="AQ243" s="239">
        <v>-9122</v>
      </c>
      <c r="AR243" s="239">
        <v>0</v>
      </c>
      <c r="AS243" s="239">
        <v>-9122</v>
      </c>
      <c r="AT243" s="239">
        <v>-96219</v>
      </c>
      <c r="AU243" s="239">
        <v>0</v>
      </c>
      <c r="AV243" s="239">
        <v>-96219</v>
      </c>
      <c r="AW243" s="239">
        <v>842</v>
      </c>
      <c r="AX243" s="239">
        <v>0</v>
      </c>
      <c r="AY243" s="239">
        <v>842</v>
      </c>
      <c r="AZ243" s="239">
        <v>-37325</v>
      </c>
      <c r="BA243" s="239">
        <v>0</v>
      </c>
      <c r="BB243" s="239">
        <v>-37325</v>
      </c>
      <c r="BC243" s="239">
        <v>0</v>
      </c>
      <c r="BD243" s="239">
        <v>0</v>
      </c>
      <c r="BE243" s="239">
        <v>0</v>
      </c>
      <c r="BF243" s="239">
        <v>-8704077</v>
      </c>
      <c r="BG243" s="239">
        <v>0</v>
      </c>
      <c r="BH243" s="239">
        <v>-8704077</v>
      </c>
      <c r="BI243" s="239">
        <v>0</v>
      </c>
      <c r="BJ243" s="239">
        <v>0</v>
      </c>
      <c r="BK243" s="239">
        <v>0</v>
      </c>
      <c r="BL243" s="239">
        <v>-53947</v>
      </c>
      <c r="BM243" s="239">
        <v>0</v>
      </c>
      <c r="BN243" s="239">
        <v>-53947</v>
      </c>
      <c r="BO243" s="239">
        <v>-788913</v>
      </c>
      <c r="BP243" s="239">
        <v>0</v>
      </c>
      <c r="BQ243" s="239">
        <v>-788913</v>
      </c>
      <c r="BR243" s="239">
        <v>-66108</v>
      </c>
      <c r="BS243" s="239">
        <v>0</v>
      </c>
      <c r="BT243" s="239">
        <v>-66108</v>
      </c>
      <c r="BU243" s="239">
        <v>-908968</v>
      </c>
      <c r="BV243" s="239">
        <v>0</v>
      </c>
      <c r="BW243" s="239">
        <v>-908968</v>
      </c>
      <c r="BX243" s="239">
        <v>-177810</v>
      </c>
      <c r="BY243" s="239">
        <v>0</v>
      </c>
      <c r="BZ243" s="239">
        <v>-177810</v>
      </c>
      <c r="CA243" s="239">
        <v>-15795</v>
      </c>
      <c r="CB243" s="239">
        <v>0</v>
      </c>
      <c r="CC243" s="239">
        <v>-15795</v>
      </c>
      <c r="CD243" s="239">
        <v>-9611</v>
      </c>
      <c r="CE243" s="239">
        <v>0</v>
      </c>
      <c r="CF243" s="239">
        <v>-9611</v>
      </c>
      <c r="CG243" s="239">
        <v>24</v>
      </c>
      <c r="CH243" s="239">
        <v>0</v>
      </c>
      <c r="CI243" s="239">
        <v>24</v>
      </c>
      <c r="CJ243" s="239">
        <v>-13239</v>
      </c>
      <c r="CK243" s="239">
        <v>0</v>
      </c>
      <c r="CL243" s="239">
        <v>-13239</v>
      </c>
      <c r="CM243" s="239">
        <v>0</v>
      </c>
      <c r="CN243" s="239">
        <v>0</v>
      </c>
      <c r="CO243" s="239">
        <v>0</v>
      </c>
      <c r="CP243" s="239">
        <v>0</v>
      </c>
      <c r="CQ243" s="239">
        <v>0</v>
      </c>
      <c r="CR243" s="239">
        <v>0</v>
      </c>
      <c r="CS243" s="239">
        <v>0</v>
      </c>
      <c r="CT243" s="239">
        <v>0</v>
      </c>
      <c r="CU243" s="239">
        <v>0</v>
      </c>
      <c r="CV243" s="239">
        <v>0</v>
      </c>
      <c r="CW243" s="239">
        <v>0</v>
      </c>
      <c r="CX243" s="239">
        <v>0</v>
      </c>
      <c r="CY243" s="239">
        <v>0</v>
      </c>
      <c r="CZ243" s="239">
        <v>0</v>
      </c>
      <c r="DA243" s="239">
        <v>0</v>
      </c>
      <c r="DB243" s="239">
        <v>0</v>
      </c>
      <c r="DC243" s="239">
        <v>0</v>
      </c>
      <c r="DD243" s="239">
        <v>0</v>
      </c>
      <c r="DE243" s="239">
        <v>0</v>
      </c>
      <c r="DF243" s="239">
        <v>0</v>
      </c>
      <c r="DG243" s="239">
        <v>0</v>
      </c>
      <c r="DH243" s="239">
        <v>0</v>
      </c>
      <c r="DI243" s="239">
        <v>0</v>
      </c>
      <c r="DJ243" s="239">
        <v>-216431</v>
      </c>
      <c r="DK243" s="239">
        <v>0</v>
      </c>
      <c r="DL243" s="239">
        <v>-216431</v>
      </c>
      <c r="DM243" s="239">
        <v>-402</v>
      </c>
      <c r="DN243" s="239">
        <v>0</v>
      </c>
      <c r="DO243" s="239">
        <v>-402</v>
      </c>
      <c r="DP243" s="239">
        <v>0</v>
      </c>
      <c r="DQ243" s="239">
        <v>0</v>
      </c>
      <c r="DR243" s="239">
        <v>0</v>
      </c>
      <c r="DS243" s="239">
        <v>0</v>
      </c>
      <c r="DT243" s="239">
        <v>0</v>
      </c>
      <c r="DU243" s="239">
        <v>0</v>
      </c>
      <c r="DV243" s="239">
        <v>0</v>
      </c>
      <c r="DW243" s="239">
        <v>0</v>
      </c>
      <c r="DX243" s="239">
        <v>0</v>
      </c>
      <c r="DY243" s="239">
        <v>12573</v>
      </c>
      <c r="DZ243" s="239">
        <v>0</v>
      </c>
      <c r="EA243" s="239">
        <v>12573</v>
      </c>
      <c r="EB243" s="239">
        <v>0</v>
      </c>
      <c r="EC243" s="239">
        <v>0</v>
      </c>
      <c r="ED243" s="239">
        <v>0</v>
      </c>
      <c r="EE243" s="239">
        <v>0</v>
      </c>
      <c r="EF243" s="239">
        <v>0</v>
      </c>
      <c r="EG243" s="239">
        <v>0</v>
      </c>
      <c r="EH243" s="239">
        <v>0</v>
      </c>
      <c r="EI243" s="239">
        <v>0</v>
      </c>
      <c r="EJ243" s="239">
        <v>0</v>
      </c>
      <c r="EK243" s="239">
        <v>-37325</v>
      </c>
      <c r="EL243" s="239">
        <v>0</v>
      </c>
      <c r="EM243" s="239">
        <v>-37325</v>
      </c>
      <c r="EN243" s="239">
        <v>-1500</v>
      </c>
      <c r="EO243" s="239">
        <v>0</v>
      </c>
      <c r="EP243" s="239">
        <v>-1500</v>
      </c>
      <c r="EQ243" s="239">
        <v>-43457</v>
      </c>
      <c r="ER243" s="239">
        <v>0</v>
      </c>
      <c r="ES243" s="239">
        <v>-43457</v>
      </c>
      <c r="ET243" s="239">
        <v>-306272</v>
      </c>
      <c r="EU243" s="239">
        <v>0</v>
      </c>
      <c r="EV243" s="239">
        <v>-306272</v>
      </c>
      <c r="EW243" s="239">
        <v>-50691</v>
      </c>
      <c r="EX243" s="239">
        <v>0</v>
      </c>
      <c r="EY243" s="239">
        <v>-50691</v>
      </c>
      <c r="EZ243" s="239">
        <v>-427074</v>
      </c>
      <c r="FA243" s="239">
        <v>0</v>
      </c>
      <c r="FB243" s="239">
        <v>-427074</v>
      </c>
      <c r="FC243" s="239">
        <v>-71912</v>
      </c>
      <c r="FD243" s="239">
        <v>0</v>
      </c>
      <c r="FE243" s="239">
        <v>-71912</v>
      </c>
      <c r="FF243" s="239">
        <v>-27185</v>
      </c>
      <c r="FG243" s="239">
        <v>0</v>
      </c>
      <c r="FH243" s="239">
        <v>-27185</v>
      </c>
      <c r="FI243" s="239">
        <v>-99097</v>
      </c>
      <c r="FJ243" s="239">
        <v>0</v>
      </c>
      <c r="FK243" s="239">
        <v>-99097</v>
      </c>
      <c r="FL243" s="239">
        <v>39701051</v>
      </c>
      <c r="FM243" s="239">
        <v>0</v>
      </c>
      <c r="FN243" s="239">
        <v>39701051</v>
      </c>
      <c r="FO243" s="239">
        <v>485573</v>
      </c>
      <c r="FP243" s="239">
        <v>0</v>
      </c>
      <c r="FQ243" s="239">
        <v>485573</v>
      </c>
      <c r="FR243" s="239">
        <v>-8704077</v>
      </c>
      <c r="FS243" s="239">
        <v>0</v>
      </c>
      <c r="FT243" s="239">
        <v>-8704077</v>
      </c>
      <c r="FU243" s="239">
        <v>-908968</v>
      </c>
      <c r="FV243" s="239">
        <v>0</v>
      </c>
      <c r="FW243" s="239">
        <v>-908968</v>
      </c>
      <c r="FX243" s="239">
        <v>-216431</v>
      </c>
      <c r="FY243" s="239">
        <v>0</v>
      </c>
      <c r="FZ243" s="239">
        <v>-216431</v>
      </c>
      <c r="GA243" s="239">
        <v>-427074</v>
      </c>
      <c r="GB243" s="239">
        <v>0</v>
      </c>
      <c r="GC243" s="239">
        <v>-427074</v>
      </c>
      <c r="GD243" s="239">
        <v>-99097</v>
      </c>
      <c r="GE243" s="239">
        <v>0</v>
      </c>
      <c r="GF243" s="239">
        <v>-99097</v>
      </c>
      <c r="GG243" s="239">
        <v>-9870074</v>
      </c>
      <c r="GH243" s="239">
        <v>0</v>
      </c>
      <c r="GI243" s="239">
        <v>-9870074</v>
      </c>
      <c r="GJ243" s="239">
        <v>29830977</v>
      </c>
      <c r="GK243" s="239">
        <v>0</v>
      </c>
      <c r="GL243" s="239">
        <v>29830977</v>
      </c>
      <c r="GM243" s="214" t="s">
        <v>1158</v>
      </c>
    </row>
    <row r="244" spans="2:195" s="214" customFormat="1" x14ac:dyDescent="0.2">
      <c r="B244" s="602" t="s">
        <v>571</v>
      </c>
      <c r="C244" s="602" t="s">
        <v>570</v>
      </c>
      <c r="D244" s="239">
        <v>-1030576</v>
      </c>
      <c r="E244" s="239">
        <v>0</v>
      </c>
      <c r="F244" s="239">
        <v>-1030576</v>
      </c>
      <c r="G244" s="239">
        <v>4173</v>
      </c>
      <c r="H244" s="239">
        <v>0</v>
      </c>
      <c r="I244" s="239">
        <v>4173</v>
      </c>
      <c r="J244" s="239">
        <v>3442924</v>
      </c>
      <c r="K244" s="239">
        <v>0</v>
      </c>
      <c r="L244" s="239">
        <v>3442924</v>
      </c>
      <c r="M244" s="239">
        <v>7927</v>
      </c>
      <c r="N244" s="239">
        <v>0</v>
      </c>
      <c r="O244" s="239">
        <v>7927</v>
      </c>
      <c r="P244" s="239">
        <v>2424448</v>
      </c>
      <c r="Q244" s="239">
        <v>0</v>
      </c>
      <c r="R244" s="239">
        <v>2424448</v>
      </c>
      <c r="S244" s="239">
        <v>-2383271</v>
      </c>
      <c r="T244" s="239">
        <v>0</v>
      </c>
      <c r="U244" s="239">
        <v>-2383271</v>
      </c>
      <c r="V244" s="239">
        <v>-1963</v>
      </c>
      <c r="W244" s="239">
        <v>0</v>
      </c>
      <c r="X244" s="239">
        <v>-1963</v>
      </c>
      <c r="Y244" s="239">
        <v>-220788</v>
      </c>
      <c r="Z244" s="239">
        <v>0</v>
      </c>
      <c r="AA244" s="239">
        <v>-220788</v>
      </c>
      <c r="AB244" s="239">
        <v>-220788</v>
      </c>
      <c r="AC244" s="239">
        <v>0</v>
      </c>
      <c r="AD244" s="239">
        <v>-220788</v>
      </c>
      <c r="AE244" s="239">
        <v>0</v>
      </c>
      <c r="AF244" s="239">
        <v>0</v>
      </c>
      <c r="AG244" s="239">
        <v>0</v>
      </c>
      <c r="AH244" s="239">
        <v>517370</v>
      </c>
      <c r="AI244" s="239">
        <v>0</v>
      </c>
      <c r="AJ244" s="239">
        <v>517370</v>
      </c>
      <c r="AK244" s="239">
        <v>5584</v>
      </c>
      <c r="AL244" s="239">
        <v>0</v>
      </c>
      <c r="AM244" s="239">
        <v>5584</v>
      </c>
      <c r="AN244" s="239">
        <v>-1311681</v>
      </c>
      <c r="AO244" s="239">
        <v>0</v>
      </c>
      <c r="AP244" s="239">
        <v>-1311681</v>
      </c>
      <c r="AQ244" s="239">
        <v>-8229</v>
      </c>
      <c r="AR244" s="239">
        <v>0</v>
      </c>
      <c r="AS244" s="239">
        <v>-8229</v>
      </c>
      <c r="AT244" s="239">
        <v>-49788</v>
      </c>
      <c r="AU244" s="239">
        <v>0</v>
      </c>
      <c r="AV244" s="239">
        <v>-49788</v>
      </c>
      <c r="AW244" s="239">
        <v>0</v>
      </c>
      <c r="AX244" s="239">
        <v>0</v>
      </c>
      <c r="AY244" s="239">
        <v>0</v>
      </c>
      <c r="AZ244" s="239">
        <v>-28763</v>
      </c>
      <c r="BA244" s="239">
        <v>0</v>
      </c>
      <c r="BB244" s="239">
        <v>-28763</v>
      </c>
      <c r="BC244" s="239">
        <v>-862</v>
      </c>
      <c r="BD244" s="239">
        <v>0</v>
      </c>
      <c r="BE244" s="239">
        <v>-862</v>
      </c>
      <c r="BF244" s="239">
        <v>-3480428</v>
      </c>
      <c r="BG244" s="239">
        <v>0</v>
      </c>
      <c r="BH244" s="239">
        <v>-3480428</v>
      </c>
      <c r="BI244" s="239">
        <v>0</v>
      </c>
      <c r="BJ244" s="239">
        <v>0</v>
      </c>
      <c r="BK244" s="239">
        <v>0</v>
      </c>
      <c r="BL244" s="239">
        <v>-427469</v>
      </c>
      <c r="BM244" s="239">
        <v>0</v>
      </c>
      <c r="BN244" s="239">
        <v>-427469</v>
      </c>
      <c r="BO244" s="239">
        <v>-287536</v>
      </c>
      <c r="BP244" s="239">
        <v>0</v>
      </c>
      <c r="BQ244" s="239">
        <v>-287536</v>
      </c>
      <c r="BR244" s="239">
        <v>-62053</v>
      </c>
      <c r="BS244" s="239">
        <v>0</v>
      </c>
      <c r="BT244" s="239">
        <v>-62053</v>
      </c>
      <c r="BU244" s="239">
        <v>-777058</v>
      </c>
      <c r="BV244" s="239">
        <v>0</v>
      </c>
      <c r="BW244" s="239">
        <v>-777058</v>
      </c>
      <c r="BX244" s="239">
        <v>-82263</v>
      </c>
      <c r="BY244" s="239">
        <v>0</v>
      </c>
      <c r="BZ244" s="239">
        <v>-82263</v>
      </c>
      <c r="CA244" s="239">
        <v>-1541</v>
      </c>
      <c r="CB244" s="239">
        <v>0</v>
      </c>
      <c r="CC244" s="239">
        <v>-1541</v>
      </c>
      <c r="CD244" s="239">
        <v>-41672</v>
      </c>
      <c r="CE244" s="239">
        <v>0</v>
      </c>
      <c r="CF244" s="239">
        <v>-41672</v>
      </c>
      <c r="CG244" s="239">
        <v>-3412</v>
      </c>
      <c r="CH244" s="239">
        <v>0</v>
      </c>
      <c r="CI244" s="239">
        <v>-3412</v>
      </c>
      <c r="CJ244" s="239">
        <v>-6566</v>
      </c>
      <c r="CK244" s="239">
        <v>0</v>
      </c>
      <c r="CL244" s="239">
        <v>-6566</v>
      </c>
      <c r="CM244" s="239">
        <v>0</v>
      </c>
      <c r="CN244" s="239">
        <v>0</v>
      </c>
      <c r="CO244" s="239">
        <v>0</v>
      </c>
      <c r="CP244" s="239">
        <v>0</v>
      </c>
      <c r="CQ244" s="239">
        <v>0</v>
      </c>
      <c r="CR244" s="239">
        <v>0</v>
      </c>
      <c r="CS244" s="239">
        <v>-862</v>
      </c>
      <c r="CT244" s="239">
        <v>0</v>
      </c>
      <c r="CU244" s="239">
        <v>-862</v>
      </c>
      <c r="CV244" s="239">
        <v>0</v>
      </c>
      <c r="CW244" s="239">
        <v>0</v>
      </c>
      <c r="CX244" s="239">
        <v>0</v>
      </c>
      <c r="CY244" s="239">
        <v>0</v>
      </c>
      <c r="CZ244" s="239">
        <v>0</v>
      </c>
      <c r="DA244" s="239">
        <v>0</v>
      </c>
      <c r="DB244" s="239">
        <v>0</v>
      </c>
      <c r="DC244" s="239">
        <v>0</v>
      </c>
      <c r="DD244" s="239">
        <v>0</v>
      </c>
      <c r="DE244" s="239">
        <v>0</v>
      </c>
      <c r="DF244" s="239">
        <v>0</v>
      </c>
      <c r="DG244" s="239">
        <v>0</v>
      </c>
      <c r="DH244" s="239">
        <v>0</v>
      </c>
      <c r="DI244" s="239">
        <v>0</v>
      </c>
      <c r="DJ244" s="239">
        <v>-136316</v>
      </c>
      <c r="DK244" s="239">
        <v>0</v>
      </c>
      <c r="DL244" s="239">
        <v>-136316</v>
      </c>
      <c r="DM244" s="239">
        <v>0</v>
      </c>
      <c r="DN244" s="239">
        <v>0</v>
      </c>
      <c r="DO244" s="239">
        <v>0</v>
      </c>
      <c r="DP244" s="239">
        <v>0</v>
      </c>
      <c r="DQ244" s="239">
        <v>0</v>
      </c>
      <c r="DR244" s="239">
        <v>0</v>
      </c>
      <c r="DS244" s="239">
        <v>0</v>
      </c>
      <c r="DT244" s="239">
        <v>0</v>
      </c>
      <c r="DU244" s="239">
        <v>0</v>
      </c>
      <c r="DV244" s="239">
        <v>0</v>
      </c>
      <c r="DW244" s="239">
        <v>0</v>
      </c>
      <c r="DX244" s="239">
        <v>0</v>
      </c>
      <c r="DY244" s="239">
        <v>3558</v>
      </c>
      <c r="DZ244" s="239">
        <v>0</v>
      </c>
      <c r="EA244" s="239">
        <v>3558</v>
      </c>
      <c r="EB244" s="239">
        <v>0</v>
      </c>
      <c r="EC244" s="239">
        <v>0</v>
      </c>
      <c r="ED244" s="239">
        <v>0</v>
      </c>
      <c r="EE244" s="239">
        <v>0</v>
      </c>
      <c r="EF244" s="239">
        <v>0</v>
      </c>
      <c r="EG244" s="239">
        <v>0</v>
      </c>
      <c r="EH244" s="239">
        <v>0</v>
      </c>
      <c r="EI244" s="239">
        <v>0</v>
      </c>
      <c r="EJ244" s="239">
        <v>0</v>
      </c>
      <c r="EK244" s="239">
        <v>-28763</v>
      </c>
      <c r="EL244" s="239">
        <v>0</v>
      </c>
      <c r="EM244" s="239">
        <v>-28763</v>
      </c>
      <c r="EN244" s="239">
        <v>-1500</v>
      </c>
      <c r="EO244" s="239">
        <v>0</v>
      </c>
      <c r="EP244" s="239">
        <v>-1500</v>
      </c>
      <c r="EQ244" s="239">
        <v>-38927</v>
      </c>
      <c r="ER244" s="239">
        <v>0</v>
      </c>
      <c r="ES244" s="239">
        <v>-38927</v>
      </c>
      <c r="ET244" s="239">
        <v>-100915</v>
      </c>
      <c r="EU244" s="239">
        <v>0</v>
      </c>
      <c r="EV244" s="239">
        <v>-100915</v>
      </c>
      <c r="EW244" s="239">
        <v>-21596</v>
      </c>
      <c r="EX244" s="239">
        <v>0</v>
      </c>
      <c r="EY244" s="239">
        <v>-21596</v>
      </c>
      <c r="EZ244" s="239">
        <v>-188143</v>
      </c>
      <c r="FA244" s="239">
        <v>0</v>
      </c>
      <c r="FB244" s="239">
        <v>-188143</v>
      </c>
      <c r="FC244" s="239">
        <v>0</v>
      </c>
      <c r="FD244" s="239">
        <v>0</v>
      </c>
      <c r="FE244" s="239">
        <v>0</v>
      </c>
      <c r="FF244" s="239">
        <v>0</v>
      </c>
      <c r="FG244" s="239">
        <v>0</v>
      </c>
      <c r="FH244" s="239">
        <v>0</v>
      </c>
      <c r="FI244" s="239">
        <v>0</v>
      </c>
      <c r="FJ244" s="239">
        <v>0</v>
      </c>
      <c r="FK244" s="239">
        <v>0</v>
      </c>
      <c r="FL244" s="239">
        <v>28112733</v>
      </c>
      <c r="FM244" s="239">
        <v>0</v>
      </c>
      <c r="FN244" s="239">
        <v>28112733</v>
      </c>
      <c r="FO244" s="239">
        <v>2424448</v>
      </c>
      <c r="FP244" s="239">
        <v>0</v>
      </c>
      <c r="FQ244" s="239">
        <v>2424448</v>
      </c>
      <c r="FR244" s="239">
        <v>-3480428</v>
      </c>
      <c r="FS244" s="239">
        <v>0</v>
      </c>
      <c r="FT244" s="239">
        <v>-3480428</v>
      </c>
      <c r="FU244" s="239">
        <v>-777058</v>
      </c>
      <c r="FV244" s="239">
        <v>0</v>
      </c>
      <c r="FW244" s="239">
        <v>-777058</v>
      </c>
      <c r="FX244" s="239">
        <v>-136316</v>
      </c>
      <c r="FY244" s="239">
        <v>0</v>
      </c>
      <c r="FZ244" s="239">
        <v>-136316</v>
      </c>
      <c r="GA244" s="239">
        <v>-188143</v>
      </c>
      <c r="GB244" s="239">
        <v>0</v>
      </c>
      <c r="GC244" s="239">
        <v>-188143</v>
      </c>
      <c r="GD244" s="239">
        <v>0</v>
      </c>
      <c r="GE244" s="239">
        <v>0</v>
      </c>
      <c r="GF244" s="239">
        <v>0</v>
      </c>
      <c r="GG244" s="239">
        <v>-2157497</v>
      </c>
      <c r="GH244" s="239">
        <v>0</v>
      </c>
      <c r="GI244" s="239">
        <v>-2157497</v>
      </c>
      <c r="GJ244" s="239">
        <v>25955236</v>
      </c>
      <c r="GK244" s="239">
        <v>0</v>
      </c>
      <c r="GL244" s="239">
        <v>25955236</v>
      </c>
      <c r="GM244" s="214" t="s">
        <v>1158</v>
      </c>
    </row>
    <row r="245" spans="2:195" s="214" customFormat="1" x14ac:dyDescent="0.2">
      <c r="B245" s="602" t="s">
        <v>573</v>
      </c>
      <c r="C245" s="602" t="s">
        <v>572</v>
      </c>
      <c r="D245" s="239">
        <v>-1669344</v>
      </c>
      <c r="E245" s="239">
        <v>0</v>
      </c>
      <c r="F245" s="239">
        <v>-1669344</v>
      </c>
      <c r="G245" s="239">
        <v>12684</v>
      </c>
      <c r="H245" s="239">
        <v>0</v>
      </c>
      <c r="I245" s="239">
        <v>12684</v>
      </c>
      <c r="J245" s="239">
        <v>1557240</v>
      </c>
      <c r="K245" s="239">
        <v>0</v>
      </c>
      <c r="L245" s="239">
        <v>1557240</v>
      </c>
      <c r="M245" s="239">
        <v>264474</v>
      </c>
      <c r="N245" s="239">
        <v>0</v>
      </c>
      <c r="O245" s="239">
        <v>264474</v>
      </c>
      <c r="P245" s="239">
        <v>165054</v>
      </c>
      <c r="Q245" s="239">
        <v>0</v>
      </c>
      <c r="R245" s="239">
        <v>165054</v>
      </c>
      <c r="S245" s="239">
        <v>-4331805</v>
      </c>
      <c r="T245" s="239">
        <v>0</v>
      </c>
      <c r="U245" s="239">
        <v>-4331805</v>
      </c>
      <c r="V245" s="239">
        <v>0</v>
      </c>
      <c r="W245" s="239">
        <v>0</v>
      </c>
      <c r="X245" s="239">
        <v>0</v>
      </c>
      <c r="Y245" s="239">
        <v>-162545</v>
      </c>
      <c r="Z245" s="239">
        <v>0</v>
      </c>
      <c r="AA245" s="239">
        <v>-162545</v>
      </c>
      <c r="AB245" s="239">
        <v>0</v>
      </c>
      <c r="AC245" s="239">
        <v>0</v>
      </c>
      <c r="AD245" s="239">
        <v>0</v>
      </c>
      <c r="AE245" s="239">
        <v>0</v>
      </c>
      <c r="AF245" s="239">
        <v>0</v>
      </c>
      <c r="AG245" s="239">
        <v>0</v>
      </c>
      <c r="AH245" s="239">
        <v>891015</v>
      </c>
      <c r="AI245" s="239">
        <v>0</v>
      </c>
      <c r="AJ245" s="239">
        <v>891015</v>
      </c>
      <c r="AK245" s="239">
        <v>273862</v>
      </c>
      <c r="AL245" s="239">
        <v>0</v>
      </c>
      <c r="AM245" s="239">
        <v>273862</v>
      </c>
      <c r="AN245" s="239">
        <v>-3748426</v>
      </c>
      <c r="AO245" s="239">
        <v>0</v>
      </c>
      <c r="AP245" s="239">
        <v>-3748426</v>
      </c>
      <c r="AQ245" s="239">
        <v>-72630</v>
      </c>
      <c r="AR245" s="239">
        <v>0</v>
      </c>
      <c r="AS245" s="239">
        <v>-72630</v>
      </c>
      <c r="AT245" s="239">
        <v>-80729</v>
      </c>
      <c r="AU245" s="239">
        <v>0</v>
      </c>
      <c r="AV245" s="239">
        <v>-80729</v>
      </c>
      <c r="AW245" s="239">
        <v>25995</v>
      </c>
      <c r="AX245" s="239">
        <v>0</v>
      </c>
      <c r="AY245" s="239">
        <v>25995</v>
      </c>
      <c r="AZ245" s="239">
        <v>-44776</v>
      </c>
      <c r="BA245" s="239">
        <v>0</v>
      </c>
      <c r="BB245" s="239">
        <v>-44776</v>
      </c>
      <c r="BC245" s="239">
        <v>320</v>
      </c>
      <c r="BD245" s="239">
        <v>0</v>
      </c>
      <c r="BE245" s="239">
        <v>320</v>
      </c>
      <c r="BF245" s="239">
        <v>-7249719</v>
      </c>
      <c r="BG245" s="239">
        <v>0</v>
      </c>
      <c r="BH245" s="239">
        <v>-7249719</v>
      </c>
      <c r="BI245" s="239">
        <v>0</v>
      </c>
      <c r="BJ245" s="239">
        <v>0</v>
      </c>
      <c r="BK245" s="239">
        <v>0</v>
      </c>
      <c r="BL245" s="239">
        <v>0</v>
      </c>
      <c r="BM245" s="239">
        <v>0</v>
      </c>
      <c r="BN245" s="239">
        <v>0</v>
      </c>
      <c r="BO245" s="239">
        <v>-1009011</v>
      </c>
      <c r="BP245" s="239">
        <v>0</v>
      </c>
      <c r="BQ245" s="239">
        <v>-1009011</v>
      </c>
      <c r="BR245" s="239">
        <v>-113499</v>
      </c>
      <c r="BS245" s="239">
        <v>0</v>
      </c>
      <c r="BT245" s="239">
        <v>-113499</v>
      </c>
      <c r="BU245" s="239">
        <v>-1122510</v>
      </c>
      <c r="BV245" s="239">
        <v>0</v>
      </c>
      <c r="BW245" s="239">
        <v>-1122510</v>
      </c>
      <c r="BX245" s="239">
        <v>-16674</v>
      </c>
      <c r="BY245" s="239">
        <v>0</v>
      </c>
      <c r="BZ245" s="239">
        <v>-16674</v>
      </c>
      <c r="CA245" s="239">
        <v>-570</v>
      </c>
      <c r="CB245" s="239">
        <v>0</v>
      </c>
      <c r="CC245" s="239">
        <v>-570</v>
      </c>
      <c r="CD245" s="239">
        <v>-5099</v>
      </c>
      <c r="CE245" s="239">
        <v>0</v>
      </c>
      <c r="CF245" s="239">
        <v>-5099</v>
      </c>
      <c r="CG245" s="239">
        <v>-2072</v>
      </c>
      <c r="CH245" s="239">
        <v>0</v>
      </c>
      <c r="CI245" s="239">
        <v>-2072</v>
      </c>
      <c r="CJ245" s="239">
        <v>-1284</v>
      </c>
      <c r="CK245" s="239">
        <v>0</v>
      </c>
      <c r="CL245" s="239">
        <v>-1284</v>
      </c>
      <c r="CM245" s="239">
        <v>0</v>
      </c>
      <c r="CN245" s="239">
        <v>0</v>
      </c>
      <c r="CO245" s="239">
        <v>0</v>
      </c>
      <c r="CP245" s="239">
        <v>0</v>
      </c>
      <c r="CQ245" s="239">
        <v>0</v>
      </c>
      <c r="CR245" s="239">
        <v>0</v>
      </c>
      <c r="CS245" s="239">
        <v>117</v>
      </c>
      <c r="CT245" s="239">
        <v>0</v>
      </c>
      <c r="CU245" s="239">
        <v>117</v>
      </c>
      <c r="CV245" s="239">
        <v>-34709</v>
      </c>
      <c r="CW245" s="239">
        <v>0</v>
      </c>
      <c r="CX245" s="239">
        <v>-34709</v>
      </c>
      <c r="CY245" s="239">
        <v>-2181</v>
      </c>
      <c r="CZ245" s="239">
        <v>0</v>
      </c>
      <c r="DA245" s="239">
        <v>-2181</v>
      </c>
      <c r="DB245" s="239">
        <v>0</v>
      </c>
      <c r="DC245" s="239">
        <v>0</v>
      </c>
      <c r="DD245" s="239">
        <v>0</v>
      </c>
      <c r="DE245" s="239">
        <v>0</v>
      </c>
      <c r="DF245" s="239">
        <v>0</v>
      </c>
      <c r="DG245" s="239">
        <v>0</v>
      </c>
      <c r="DH245" s="239">
        <v>0</v>
      </c>
      <c r="DI245" s="239">
        <v>0</v>
      </c>
      <c r="DJ245" s="239">
        <v>-62472</v>
      </c>
      <c r="DK245" s="239">
        <v>0</v>
      </c>
      <c r="DL245" s="239">
        <v>-62472</v>
      </c>
      <c r="DM245" s="239">
        <v>-4352</v>
      </c>
      <c r="DN245" s="239">
        <v>0</v>
      </c>
      <c r="DO245" s="239">
        <v>-4352</v>
      </c>
      <c r="DP245" s="239">
        <v>0</v>
      </c>
      <c r="DQ245" s="239">
        <v>0</v>
      </c>
      <c r="DR245" s="239">
        <v>0</v>
      </c>
      <c r="DS245" s="239">
        <v>-3101</v>
      </c>
      <c r="DT245" s="239">
        <v>0</v>
      </c>
      <c r="DU245" s="239">
        <v>-3101</v>
      </c>
      <c r="DV245" s="239">
        <v>0</v>
      </c>
      <c r="DW245" s="239">
        <v>0</v>
      </c>
      <c r="DX245" s="239">
        <v>0</v>
      </c>
      <c r="DY245" s="239">
        <v>5317</v>
      </c>
      <c r="DZ245" s="239">
        <v>0</v>
      </c>
      <c r="EA245" s="239">
        <v>5317</v>
      </c>
      <c r="EB245" s="239">
        <v>0</v>
      </c>
      <c r="EC245" s="239">
        <v>0</v>
      </c>
      <c r="ED245" s="239">
        <v>0</v>
      </c>
      <c r="EE245" s="239">
        <v>0</v>
      </c>
      <c r="EF245" s="239">
        <v>0</v>
      </c>
      <c r="EG245" s="239">
        <v>0</v>
      </c>
      <c r="EH245" s="239">
        <v>0</v>
      </c>
      <c r="EI245" s="239">
        <v>0</v>
      </c>
      <c r="EJ245" s="239">
        <v>0</v>
      </c>
      <c r="EK245" s="239">
        <v>-44776</v>
      </c>
      <c r="EL245" s="239">
        <v>0</v>
      </c>
      <c r="EM245" s="239">
        <v>-44776</v>
      </c>
      <c r="EN245" s="239">
        <v>-3000</v>
      </c>
      <c r="EO245" s="239">
        <v>0</v>
      </c>
      <c r="EP245" s="239">
        <v>-3000</v>
      </c>
      <c r="EQ245" s="239">
        <v>-22866</v>
      </c>
      <c r="ER245" s="239">
        <v>0</v>
      </c>
      <c r="ES245" s="239">
        <v>-22866</v>
      </c>
      <c r="ET245" s="239">
        <v>-316915</v>
      </c>
      <c r="EU245" s="239">
        <v>0</v>
      </c>
      <c r="EV245" s="239">
        <v>-316915</v>
      </c>
      <c r="EW245" s="239">
        <v>-57119</v>
      </c>
      <c r="EX245" s="239">
        <v>0</v>
      </c>
      <c r="EY245" s="239">
        <v>-57119</v>
      </c>
      <c r="EZ245" s="239">
        <v>-446812</v>
      </c>
      <c r="FA245" s="239">
        <v>0</v>
      </c>
      <c r="FB245" s="239">
        <v>-446812</v>
      </c>
      <c r="FC245" s="239">
        <v>0</v>
      </c>
      <c r="FD245" s="239">
        <v>0</v>
      </c>
      <c r="FE245" s="239">
        <v>0</v>
      </c>
      <c r="FF245" s="239">
        <v>0</v>
      </c>
      <c r="FG245" s="239">
        <v>0</v>
      </c>
      <c r="FH245" s="239">
        <v>0</v>
      </c>
      <c r="FI245" s="239">
        <v>0</v>
      </c>
      <c r="FJ245" s="239">
        <v>0</v>
      </c>
      <c r="FK245" s="239">
        <v>0</v>
      </c>
      <c r="FL245" s="239">
        <v>49332806</v>
      </c>
      <c r="FM245" s="239">
        <v>0</v>
      </c>
      <c r="FN245" s="239">
        <v>49332806</v>
      </c>
      <c r="FO245" s="239">
        <v>165054</v>
      </c>
      <c r="FP245" s="239">
        <v>0</v>
      </c>
      <c r="FQ245" s="239">
        <v>165054</v>
      </c>
      <c r="FR245" s="239">
        <v>-7249719</v>
      </c>
      <c r="FS245" s="239">
        <v>0</v>
      </c>
      <c r="FT245" s="239">
        <v>-7249719</v>
      </c>
      <c r="FU245" s="239">
        <v>-1122510</v>
      </c>
      <c r="FV245" s="239">
        <v>0</v>
      </c>
      <c r="FW245" s="239">
        <v>-1122510</v>
      </c>
      <c r="FX245" s="239">
        <v>-62472</v>
      </c>
      <c r="FY245" s="239">
        <v>0</v>
      </c>
      <c r="FZ245" s="239">
        <v>-62472</v>
      </c>
      <c r="GA245" s="239">
        <v>-446812</v>
      </c>
      <c r="GB245" s="239">
        <v>0</v>
      </c>
      <c r="GC245" s="239">
        <v>-446812</v>
      </c>
      <c r="GD245" s="239">
        <v>0</v>
      </c>
      <c r="GE245" s="239">
        <v>0</v>
      </c>
      <c r="GF245" s="239">
        <v>0</v>
      </c>
      <c r="GG245" s="239">
        <v>-8716459</v>
      </c>
      <c r="GH245" s="239">
        <v>0</v>
      </c>
      <c r="GI245" s="239">
        <v>-8716459</v>
      </c>
      <c r="GJ245" s="239">
        <v>40616347</v>
      </c>
      <c r="GK245" s="239">
        <v>0</v>
      </c>
      <c r="GL245" s="239">
        <v>40616347</v>
      </c>
      <c r="GM245" s="214" t="s">
        <v>1158</v>
      </c>
    </row>
    <row r="246" spans="2:195" s="214" customFormat="1" x14ac:dyDescent="0.2">
      <c r="B246" s="602" t="s">
        <v>575</v>
      </c>
      <c r="C246" s="602" t="s">
        <v>574</v>
      </c>
      <c r="D246" s="239">
        <v>-2910098</v>
      </c>
      <c r="E246" s="239">
        <v>0</v>
      </c>
      <c r="F246" s="239">
        <v>-2910098</v>
      </c>
      <c r="G246" s="239">
        <v>83459</v>
      </c>
      <c r="H246" s="239">
        <v>0</v>
      </c>
      <c r="I246" s="239">
        <v>83459</v>
      </c>
      <c r="J246" s="239">
        <v>1482867</v>
      </c>
      <c r="K246" s="239">
        <v>0</v>
      </c>
      <c r="L246" s="239">
        <v>1482867</v>
      </c>
      <c r="M246" s="239">
        <v>-6749</v>
      </c>
      <c r="N246" s="239">
        <v>0</v>
      </c>
      <c r="O246" s="239">
        <v>-6749</v>
      </c>
      <c r="P246" s="239">
        <v>-1350521</v>
      </c>
      <c r="Q246" s="239">
        <v>0</v>
      </c>
      <c r="R246" s="239">
        <v>-1350521</v>
      </c>
      <c r="S246" s="239">
        <v>-8592459</v>
      </c>
      <c r="T246" s="239">
        <v>0</v>
      </c>
      <c r="U246" s="239">
        <v>-8592459</v>
      </c>
      <c r="V246" s="239">
        <v>-10133</v>
      </c>
      <c r="W246" s="239">
        <v>0</v>
      </c>
      <c r="X246" s="239">
        <v>-10133</v>
      </c>
      <c r="Y246" s="239">
        <v>-238403</v>
      </c>
      <c r="Z246" s="239">
        <v>0</v>
      </c>
      <c r="AA246" s="239">
        <v>-238403</v>
      </c>
      <c r="AB246" s="239">
        <v>-239119</v>
      </c>
      <c r="AC246" s="239">
        <v>0</v>
      </c>
      <c r="AD246" s="239">
        <v>-239119</v>
      </c>
      <c r="AE246" s="239">
        <v>716</v>
      </c>
      <c r="AF246" s="239">
        <v>0</v>
      </c>
      <c r="AG246" s="239">
        <v>716</v>
      </c>
      <c r="AH246" s="239">
        <v>786624</v>
      </c>
      <c r="AI246" s="239">
        <v>0</v>
      </c>
      <c r="AJ246" s="239">
        <v>786624</v>
      </c>
      <c r="AK246" s="239">
        <v>-29286</v>
      </c>
      <c r="AL246" s="239">
        <v>0</v>
      </c>
      <c r="AM246" s="239">
        <v>-29286</v>
      </c>
      <c r="AN246" s="239">
        <v>-3071111</v>
      </c>
      <c r="AO246" s="239">
        <v>0</v>
      </c>
      <c r="AP246" s="239">
        <v>-3071111</v>
      </c>
      <c r="AQ246" s="239">
        <v>25613</v>
      </c>
      <c r="AR246" s="239">
        <v>0</v>
      </c>
      <c r="AS246" s="239">
        <v>25613</v>
      </c>
      <c r="AT246" s="239">
        <v>-111594</v>
      </c>
      <c r="AU246" s="239">
        <v>0</v>
      </c>
      <c r="AV246" s="239">
        <v>-111594</v>
      </c>
      <c r="AW246" s="239">
        <v>181</v>
      </c>
      <c r="AX246" s="239">
        <v>0</v>
      </c>
      <c r="AY246" s="239">
        <v>181</v>
      </c>
      <c r="AZ246" s="239">
        <v>-19479</v>
      </c>
      <c r="BA246" s="239">
        <v>0</v>
      </c>
      <c r="BB246" s="239">
        <v>-19479</v>
      </c>
      <c r="BC246" s="239">
        <v>0</v>
      </c>
      <c r="BD246" s="239">
        <v>0</v>
      </c>
      <c r="BE246" s="239">
        <v>0</v>
      </c>
      <c r="BF246" s="239">
        <v>-11249914</v>
      </c>
      <c r="BG246" s="239">
        <v>0</v>
      </c>
      <c r="BH246" s="239">
        <v>-11249914</v>
      </c>
      <c r="BI246" s="239">
        <v>0</v>
      </c>
      <c r="BJ246" s="239">
        <v>0</v>
      </c>
      <c r="BK246" s="239">
        <v>0</v>
      </c>
      <c r="BL246" s="239">
        <v>184</v>
      </c>
      <c r="BM246" s="239">
        <v>0</v>
      </c>
      <c r="BN246" s="239">
        <v>184</v>
      </c>
      <c r="BO246" s="239">
        <v>-783719</v>
      </c>
      <c r="BP246" s="239">
        <v>0</v>
      </c>
      <c r="BQ246" s="239">
        <v>-783719</v>
      </c>
      <c r="BR246" s="239">
        <v>-59240</v>
      </c>
      <c r="BS246" s="239">
        <v>0</v>
      </c>
      <c r="BT246" s="239">
        <v>-59240</v>
      </c>
      <c r="BU246" s="239">
        <v>-842775</v>
      </c>
      <c r="BV246" s="239">
        <v>0</v>
      </c>
      <c r="BW246" s="239">
        <v>-842775</v>
      </c>
      <c r="BX246" s="239">
        <v>-76676</v>
      </c>
      <c r="BY246" s="239">
        <v>0</v>
      </c>
      <c r="BZ246" s="239">
        <v>-76676</v>
      </c>
      <c r="CA246" s="239">
        <v>-720</v>
      </c>
      <c r="CB246" s="239">
        <v>0</v>
      </c>
      <c r="CC246" s="239">
        <v>-720</v>
      </c>
      <c r="CD246" s="239">
        <v>-15407</v>
      </c>
      <c r="CE246" s="239">
        <v>0</v>
      </c>
      <c r="CF246" s="239">
        <v>-15407</v>
      </c>
      <c r="CG246" s="239">
        <v>223</v>
      </c>
      <c r="CH246" s="239">
        <v>0</v>
      </c>
      <c r="CI246" s="239">
        <v>223</v>
      </c>
      <c r="CJ246" s="239">
        <v>-11832</v>
      </c>
      <c r="CK246" s="239">
        <v>0</v>
      </c>
      <c r="CL246" s="239">
        <v>-11832</v>
      </c>
      <c r="CM246" s="239">
        <v>-279</v>
      </c>
      <c r="CN246" s="239">
        <v>0</v>
      </c>
      <c r="CO246" s="239">
        <v>-279</v>
      </c>
      <c r="CP246" s="239">
        <v>0</v>
      </c>
      <c r="CQ246" s="239">
        <v>0</v>
      </c>
      <c r="CR246" s="239">
        <v>0</v>
      </c>
      <c r="CS246" s="239">
        <v>0</v>
      </c>
      <c r="CT246" s="239">
        <v>0</v>
      </c>
      <c r="CU246" s="239">
        <v>0</v>
      </c>
      <c r="CV246" s="239">
        <v>-8770</v>
      </c>
      <c r="CW246" s="239">
        <v>0</v>
      </c>
      <c r="CX246" s="239">
        <v>-8770</v>
      </c>
      <c r="CY246" s="239">
        <v>0</v>
      </c>
      <c r="CZ246" s="239">
        <v>0</v>
      </c>
      <c r="DA246" s="239">
        <v>0</v>
      </c>
      <c r="DB246" s="239">
        <v>0</v>
      </c>
      <c r="DC246" s="239">
        <v>0</v>
      </c>
      <c r="DD246" s="239">
        <v>0</v>
      </c>
      <c r="DE246" s="239">
        <v>0</v>
      </c>
      <c r="DF246" s="239">
        <v>0</v>
      </c>
      <c r="DG246" s="239">
        <v>0</v>
      </c>
      <c r="DH246" s="239">
        <v>0</v>
      </c>
      <c r="DI246" s="239">
        <v>0</v>
      </c>
      <c r="DJ246" s="239">
        <v>-113461</v>
      </c>
      <c r="DK246" s="239">
        <v>0</v>
      </c>
      <c r="DL246" s="239">
        <v>-113461</v>
      </c>
      <c r="DM246" s="239">
        <v>-870</v>
      </c>
      <c r="DN246" s="239">
        <v>0</v>
      </c>
      <c r="DO246" s="239">
        <v>-870</v>
      </c>
      <c r="DP246" s="239">
        <v>691</v>
      </c>
      <c r="DQ246" s="239">
        <v>0</v>
      </c>
      <c r="DR246" s="239">
        <v>691</v>
      </c>
      <c r="DS246" s="239">
        <v>-4464</v>
      </c>
      <c r="DT246" s="239">
        <v>0</v>
      </c>
      <c r="DU246" s="239">
        <v>-4464</v>
      </c>
      <c r="DV246" s="239">
        <v>-10731</v>
      </c>
      <c r="DW246" s="239">
        <v>0</v>
      </c>
      <c r="DX246" s="239">
        <v>-10731</v>
      </c>
      <c r="DY246" s="239">
        <v>1105</v>
      </c>
      <c r="DZ246" s="239">
        <v>0</v>
      </c>
      <c r="EA246" s="239">
        <v>1105</v>
      </c>
      <c r="EB246" s="239">
        <v>-16796</v>
      </c>
      <c r="EC246" s="239">
        <v>0</v>
      </c>
      <c r="ED246" s="239">
        <v>-16796</v>
      </c>
      <c r="EE246" s="239">
        <v>46470</v>
      </c>
      <c r="EF246" s="239">
        <v>0</v>
      </c>
      <c r="EG246" s="239">
        <v>46470</v>
      </c>
      <c r="EH246" s="239">
        <v>58</v>
      </c>
      <c r="EI246" s="239">
        <v>0</v>
      </c>
      <c r="EJ246" s="239">
        <v>58</v>
      </c>
      <c r="EK246" s="239">
        <v>-19479</v>
      </c>
      <c r="EL246" s="239">
        <v>0</v>
      </c>
      <c r="EM246" s="239">
        <v>-19479</v>
      </c>
      <c r="EN246" s="239">
        <v>-1500</v>
      </c>
      <c r="EO246" s="239">
        <v>0</v>
      </c>
      <c r="EP246" s="239">
        <v>-1500</v>
      </c>
      <c r="EQ246" s="239">
        <v>-67495</v>
      </c>
      <c r="ER246" s="239">
        <v>0</v>
      </c>
      <c r="ES246" s="239">
        <v>-67495</v>
      </c>
      <c r="ET246" s="239">
        <v>-335289</v>
      </c>
      <c r="EU246" s="239">
        <v>0</v>
      </c>
      <c r="EV246" s="239">
        <v>-335289</v>
      </c>
      <c r="EW246" s="239">
        <v>-123403</v>
      </c>
      <c r="EX246" s="239">
        <v>0</v>
      </c>
      <c r="EY246" s="239">
        <v>-123403</v>
      </c>
      <c r="EZ246" s="239">
        <v>-531703</v>
      </c>
      <c r="FA246" s="239">
        <v>0</v>
      </c>
      <c r="FB246" s="239">
        <v>-531703</v>
      </c>
      <c r="FC246" s="239">
        <v>0</v>
      </c>
      <c r="FD246" s="239">
        <v>0</v>
      </c>
      <c r="FE246" s="239">
        <v>0</v>
      </c>
      <c r="FF246" s="239">
        <v>0</v>
      </c>
      <c r="FG246" s="239">
        <v>0</v>
      </c>
      <c r="FH246" s="239">
        <v>0</v>
      </c>
      <c r="FI246" s="239">
        <v>0</v>
      </c>
      <c r="FJ246" s="239">
        <v>0</v>
      </c>
      <c r="FK246" s="239">
        <v>0</v>
      </c>
      <c r="FL246" s="239">
        <v>54664190</v>
      </c>
      <c r="FM246" s="239">
        <v>0</v>
      </c>
      <c r="FN246" s="239">
        <v>54664190</v>
      </c>
      <c r="FO246" s="239">
        <v>-1350521</v>
      </c>
      <c r="FP246" s="239">
        <v>0</v>
      </c>
      <c r="FQ246" s="239">
        <v>-1350521</v>
      </c>
      <c r="FR246" s="239">
        <v>-11249914</v>
      </c>
      <c r="FS246" s="239">
        <v>0</v>
      </c>
      <c r="FT246" s="239">
        <v>-11249914</v>
      </c>
      <c r="FU246" s="239">
        <v>-842775</v>
      </c>
      <c r="FV246" s="239">
        <v>0</v>
      </c>
      <c r="FW246" s="239">
        <v>-842775</v>
      </c>
      <c r="FX246" s="239">
        <v>-113461</v>
      </c>
      <c r="FY246" s="239">
        <v>0</v>
      </c>
      <c r="FZ246" s="239">
        <v>-113461</v>
      </c>
      <c r="GA246" s="239">
        <v>-531703</v>
      </c>
      <c r="GB246" s="239">
        <v>0</v>
      </c>
      <c r="GC246" s="239">
        <v>-531703</v>
      </c>
      <c r="GD246" s="239">
        <v>0</v>
      </c>
      <c r="GE246" s="239">
        <v>0</v>
      </c>
      <c r="GF246" s="239">
        <v>0</v>
      </c>
      <c r="GG246" s="239">
        <v>-14088374</v>
      </c>
      <c r="GH246" s="239">
        <v>0</v>
      </c>
      <c r="GI246" s="239">
        <v>-14088374</v>
      </c>
      <c r="GJ246" s="239">
        <v>40575816</v>
      </c>
      <c r="GK246" s="239">
        <v>0</v>
      </c>
      <c r="GL246" s="239">
        <v>40575816</v>
      </c>
      <c r="GM246" s="214" t="s">
        <v>1158</v>
      </c>
    </row>
    <row r="247" spans="2:195" s="214" customFormat="1" x14ac:dyDescent="0.2">
      <c r="B247" s="602" t="s">
        <v>577</v>
      </c>
      <c r="C247" s="602" t="s">
        <v>576</v>
      </c>
      <c r="D247" s="239">
        <v>-1341002</v>
      </c>
      <c r="E247" s="239">
        <v>0</v>
      </c>
      <c r="F247" s="239">
        <v>-1341002</v>
      </c>
      <c r="G247" s="239">
        <v>106137</v>
      </c>
      <c r="H247" s="239">
        <v>0</v>
      </c>
      <c r="I247" s="239">
        <v>106137</v>
      </c>
      <c r="J247" s="239">
        <v>1346244</v>
      </c>
      <c r="K247" s="239">
        <v>11930</v>
      </c>
      <c r="L247" s="239">
        <v>1358174</v>
      </c>
      <c r="M247" s="239">
        <v>36394</v>
      </c>
      <c r="N247" s="239">
        <v>0</v>
      </c>
      <c r="O247" s="239">
        <v>36394</v>
      </c>
      <c r="P247" s="239">
        <v>147773</v>
      </c>
      <c r="Q247" s="239">
        <v>11930</v>
      </c>
      <c r="R247" s="239">
        <v>159703</v>
      </c>
      <c r="S247" s="239">
        <v>-3994867</v>
      </c>
      <c r="T247" s="239">
        <v>-5652</v>
      </c>
      <c r="U247" s="239">
        <v>-4000519</v>
      </c>
      <c r="V247" s="239">
        <v>0</v>
      </c>
      <c r="W247" s="239">
        <v>0</v>
      </c>
      <c r="X247" s="239">
        <v>0</v>
      </c>
      <c r="Y247" s="239">
        <v>-67881</v>
      </c>
      <c r="Z247" s="239">
        <v>0</v>
      </c>
      <c r="AA247" s="239">
        <v>-67881</v>
      </c>
      <c r="AB247" s="239">
        <v>-62249</v>
      </c>
      <c r="AC247" s="239">
        <v>0</v>
      </c>
      <c r="AD247" s="239">
        <v>-62249</v>
      </c>
      <c r="AE247" s="239">
        <v>0</v>
      </c>
      <c r="AF247" s="239">
        <v>0</v>
      </c>
      <c r="AG247" s="239">
        <v>0</v>
      </c>
      <c r="AH247" s="239">
        <v>701239</v>
      </c>
      <c r="AI247" s="239">
        <v>12701</v>
      </c>
      <c r="AJ247" s="239">
        <v>713940</v>
      </c>
      <c r="AK247" s="239">
        <v>-61450</v>
      </c>
      <c r="AL247" s="239">
        <v>-1496</v>
      </c>
      <c r="AM247" s="239">
        <v>-62946</v>
      </c>
      <c r="AN247" s="239">
        <v>-3894626</v>
      </c>
      <c r="AO247" s="239">
        <v>-279901</v>
      </c>
      <c r="AP247" s="239">
        <v>-4174527</v>
      </c>
      <c r="AQ247" s="239">
        <v>-30905</v>
      </c>
      <c r="AR247" s="239">
        <v>45153</v>
      </c>
      <c r="AS247" s="239">
        <v>14248</v>
      </c>
      <c r="AT247" s="239">
        <v>-72165</v>
      </c>
      <c r="AU247" s="239">
        <v>0</v>
      </c>
      <c r="AV247" s="239">
        <v>-72165</v>
      </c>
      <c r="AW247" s="239">
        <v>0</v>
      </c>
      <c r="AX247" s="239">
        <v>0</v>
      </c>
      <c r="AY247" s="239">
        <v>0</v>
      </c>
      <c r="AZ247" s="239">
        <v>-78032</v>
      </c>
      <c r="BA247" s="239">
        <v>0</v>
      </c>
      <c r="BB247" s="239">
        <v>-78032</v>
      </c>
      <c r="BC247" s="239">
        <v>3558</v>
      </c>
      <c r="BD247" s="239">
        <v>0</v>
      </c>
      <c r="BE247" s="239">
        <v>3558</v>
      </c>
      <c r="BF247" s="239">
        <v>-7495129</v>
      </c>
      <c r="BG247" s="239">
        <v>-229195</v>
      </c>
      <c r="BH247" s="239">
        <v>-7724324</v>
      </c>
      <c r="BI247" s="239">
        <v>-1530</v>
      </c>
      <c r="BJ247" s="239">
        <v>0</v>
      </c>
      <c r="BK247" s="239">
        <v>-1530</v>
      </c>
      <c r="BL247" s="239">
        <v>2344</v>
      </c>
      <c r="BM247" s="239">
        <v>0</v>
      </c>
      <c r="BN247" s="239">
        <v>2344</v>
      </c>
      <c r="BO247" s="239">
        <v>-762855</v>
      </c>
      <c r="BP247" s="239">
        <v>-3309</v>
      </c>
      <c r="BQ247" s="239">
        <v>-766164</v>
      </c>
      <c r="BR247" s="239">
        <v>-62929</v>
      </c>
      <c r="BS247" s="239">
        <v>586</v>
      </c>
      <c r="BT247" s="239">
        <v>-62343</v>
      </c>
      <c r="BU247" s="239">
        <v>-824970</v>
      </c>
      <c r="BV247" s="239">
        <v>-2723</v>
      </c>
      <c r="BW247" s="239">
        <v>-827693</v>
      </c>
      <c r="BX247" s="239">
        <v>-129326</v>
      </c>
      <c r="BY247" s="239">
        <v>0</v>
      </c>
      <c r="BZ247" s="239">
        <v>-129326</v>
      </c>
      <c r="CA247" s="239">
        <v>-380</v>
      </c>
      <c r="CB247" s="239">
        <v>422</v>
      </c>
      <c r="CC247" s="239">
        <v>42</v>
      </c>
      <c r="CD247" s="239">
        <v>-109592</v>
      </c>
      <c r="CE247" s="239">
        <v>0</v>
      </c>
      <c r="CF247" s="239">
        <v>-109592</v>
      </c>
      <c r="CG247" s="239">
        <v>-349</v>
      </c>
      <c r="CH247" s="239">
        <v>0</v>
      </c>
      <c r="CI247" s="239">
        <v>-349</v>
      </c>
      <c r="CJ247" s="239">
        <v>-4973</v>
      </c>
      <c r="CK247" s="239">
        <v>0</v>
      </c>
      <c r="CL247" s="239">
        <v>-4973</v>
      </c>
      <c r="CM247" s="239">
        <v>0</v>
      </c>
      <c r="CN247" s="239">
        <v>0</v>
      </c>
      <c r="CO247" s="239">
        <v>0</v>
      </c>
      <c r="CP247" s="239">
        <v>-11062</v>
      </c>
      <c r="CQ247" s="239">
        <v>0</v>
      </c>
      <c r="CR247" s="239">
        <v>-11062</v>
      </c>
      <c r="CS247" s="239">
        <v>0</v>
      </c>
      <c r="CT247" s="239">
        <v>0</v>
      </c>
      <c r="CU247" s="239">
        <v>0</v>
      </c>
      <c r="CV247" s="239">
        <v>-1480</v>
      </c>
      <c r="CW247" s="239">
        <v>0</v>
      </c>
      <c r="CX247" s="239">
        <v>-1480</v>
      </c>
      <c r="CY247" s="239">
        <v>-3913</v>
      </c>
      <c r="CZ247" s="239">
        <v>0</v>
      </c>
      <c r="DA247" s="239">
        <v>-3913</v>
      </c>
      <c r="DB247" s="239">
        <v>-72515</v>
      </c>
      <c r="DC247" s="239">
        <v>-210439</v>
      </c>
      <c r="DD247" s="239">
        <v>-282954</v>
      </c>
      <c r="DE247" s="239">
        <v>-86182</v>
      </c>
      <c r="DF247" s="239">
        <v>-13877</v>
      </c>
      <c r="DG247" s="239">
        <v>-100059</v>
      </c>
      <c r="DH247" s="239">
        <v>-224316</v>
      </c>
      <c r="DI247" s="239">
        <v>0</v>
      </c>
      <c r="DJ247" s="239">
        <v>-419772</v>
      </c>
      <c r="DK247" s="239">
        <v>-223894</v>
      </c>
      <c r="DL247" s="239">
        <v>-643666</v>
      </c>
      <c r="DM247" s="239">
        <v>-11899</v>
      </c>
      <c r="DN247" s="239">
        <v>0</v>
      </c>
      <c r="DO247" s="239">
        <v>-11899</v>
      </c>
      <c r="DP247" s="239">
        <v>546</v>
      </c>
      <c r="DQ247" s="239">
        <v>0</v>
      </c>
      <c r="DR247" s="239">
        <v>546</v>
      </c>
      <c r="DS247" s="239">
        <v>-302</v>
      </c>
      <c r="DT247" s="239">
        <v>0</v>
      </c>
      <c r="DU247" s="239">
        <v>-302</v>
      </c>
      <c r="DV247" s="239">
        <v>0</v>
      </c>
      <c r="DW247" s="239">
        <v>0</v>
      </c>
      <c r="DX247" s="239">
        <v>0</v>
      </c>
      <c r="DY247" s="239">
        <v>-1928</v>
      </c>
      <c r="DZ247" s="239">
        <v>0</v>
      </c>
      <c r="EA247" s="239">
        <v>-1928</v>
      </c>
      <c r="EB247" s="239">
        <v>0</v>
      </c>
      <c r="EC247" s="239">
        <v>0</v>
      </c>
      <c r="ED247" s="239">
        <v>0</v>
      </c>
      <c r="EE247" s="239">
        <v>0</v>
      </c>
      <c r="EF247" s="239">
        <v>0</v>
      </c>
      <c r="EG247" s="239">
        <v>0</v>
      </c>
      <c r="EH247" s="239">
        <v>2142</v>
      </c>
      <c r="EI247" s="239">
        <v>0</v>
      </c>
      <c r="EJ247" s="239">
        <v>2142</v>
      </c>
      <c r="EK247" s="239">
        <v>-78032</v>
      </c>
      <c r="EL247" s="239">
        <v>0</v>
      </c>
      <c r="EM247" s="239">
        <v>-78032</v>
      </c>
      <c r="EN247" s="239">
        <v>-1500</v>
      </c>
      <c r="EO247" s="239">
        <v>0</v>
      </c>
      <c r="EP247" s="239">
        <v>-1500</v>
      </c>
      <c r="EQ247" s="239">
        <v>-29343</v>
      </c>
      <c r="ER247" s="239">
        <v>0</v>
      </c>
      <c r="ES247" s="239">
        <v>-29343</v>
      </c>
      <c r="ET247" s="239">
        <v>-242650</v>
      </c>
      <c r="EU247" s="239">
        <v>0</v>
      </c>
      <c r="EV247" s="239">
        <v>-242650</v>
      </c>
      <c r="EW247" s="239">
        <v>-50200</v>
      </c>
      <c r="EX247" s="239">
        <v>0</v>
      </c>
      <c r="EY247" s="239">
        <v>-50200</v>
      </c>
      <c r="EZ247" s="239">
        <v>-413166</v>
      </c>
      <c r="FA247" s="239">
        <v>0</v>
      </c>
      <c r="FB247" s="239">
        <v>-413166</v>
      </c>
      <c r="FC247" s="239">
        <v>-2992</v>
      </c>
      <c r="FD247" s="239">
        <v>0</v>
      </c>
      <c r="FE247" s="239">
        <v>-2992</v>
      </c>
      <c r="FF247" s="239">
        <v>0</v>
      </c>
      <c r="FG247" s="239">
        <v>0</v>
      </c>
      <c r="FH247" s="239">
        <v>0</v>
      </c>
      <c r="FI247" s="239">
        <v>-2992</v>
      </c>
      <c r="FJ247" s="239">
        <v>0</v>
      </c>
      <c r="FK247" s="239">
        <v>-2992</v>
      </c>
      <c r="FL247" s="239">
        <v>36936011</v>
      </c>
      <c r="FM247" s="239">
        <v>440759</v>
      </c>
      <c r="FN247" s="239">
        <v>37376770</v>
      </c>
      <c r="FO247" s="239">
        <v>147773</v>
      </c>
      <c r="FP247" s="239">
        <v>11930</v>
      </c>
      <c r="FQ247" s="239">
        <v>159703</v>
      </c>
      <c r="FR247" s="239">
        <v>-7495129</v>
      </c>
      <c r="FS247" s="239">
        <v>-229195</v>
      </c>
      <c r="FT247" s="239">
        <v>-7724324</v>
      </c>
      <c r="FU247" s="239">
        <v>-824970</v>
      </c>
      <c r="FV247" s="239">
        <v>-2723</v>
      </c>
      <c r="FW247" s="239">
        <v>-827693</v>
      </c>
      <c r="FX247" s="239">
        <v>-419772</v>
      </c>
      <c r="FY247" s="239">
        <v>-223894</v>
      </c>
      <c r="FZ247" s="239">
        <v>-643666</v>
      </c>
      <c r="GA247" s="239">
        <v>-413166</v>
      </c>
      <c r="GB247" s="239">
        <v>0</v>
      </c>
      <c r="GC247" s="239">
        <v>-413166</v>
      </c>
      <c r="GD247" s="239">
        <v>-2992</v>
      </c>
      <c r="GE247" s="239">
        <v>0</v>
      </c>
      <c r="GF247" s="239">
        <v>-2992</v>
      </c>
      <c r="GG247" s="239">
        <v>-9008256</v>
      </c>
      <c r="GH247" s="239">
        <v>-443882</v>
      </c>
      <c r="GI247" s="239">
        <v>-9452138</v>
      </c>
      <c r="GJ247" s="239">
        <v>27927755</v>
      </c>
      <c r="GK247" s="239">
        <v>-3123</v>
      </c>
      <c r="GL247" s="239">
        <v>27924632</v>
      </c>
      <c r="GM247" s="214" t="s">
        <v>1158</v>
      </c>
    </row>
    <row r="248" spans="2:195" s="214" customFormat="1" x14ac:dyDescent="0.2">
      <c r="B248" s="602" t="s">
        <v>579</v>
      </c>
      <c r="C248" s="602" t="s">
        <v>578</v>
      </c>
      <c r="D248" s="239">
        <v>-851744</v>
      </c>
      <c r="E248" s="239">
        <v>0</v>
      </c>
      <c r="F248" s="239">
        <v>-851744</v>
      </c>
      <c r="G248" s="239">
        <v>-6056</v>
      </c>
      <c r="H248" s="239">
        <v>0</v>
      </c>
      <c r="I248" s="239">
        <v>-6056</v>
      </c>
      <c r="J248" s="239">
        <v>714264</v>
      </c>
      <c r="K248" s="239">
        <v>0</v>
      </c>
      <c r="L248" s="239">
        <v>714264</v>
      </c>
      <c r="M248" s="239">
        <v>-95089</v>
      </c>
      <c r="N248" s="239">
        <v>0</v>
      </c>
      <c r="O248" s="239">
        <v>-95089</v>
      </c>
      <c r="P248" s="239">
        <v>-238625</v>
      </c>
      <c r="Q248" s="239">
        <v>0</v>
      </c>
      <c r="R248" s="239">
        <v>-238625</v>
      </c>
      <c r="S248" s="239">
        <v>-2974057</v>
      </c>
      <c r="T248" s="239">
        <v>0</v>
      </c>
      <c r="U248" s="239">
        <v>-2974057</v>
      </c>
      <c r="V248" s="239">
        <v>-48</v>
      </c>
      <c r="W248" s="239">
        <v>0</v>
      </c>
      <c r="X248" s="239">
        <v>-48</v>
      </c>
      <c r="Y248" s="239">
        <v>-107761</v>
      </c>
      <c r="Z248" s="239">
        <v>0</v>
      </c>
      <c r="AA248" s="239">
        <v>-107761</v>
      </c>
      <c r="AB248" s="239">
        <v>-84728</v>
      </c>
      <c r="AC248" s="239">
        <v>0</v>
      </c>
      <c r="AD248" s="239">
        <v>-84728</v>
      </c>
      <c r="AE248" s="239">
        <v>-211</v>
      </c>
      <c r="AF248" s="239">
        <v>0</v>
      </c>
      <c r="AG248" s="239">
        <v>-211</v>
      </c>
      <c r="AH248" s="239">
        <v>530662</v>
      </c>
      <c r="AI248" s="239">
        <v>0</v>
      </c>
      <c r="AJ248" s="239">
        <v>530662</v>
      </c>
      <c r="AK248" s="239">
        <v>-20541</v>
      </c>
      <c r="AL248" s="239">
        <v>0</v>
      </c>
      <c r="AM248" s="239">
        <v>-20541</v>
      </c>
      <c r="AN248" s="239">
        <v>-1848926</v>
      </c>
      <c r="AO248" s="239">
        <v>0</v>
      </c>
      <c r="AP248" s="239">
        <v>-1848926</v>
      </c>
      <c r="AQ248" s="239">
        <v>16052</v>
      </c>
      <c r="AR248" s="239">
        <v>0</v>
      </c>
      <c r="AS248" s="239">
        <v>16052</v>
      </c>
      <c r="AT248" s="239">
        <v>-16401</v>
      </c>
      <c r="AU248" s="239">
        <v>0</v>
      </c>
      <c r="AV248" s="239">
        <v>-16401</v>
      </c>
      <c r="AW248" s="239">
        <v>-6711</v>
      </c>
      <c r="AX248" s="239">
        <v>0</v>
      </c>
      <c r="AY248" s="239">
        <v>-6711</v>
      </c>
      <c r="AZ248" s="239">
        <v>-44232</v>
      </c>
      <c r="BA248" s="239">
        <v>0</v>
      </c>
      <c r="BB248" s="239">
        <v>-44232</v>
      </c>
      <c r="BC248" s="239">
        <v>-86</v>
      </c>
      <c r="BD248" s="239">
        <v>0</v>
      </c>
      <c r="BE248" s="239">
        <v>-86</v>
      </c>
      <c r="BF248" s="239">
        <v>-4472001</v>
      </c>
      <c r="BG248" s="239">
        <v>0</v>
      </c>
      <c r="BH248" s="239">
        <v>-4472001</v>
      </c>
      <c r="BI248" s="239">
        <v>-23330</v>
      </c>
      <c r="BJ248" s="239">
        <v>0</v>
      </c>
      <c r="BK248" s="239">
        <v>-23330</v>
      </c>
      <c r="BL248" s="239">
        <v>0</v>
      </c>
      <c r="BM248" s="239">
        <v>0</v>
      </c>
      <c r="BN248" s="239">
        <v>0</v>
      </c>
      <c r="BO248" s="239">
        <v>-470566</v>
      </c>
      <c r="BP248" s="239">
        <v>0</v>
      </c>
      <c r="BQ248" s="239">
        <v>-470566</v>
      </c>
      <c r="BR248" s="239">
        <v>-74195</v>
      </c>
      <c r="BS248" s="239">
        <v>0</v>
      </c>
      <c r="BT248" s="239">
        <v>-74195</v>
      </c>
      <c r="BU248" s="239">
        <v>-568091</v>
      </c>
      <c r="BV248" s="239">
        <v>0</v>
      </c>
      <c r="BW248" s="239">
        <v>-568091</v>
      </c>
      <c r="BX248" s="239">
        <v>-33971</v>
      </c>
      <c r="BY248" s="239">
        <v>0</v>
      </c>
      <c r="BZ248" s="239">
        <v>-33971</v>
      </c>
      <c r="CA248" s="239">
        <v>4013</v>
      </c>
      <c r="CB248" s="239">
        <v>0</v>
      </c>
      <c r="CC248" s="239">
        <v>4013</v>
      </c>
      <c r="CD248" s="239">
        <v>0</v>
      </c>
      <c r="CE248" s="239">
        <v>0</v>
      </c>
      <c r="CF248" s="239">
        <v>0</v>
      </c>
      <c r="CG248" s="239">
        <v>5715</v>
      </c>
      <c r="CH248" s="239">
        <v>0</v>
      </c>
      <c r="CI248" s="239">
        <v>5715</v>
      </c>
      <c r="CJ248" s="239">
        <v>-2759</v>
      </c>
      <c r="CK248" s="239">
        <v>0</v>
      </c>
      <c r="CL248" s="239">
        <v>-2759</v>
      </c>
      <c r="CM248" s="239">
        <v>0</v>
      </c>
      <c r="CN248" s="239">
        <v>0</v>
      </c>
      <c r="CO248" s="239">
        <v>0</v>
      </c>
      <c r="CP248" s="239">
        <v>0</v>
      </c>
      <c r="CQ248" s="239">
        <v>0</v>
      </c>
      <c r="CR248" s="239">
        <v>0</v>
      </c>
      <c r="CS248" s="239">
        <v>-153</v>
      </c>
      <c r="CT248" s="239">
        <v>0</v>
      </c>
      <c r="CU248" s="239">
        <v>-153</v>
      </c>
      <c r="CV248" s="239">
        <v>-7689</v>
      </c>
      <c r="CW248" s="239">
        <v>0</v>
      </c>
      <c r="CX248" s="239">
        <v>-7689</v>
      </c>
      <c r="CY248" s="239">
        <v>0</v>
      </c>
      <c r="CZ248" s="239">
        <v>0</v>
      </c>
      <c r="DA248" s="239">
        <v>0</v>
      </c>
      <c r="DB248" s="239">
        <v>0</v>
      </c>
      <c r="DC248" s="239">
        <v>0</v>
      </c>
      <c r="DD248" s="239">
        <v>0</v>
      </c>
      <c r="DE248" s="239">
        <v>0</v>
      </c>
      <c r="DF248" s="239">
        <v>0</v>
      </c>
      <c r="DG248" s="239">
        <v>0</v>
      </c>
      <c r="DH248" s="239">
        <v>0</v>
      </c>
      <c r="DI248" s="239">
        <v>0</v>
      </c>
      <c r="DJ248" s="239">
        <v>-34844</v>
      </c>
      <c r="DK248" s="239">
        <v>0</v>
      </c>
      <c r="DL248" s="239">
        <v>-34844</v>
      </c>
      <c r="DM248" s="239">
        <v>0</v>
      </c>
      <c r="DN248" s="239">
        <v>0</v>
      </c>
      <c r="DO248" s="239">
        <v>0</v>
      </c>
      <c r="DP248" s="239">
        <v>0</v>
      </c>
      <c r="DQ248" s="239">
        <v>0</v>
      </c>
      <c r="DR248" s="239">
        <v>0</v>
      </c>
      <c r="DS248" s="239">
        <v>0</v>
      </c>
      <c r="DT248" s="239">
        <v>0</v>
      </c>
      <c r="DU248" s="239">
        <v>0</v>
      </c>
      <c r="DV248" s="239">
        <v>0</v>
      </c>
      <c r="DW248" s="239">
        <v>0</v>
      </c>
      <c r="DX248" s="239">
        <v>0</v>
      </c>
      <c r="DY248" s="239">
        <v>588</v>
      </c>
      <c r="DZ248" s="239">
        <v>0</v>
      </c>
      <c r="EA248" s="239">
        <v>588</v>
      </c>
      <c r="EB248" s="239">
        <v>0</v>
      </c>
      <c r="EC248" s="239">
        <v>0</v>
      </c>
      <c r="ED248" s="239">
        <v>0</v>
      </c>
      <c r="EE248" s="239">
        <v>0</v>
      </c>
      <c r="EF248" s="239">
        <v>0</v>
      </c>
      <c r="EG248" s="239">
        <v>0</v>
      </c>
      <c r="EH248" s="239">
        <v>0</v>
      </c>
      <c r="EI248" s="239">
        <v>0</v>
      </c>
      <c r="EJ248" s="239">
        <v>0</v>
      </c>
      <c r="EK248" s="239">
        <v>-44232</v>
      </c>
      <c r="EL248" s="239">
        <v>0</v>
      </c>
      <c r="EM248" s="239">
        <v>-44232</v>
      </c>
      <c r="EN248" s="239">
        <v>0</v>
      </c>
      <c r="EO248" s="239">
        <v>0</v>
      </c>
      <c r="EP248" s="239">
        <v>0</v>
      </c>
      <c r="EQ248" s="239">
        <v>-39189</v>
      </c>
      <c r="ER248" s="239">
        <v>0</v>
      </c>
      <c r="ES248" s="239">
        <v>-39189</v>
      </c>
      <c r="ET248" s="239">
        <v>-110381</v>
      </c>
      <c r="EU248" s="239">
        <v>0</v>
      </c>
      <c r="EV248" s="239">
        <v>-110381</v>
      </c>
      <c r="EW248" s="239">
        <v>-43237</v>
      </c>
      <c r="EX248" s="239">
        <v>0</v>
      </c>
      <c r="EY248" s="239">
        <v>-43237</v>
      </c>
      <c r="EZ248" s="239">
        <v>-236451</v>
      </c>
      <c r="FA248" s="239">
        <v>0</v>
      </c>
      <c r="FB248" s="239">
        <v>-236451</v>
      </c>
      <c r="FC248" s="239">
        <v>0</v>
      </c>
      <c r="FD248" s="239">
        <v>0</v>
      </c>
      <c r="FE248" s="239">
        <v>0</v>
      </c>
      <c r="FF248" s="239">
        <v>0</v>
      </c>
      <c r="FG248" s="239">
        <v>0</v>
      </c>
      <c r="FH248" s="239">
        <v>0</v>
      </c>
      <c r="FI248" s="239">
        <v>0</v>
      </c>
      <c r="FJ248" s="239">
        <v>0</v>
      </c>
      <c r="FK248" s="239">
        <v>0</v>
      </c>
      <c r="FL248" s="239">
        <v>28427300</v>
      </c>
      <c r="FM248" s="239">
        <v>0</v>
      </c>
      <c r="FN248" s="239">
        <v>28427300</v>
      </c>
      <c r="FO248" s="239">
        <v>-238625</v>
      </c>
      <c r="FP248" s="239">
        <v>0</v>
      </c>
      <c r="FQ248" s="239">
        <v>-238625</v>
      </c>
      <c r="FR248" s="239">
        <v>-4472001</v>
      </c>
      <c r="FS248" s="239">
        <v>0</v>
      </c>
      <c r="FT248" s="239">
        <v>-4472001</v>
      </c>
      <c r="FU248" s="239">
        <v>-568091</v>
      </c>
      <c r="FV248" s="239">
        <v>0</v>
      </c>
      <c r="FW248" s="239">
        <v>-568091</v>
      </c>
      <c r="FX248" s="239">
        <v>-34844</v>
      </c>
      <c r="FY248" s="239">
        <v>0</v>
      </c>
      <c r="FZ248" s="239">
        <v>-34844</v>
      </c>
      <c r="GA248" s="239">
        <v>-236451</v>
      </c>
      <c r="GB248" s="239">
        <v>0</v>
      </c>
      <c r="GC248" s="239">
        <v>-236451</v>
      </c>
      <c r="GD248" s="239">
        <v>0</v>
      </c>
      <c r="GE248" s="239">
        <v>0</v>
      </c>
      <c r="GF248" s="239">
        <v>0</v>
      </c>
      <c r="GG248" s="239">
        <v>-5550012</v>
      </c>
      <c r="GH248" s="239">
        <v>0</v>
      </c>
      <c r="GI248" s="239">
        <v>-5550012</v>
      </c>
      <c r="GJ248" s="239">
        <v>22877288</v>
      </c>
      <c r="GK248" s="239">
        <v>0</v>
      </c>
      <c r="GL248" s="239">
        <v>22877288</v>
      </c>
      <c r="GM248" s="214" t="s">
        <v>1158</v>
      </c>
    </row>
    <row r="249" spans="2:195" s="214" customFormat="1" x14ac:dyDescent="0.2">
      <c r="B249" s="602" t="s">
        <v>581</v>
      </c>
      <c r="C249" s="602" t="s">
        <v>580</v>
      </c>
      <c r="D249" s="239">
        <v>-2174245</v>
      </c>
      <c r="E249" s="239">
        <v>0</v>
      </c>
      <c r="F249" s="239">
        <v>-2174245</v>
      </c>
      <c r="G249" s="239">
        <v>21534</v>
      </c>
      <c r="H249" s="239">
        <v>0</v>
      </c>
      <c r="I249" s="239">
        <v>21534</v>
      </c>
      <c r="J249" s="239">
        <v>976328</v>
      </c>
      <c r="K249" s="239">
        <v>1116</v>
      </c>
      <c r="L249" s="239">
        <v>977444</v>
      </c>
      <c r="M249" s="239">
        <v>43467</v>
      </c>
      <c r="N249" s="239">
        <v>0</v>
      </c>
      <c r="O249" s="239">
        <v>43467</v>
      </c>
      <c r="P249" s="239">
        <v>-1132916</v>
      </c>
      <c r="Q249" s="239">
        <v>1116</v>
      </c>
      <c r="R249" s="239">
        <v>-1131800</v>
      </c>
      <c r="S249" s="239">
        <v>-3913369</v>
      </c>
      <c r="T249" s="239">
        <v>0</v>
      </c>
      <c r="U249" s="239">
        <v>-3913369</v>
      </c>
      <c r="V249" s="239">
        <v>0</v>
      </c>
      <c r="W249" s="239">
        <v>0</v>
      </c>
      <c r="X249" s="239">
        <v>0</v>
      </c>
      <c r="Y249" s="239">
        <v>-264733</v>
      </c>
      <c r="Z249" s="239">
        <v>0</v>
      </c>
      <c r="AA249" s="239">
        <v>-264733</v>
      </c>
      <c r="AB249" s="239">
        <v>-264374</v>
      </c>
      <c r="AC249" s="239">
        <v>0</v>
      </c>
      <c r="AD249" s="239">
        <v>-264374</v>
      </c>
      <c r="AE249" s="239">
        <v>0</v>
      </c>
      <c r="AF249" s="239">
        <v>0</v>
      </c>
      <c r="AG249" s="239">
        <v>0</v>
      </c>
      <c r="AH249" s="239">
        <v>1024963</v>
      </c>
      <c r="AI249" s="239">
        <v>6279</v>
      </c>
      <c r="AJ249" s="239">
        <v>1031242</v>
      </c>
      <c r="AK249" s="239">
        <v>-18558</v>
      </c>
      <c r="AL249" s="239">
        <v>0</v>
      </c>
      <c r="AM249" s="239">
        <v>-18558</v>
      </c>
      <c r="AN249" s="239">
        <v>-5047112</v>
      </c>
      <c r="AO249" s="239">
        <v>0</v>
      </c>
      <c r="AP249" s="239">
        <v>-5047112</v>
      </c>
      <c r="AQ249" s="239">
        <v>-109003</v>
      </c>
      <c r="AR249" s="239">
        <v>0</v>
      </c>
      <c r="AS249" s="239">
        <v>-109003</v>
      </c>
      <c r="AT249" s="239">
        <v>-112510</v>
      </c>
      <c r="AU249" s="239">
        <v>0</v>
      </c>
      <c r="AV249" s="239">
        <v>-112510</v>
      </c>
      <c r="AW249" s="239">
        <v>26520</v>
      </c>
      <c r="AX249" s="239">
        <v>0</v>
      </c>
      <c r="AY249" s="239">
        <v>26520</v>
      </c>
      <c r="AZ249" s="239">
        <v>-37212</v>
      </c>
      <c r="BA249" s="239">
        <v>0</v>
      </c>
      <c r="BB249" s="239">
        <v>-37212</v>
      </c>
      <c r="BC249" s="239">
        <v>1286</v>
      </c>
      <c r="BD249" s="239">
        <v>0</v>
      </c>
      <c r="BE249" s="239">
        <v>1286</v>
      </c>
      <c r="BF249" s="239">
        <v>-8449728</v>
      </c>
      <c r="BG249" s="239">
        <v>6279</v>
      </c>
      <c r="BH249" s="239">
        <v>-8443449</v>
      </c>
      <c r="BI249" s="239">
        <v>-93420</v>
      </c>
      <c r="BJ249" s="239">
        <v>0</v>
      </c>
      <c r="BK249" s="239">
        <v>-93420</v>
      </c>
      <c r="BL249" s="239">
        <v>0</v>
      </c>
      <c r="BM249" s="239">
        <v>0</v>
      </c>
      <c r="BN249" s="239">
        <v>0</v>
      </c>
      <c r="BO249" s="239">
        <v>-1341625</v>
      </c>
      <c r="BP249" s="239">
        <v>0</v>
      </c>
      <c r="BQ249" s="239">
        <v>-1341625</v>
      </c>
      <c r="BR249" s="239">
        <v>121323</v>
      </c>
      <c r="BS249" s="239">
        <v>0</v>
      </c>
      <c r="BT249" s="239">
        <v>121323</v>
      </c>
      <c r="BU249" s="239">
        <v>-1313722</v>
      </c>
      <c r="BV249" s="239">
        <v>0</v>
      </c>
      <c r="BW249" s="239">
        <v>-1313722</v>
      </c>
      <c r="BX249" s="239">
        <v>-206028</v>
      </c>
      <c r="BY249" s="239">
        <v>0</v>
      </c>
      <c r="BZ249" s="239">
        <v>-206028</v>
      </c>
      <c r="CA249" s="239">
        <v>-982</v>
      </c>
      <c r="CB249" s="239">
        <v>0</v>
      </c>
      <c r="CC249" s="239">
        <v>-982</v>
      </c>
      <c r="CD249" s="239">
        <v>-13922</v>
      </c>
      <c r="CE249" s="239">
        <v>0</v>
      </c>
      <c r="CF249" s="239">
        <v>-13922</v>
      </c>
      <c r="CG249" s="239">
        <v>0</v>
      </c>
      <c r="CH249" s="239">
        <v>0</v>
      </c>
      <c r="CI249" s="239">
        <v>0</v>
      </c>
      <c r="CJ249" s="239">
        <v>-19694</v>
      </c>
      <c r="CK249" s="239">
        <v>0</v>
      </c>
      <c r="CL249" s="239">
        <v>-19694</v>
      </c>
      <c r="CM249" s="239">
        <v>3800</v>
      </c>
      <c r="CN249" s="239">
        <v>0</v>
      </c>
      <c r="CO249" s="239">
        <v>3800</v>
      </c>
      <c r="CP249" s="239">
        <v>0</v>
      </c>
      <c r="CQ249" s="239">
        <v>0</v>
      </c>
      <c r="CR249" s="239">
        <v>0</v>
      </c>
      <c r="CS249" s="239">
        <v>1286</v>
      </c>
      <c r="CT249" s="239">
        <v>0</v>
      </c>
      <c r="CU249" s="239">
        <v>1286</v>
      </c>
      <c r="CV249" s="239">
        <v>0</v>
      </c>
      <c r="CW249" s="239">
        <v>0</v>
      </c>
      <c r="CX249" s="239">
        <v>0</v>
      </c>
      <c r="CY249" s="239">
        <v>0</v>
      </c>
      <c r="CZ249" s="239">
        <v>0</v>
      </c>
      <c r="DA249" s="239">
        <v>0</v>
      </c>
      <c r="DB249" s="239">
        <v>0</v>
      </c>
      <c r="DC249" s="239">
        <v>0</v>
      </c>
      <c r="DD249" s="239">
        <v>0</v>
      </c>
      <c r="DE249" s="239">
        <v>0</v>
      </c>
      <c r="DF249" s="239">
        <v>0</v>
      </c>
      <c r="DG249" s="239">
        <v>0</v>
      </c>
      <c r="DH249" s="239">
        <v>0</v>
      </c>
      <c r="DI249" s="239">
        <v>0</v>
      </c>
      <c r="DJ249" s="239">
        <v>-235540</v>
      </c>
      <c r="DK249" s="239">
        <v>0</v>
      </c>
      <c r="DL249" s="239">
        <v>-235540</v>
      </c>
      <c r="DM249" s="239">
        <v>0</v>
      </c>
      <c r="DN249" s="239">
        <v>0</v>
      </c>
      <c r="DO249" s="239">
        <v>0</v>
      </c>
      <c r="DP249" s="239">
        <v>0</v>
      </c>
      <c r="DQ249" s="239">
        <v>0</v>
      </c>
      <c r="DR249" s="239">
        <v>0</v>
      </c>
      <c r="DS249" s="239">
        <v>0</v>
      </c>
      <c r="DT249" s="239">
        <v>0</v>
      </c>
      <c r="DU249" s="239">
        <v>0</v>
      </c>
      <c r="DV249" s="239">
        <v>0</v>
      </c>
      <c r="DW249" s="239">
        <v>0</v>
      </c>
      <c r="DX249" s="239">
        <v>0</v>
      </c>
      <c r="DY249" s="239">
        <v>1988</v>
      </c>
      <c r="DZ249" s="239">
        <v>0</v>
      </c>
      <c r="EA249" s="239">
        <v>1988</v>
      </c>
      <c r="EB249" s="239">
        <v>0</v>
      </c>
      <c r="EC249" s="239">
        <v>0</v>
      </c>
      <c r="ED249" s="239">
        <v>0</v>
      </c>
      <c r="EE249" s="239">
        <v>0</v>
      </c>
      <c r="EF249" s="239">
        <v>0</v>
      </c>
      <c r="EG249" s="239">
        <v>0</v>
      </c>
      <c r="EH249" s="239">
        <v>0</v>
      </c>
      <c r="EI249" s="239">
        <v>0</v>
      </c>
      <c r="EJ249" s="239">
        <v>0</v>
      </c>
      <c r="EK249" s="239">
        <v>-37212</v>
      </c>
      <c r="EL249" s="239">
        <v>0</v>
      </c>
      <c r="EM249" s="239">
        <v>-37212</v>
      </c>
      <c r="EN249" s="239">
        <v>-1500</v>
      </c>
      <c r="EO249" s="239">
        <v>0</v>
      </c>
      <c r="EP249" s="239">
        <v>-1500</v>
      </c>
      <c r="EQ249" s="239">
        <v>-47035</v>
      </c>
      <c r="ER249" s="239">
        <v>0</v>
      </c>
      <c r="ES249" s="239">
        <v>-47035</v>
      </c>
      <c r="ET249" s="239">
        <v>-367711</v>
      </c>
      <c r="EU249" s="239">
        <v>0</v>
      </c>
      <c r="EV249" s="239">
        <v>-367711</v>
      </c>
      <c r="EW249" s="239">
        <v>-68608</v>
      </c>
      <c r="EX249" s="239">
        <v>0</v>
      </c>
      <c r="EY249" s="239">
        <v>-68608</v>
      </c>
      <c r="EZ249" s="239">
        <v>-520078</v>
      </c>
      <c r="FA249" s="239">
        <v>0</v>
      </c>
      <c r="FB249" s="239">
        <v>-520078</v>
      </c>
      <c r="FC249" s="239">
        <v>0</v>
      </c>
      <c r="FD249" s="239">
        <v>0</v>
      </c>
      <c r="FE249" s="239">
        <v>0</v>
      </c>
      <c r="FF249" s="239">
        <v>0</v>
      </c>
      <c r="FG249" s="239">
        <v>0</v>
      </c>
      <c r="FH249" s="239">
        <v>0</v>
      </c>
      <c r="FI249" s="239">
        <v>0</v>
      </c>
      <c r="FJ249" s="239">
        <v>0</v>
      </c>
      <c r="FK249" s="239">
        <v>0</v>
      </c>
      <c r="FL249" s="239">
        <v>53947798</v>
      </c>
      <c r="FM249" s="239">
        <v>225078</v>
      </c>
      <c r="FN249" s="239">
        <v>54172876</v>
      </c>
      <c r="FO249" s="239">
        <v>-1132916</v>
      </c>
      <c r="FP249" s="239">
        <v>1116</v>
      </c>
      <c r="FQ249" s="239">
        <v>-1131800</v>
      </c>
      <c r="FR249" s="239">
        <v>-8449728</v>
      </c>
      <c r="FS249" s="239">
        <v>6279</v>
      </c>
      <c r="FT249" s="239">
        <v>-8443449</v>
      </c>
      <c r="FU249" s="239">
        <v>-1313722</v>
      </c>
      <c r="FV249" s="239">
        <v>0</v>
      </c>
      <c r="FW249" s="239">
        <v>-1313722</v>
      </c>
      <c r="FX249" s="239">
        <v>-235540</v>
      </c>
      <c r="FY249" s="239">
        <v>0</v>
      </c>
      <c r="FZ249" s="239">
        <v>-235540</v>
      </c>
      <c r="GA249" s="239">
        <v>-520078</v>
      </c>
      <c r="GB249" s="239">
        <v>0</v>
      </c>
      <c r="GC249" s="239">
        <v>-520078</v>
      </c>
      <c r="GD249" s="239">
        <v>0</v>
      </c>
      <c r="GE249" s="239">
        <v>0</v>
      </c>
      <c r="GF249" s="239">
        <v>0</v>
      </c>
      <c r="GG249" s="239">
        <v>-11651984</v>
      </c>
      <c r="GH249" s="239">
        <v>7395</v>
      </c>
      <c r="GI249" s="239">
        <v>-11644589</v>
      </c>
      <c r="GJ249" s="239">
        <v>42295814</v>
      </c>
      <c r="GK249" s="239">
        <v>232473</v>
      </c>
      <c r="GL249" s="239">
        <v>42528287</v>
      </c>
      <c r="GM249" s="214" t="s">
        <v>1158</v>
      </c>
    </row>
    <row r="250" spans="2:195" s="214" customFormat="1" x14ac:dyDescent="0.2">
      <c r="B250" s="602" t="s">
        <v>583</v>
      </c>
      <c r="C250" s="602" t="s">
        <v>582</v>
      </c>
      <c r="D250" s="239">
        <v>-487811</v>
      </c>
      <c r="E250" s="239">
        <v>0</v>
      </c>
      <c r="F250" s="239">
        <v>-487811</v>
      </c>
      <c r="G250" s="239">
        <v>-16703</v>
      </c>
      <c r="H250" s="239">
        <v>0</v>
      </c>
      <c r="I250" s="239">
        <v>-16703</v>
      </c>
      <c r="J250" s="239">
        <v>3500310</v>
      </c>
      <c r="K250" s="239">
        <v>0</v>
      </c>
      <c r="L250" s="239">
        <v>3500310</v>
      </c>
      <c r="M250" s="239">
        <v>-6060</v>
      </c>
      <c r="N250" s="239">
        <v>0</v>
      </c>
      <c r="O250" s="239">
        <v>-6060</v>
      </c>
      <c r="P250" s="239">
        <v>2989736</v>
      </c>
      <c r="Q250" s="239">
        <v>0</v>
      </c>
      <c r="R250" s="239">
        <v>2989736</v>
      </c>
      <c r="S250" s="239">
        <v>-3457783</v>
      </c>
      <c r="T250" s="239">
        <v>0</v>
      </c>
      <c r="U250" s="239">
        <v>-3457783</v>
      </c>
      <c r="V250" s="239">
        <v>-8558</v>
      </c>
      <c r="W250" s="239">
        <v>0</v>
      </c>
      <c r="X250" s="239">
        <v>-8558</v>
      </c>
      <c r="Y250" s="239">
        <v>-107482</v>
      </c>
      <c r="Z250" s="239">
        <v>0</v>
      </c>
      <c r="AA250" s="239">
        <v>-107482</v>
      </c>
      <c r="AB250" s="239">
        <v>-93326</v>
      </c>
      <c r="AC250" s="239">
        <v>0</v>
      </c>
      <c r="AD250" s="239">
        <v>-93326</v>
      </c>
      <c r="AE250" s="239">
        <v>0</v>
      </c>
      <c r="AF250" s="239">
        <v>0</v>
      </c>
      <c r="AG250" s="239">
        <v>0</v>
      </c>
      <c r="AH250" s="239">
        <v>798596</v>
      </c>
      <c r="AI250" s="239">
        <v>0</v>
      </c>
      <c r="AJ250" s="239">
        <v>798596</v>
      </c>
      <c r="AK250" s="239">
        <v>-1540</v>
      </c>
      <c r="AL250" s="239">
        <v>0</v>
      </c>
      <c r="AM250" s="239">
        <v>-1540</v>
      </c>
      <c r="AN250" s="239">
        <v>-2055111</v>
      </c>
      <c r="AO250" s="239">
        <v>0</v>
      </c>
      <c r="AP250" s="239">
        <v>-2055111</v>
      </c>
      <c r="AQ250" s="239">
        <v>4077</v>
      </c>
      <c r="AR250" s="239">
        <v>0</v>
      </c>
      <c r="AS250" s="239">
        <v>4077</v>
      </c>
      <c r="AT250" s="239">
        <v>-17883</v>
      </c>
      <c r="AU250" s="239">
        <v>0</v>
      </c>
      <c r="AV250" s="239">
        <v>-17883</v>
      </c>
      <c r="AW250" s="239">
        <v>0</v>
      </c>
      <c r="AX250" s="239">
        <v>0</v>
      </c>
      <c r="AY250" s="239">
        <v>0</v>
      </c>
      <c r="AZ250" s="239">
        <v>-4061</v>
      </c>
      <c r="BA250" s="239">
        <v>0</v>
      </c>
      <c r="BB250" s="239">
        <v>-4061</v>
      </c>
      <c r="BC250" s="239">
        <v>0</v>
      </c>
      <c r="BD250" s="239">
        <v>0</v>
      </c>
      <c r="BE250" s="239">
        <v>0</v>
      </c>
      <c r="BF250" s="239">
        <v>-4841187</v>
      </c>
      <c r="BG250" s="239">
        <v>0</v>
      </c>
      <c r="BH250" s="239">
        <v>-4841187</v>
      </c>
      <c r="BI250" s="239">
        <v>0</v>
      </c>
      <c r="BJ250" s="239">
        <v>0</v>
      </c>
      <c r="BK250" s="239">
        <v>0</v>
      </c>
      <c r="BL250" s="239">
        <v>0</v>
      </c>
      <c r="BM250" s="239">
        <v>0</v>
      </c>
      <c r="BN250" s="239">
        <v>0</v>
      </c>
      <c r="BO250" s="239">
        <v>-679386</v>
      </c>
      <c r="BP250" s="239">
        <v>0</v>
      </c>
      <c r="BQ250" s="239">
        <v>-679386</v>
      </c>
      <c r="BR250" s="239">
        <v>-64085</v>
      </c>
      <c r="BS250" s="239">
        <v>0</v>
      </c>
      <c r="BT250" s="239">
        <v>-64085</v>
      </c>
      <c r="BU250" s="239">
        <v>-743471</v>
      </c>
      <c r="BV250" s="239">
        <v>0</v>
      </c>
      <c r="BW250" s="239">
        <v>-743471</v>
      </c>
      <c r="BX250" s="239">
        <v>-114256</v>
      </c>
      <c r="BY250" s="239">
        <v>0</v>
      </c>
      <c r="BZ250" s="239">
        <v>-114256</v>
      </c>
      <c r="CA250" s="239">
        <v>0</v>
      </c>
      <c r="CB250" s="239">
        <v>0</v>
      </c>
      <c r="CC250" s="239">
        <v>0</v>
      </c>
      <c r="CD250" s="239">
        <v>-15307</v>
      </c>
      <c r="CE250" s="239">
        <v>0</v>
      </c>
      <c r="CF250" s="239">
        <v>-15307</v>
      </c>
      <c r="CG250" s="239">
        <v>6555</v>
      </c>
      <c r="CH250" s="239">
        <v>0</v>
      </c>
      <c r="CI250" s="239">
        <v>6555</v>
      </c>
      <c r="CJ250" s="239">
        <v>-888</v>
      </c>
      <c r="CK250" s="239">
        <v>0</v>
      </c>
      <c r="CL250" s="239">
        <v>-888</v>
      </c>
      <c r="CM250" s="239">
        <v>0</v>
      </c>
      <c r="CN250" s="239">
        <v>0</v>
      </c>
      <c r="CO250" s="239">
        <v>0</v>
      </c>
      <c r="CP250" s="239">
        <v>0</v>
      </c>
      <c r="CQ250" s="239">
        <v>0</v>
      </c>
      <c r="CR250" s="239">
        <v>0</v>
      </c>
      <c r="CS250" s="239">
        <v>0</v>
      </c>
      <c r="CT250" s="239">
        <v>0</v>
      </c>
      <c r="CU250" s="239">
        <v>0</v>
      </c>
      <c r="CV250" s="239">
        <v>0</v>
      </c>
      <c r="CW250" s="239">
        <v>0</v>
      </c>
      <c r="CX250" s="239">
        <v>0</v>
      </c>
      <c r="CY250" s="239">
        <v>0</v>
      </c>
      <c r="CZ250" s="239">
        <v>0</v>
      </c>
      <c r="DA250" s="239">
        <v>0</v>
      </c>
      <c r="DB250" s="239">
        <v>0</v>
      </c>
      <c r="DC250" s="239">
        <v>0</v>
      </c>
      <c r="DD250" s="239">
        <v>0</v>
      </c>
      <c r="DE250" s="239">
        <v>0</v>
      </c>
      <c r="DF250" s="239">
        <v>0</v>
      </c>
      <c r="DG250" s="239">
        <v>0</v>
      </c>
      <c r="DH250" s="239">
        <v>0</v>
      </c>
      <c r="DI250" s="239">
        <v>0</v>
      </c>
      <c r="DJ250" s="239">
        <v>-123896</v>
      </c>
      <c r="DK250" s="239">
        <v>0</v>
      </c>
      <c r="DL250" s="239">
        <v>-123896</v>
      </c>
      <c r="DM250" s="239">
        <v>-18257</v>
      </c>
      <c r="DN250" s="239">
        <v>0</v>
      </c>
      <c r="DO250" s="239">
        <v>-18257</v>
      </c>
      <c r="DP250" s="239">
        <v>-669</v>
      </c>
      <c r="DQ250" s="239">
        <v>0</v>
      </c>
      <c r="DR250" s="239">
        <v>-669</v>
      </c>
      <c r="DS250" s="239">
        <v>0</v>
      </c>
      <c r="DT250" s="239">
        <v>0</v>
      </c>
      <c r="DU250" s="239">
        <v>0</v>
      </c>
      <c r="DV250" s="239">
        <v>0</v>
      </c>
      <c r="DW250" s="239">
        <v>0</v>
      </c>
      <c r="DX250" s="239">
        <v>0</v>
      </c>
      <c r="DY250" s="239">
        <v>130</v>
      </c>
      <c r="DZ250" s="239">
        <v>0</v>
      </c>
      <c r="EA250" s="239">
        <v>130</v>
      </c>
      <c r="EB250" s="239">
        <v>0</v>
      </c>
      <c r="EC250" s="239">
        <v>0</v>
      </c>
      <c r="ED250" s="239">
        <v>0</v>
      </c>
      <c r="EE250" s="239">
        <v>0</v>
      </c>
      <c r="EF250" s="239">
        <v>0</v>
      </c>
      <c r="EG250" s="239">
        <v>0</v>
      </c>
      <c r="EH250" s="239">
        <v>0</v>
      </c>
      <c r="EI250" s="239">
        <v>0</v>
      </c>
      <c r="EJ250" s="239">
        <v>0</v>
      </c>
      <c r="EK250" s="239">
        <v>-4061</v>
      </c>
      <c r="EL250" s="239">
        <v>0</v>
      </c>
      <c r="EM250" s="239">
        <v>-4061</v>
      </c>
      <c r="EN250" s="239">
        <v>0</v>
      </c>
      <c r="EO250" s="239">
        <v>0</v>
      </c>
      <c r="EP250" s="239">
        <v>0</v>
      </c>
      <c r="EQ250" s="239">
        <v>-11530</v>
      </c>
      <c r="ER250" s="239">
        <v>0</v>
      </c>
      <c r="ES250" s="239">
        <v>-11530</v>
      </c>
      <c r="ET250" s="239">
        <v>-94541</v>
      </c>
      <c r="EU250" s="239">
        <v>0</v>
      </c>
      <c r="EV250" s="239">
        <v>-94541</v>
      </c>
      <c r="EW250" s="239">
        <v>-36668</v>
      </c>
      <c r="EX250" s="239">
        <v>0</v>
      </c>
      <c r="EY250" s="239">
        <v>-36668</v>
      </c>
      <c r="EZ250" s="239">
        <v>-165596</v>
      </c>
      <c r="FA250" s="239">
        <v>0</v>
      </c>
      <c r="FB250" s="239">
        <v>-165596</v>
      </c>
      <c r="FC250" s="239">
        <v>0</v>
      </c>
      <c r="FD250" s="239">
        <v>0</v>
      </c>
      <c r="FE250" s="239">
        <v>0</v>
      </c>
      <c r="FF250" s="239">
        <v>0</v>
      </c>
      <c r="FG250" s="239">
        <v>0</v>
      </c>
      <c r="FH250" s="239">
        <v>0</v>
      </c>
      <c r="FI250" s="239">
        <v>0</v>
      </c>
      <c r="FJ250" s="239">
        <v>0</v>
      </c>
      <c r="FK250" s="239">
        <v>0</v>
      </c>
      <c r="FL250" s="239">
        <v>40814592</v>
      </c>
      <c r="FM250" s="239">
        <v>0</v>
      </c>
      <c r="FN250" s="239">
        <v>40814592</v>
      </c>
      <c r="FO250" s="239">
        <v>2989736</v>
      </c>
      <c r="FP250" s="239">
        <v>0</v>
      </c>
      <c r="FQ250" s="239">
        <v>2989736</v>
      </c>
      <c r="FR250" s="239">
        <v>-4841187</v>
      </c>
      <c r="FS250" s="239">
        <v>0</v>
      </c>
      <c r="FT250" s="239">
        <v>-4841187</v>
      </c>
      <c r="FU250" s="239">
        <v>-743471</v>
      </c>
      <c r="FV250" s="239">
        <v>0</v>
      </c>
      <c r="FW250" s="239">
        <v>-743471</v>
      </c>
      <c r="FX250" s="239">
        <v>-123896</v>
      </c>
      <c r="FY250" s="239">
        <v>0</v>
      </c>
      <c r="FZ250" s="239">
        <v>-123896</v>
      </c>
      <c r="GA250" s="239">
        <v>-165596</v>
      </c>
      <c r="GB250" s="239">
        <v>0</v>
      </c>
      <c r="GC250" s="239">
        <v>-165596</v>
      </c>
      <c r="GD250" s="239">
        <v>0</v>
      </c>
      <c r="GE250" s="239">
        <v>0</v>
      </c>
      <c r="GF250" s="239">
        <v>0</v>
      </c>
      <c r="GG250" s="239">
        <v>-2884414</v>
      </c>
      <c r="GH250" s="239">
        <v>0</v>
      </c>
      <c r="GI250" s="239">
        <v>-2884414</v>
      </c>
      <c r="GJ250" s="239">
        <v>37930178</v>
      </c>
      <c r="GK250" s="239">
        <v>0</v>
      </c>
      <c r="GL250" s="239">
        <v>37930178</v>
      </c>
      <c r="GM250" s="214" t="s">
        <v>1158</v>
      </c>
    </row>
    <row r="251" spans="2:195" s="214" customFormat="1" x14ac:dyDescent="0.2">
      <c r="B251" s="602" t="s">
        <v>585</v>
      </c>
      <c r="C251" s="602" t="s">
        <v>584</v>
      </c>
      <c r="D251" s="239">
        <v>-2653582</v>
      </c>
      <c r="E251" s="239">
        <v>0</v>
      </c>
      <c r="F251" s="239">
        <v>-2653582</v>
      </c>
      <c r="G251" s="239">
        <v>400738</v>
      </c>
      <c r="H251" s="239">
        <v>0</v>
      </c>
      <c r="I251" s="239">
        <v>400738</v>
      </c>
      <c r="J251" s="239">
        <v>3789931</v>
      </c>
      <c r="K251" s="239">
        <v>0</v>
      </c>
      <c r="L251" s="239">
        <v>3789931</v>
      </c>
      <c r="M251" s="239">
        <v>6006</v>
      </c>
      <c r="N251" s="239">
        <v>0</v>
      </c>
      <c r="O251" s="239">
        <v>6006</v>
      </c>
      <c r="P251" s="239">
        <v>1543093</v>
      </c>
      <c r="Q251" s="239">
        <v>0</v>
      </c>
      <c r="R251" s="239">
        <v>1543093</v>
      </c>
      <c r="S251" s="239">
        <v>-5802251</v>
      </c>
      <c r="T251" s="239">
        <v>0</v>
      </c>
      <c r="U251" s="239">
        <v>-5802251</v>
      </c>
      <c r="V251" s="239">
        <v>-22651</v>
      </c>
      <c r="W251" s="239">
        <v>0</v>
      </c>
      <c r="X251" s="239">
        <v>-22651</v>
      </c>
      <c r="Y251" s="239">
        <v>-573269</v>
      </c>
      <c r="Z251" s="239">
        <v>0</v>
      </c>
      <c r="AA251" s="239">
        <v>-573269</v>
      </c>
      <c r="AB251" s="239">
        <v>-452737</v>
      </c>
      <c r="AC251" s="239">
        <v>0</v>
      </c>
      <c r="AD251" s="239">
        <v>-452737</v>
      </c>
      <c r="AE251" s="239">
        <v>-4294</v>
      </c>
      <c r="AF251" s="239">
        <v>0</v>
      </c>
      <c r="AG251" s="239">
        <v>-4294</v>
      </c>
      <c r="AH251" s="239">
        <v>928016</v>
      </c>
      <c r="AI251" s="239">
        <v>0</v>
      </c>
      <c r="AJ251" s="239">
        <v>928016</v>
      </c>
      <c r="AK251" s="239">
        <v>467519</v>
      </c>
      <c r="AL251" s="239">
        <v>0</v>
      </c>
      <c r="AM251" s="239">
        <v>467519</v>
      </c>
      <c r="AN251" s="239">
        <v>-3639084</v>
      </c>
      <c r="AO251" s="239">
        <v>0</v>
      </c>
      <c r="AP251" s="239">
        <v>-3639084</v>
      </c>
      <c r="AQ251" s="239">
        <v>-782</v>
      </c>
      <c r="AR251" s="239">
        <v>0</v>
      </c>
      <c r="AS251" s="239">
        <v>-782</v>
      </c>
      <c r="AT251" s="239">
        <v>-37955</v>
      </c>
      <c r="AU251" s="239">
        <v>0</v>
      </c>
      <c r="AV251" s="239">
        <v>-37955</v>
      </c>
      <c r="AW251" s="239">
        <v>0</v>
      </c>
      <c r="AX251" s="239">
        <v>0</v>
      </c>
      <c r="AY251" s="239">
        <v>0</v>
      </c>
      <c r="AZ251" s="239">
        <v>-75659</v>
      </c>
      <c r="BA251" s="239">
        <v>0</v>
      </c>
      <c r="BB251" s="239">
        <v>-75659</v>
      </c>
      <c r="BC251" s="239">
        <v>-982</v>
      </c>
      <c r="BD251" s="239">
        <v>0</v>
      </c>
      <c r="BE251" s="239">
        <v>-982</v>
      </c>
      <c r="BF251" s="239">
        <v>-8734447</v>
      </c>
      <c r="BG251" s="239">
        <v>0</v>
      </c>
      <c r="BH251" s="239">
        <v>-8734447</v>
      </c>
      <c r="BI251" s="239">
        <v>-15757</v>
      </c>
      <c r="BJ251" s="239">
        <v>0</v>
      </c>
      <c r="BK251" s="239">
        <v>-15757</v>
      </c>
      <c r="BL251" s="239">
        <v>-14144</v>
      </c>
      <c r="BM251" s="239">
        <v>0</v>
      </c>
      <c r="BN251" s="239">
        <v>-14144</v>
      </c>
      <c r="BO251" s="239">
        <v>-1596946</v>
      </c>
      <c r="BP251" s="239">
        <v>0</v>
      </c>
      <c r="BQ251" s="239">
        <v>-1596946</v>
      </c>
      <c r="BR251" s="239">
        <v>13722</v>
      </c>
      <c r="BS251" s="239">
        <v>0</v>
      </c>
      <c r="BT251" s="239">
        <v>13722</v>
      </c>
      <c r="BU251" s="239">
        <v>-1613125</v>
      </c>
      <c r="BV251" s="239">
        <v>0</v>
      </c>
      <c r="BW251" s="239">
        <v>-1613125</v>
      </c>
      <c r="BX251" s="239">
        <v>-152643</v>
      </c>
      <c r="BY251" s="239">
        <v>0</v>
      </c>
      <c r="BZ251" s="239">
        <v>-152643</v>
      </c>
      <c r="CA251" s="239">
        <v>-579</v>
      </c>
      <c r="CB251" s="239">
        <v>0</v>
      </c>
      <c r="CC251" s="239">
        <v>-579</v>
      </c>
      <c r="CD251" s="239">
        <v>-41476</v>
      </c>
      <c r="CE251" s="239">
        <v>0</v>
      </c>
      <c r="CF251" s="239">
        <v>-41476</v>
      </c>
      <c r="CG251" s="239">
        <v>-927</v>
      </c>
      <c r="CH251" s="239">
        <v>0</v>
      </c>
      <c r="CI251" s="239">
        <v>-927</v>
      </c>
      <c r="CJ251" s="239">
        <v>-3910</v>
      </c>
      <c r="CK251" s="239">
        <v>0</v>
      </c>
      <c r="CL251" s="239">
        <v>-3910</v>
      </c>
      <c r="CM251" s="239">
        <v>0</v>
      </c>
      <c r="CN251" s="239">
        <v>0</v>
      </c>
      <c r="CO251" s="239">
        <v>0</v>
      </c>
      <c r="CP251" s="239">
        <v>0</v>
      </c>
      <c r="CQ251" s="239">
        <v>0</v>
      </c>
      <c r="CR251" s="239">
        <v>0</v>
      </c>
      <c r="CS251" s="239">
        <v>-1836</v>
      </c>
      <c r="CT251" s="239">
        <v>0</v>
      </c>
      <c r="CU251" s="239">
        <v>-1836</v>
      </c>
      <c r="CV251" s="239">
        <v>-2332</v>
      </c>
      <c r="CW251" s="239">
        <v>0</v>
      </c>
      <c r="CX251" s="239">
        <v>-2332</v>
      </c>
      <c r="CY251" s="239">
        <v>-3809</v>
      </c>
      <c r="CZ251" s="239">
        <v>0</v>
      </c>
      <c r="DA251" s="239">
        <v>-3809</v>
      </c>
      <c r="DB251" s="239">
        <v>-13806</v>
      </c>
      <c r="DC251" s="239">
        <v>0</v>
      </c>
      <c r="DD251" s="239">
        <v>-13806</v>
      </c>
      <c r="DE251" s="239">
        <v>0</v>
      </c>
      <c r="DF251" s="239">
        <v>0</v>
      </c>
      <c r="DG251" s="239">
        <v>0</v>
      </c>
      <c r="DH251" s="239">
        <v>0</v>
      </c>
      <c r="DI251" s="239">
        <v>0</v>
      </c>
      <c r="DJ251" s="239">
        <v>-221318</v>
      </c>
      <c r="DK251" s="239">
        <v>0</v>
      </c>
      <c r="DL251" s="239">
        <v>-221318</v>
      </c>
      <c r="DM251" s="239">
        <v>0</v>
      </c>
      <c r="DN251" s="239">
        <v>0</v>
      </c>
      <c r="DO251" s="239">
        <v>0</v>
      </c>
      <c r="DP251" s="239">
        <v>0</v>
      </c>
      <c r="DQ251" s="239">
        <v>0</v>
      </c>
      <c r="DR251" s="239">
        <v>0</v>
      </c>
      <c r="DS251" s="239">
        <v>-3055</v>
      </c>
      <c r="DT251" s="239">
        <v>0</v>
      </c>
      <c r="DU251" s="239">
        <v>-3055</v>
      </c>
      <c r="DV251" s="239">
        <v>0</v>
      </c>
      <c r="DW251" s="239">
        <v>0</v>
      </c>
      <c r="DX251" s="239">
        <v>0</v>
      </c>
      <c r="DY251" s="239">
        <v>1919</v>
      </c>
      <c r="DZ251" s="239">
        <v>0</v>
      </c>
      <c r="EA251" s="239">
        <v>1919</v>
      </c>
      <c r="EB251" s="239">
        <v>0</v>
      </c>
      <c r="EC251" s="239">
        <v>0</v>
      </c>
      <c r="ED251" s="239">
        <v>0</v>
      </c>
      <c r="EE251" s="239">
        <v>0</v>
      </c>
      <c r="EF251" s="239">
        <v>0</v>
      </c>
      <c r="EG251" s="239">
        <v>0</v>
      </c>
      <c r="EH251" s="239">
        <v>0</v>
      </c>
      <c r="EI251" s="239">
        <v>0</v>
      </c>
      <c r="EJ251" s="239">
        <v>0</v>
      </c>
      <c r="EK251" s="239">
        <v>-75659</v>
      </c>
      <c r="EL251" s="239">
        <v>0</v>
      </c>
      <c r="EM251" s="239">
        <v>-75659</v>
      </c>
      <c r="EN251" s="239">
        <v>-1500</v>
      </c>
      <c r="EO251" s="239">
        <v>0</v>
      </c>
      <c r="EP251" s="239">
        <v>-1500</v>
      </c>
      <c r="EQ251" s="239">
        <v>-46706</v>
      </c>
      <c r="ER251" s="239">
        <v>0</v>
      </c>
      <c r="ES251" s="239">
        <v>-46706</v>
      </c>
      <c r="ET251" s="239">
        <v>-398355</v>
      </c>
      <c r="EU251" s="239">
        <v>0</v>
      </c>
      <c r="EV251" s="239">
        <v>-398355</v>
      </c>
      <c r="EW251" s="239">
        <v>-91609</v>
      </c>
      <c r="EX251" s="239">
        <v>0</v>
      </c>
      <c r="EY251" s="239">
        <v>-91609</v>
      </c>
      <c r="EZ251" s="239">
        <v>-614965</v>
      </c>
      <c r="FA251" s="239">
        <v>0</v>
      </c>
      <c r="FB251" s="239">
        <v>-614965</v>
      </c>
      <c r="FC251" s="239">
        <v>0</v>
      </c>
      <c r="FD251" s="239">
        <v>0</v>
      </c>
      <c r="FE251" s="239">
        <v>0</v>
      </c>
      <c r="FF251" s="239">
        <v>0</v>
      </c>
      <c r="FG251" s="239">
        <v>0</v>
      </c>
      <c r="FH251" s="239">
        <v>0</v>
      </c>
      <c r="FI251" s="239">
        <v>0</v>
      </c>
      <c r="FJ251" s="239">
        <v>0</v>
      </c>
      <c r="FK251" s="239">
        <v>0</v>
      </c>
      <c r="FL251" s="239">
        <v>49627033</v>
      </c>
      <c r="FM251" s="239">
        <v>0</v>
      </c>
      <c r="FN251" s="239">
        <v>49627033</v>
      </c>
      <c r="FO251" s="239">
        <v>1543093</v>
      </c>
      <c r="FP251" s="239">
        <v>0</v>
      </c>
      <c r="FQ251" s="239">
        <v>1543093</v>
      </c>
      <c r="FR251" s="239">
        <v>-8734447</v>
      </c>
      <c r="FS251" s="239">
        <v>0</v>
      </c>
      <c r="FT251" s="239">
        <v>-8734447</v>
      </c>
      <c r="FU251" s="239">
        <v>-1613125</v>
      </c>
      <c r="FV251" s="239">
        <v>0</v>
      </c>
      <c r="FW251" s="239">
        <v>-1613125</v>
      </c>
      <c r="FX251" s="239">
        <v>-221318</v>
      </c>
      <c r="FY251" s="239">
        <v>0</v>
      </c>
      <c r="FZ251" s="239">
        <v>-221318</v>
      </c>
      <c r="GA251" s="239">
        <v>-614965</v>
      </c>
      <c r="GB251" s="239">
        <v>0</v>
      </c>
      <c r="GC251" s="239">
        <v>-614965</v>
      </c>
      <c r="GD251" s="239">
        <v>0</v>
      </c>
      <c r="GE251" s="239">
        <v>0</v>
      </c>
      <c r="GF251" s="239">
        <v>0</v>
      </c>
      <c r="GG251" s="239">
        <v>-9640762</v>
      </c>
      <c r="GH251" s="239">
        <v>0</v>
      </c>
      <c r="GI251" s="239">
        <v>-9640762</v>
      </c>
      <c r="GJ251" s="239">
        <v>39986271</v>
      </c>
      <c r="GK251" s="239">
        <v>0</v>
      </c>
      <c r="GL251" s="239">
        <v>39986271</v>
      </c>
      <c r="GM251" s="214" t="s">
        <v>1158</v>
      </c>
    </row>
    <row r="252" spans="2:195" s="214" customFormat="1" x14ac:dyDescent="0.2">
      <c r="B252" s="602" t="s">
        <v>587</v>
      </c>
      <c r="C252" s="602" t="s">
        <v>586</v>
      </c>
      <c r="D252" s="239">
        <v>-1117914</v>
      </c>
      <c r="E252" s="239">
        <v>0</v>
      </c>
      <c r="F252" s="239">
        <v>-1117914</v>
      </c>
      <c r="G252" s="239">
        <v>-5080</v>
      </c>
      <c r="H252" s="239">
        <v>0</v>
      </c>
      <c r="I252" s="239">
        <v>-5080</v>
      </c>
      <c r="J252" s="239">
        <v>886123</v>
      </c>
      <c r="K252" s="239">
        <v>146019</v>
      </c>
      <c r="L252" s="239">
        <v>1032142</v>
      </c>
      <c r="M252" s="239">
        <v>12910</v>
      </c>
      <c r="N252" s="239">
        <v>0</v>
      </c>
      <c r="O252" s="239">
        <v>12910</v>
      </c>
      <c r="P252" s="239">
        <v>-223961</v>
      </c>
      <c r="Q252" s="239">
        <v>146019</v>
      </c>
      <c r="R252" s="239">
        <v>-77942</v>
      </c>
      <c r="S252" s="239">
        <v>-2957518</v>
      </c>
      <c r="T252" s="239">
        <v>0</v>
      </c>
      <c r="U252" s="239">
        <v>-2957518</v>
      </c>
      <c r="V252" s="239">
        <v>-98</v>
      </c>
      <c r="W252" s="239">
        <v>0</v>
      </c>
      <c r="X252" s="239">
        <v>-98</v>
      </c>
      <c r="Y252" s="239">
        <v>-92851</v>
      </c>
      <c r="Z252" s="239">
        <v>0</v>
      </c>
      <c r="AA252" s="239">
        <v>-92851</v>
      </c>
      <c r="AB252" s="239">
        <v>-92851</v>
      </c>
      <c r="AC252" s="239">
        <v>0</v>
      </c>
      <c r="AD252" s="239">
        <v>-92851</v>
      </c>
      <c r="AE252" s="239">
        <v>0</v>
      </c>
      <c r="AF252" s="239">
        <v>0</v>
      </c>
      <c r="AG252" s="239">
        <v>0</v>
      </c>
      <c r="AH252" s="239">
        <v>486582</v>
      </c>
      <c r="AI252" s="239">
        <v>74711</v>
      </c>
      <c r="AJ252" s="239">
        <v>561293</v>
      </c>
      <c r="AK252" s="239">
        <v>-1812</v>
      </c>
      <c r="AL252" s="239">
        <v>0</v>
      </c>
      <c r="AM252" s="239">
        <v>-1812</v>
      </c>
      <c r="AN252" s="239">
        <v>-928781</v>
      </c>
      <c r="AO252" s="239">
        <v>0</v>
      </c>
      <c r="AP252" s="239">
        <v>-928781</v>
      </c>
      <c r="AQ252" s="239">
        <v>-350</v>
      </c>
      <c r="AR252" s="239">
        <v>0</v>
      </c>
      <c r="AS252" s="239">
        <v>-350</v>
      </c>
      <c r="AT252" s="239">
        <v>-20778</v>
      </c>
      <c r="AU252" s="239">
        <v>0</v>
      </c>
      <c r="AV252" s="239">
        <v>-20778</v>
      </c>
      <c r="AW252" s="239">
        <v>0</v>
      </c>
      <c r="AX252" s="239">
        <v>0</v>
      </c>
      <c r="AY252" s="239">
        <v>0</v>
      </c>
      <c r="AZ252" s="239">
        <v>-6522</v>
      </c>
      <c r="BA252" s="239">
        <v>0</v>
      </c>
      <c r="BB252" s="239">
        <v>-6522</v>
      </c>
      <c r="BC252" s="239">
        <v>0</v>
      </c>
      <c r="BD252" s="239">
        <v>0</v>
      </c>
      <c r="BE252" s="239">
        <v>0</v>
      </c>
      <c r="BF252" s="239">
        <v>-3522030</v>
      </c>
      <c r="BG252" s="239">
        <v>74711</v>
      </c>
      <c r="BH252" s="239">
        <v>-3447319</v>
      </c>
      <c r="BI252" s="239">
        <v>0</v>
      </c>
      <c r="BJ252" s="239">
        <v>0</v>
      </c>
      <c r="BK252" s="239">
        <v>0</v>
      </c>
      <c r="BL252" s="239">
        <v>0</v>
      </c>
      <c r="BM252" s="239">
        <v>0</v>
      </c>
      <c r="BN252" s="239">
        <v>0</v>
      </c>
      <c r="BO252" s="239">
        <v>-389376</v>
      </c>
      <c r="BP252" s="239">
        <v>0</v>
      </c>
      <c r="BQ252" s="239">
        <v>-389376</v>
      </c>
      <c r="BR252" s="239">
        <v>-19567</v>
      </c>
      <c r="BS252" s="239">
        <v>0</v>
      </c>
      <c r="BT252" s="239">
        <v>-19567</v>
      </c>
      <c r="BU252" s="239">
        <v>-408943</v>
      </c>
      <c r="BV252" s="239">
        <v>0</v>
      </c>
      <c r="BW252" s="239">
        <v>-408943</v>
      </c>
      <c r="BX252" s="239">
        <v>-46320</v>
      </c>
      <c r="BY252" s="239">
        <v>0</v>
      </c>
      <c r="BZ252" s="239">
        <v>-46320</v>
      </c>
      <c r="CA252" s="239">
        <v>0</v>
      </c>
      <c r="CB252" s="239">
        <v>0</v>
      </c>
      <c r="CC252" s="239">
        <v>0</v>
      </c>
      <c r="CD252" s="239">
        <v>-230025</v>
      </c>
      <c r="CE252" s="239">
        <v>0</v>
      </c>
      <c r="CF252" s="239">
        <v>-230025</v>
      </c>
      <c r="CG252" s="239">
        <v>0</v>
      </c>
      <c r="CH252" s="239">
        <v>0</v>
      </c>
      <c r="CI252" s="239">
        <v>0</v>
      </c>
      <c r="CJ252" s="239">
        <v>-4141</v>
      </c>
      <c r="CK252" s="239">
        <v>0</v>
      </c>
      <c r="CL252" s="239">
        <v>-4141</v>
      </c>
      <c r="CM252" s="239">
        <v>0</v>
      </c>
      <c r="CN252" s="239">
        <v>0</v>
      </c>
      <c r="CO252" s="239">
        <v>0</v>
      </c>
      <c r="CP252" s="239">
        <v>0</v>
      </c>
      <c r="CQ252" s="239">
        <v>0</v>
      </c>
      <c r="CR252" s="239">
        <v>0</v>
      </c>
      <c r="CS252" s="239">
        <v>0</v>
      </c>
      <c r="CT252" s="239">
        <v>0</v>
      </c>
      <c r="CU252" s="239">
        <v>0</v>
      </c>
      <c r="CV252" s="239">
        <v>0</v>
      </c>
      <c r="CW252" s="239">
        <v>0</v>
      </c>
      <c r="CX252" s="239">
        <v>0</v>
      </c>
      <c r="CY252" s="239">
        <v>0</v>
      </c>
      <c r="CZ252" s="239">
        <v>0</v>
      </c>
      <c r="DA252" s="239">
        <v>0</v>
      </c>
      <c r="DB252" s="239">
        <v>0</v>
      </c>
      <c r="DC252" s="239">
        <v>-76496</v>
      </c>
      <c r="DD252" s="239">
        <v>-76496</v>
      </c>
      <c r="DE252" s="239">
        <v>0</v>
      </c>
      <c r="DF252" s="239">
        <v>0</v>
      </c>
      <c r="DG252" s="239">
        <v>0</v>
      </c>
      <c r="DH252" s="239">
        <v>-76496</v>
      </c>
      <c r="DI252" s="239">
        <v>0</v>
      </c>
      <c r="DJ252" s="239">
        <v>-280486</v>
      </c>
      <c r="DK252" s="239">
        <v>-76496</v>
      </c>
      <c r="DL252" s="239">
        <v>-356982</v>
      </c>
      <c r="DM252" s="239">
        <v>0</v>
      </c>
      <c r="DN252" s="239">
        <v>0</v>
      </c>
      <c r="DO252" s="239">
        <v>0</v>
      </c>
      <c r="DP252" s="239">
        <v>0</v>
      </c>
      <c r="DQ252" s="239">
        <v>0</v>
      </c>
      <c r="DR252" s="239">
        <v>0</v>
      </c>
      <c r="DS252" s="239">
        <v>0</v>
      </c>
      <c r="DT252" s="239">
        <v>0</v>
      </c>
      <c r="DU252" s="239">
        <v>0</v>
      </c>
      <c r="DV252" s="239">
        <v>0</v>
      </c>
      <c r="DW252" s="239">
        <v>0</v>
      </c>
      <c r="DX252" s="239">
        <v>0</v>
      </c>
      <c r="DY252" s="239">
        <v>920</v>
      </c>
      <c r="DZ252" s="239">
        <v>0</v>
      </c>
      <c r="EA252" s="239">
        <v>920</v>
      </c>
      <c r="EB252" s="239">
        <v>0</v>
      </c>
      <c r="EC252" s="239">
        <v>0</v>
      </c>
      <c r="ED252" s="239">
        <v>0</v>
      </c>
      <c r="EE252" s="239">
        <v>0</v>
      </c>
      <c r="EF252" s="239">
        <v>0</v>
      </c>
      <c r="EG252" s="239">
        <v>0</v>
      </c>
      <c r="EH252" s="239">
        <v>0</v>
      </c>
      <c r="EI252" s="239">
        <v>0</v>
      </c>
      <c r="EJ252" s="239">
        <v>0</v>
      </c>
      <c r="EK252" s="239">
        <v>-6521</v>
      </c>
      <c r="EL252" s="239">
        <v>0</v>
      </c>
      <c r="EM252" s="239">
        <v>-6521</v>
      </c>
      <c r="EN252" s="239">
        <v>0</v>
      </c>
      <c r="EO252" s="239">
        <v>0</v>
      </c>
      <c r="EP252" s="239">
        <v>0</v>
      </c>
      <c r="EQ252" s="239">
        <v>-22025</v>
      </c>
      <c r="ER252" s="239">
        <v>0</v>
      </c>
      <c r="ES252" s="239">
        <v>-22025</v>
      </c>
      <c r="ET252" s="239">
        <v>-175138</v>
      </c>
      <c r="EU252" s="239">
        <v>0</v>
      </c>
      <c r="EV252" s="239">
        <v>-175138</v>
      </c>
      <c r="EW252" s="239">
        <v>-47546</v>
      </c>
      <c r="EX252" s="239">
        <v>0</v>
      </c>
      <c r="EY252" s="239">
        <v>-47546</v>
      </c>
      <c r="EZ252" s="239">
        <v>-250310</v>
      </c>
      <c r="FA252" s="239">
        <v>0</v>
      </c>
      <c r="FB252" s="239">
        <v>-250310</v>
      </c>
      <c r="FC252" s="239">
        <v>0</v>
      </c>
      <c r="FD252" s="239">
        <v>0</v>
      </c>
      <c r="FE252" s="239">
        <v>0</v>
      </c>
      <c r="FF252" s="239">
        <v>0</v>
      </c>
      <c r="FG252" s="239">
        <v>0</v>
      </c>
      <c r="FH252" s="239">
        <v>0</v>
      </c>
      <c r="FI252" s="239">
        <v>0</v>
      </c>
      <c r="FJ252" s="239">
        <v>0</v>
      </c>
      <c r="FK252" s="239">
        <v>0</v>
      </c>
      <c r="FL252" s="239">
        <v>26701588</v>
      </c>
      <c r="FM252" s="239">
        <v>2678096</v>
      </c>
      <c r="FN252" s="239">
        <v>29379684</v>
      </c>
      <c r="FO252" s="239">
        <v>-223961</v>
      </c>
      <c r="FP252" s="239">
        <v>146019</v>
      </c>
      <c r="FQ252" s="239">
        <v>-77942</v>
      </c>
      <c r="FR252" s="239">
        <v>-3522030</v>
      </c>
      <c r="FS252" s="239">
        <v>74711</v>
      </c>
      <c r="FT252" s="239">
        <v>-3447319</v>
      </c>
      <c r="FU252" s="239">
        <v>-408943</v>
      </c>
      <c r="FV252" s="239">
        <v>0</v>
      </c>
      <c r="FW252" s="239">
        <v>-408943</v>
      </c>
      <c r="FX252" s="239">
        <v>-280486</v>
      </c>
      <c r="FY252" s="239">
        <v>-76496</v>
      </c>
      <c r="FZ252" s="239">
        <v>-356982</v>
      </c>
      <c r="GA252" s="239">
        <v>-250310</v>
      </c>
      <c r="GB252" s="239">
        <v>0</v>
      </c>
      <c r="GC252" s="239">
        <v>-250310</v>
      </c>
      <c r="GD252" s="239">
        <v>0</v>
      </c>
      <c r="GE252" s="239">
        <v>0</v>
      </c>
      <c r="GF252" s="239">
        <v>0</v>
      </c>
      <c r="GG252" s="239">
        <v>-4685730</v>
      </c>
      <c r="GH252" s="239">
        <v>144234</v>
      </c>
      <c r="GI252" s="239">
        <v>-4541496</v>
      </c>
      <c r="GJ252" s="239">
        <v>22015858</v>
      </c>
      <c r="GK252" s="239">
        <v>2822330</v>
      </c>
      <c r="GL252" s="239">
        <v>24838188</v>
      </c>
      <c r="GM252" s="214" t="s">
        <v>1158</v>
      </c>
    </row>
    <row r="253" spans="2:195" s="214" customFormat="1" x14ac:dyDescent="0.2">
      <c r="B253" s="602" t="s">
        <v>589</v>
      </c>
      <c r="C253" s="602" t="s">
        <v>588</v>
      </c>
      <c r="D253" s="239">
        <v>-1289788</v>
      </c>
      <c r="E253" s="239">
        <v>0</v>
      </c>
      <c r="F253" s="239">
        <v>-1289788</v>
      </c>
      <c r="G253" s="239">
        <v>68375</v>
      </c>
      <c r="H253" s="239">
        <v>0</v>
      </c>
      <c r="I253" s="239">
        <v>68375</v>
      </c>
      <c r="J253" s="239">
        <v>3096634</v>
      </c>
      <c r="K253" s="239">
        <v>0</v>
      </c>
      <c r="L253" s="239">
        <v>3096634</v>
      </c>
      <c r="M253" s="239">
        <v>100077</v>
      </c>
      <c r="N253" s="239">
        <v>0</v>
      </c>
      <c r="O253" s="239">
        <v>100077</v>
      </c>
      <c r="P253" s="239">
        <v>1975298</v>
      </c>
      <c r="Q253" s="239">
        <v>0</v>
      </c>
      <c r="R253" s="239">
        <v>1975298</v>
      </c>
      <c r="S253" s="239">
        <v>-3787550</v>
      </c>
      <c r="T253" s="239">
        <v>0</v>
      </c>
      <c r="U253" s="239">
        <v>-3787550</v>
      </c>
      <c r="V253" s="239">
        <v>-17449</v>
      </c>
      <c r="W253" s="239">
        <v>0</v>
      </c>
      <c r="X253" s="239">
        <v>-17449</v>
      </c>
      <c r="Y253" s="239">
        <v>-97090</v>
      </c>
      <c r="Z253" s="239">
        <v>0</v>
      </c>
      <c r="AA253" s="239">
        <v>-97090</v>
      </c>
      <c r="AB253" s="239">
        <v>-97090</v>
      </c>
      <c r="AC253" s="239">
        <v>0</v>
      </c>
      <c r="AD253" s="239">
        <v>-97090</v>
      </c>
      <c r="AE253" s="239">
        <v>0</v>
      </c>
      <c r="AF253" s="239">
        <v>0</v>
      </c>
      <c r="AG253" s="239">
        <v>0</v>
      </c>
      <c r="AH253" s="239">
        <v>656519</v>
      </c>
      <c r="AI253" s="239">
        <v>0</v>
      </c>
      <c r="AJ253" s="239">
        <v>656519</v>
      </c>
      <c r="AK253" s="239">
        <v>-21453</v>
      </c>
      <c r="AL253" s="239">
        <v>0</v>
      </c>
      <c r="AM253" s="239">
        <v>-21453</v>
      </c>
      <c r="AN253" s="239">
        <v>-2100971</v>
      </c>
      <c r="AO253" s="239">
        <v>0</v>
      </c>
      <c r="AP253" s="239">
        <v>-2100971</v>
      </c>
      <c r="AQ253" s="239">
        <v>5994</v>
      </c>
      <c r="AR253" s="239">
        <v>0</v>
      </c>
      <c r="AS253" s="239">
        <v>5994</v>
      </c>
      <c r="AT253" s="239">
        <v>-61901</v>
      </c>
      <c r="AU253" s="239">
        <v>0</v>
      </c>
      <c r="AV253" s="239">
        <v>-61901</v>
      </c>
      <c r="AW253" s="239">
        <v>0</v>
      </c>
      <c r="AX253" s="239">
        <v>0</v>
      </c>
      <c r="AY253" s="239">
        <v>0</v>
      </c>
      <c r="AZ253" s="239">
        <v>0</v>
      </c>
      <c r="BA253" s="239">
        <v>0</v>
      </c>
      <c r="BB253" s="239">
        <v>0</v>
      </c>
      <c r="BC253" s="239">
        <v>0</v>
      </c>
      <c r="BD253" s="239">
        <v>0</v>
      </c>
      <c r="BE253" s="239">
        <v>0</v>
      </c>
      <c r="BF253" s="239">
        <v>-5406452</v>
      </c>
      <c r="BG253" s="239">
        <v>0</v>
      </c>
      <c r="BH253" s="239">
        <v>-5406452</v>
      </c>
      <c r="BI253" s="239">
        <v>-12720</v>
      </c>
      <c r="BJ253" s="239">
        <v>0</v>
      </c>
      <c r="BK253" s="239">
        <v>-12720</v>
      </c>
      <c r="BL253" s="239">
        <v>9220</v>
      </c>
      <c r="BM253" s="239">
        <v>0</v>
      </c>
      <c r="BN253" s="239">
        <v>9220</v>
      </c>
      <c r="BO253" s="239">
        <v>-1299587</v>
      </c>
      <c r="BP253" s="239">
        <v>0</v>
      </c>
      <c r="BQ253" s="239">
        <v>-1299587</v>
      </c>
      <c r="BR253" s="239">
        <v>67228</v>
      </c>
      <c r="BS253" s="239">
        <v>0</v>
      </c>
      <c r="BT253" s="239">
        <v>67228</v>
      </c>
      <c r="BU253" s="239">
        <v>-1235859</v>
      </c>
      <c r="BV253" s="239">
        <v>0</v>
      </c>
      <c r="BW253" s="239">
        <v>-1235859</v>
      </c>
      <c r="BX253" s="239">
        <v>-3569</v>
      </c>
      <c r="BY253" s="239">
        <v>0</v>
      </c>
      <c r="BZ253" s="239">
        <v>-3569</v>
      </c>
      <c r="CA253" s="239">
        <v>0</v>
      </c>
      <c r="CB253" s="239">
        <v>0</v>
      </c>
      <c r="CC253" s="239">
        <v>0</v>
      </c>
      <c r="CD253" s="239">
        <v>-50997</v>
      </c>
      <c r="CE253" s="239">
        <v>0</v>
      </c>
      <c r="CF253" s="239">
        <v>-50997</v>
      </c>
      <c r="CG253" s="239">
        <v>-1446</v>
      </c>
      <c r="CH253" s="239">
        <v>0</v>
      </c>
      <c r="CI253" s="239">
        <v>-1446</v>
      </c>
      <c r="CJ253" s="239">
        <v>0</v>
      </c>
      <c r="CK253" s="239">
        <v>0</v>
      </c>
      <c r="CL253" s="239">
        <v>0</v>
      </c>
      <c r="CM253" s="239">
        <v>0</v>
      </c>
      <c r="CN253" s="239">
        <v>0</v>
      </c>
      <c r="CO253" s="239">
        <v>0</v>
      </c>
      <c r="CP253" s="239">
        <v>0</v>
      </c>
      <c r="CQ253" s="239">
        <v>0</v>
      </c>
      <c r="CR253" s="239">
        <v>0</v>
      </c>
      <c r="CS253" s="239">
        <v>0</v>
      </c>
      <c r="CT253" s="239">
        <v>0</v>
      </c>
      <c r="CU253" s="239">
        <v>0</v>
      </c>
      <c r="CV253" s="239">
        <v>0</v>
      </c>
      <c r="CW253" s="239">
        <v>0</v>
      </c>
      <c r="CX253" s="239">
        <v>0</v>
      </c>
      <c r="CY253" s="239">
        <v>0</v>
      </c>
      <c r="CZ253" s="239">
        <v>0</v>
      </c>
      <c r="DA253" s="239">
        <v>0</v>
      </c>
      <c r="DB253" s="239">
        <v>0</v>
      </c>
      <c r="DC253" s="239">
        <v>0</v>
      </c>
      <c r="DD253" s="239">
        <v>0</v>
      </c>
      <c r="DE253" s="239">
        <v>0</v>
      </c>
      <c r="DF253" s="239">
        <v>0</v>
      </c>
      <c r="DG253" s="239">
        <v>0</v>
      </c>
      <c r="DH253" s="239">
        <v>0</v>
      </c>
      <c r="DI253" s="239">
        <v>0</v>
      </c>
      <c r="DJ253" s="239">
        <v>-56012</v>
      </c>
      <c r="DK253" s="239">
        <v>0</v>
      </c>
      <c r="DL253" s="239">
        <v>-56012</v>
      </c>
      <c r="DM253" s="239">
        <v>0</v>
      </c>
      <c r="DN253" s="239">
        <v>0</v>
      </c>
      <c r="DO253" s="239">
        <v>0</v>
      </c>
      <c r="DP253" s="239">
        <v>0</v>
      </c>
      <c r="DQ253" s="239">
        <v>0</v>
      </c>
      <c r="DR253" s="239">
        <v>0</v>
      </c>
      <c r="DS253" s="239">
        <v>-1309</v>
      </c>
      <c r="DT253" s="239">
        <v>0</v>
      </c>
      <c r="DU253" s="239">
        <v>-1309</v>
      </c>
      <c r="DV253" s="239">
        <v>-7935</v>
      </c>
      <c r="DW253" s="239">
        <v>0</v>
      </c>
      <c r="DX253" s="239">
        <v>-7935</v>
      </c>
      <c r="DY253" s="239">
        <v>5571</v>
      </c>
      <c r="DZ253" s="239">
        <v>0</v>
      </c>
      <c r="EA253" s="239">
        <v>5571</v>
      </c>
      <c r="EB253" s="239">
        <v>0</v>
      </c>
      <c r="EC253" s="239">
        <v>0</v>
      </c>
      <c r="ED253" s="239">
        <v>0</v>
      </c>
      <c r="EE253" s="239">
        <v>0</v>
      </c>
      <c r="EF253" s="239">
        <v>0</v>
      </c>
      <c r="EG253" s="239">
        <v>0</v>
      </c>
      <c r="EH253" s="239">
        <v>0</v>
      </c>
      <c r="EI253" s="239">
        <v>0</v>
      </c>
      <c r="EJ253" s="239">
        <v>0</v>
      </c>
      <c r="EK253" s="239">
        <v>0</v>
      </c>
      <c r="EL253" s="239">
        <v>0</v>
      </c>
      <c r="EM253" s="239">
        <v>0</v>
      </c>
      <c r="EN253" s="239">
        <v>0</v>
      </c>
      <c r="EO253" s="239">
        <v>0</v>
      </c>
      <c r="EP253" s="239">
        <v>0</v>
      </c>
      <c r="EQ253" s="239">
        <v>-15821</v>
      </c>
      <c r="ER253" s="239">
        <v>0</v>
      </c>
      <c r="ES253" s="239">
        <v>-15821</v>
      </c>
      <c r="ET253" s="239">
        <v>-204372</v>
      </c>
      <c r="EU253" s="239">
        <v>0</v>
      </c>
      <c r="EV253" s="239">
        <v>-204372</v>
      </c>
      <c r="EW253" s="239">
        <v>-71121</v>
      </c>
      <c r="EX253" s="239">
        <v>0</v>
      </c>
      <c r="EY253" s="239">
        <v>-71121</v>
      </c>
      <c r="EZ253" s="239">
        <v>-294987</v>
      </c>
      <c r="FA253" s="239">
        <v>0</v>
      </c>
      <c r="FB253" s="239">
        <v>-294987</v>
      </c>
      <c r="FC253" s="239">
        <v>0</v>
      </c>
      <c r="FD253" s="239">
        <v>0</v>
      </c>
      <c r="FE253" s="239">
        <v>0</v>
      </c>
      <c r="FF253" s="239">
        <v>0</v>
      </c>
      <c r="FG253" s="239">
        <v>0</v>
      </c>
      <c r="FH253" s="239">
        <v>0</v>
      </c>
      <c r="FI253" s="239">
        <v>0</v>
      </c>
      <c r="FJ253" s="239">
        <v>0</v>
      </c>
      <c r="FK253" s="239">
        <v>0</v>
      </c>
      <c r="FL253" s="239">
        <v>35085554</v>
      </c>
      <c r="FM253" s="239">
        <v>0</v>
      </c>
      <c r="FN253" s="239">
        <v>35085554</v>
      </c>
      <c r="FO253" s="239">
        <v>1975298</v>
      </c>
      <c r="FP253" s="239">
        <v>0</v>
      </c>
      <c r="FQ253" s="239">
        <v>1975298</v>
      </c>
      <c r="FR253" s="239">
        <v>-5406452</v>
      </c>
      <c r="FS253" s="239">
        <v>0</v>
      </c>
      <c r="FT253" s="239">
        <v>-5406452</v>
      </c>
      <c r="FU253" s="239">
        <v>-1235859</v>
      </c>
      <c r="FV253" s="239">
        <v>0</v>
      </c>
      <c r="FW253" s="239">
        <v>-1235859</v>
      </c>
      <c r="FX253" s="239">
        <v>-56012</v>
      </c>
      <c r="FY253" s="239">
        <v>0</v>
      </c>
      <c r="FZ253" s="239">
        <v>-56012</v>
      </c>
      <c r="GA253" s="239">
        <v>-294987</v>
      </c>
      <c r="GB253" s="239">
        <v>0</v>
      </c>
      <c r="GC253" s="239">
        <v>-294987</v>
      </c>
      <c r="GD253" s="239">
        <v>0</v>
      </c>
      <c r="GE253" s="239">
        <v>0</v>
      </c>
      <c r="GF253" s="239">
        <v>0</v>
      </c>
      <c r="GG253" s="239">
        <v>-5018012</v>
      </c>
      <c r="GH253" s="239">
        <v>0</v>
      </c>
      <c r="GI253" s="239">
        <v>-5018012</v>
      </c>
      <c r="GJ253" s="239">
        <v>30067542</v>
      </c>
      <c r="GK253" s="239">
        <v>0</v>
      </c>
      <c r="GL253" s="239">
        <v>30067542</v>
      </c>
      <c r="GM253" s="214" t="s">
        <v>1160</v>
      </c>
    </row>
    <row r="254" spans="2:195" s="214" customFormat="1" x14ac:dyDescent="0.2">
      <c r="B254" s="602" t="s">
        <v>591</v>
      </c>
      <c r="C254" s="602" t="s">
        <v>590</v>
      </c>
      <c r="D254" s="239">
        <v>-4126351</v>
      </c>
      <c r="E254" s="239">
        <v>0</v>
      </c>
      <c r="F254" s="239">
        <v>-4126351</v>
      </c>
      <c r="G254" s="239">
        <v>67973</v>
      </c>
      <c r="H254" s="239">
        <v>0</v>
      </c>
      <c r="I254" s="239">
        <v>67973</v>
      </c>
      <c r="J254" s="239">
        <v>7034891</v>
      </c>
      <c r="K254" s="239">
        <v>0</v>
      </c>
      <c r="L254" s="239">
        <v>7034891</v>
      </c>
      <c r="M254" s="239">
        <v>41873</v>
      </c>
      <c r="N254" s="239">
        <v>0</v>
      </c>
      <c r="O254" s="239">
        <v>41873</v>
      </c>
      <c r="P254" s="239">
        <v>3018386</v>
      </c>
      <c r="Q254" s="239">
        <v>0</v>
      </c>
      <c r="R254" s="239">
        <v>3018386</v>
      </c>
      <c r="S254" s="239">
        <v>-5681495</v>
      </c>
      <c r="T254" s="239">
        <v>0</v>
      </c>
      <c r="U254" s="239">
        <v>-5681495</v>
      </c>
      <c r="V254" s="239">
        <v>-11955</v>
      </c>
      <c r="W254" s="239">
        <v>0</v>
      </c>
      <c r="X254" s="239">
        <v>-11955</v>
      </c>
      <c r="Y254" s="239">
        <v>-43449</v>
      </c>
      <c r="Z254" s="239">
        <v>0</v>
      </c>
      <c r="AA254" s="239">
        <v>-43449</v>
      </c>
      <c r="AB254" s="239">
        <v>-46009</v>
      </c>
      <c r="AC254" s="239">
        <v>0</v>
      </c>
      <c r="AD254" s="239">
        <v>-46009</v>
      </c>
      <c r="AE254" s="239">
        <v>3639</v>
      </c>
      <c r="AF254" s="239">
        <v>0</v>
      </c>
      <c r="AG254" s="239">
        <v>3639</v>
      </c>
      <c r="AH254" s="239">
        <v>2726158</v>
      </c>
      <c r="AI254" s="239">
        <v>0</v>
      </c>
      <c r="AJ254" s="239">
        <v>2726158</v>
      </c>
      <c r="AK254" s="239">
        <v>-83428</v>
      </c>
      <c r="AL254" s="239">
        <v>0</v>
      </c>
      <c r="AM254" s="239">
        <v>-83428</v>
      </c>
      <c r="AN254" s="239">
        <v>-11197764</v>
      </c>
      <c r="AO254" s="239">
        <v>0</v>
      </c>
      <c r="AP254" s="239">
        <v>-11197764</v>
      </c>
      <c r="AQ254" s="239">
        <v>-323943</v>
      </c>
      <c r="AR254" s="239">
        <v>0</v>
      </c>
      <c r="AS254" s="239">
        <v>-323943</v>
      </c>
      <c r="AT254" s="239">
        <v>-51058</v>
      </c>
      <c r="AU254" s="239">
        <v>0</v>
      </c>
      <c r="AV254" s="239">
        <v>-51058</v>
      </c>
      <c r="AW254" s="239">
        <v>0</v>
      </c>
      <c r="AX254" s="239">
        <v>0</v>
      </c>
      <c r="AY254" s="239">
        <v>0</v>
      </c>
      <c r="AZ254" s="239">
        <v>0</v>
      </c>
      <c r="BA254" s="239">
        <v>0</v>
      </c>
      <c r="BB254" s="239">
        <v>0</v>
      </c>
      <c r="BC254" s="239">
        <v>0</v>
      </c>
      <c r="BD254" s="239">
        <v>0</v>
      </c>
      <c r="BE254" s="239">
        <v>0</v>
      </c>
      <c r="BF254" s="239">
        <v>-14654979</v>
      </c>
      <c r="BG254" s="239">
        <v>0</v>
      </c>
      <c r="BH254" s="239">
        <v>-14654979</v>
      </c>
      <c r="BI254" s="239">
        <v>0</v>
      </c>
      <c r="BJ254" s="239">
        <v>0</v>
      </c>
      <c r="BK254" s="239">
        <v>0</v>
      </c>
      <c r="BL254" s="239">
        <v>-50758</v>
      </c>
      <c r="BM254" s="239">
        <v>0</v>
      </c>
      <c r="BN254" s="239">
        <v>-50758</v>
      </c>
      <c r="BO254" s="239">
        <v>-2744606</v>
      </c>
      <c r="BP254" s="239">
        <v>0</v>
      </c>
      <c r="BQ254" s="239">
        <v>-2744606</v>
      </c>
      <c r="BR254" s="239">
        <v>354410</v>
      </c>
      <c r="BS254" s="239">
        <v>0</v>
      </c>
      <c r="BT254" s="239">
        <v>354410</v>
      </c>
      <c r="BU254" s="239">
        <v>-2440954</v>
      </c>
      <c r="BV254" s="239">
        <v>0</v>
      </c>
      <c r="BW254" s="239">
        <v>-2440954</v>
      </c>
      <c r="BX254" s="239">
        <v>0</v>
      </c>
      <c r="BY254" s="239">
        <v>0</v>
      </c>
      <c r="BZ254" s="239">
        <v>0</v>
      </c>
      <c r="CA254" s="239">
        <v>0</v>
      </c>
      <c r="CB254" s="239">
        <v>0</v>
      </c>
      <c r="CC254" s="239">
        <v>0</v>
      </c>
      <c r="CD254" s="239">
        <v>-89295</v>
      </c>
      <c r="CE254" s="239">
        <v>0</v>
      </c>
      <c r="CF254" s="239">
        <v>-89295</v>
      </c>
      <c r="CG254" s="239">
        <v>15796</v>
      </c>
      <c r="CH254" s="239">
        <v>0</v>
      </c>
      <c r="CI254" s="239">
        <v>15796</v>
      </c>
      <c r="CJ254" s="239">
        <v>0</v>
      </c>
      <c r="CK254" s="239">
        <v>0</v>
      </c>
      <c r="CL254" s="239">
        <v>0</v>
      </c>
      <c r="CM254" s="239">
        <v>0</v>
      </c>
      <c r="CN254" s="239">
        <v>0</v>
      </c>
      <c r="CO254" s="239">
        <v>0</v>
      </c>
      <c r="CP254" s="239">
        <v>0</v>
      </c>
      <c r="CQ254" s="239">
        <v>0</v>
      </c>
      <c r="CR254" s="239">
        <v>0</v>
      </c>
      <c r="CS254" s="239">
        <v>0</v>
      </c>
      <c r="CT254" s="239">
        <v>0</v>
      </c>
      <c r="CU254" s="239">
        <v>0</v>
      </c>
      <c r="CV254" s="239">
        <v>0</v>
      </c>
      <c r="CW254" s="239">
        <v>0</v>
      </c>
      <c r="CX254" s="239">
        <v>0</v>
      </c>
      <c r="CY254" s="239">
        <v>0</v>
      </c>
      <c r="CZ254" s="239">
        <v>0</v>
      </c>
      <c r="DA254" s="239">
        <v>0</v>
      </c>
      <c r="DB254" s="239">
        <v>-55473</v>
      </c>
      <c r="DC254" s="239">
        <v>0</v>
      </c>
      <c r="DD254" s="239">
        <v>-55473</v>
      </c>
      <c r="DE254" s="239">
        <v>0</v>
      </c>
      <c r="DF254" s="239">
        <v>0</v>
      </c>
      <c r="DG254" s="239">
        <v>0</v>
      </c>
      <c r="DH254" s="239">
        <v>0</v>
      </c>
      <c r="DI254" s="239">
        <v>0</v>
      </c>
      <c r="DJ254" s="239">
        <v>-128972</v>
      </c>
      <c r="DK254" s="239">
        <v>0</v>
      </c>
      <c r="DL254" s="239">
        <v>-128972</v>
      </c>
      <c r="DM254" s="239">
        <v>-22539</v>
      </c>
      <c r="DN254" s="239">
        <v>0</v>
      </c>
      <c r="DO254" s="239">
        <v>-22539</v>
      </c>
      <c r="DP254" s="239">
        <v>1347</v>
      </c>
      <c r="DQ254" s="239">
        <v>0</v>
      </c>
      <c r="DR254" s="239">
        <v>1347</v>
      </c>
      <c r="DS254" s="239">
        <v>-9593</v>
      </c>
      <c r="DT254" s="239">
        <v>0</v>
      </c>
      <c r="DU254" s="239">
        <v>-9593</v>
      </c>
      <c r="DV254" s="239">
        <v>-33814</v>
      </c>
      <c r="DW254" s="239">
        <v>0</v>
      </c>
      <c r="DX254" s="239">
        <v>-33814</v>
      </c>
      <c r="DY254" s="239">
        <v>1036</v>
      </c>
      <c r="DZ254" s="239">
        <v>0</v>
      </c>
      <c r="EA254" s="239">
        <v>1036</v>
      </c>
      <c r="EB254" s="239">
        <v>0</v>
      </c>
      <c r="EC254" s="239">
        <v>0</v>
      </c>
      <c r="ED254" s="239">
        <v>0</v>
      </c>
      <c r="EE254" s="239">
        <v>0</v>
      </c>
      <c r="EF254" s="239">
        <v>0</v>
      </c>
      <c r="EG254" s="239">
        <v>0</v>
      </c>
      <c r="EH254" s="239">
        <v>-3</v>
      </c>
      <c r="EI254" s="239">
        <v>0</v>
      </c>
      <c r="EJ254" s="239">
        <v>-3</v>
      </c>
      <c r="EK254" s="239">
        <v>0</v>
      </c>
      <c r="EL254" s="239">
        <v>0</v>
      </c>
      <c r="EM254" s="239">
        <v>0</v>
      </c>
      <c r="EN254" s="239">
        <v>0</v>
      </c>
      <c r="EO254" s="239">
        <v>0</v>
      </c>
      <c r="EP254" s="239">
        <v>0</v>
      </c>
      <c r="EQ254" s="239">
        <v>-15044</v>
      </c>
      <c r="ER254" s="239">
        <v>0</v>
      </c>
      <c r="ES254" s="239">
        <v>-15044</v>
      </c>
      <c r="ET254" s="239">
        <v>-337893</v>
      </c>
      <c r="EU254" s="239">
        <v>0</v>
      </c>
      <c r="EV254" s="239">
        <v>-337893</v>
      </c>
      <c r="EW254" s="239">
        <v>-86640</v>
      </c>
      <c r="EX254" s="239">
        <v>0</v>
      </c>
      <c r="EY254" s="239">
        <v>-86640</v>
      </c>
      <c r="EZ254" s="239">
        <v>-503143</v>
      </c>
      <c r="FA254" s="239">
        <v>0</v>
      </c>
      <c r="FB254" s="239">
        <v>-503143</v>
      </c>
      <c r="FC254" s="239">
        <v>0</v>
      </c>
      <c r="FD254" s="239">
        <v>0</v>
      </c>
      <c r="FE254" s="239">
        <v>0</v>
      </c>
      <c r="FF254" s="239">
        <v>0</v>
      </c>
      <c r="FG254" s="239">
        <v>0</v>
      </c>
      <c r="FH254" s="239">
        <v>0</v>
      </c>
      <c r="FI254" s="239">
        <v>0</v>
      </c>
      <c r="FJ254" s="239">
        <v>0</v>
      </c>
      <c r="FK254" s="239">
        <v>0</v>
      </c>
      <c r="FL254" s="239">
        <v>120998926</v>
      </c>
      <c r="FM254" s="239">
        <v>0</v>
      </c>
      <c r="FN254" s="239">
        <v>120998926</v>
      </c>
      <c r="FO254" s="239">
        <v>3018386</v>
      </c>
      <c r="FP254" s="239">
        <v>0</v>
      </c>
      <c r="FQ254" s="239">
        <v>3018386</v>
      </c>
      <c r="FR254" s="239">
        <v>-14654979</v>
      </c>
      <c r="FS254" s="239">
        <v>0</v>
      </c>
      <c r="FT254" s="239">
        <v>-14654979</v>
      </c>
      <c r="FU254" s="239">
        <v>-2440954</v>
      </c>
      <c r="FV254" s="239">
        <v>0</v>
      </c>
      <c r="FW254" s="239">
        <v>-2440954</v>
      </c>
      <c r="FX254" s="239">
        <v>-128972</v>
      </c>
      <c r="FY254" s="239">
        <v>0</v>
      </c>
      <c r="FZ254" s="239">
        <v>-128972</v>
      </c>
      <c r="GA254" s="239">
        <v>-503143</v>
      </c>
      <c r="GB254" s="239">
        <v>0</v>
      </c>
      <c r="GC254" s="239">
        <v>-503143</v>
      </c>
      <c r="GD254" s="239">
        <v>0</v>
      </c>
      <c r="GE254" s="239">
        <v>0</v>
      </c>
      <c r="GF254" s="239">
        <v>0</v>
      </c>
      <c r="GG254" s="239">
        <v>-14709662</v>
      </c>
      <c r="GH254" s="239">
        <v>0</v>
      </c>
      <c r="GI254" s="239">
        <v>-14709662</v>
      </c>
      <c r="GJ254" s="239">
        <v>106289264</v>
      </c>
      <c r="GK254" s="239">
        <v>0</v>
      </c>
      <c r="GL254" s="239">
        <v>106289264</v>
      </c>
      <c r="GM254" s="214" t="s">
        <v>746</v>
      </c>
    </row>
    <row r="255" spans="2:195" s="214" customFormat="1" x14ac:dyDescent="0.2">
      <c r="B255" s="602" t="s">
        <v>593</v>
      </c>
      <c r="C255" s="602" t="s">
        <v>592</v>
      </c>
      <c r="D255" s="239">
        <v>-2165074</v>
      </c>
      <c r="E255" s="239">
        <v>0</v>
      </c>
      <c r="F255" s="239">
        <v>-2165074</v>
      </c>
      <c r="G255" s="239">
        <v>220191</v>
      </c>
      <c r="H255" s="239">
        <v>0</v>
      </c>
      <c r="I255" s="239">
        <v>220191</v>
      </c>
      <c r="J255" s="239">
        <v>3848583</v>
      </c>
      <c r="K255" s="239">
        <v>0</v>
      </c>
      <c r="L255" s="239">
        <v>3848583</v>
      </c>
      <c r="M255" s="239">
        <v>81598</v>
      </c>
      <c r="N255" s="239">
        <v>0</v>
      </c>
      <c r="O255" s="239">
        <v>81598</v>
      </c>
      <c r="P255" s="239">
        <v>1985298</v>
      </c>
      <c r="Q255" s="239">
        <v>0</v>
      </c>
      <c r="R255" s="239">
        <v>1985298</v>
      </c>
      <c r="S255" s="239">
        <v>-6826868</v>
      </c>
      <c r="T255" s="239">
        <v>0</v>
      </c>
      <c r="U255" s="239">
        <v>-6826868</v>
      </c>
      <c r="V255" s="239">
        <v>-35411</v>
      </c>
      <c r="W255" s="239">
        <v>0</v>
      </c>
      <c r="X255" s="239">
        <v>-35411</v>
      </c>
      <c r="Y255" s="239">
        <v>-215837</v>
      </c>
      <c r="Z255" s="239">
        <v>0</v>
      </c>
      <c r="AA255" s="239">
        <v>-215837</v>
      </c>
      <c r="AB255" s="239">
        <v>-191906</v>
      </c>
      <c r="AC255" s="239">
        <v>0</v>
      </c>
      <c r="AD255" s="239">
        <v>-191906</v>
      </c>
      <c r="AE255" s="239">
        <v>915</v>
      </c>
      <c r="AF255" s="239">
        <v>0</v>
      </c>
      <c r="AG255" s="239">
        <v>915</v>
      </c>
      <c r="AH255" s="239">
        <v>985667</v>
      </c>
      <c r="AI255" s="239">
        <v>0</v>
      </c>
      <c r="AJ255" s="239">
        <v>985667</v>
      </c>
      <c r="AK255" s="239">
        <v>359032</v>
      </c>
      <c r="AL255" s="239">
        <v>0</v>
      </c>
      <c r="AM255" s="239">
        <v>359032</v>
      </c>
      <c r="AN255" s="239">
        <v>-4626620</v>
      </c>
      <c r="AO255" s="239">
        <v>0</v>
      </c>
      <c r="AP255" s="239">
        <v>-4626620</v>
      </c>
      <c r="AQ255" s="239">
        <v>-20672</v>
      </c>
      <c r="AR255" s="239">
        <v>0</v>
      </c>
      <c r="AS255" s="239">
        <v>-20672</v>
      </c>
      <c r="AT255" s="239">
        <v>-49910</v>
      </c>
      <c r="AU255" s="239">
        <v>0</v>
      </c>
      <c r="AV255" s="239">
        <v>-49910</v>
      </c>
      <c r="AW255" s="239">
        <v>0</v>
      </c>
      <c r="AX255" s="239">
        <v>0</v>
      </c>
      <c r="AY255" s="239">
        <v>0</v>
      </c>
      <c r="AZ255" s="239">
        <v>0</v>
      </c>
      <c r="BA255" s="239">
        <v>0</v>
      </c>
      <c r="BB255" s="239">
        <v>0</v>
      </c>
      <c r="BC255" s="239">
        <v>0</v>
      </c>
      <c r="BD255" s="239">
        <v>0</v>
      </c>
      <c r="BE255" s="239">
        <v>0</v>
      </c>
      <c r="BF255" s="239">
        <v>-10395208</v>
      </c>
      <c r="BG255" s="239">
        <v>0</v>
      </c>
      <c r="BH255" s="239">
        <v>-10395208</v>
      </c>
      <c r="BI255" s="239">
        <v>-1388</v>
      </c>
      <c r="BJ255" s="239">
        <v>0</v>
      </c>
      <c r="BK255" s="239">
        <v>-1388</v>
      </c>
      <c r="BL255" s="239">
        <v>-2</v>
      </c>
      <c r="BM255" s="239">
        <v>0</v>
      </c>
      <c r="BN255" s="239">
        <v>-2</v>
      </c>
      <c r="BO255" s="239">
        <v>-1606159</v>
      </c>
      <c r="BP255" s="239">
        <v>0</v>
      </c>
      <c r="BQ255" s="239">
        <v>-1606159</v>
      </c>
      <c r="BR255" s="239">
        <v>31866</v>
      </c>
      <c r="BS255" s="239">
        <v>0</v>
      </c>
      <c r="BT255" s="239">
        <v>31866</v>
      </c>
      <c r="BU255" s="239">
        <v>-1575683</v>
      </c>
      <c r="BV255" s="239">
        <v>0</v>
      </c>
      <c r="BW255" s="239">
        <v>-1575683</v>
      </c>
      <c r="BX255" s="239">
        <v>-73205</v>
      </c>
      <c r="BY255" s="239">
        <v>0</v>
      </c>
      <c r="BZ255" s="239">
        <v>-73205</v>
      </c>
      <c r="CA255" s="239">
        <v>-774</v>
      </c>
      <c r="CB255" s="239">
        <v>0</v>
      </c>
      <c r="CC255" s="239">
        <v>-774</v>
      </c>
      <c r="CD255" s="239">
        <v>-39811</v>
      </c>
      <c r="CE255" s="239">
        <v>0</v>
      </c>
      <c r="CF255" s="239">
        <v>-39811</v>
      </c>
      <c r="CG255" s="239">
        <v>-3872</v>
      </c>
      <c r="CH255" s="239">
        <v>0</v>
      </c>
      <c r="CI255" s="239">
        <v>-3872</v>
      </c>
      <c r="CJ255" s="239">
        <v>-3688</v>
      </c>
      <c r="CK255" s="239">
        <v>0</v>
      </c>
      <c r="CL255" s="239">
        <v>-3688</v>
      </c>
      <c r="CM255" s="239">
        <v>0</v>
      </c>
      <c r="CN255" s="239">
        <v>0</v>
      </c>
      <c r="CO255" s="239">
        <v>0</v>
      </c>
      <c r="CP255" s="239">
        <v>0</v>
      </c>
      <c r="CQ255" s="239">
        <v>0</v>
      </c>
      <c r="CR255" s="239">
        <v>0</v>
      </c>
      <c r="CS255" s="239">
        <v>0</v>
      </c>
      <c r="CT255" s="239">
        <v>0</v>
      </c>
      <c r="CU255" s="239">
        <v>0</v>
      </c>
      <c r="CV255" s="239">
        <v>0</v>
      </c>
      <c r="CW255" s="239">
        <v>0</v>
      </c>
      <c r="CX255" s="239">
        <v>0</v>
      </c>
      <c r="CY255" s="239">
        <v>0</v>
      </c>
      <c r="CZ255" s="239">
        <v>0</v>
      </c>
      <c r="DA255" s="239">
        <v>0</v>
      </c>
      <c r="DB255" s="239">
        <v>0</v>
      </c>
      <c r="DC255" s="239">
        <v>0</v>
      </c>
      <c r="DD255" s="239">
        <v>0</v>
      </c>
      <c r="DE255" s="239">
        <v>0</v>
      </c>
      <c r="DF255" s="239">
        <v>0</v>
      </c>
      <c r="DG255" s="239">
        <v>0</v>
      </c>
      <c r="DH255" s="239">
        <v>0</v>
      </c>
      <c r="DI255" s="239">
        <v>0</v>
      </c>
      <c r="DJ255" s="239">
        <v>-121350</v>
      </c>
      <c r="DK255" s="239">
        <v>0</v>
      </c>
      <c r="DL255" s="239">
        <v>-121350</v>
      </c>
      <c r="DM255" s="239">
        <v>-6237</v>
      </c>
      <c r="DN255" s="239">
        <v>0</v>
      </c>
      <c r="DO255" s="239">
        <v>-6237</v>
      </c>
      <c r="DP255" s="239">
        <v>0</v>
      </c>
      <c r="DQ255" s="239">
        <v>0</v>
      </c>
      <c r="DR255" s="239">
        <v>0</v>
      </c>
      <c r="DS255" s="239">
        <v>-2255</v>
      </c>
      <c r="DT255" s="239">
        <v>0</v>
      </c>
      <c r="DU255" s="239">
        <v>-2255</v>
      </c>
      <c r="DV255" s="239">
        <v>0</v>
      </c>
      <c r="DW255" s="239">
        <v>0</v>
      </c>
      <c r="DX255" s="239">
        <v>0</v>
      </c>
      <c r="DY255" s="239">
        <v>2223</v>
      </c>
      <c r="DZ255" s="239">
        <v>0</v>
      </c>
      <c r="EA255" s="239">
        <v>2223</v>
      </c>
      <c r="EB255" s="239">
        <v>0</v>
      </c>
      <c r="EC255" s="239">
        <v>0</v>
      </c>
      <c r="ED255" s="239">
        <v>0</v>
      </c>
      <c r="EE255" s="239">
        <v>0</v>
      </c>
      <c r="EF255" s="239">
        <v>0</v>
      </c>
      <c r="EG255" s="239">
        <v>0</v>
      </c>
      <c r="EH255" s="239">
        <v>0</v>
      </c>
      <c r="EI255" s="239">
        <v>0</v>
      </c>
      <c r="EJ255" s="239">
        <v>0</v>
      </c>
      <c r="EK255" s="239">
        <v>0</v>
      </c>
      <c r="EL255" s="239">
        <v>0</v>
      </c>
      <c r="EM255" s="239">
        <v>0</v>
      </c>
      <c r="EN255" s="239">
        <v>0</v>
      </c>
      <c r="EO255" s="239">
        <v>0</v>
      </c>
      <c r="EP255" s="239">
        <v>0</v>
      </c>
      <c r="EQ255" s="239">
        <v>-17644</v>
      </c>
      <c r="ER255" s="239">
        <v>0</v>
      </c>
      <c r="ES255" s="239">
        <v>-17644</v>
      </c>
      <c r="ET255" s="239">
        <v>-322340</v>
      </c>
      <c r="EU255" s="239">
        <v>0</v>
      </c>
      <c r="EV255" s="239">
        <v>-322340</v>
      </c>
      <c r="EW255" s="239">
        <v>-27321</v>
      </c>
      <c r="EX255" s="239">
        <v>0</v>
      </c>
      <c r="EY255" s="239">
        <v>-27321</v>
      </c>
      <c r="EZ255" s="239">
        <v>-373574</v>
      </c>
      <c r="FA255" s="239">
        <v>0</v>
      </c>
      <c r="FB255" s="239">
        <v>-373574</v>
      </c>
      <c r="FC255" s="239">
        <v>0</v>
      </c>
      <c r="FD255" s="239">
        <v>0</v>
      </c>
      <c r="FE255" s="239">
        <v>0</v>
      </c>
      <c r="FF255" s="239">
        <v>0</v>
      </c>
      <c r="FG255" s="239">
        <v>0</v>
      </c>
      <c r="FH255" s="239">
        <v>0</v>
      </c>
      <c r="FI255" s="239">
        <v>0</v>
      </c>
      <c r="FJ255" s="239">
        <v>0</v>
      </c>
      <c r="FK255" s="239">
        <v>0</v>
      </c>
      <c r="FL255" s="239">
        <v>52993558</v>
      </c>
      <c r="FM255" s="239">
        <v>0</v>
      </c>
      <c r="FN255" s="239">
        <v>52993558</v>
      </c>
      <c r="FO255" s="239">
        <v>1985298</v>
      </c>
      <c r="FP255" s="239">
        <v>0</v>
      </c>
      <c r="FQ255" s="239">
        <v>1985298</v>
      </c>
      <c r="FR255" s="239">
        <v>-10395208</v>
      </c>
      <c r="FS255" s="239">
        <v>0</v>
      </c>
      <c r="FT255" s="239">
        <v>-10395208</v>
      </c>
      <c r="FU255" s="239">
        <v>-1575683</v>
      </c>
      <c r="FV255" s="239">
        <v>0</v>
      </c>
      <c r="FW255" s="239">
        <v>-1575683</v>
      </c>
      <c r="FX255" s="239">
        <v>-121350</v>
      </c>
      <c r="FY255" s="239">
        <v>0</v>
      </c>
      <c r="FZ255" s="239">
        <v>-121350</v>
      </c>
      <c r="GA255" s="239">
        <v>-373574</v>
      </c>
      <c r="GB255" s="239">
        <v>0</v>
      </c>
      <c r="GC255" s="239">
        <v>-373574</v>
      </c>
      <c r="GD255" s="239">
        <v>0</v>
      </c>
      <c r="GE255" s="239">
        <v>0</v>
      </c>
      <c r="GF255" s="239">
        <v>0</v>
      </c>
      <c r="GG255" s="239">
        <v>-10480517</v>
      </c>
      <c r="GH255" s="239">
        <v>0</v>
      </c>
      <c r="GI255" s="239">
        <v>-10480517</v>
      </c>
      <c r="GJ255" s="239">
        <v>42513041</v>
      </c>
      <c r="GK255" s="239">
        <v>0</v>
      </c>
      <c r="GL255" s="239">
        <v>42513041</v>
      </c>
      <c r="GM255" s="214" t="s">
        <v>746</v>
      </c>
    </row>
    <row r="256" spans="2:195" s="214" customFormat="1" x14ac:dyDescent="0.2">
      <c r="B256" s="602" t="s">
        <v>595</v>
      </c>
      <c r="C256" s="602" t="s">
        <v>594</v>
      </c>
      <c r="D256" s="239">
        <v>-26189826</v>
      </c>
      <c r="E256" s="239">
        <v>0</v>
      </c>
      <c r="F256" s="239">
        <v>-26189826</v>
      </c>
      <c r="G256" s="239">
        <v>-1927311</v>
      </c>
      <c r="H256" s="239">
        <v>0</v>
      </c>
      <c r="I256" s="239">
        <v>-1927311</v>
      </c>
      <c r="J256" s="239">
        <v>2037845</v>
      </c>
      <c r="K256" s="239">
        <v>0</v>
      </c>
      <c r="L256" s="239">
        <v>2037845</v>
      </c>
      <c r="M256" s="239">
        <v>208718</v>
      </c>
      <c r="N256" s="239">
        <v>0</v>
      </c>
      <c r="O256" s="239">
        <v>208718</v>
      </c>
      <c r="P256" s="239">
        <v>-25870574</v>
      </c>
      <c r="Q256" s="239">
        <v>0</v>
      </c>
      <c r="R256" s="239">
        <v>-25870574</v>
      </c>
      <c r="S256" s="239">
        <v>-7453401</v>
      </c>
      <c r="T256" s="239">
        <v>0</v>
      </c>
      <c r="U256" s="239">
        <v>-7453401</v>
      </c>
      <c r="V256" s="239">
        <v>-77439</v>
      </c>
      <c r="W256" s="239">
        <v>0</v>
      </c>
      <c r="X256" s="239">
        <v>-77439</v>
      </c>
      <c r="Y256" s="239">
        <v>-211972</v>
      </c>
      <c r="Z256" s="239">
        <v>0</v>
      </c>
      <c r="AA256" s="239">
        <v>-211972</v>
      </c>
      <c r="AB256" s="239">
        <v>-201051</v>
      </c>
      <c r="AC256" s="239">
        <v>0</v>
      </c>
      <c r="AD256" s="239">
        <v>-201051</v>
      </c>
      <c r="AE256" s="239">
        <v>17957</v>
      </c>
      <c r="AF256" s="239">
        <v>0</v>
      </c>
      <c r="AG256" s="239">
        <v>17957</v>
      </c>
      <c r="AH256" s="239">
        <v>8191851</v>
      </c>
      <c r="AI256" s="239">
        <v>0</v>
      </c>
      <c r="AJ256" s="239">
        <v>8191851</v>
      </c>
      <c r="AK256" s="239">
        <v>3906379</v>
      </c>
      <c r="AL256" s="239">
        <v>0</v>
      </c>
      <c r="AM256" s="239">
        <v>3906379</v>
      </c>
      <c r="AN256" s="239">
        <v>-31211240</v>
      </c>
      <c r="AO256" s="239">
        <v>0</v>
      </c>
      <c r="AP256" s="239">
        <v>-31211240</v>
      </c>
      <c r="AQ256" s="239">
        <v>-739637</v>
      </c>
      <c r="AR256" s="239">
        <v>0</v>
      </c>
      <c r="AS256" s="239">
        <v>-739637</v>
      </c>
      <c r="AT256" s="239">
        <v>-36781</v>
      </c>
      <c r="AU256" s="239">
        <v>0</v>
      </c>
      <c r="AV256" s="239">
        <v>-36781</v>
      </c>
      <c r="AW256" s="239">
        <v>45</v>
      </c>
      <c r="AX256" s="239">
        <v>0</v>
      </c>
      <c r="AY256" s="239">
        <v>45</v>
      </c>
      <c r="AZ256" s="239">
        <v>0</v>
      </c>
      <c r="BA256" s="239">
        <v>0</v>
      </c>
      <c r="BB256" s="239">
        <v>0</v>
      </c>
      <c r="BC256" s="239">
        <v>0</v>
      </c>
      <c r="BD256" s="239">
        <v>0</v>
      </c>
      <c r="BE256" s="239">
        <v>0</v>
      </c>
      <c r="BF256" s="239">
        <v>-27554756</v>
      </c>
      <c r="BG256" s="239">
        <v>0</v>
      </c>
      <c r="BH256" s="239">
        <v>-27554756</v>
      </c>
      <c r="BI256" s="239">
        <v>0</v>
      </c>
      <c r="BJ256" s="239">
        <v>0</v>
      </c>
      <c r="BK256" s="239">
        <v>0</v>
      </c>
      <c r="BL256" s="239">
        <v>159045</v>
      </c>
      <c r="BM256" s="239">
        <v>0</v>
      </c>
      <c r="BN256" s="239">
        <v>159045</v>
      </c>
      <c r="BO256" s="239">
        <v>-5635553</v>
      </c>
      <c r="BP256" s="239">
        <v>0</v>
      </c>
      <c r="BQ256" s="239">
        <v>-5635553</v>
      </c>
      <c r="BR256" s="239">
        <v>156743</v>
      </c>
      <c r="BS256" s="239">
        <v>0</v>
      </c>
      <c r="BT256" s="239">
        <v>156743</v>
      </c>
      <c r="BU256" s="239">
        <v>-5319765</v>
      </c>
      <c r="BV256" s="239">
        <v>0</v>
      </c>
      <c r="BW256" s="239">
        <v>-5319765</v>
      </c>
      <c r="BX256" s="239">
        <v>-340658</v>
      </c>
      <c r="BY256" s="239">
        <v>0</v>
      </c>
      <c r="BZ256" s="239">
        <v>-340658</v>
      </c>
      <c r="CA256" s="239">
        <v>-51635</v>
      </c>
      <c r="CB256" s="239">
        <v>0</v>
      </c>
      <c r="CC256" s="239">
        <v>-51635</v>
      </c>
      <c r="CD256" s="239">
        <v>-52322</v>
      </c>
      <c r="CE256" s="239">
        <v>0</v>
      </c>
      <c r="CF256" s="239">
        <v>-52322</v>
      </c>
      <c r="CG256" s="239">
        <v>-1725</v>
      </c>
      <c r="CH256" s="239">
        <v>0</v>
      </c>
      <c r="CI256" s="239">
        <v>-1725</v>
      </c>
      <c r="CJ256" s="239">
        <v>0</v>
      </c>
      <c r="CK256" s="239">
        <v>0</v>
      </c>
      <c r="CL256" s="239">
        <v>0</v>
      </c>
      <c r="CM256" s="239">
        <v>0</v>
      </c>
      <c r="CN256" s="239">
        <v>0</v>
      </c>
      <c r="CO256" s="239">
        <v>0</v>
      </c>
      <c r="CP256" s="239">
        <v>0</v>
      </c>
      <c r="CQ256" s="239">
        <v>0</v>
      </c>
      <c r="CR256" s="239">
        <v>0</v>
      </c>
      <c r="CS256" s="239">
        <v>0</v>
      </c>
      <c r="CT256" s="239">
        <v>0</v>
      </c>
      <c r="CU256" s="239">
        <v>0</v>
      </c>
      <c r="CV256" s="239">
        <v>0</v>
      </c>
      <c r="CW256" s="239">
        <v>0</v>
      </c>
      <c r="CX256" s="239">
        <v>0</v>
      </c>
      <c r="CY256" s="239">
        <v>0</v>
      </c>
      <c r="CZ256" s="239">
        <v>0</v>
      </c>
      <c r="DA256" s="239">
        <v>0</v>
      </c>
      <c r="DB256" s="239">
        <v>-131810</v>
      </c>
      <c r="DC256" s="239">
        <v>0</v>
      </c>
      <c r="DD256" s="239">
        <v>-131810</v>
      </c>
      <c r="DE256" s="239">
        <v>0</v>
      </c>
      <c r="DF256" s="239">
        <v>0</v>
      </c>
      <c r="DG256" s="239">
        <v>0</v>
      </c>
      <c r="DH256" s="239">
        <v>0</v>
      </c>
      <c r="DI256" s="239">
        <v>0</v>
      </c>
      <c r="DJ256" s="239">
        <v>-578150</v>
      </c>
      <c r="DK256" s="239">
        <v>0</v>
      </c>
      <c r="DL256" s="239">
        <v>-578150</v>
      </c>
      <c r="DM256" s="239">
        <v>0</v>
      </c>
      <c r="DN256" s="239">
        <v>0</v>
      </c>
      <c r="DO256" s="239">
        <v>0</v>
      </c>
      <c r="DP256" s="239">
        <v>0</v>
      </c>
      <c r="DQ256" s="239">
        <v>0</v>
      </c>
      <c r="DR256" s="239">
        <v>0</v>
      </c>
      <c r="DS256" s="239">
        <v>0</v>
      </c>
      <c r="DT256" s="239">
        <v>0</v>
      </c>
      <c r="DU256" s="239">
        <v>0</v>
      </c>
      <c r="DV256" s="239">
        <v>0</v>
      </c>
      <c r="DW256" s="239">
        <v>0</v>
      </c>
      <c r="DX256" s="239">
        <v>0</v>
      </c>
      <c r="DY256" s="239">
        <v>10664</v>
      </c>
      <c r="DZ256" s="239">
        <v>0</v>
      </c>
      <c r="EA256" s="239">
        <v>10664</v>
      </c>
      <c r="EB256" s="239">
        <v>0</v>
      </c>
      <c r="EC256" s="239">
        <v>0</v>
      </c>
      <c r="ED256" s="239">
        <v>0</v>
      </c>
      <c r="EE256" s="239">
        <v>0</v>
      </c>
      <c r="EF256" s="239">
        <v>0</v>
      </c>
      <c r="EG256" s="239">
        <v>0</v>
      </c>
      <c r="EH256" s="239">
        <v>-25</v>
      </c>
      <c r="EI256" s="239">
        <v>0</v>
      </c>
      <c r="EJ256" s="239">
        <v>-25</v>
      </c>
      <c r="EK256" s="239">
        <v>0</v>
      </c>
      <c r="EL256" s="239">
        <v>0</v>
      </c>
      <c r="EM256" s="239">
        <v>0</v>
      </c>
      <c r="EN256" s="239">
        <v>0</v>
      </c>
      <c r="EO256" s="239">
        <v>0</v>
      </c>
      <c r="EP256" s="239">
        <v>0</v>
      </c>
      <c r="EQ256" s="239">
        <v>-610419</v>
      </c>
      <c r="ER256" s="239">
        <v>0</v>
      </c>
      <c r="ES256" s="239">
        <v>-610419</v>
      </c>
      <c r="ET256" s="239">
        <v>-3850146</v>
      </c>
      <c r="EU256" s="239">
        <v>0</v>
      </c>
      <c r="EV256" s="239">
        <v>-3850146</v>
      </c>
      <c r="EW256" s="239">
        <v>-117867</v>
      </c>
      <c r="EX256" s="239">
        <v>0</v>
      </c>
      <c r="EY256" s="239">
        <v>-117867</v>
      </c>
      <c r="EZ256" s="239">
        <v>-4567793</v>
      </c>
      <c r="FA256" s="239">
        <v>0</v>
      </c>
      <c r="FB256" s="239">
        <v>-4567793</v>
      </c>
      <c r="FC256" s="239">
        <v>0</v>
      </c>
      <c r="FD256" s="239">
        <v>0</v>
      </c>
      <c r="FE256" s="239">
        <v>0</v>
      </c>
      <c r="FF256" s="239">
        <v>0</v>
      </c>
      <c r="FG256" s="239">
        <v>0</v>
      </c>
      <c r="FH256" s="239">
        <v>0</v>
      </c>
      <c r="FI256" s="239">
        <v>0</v>
      </c>
      <c r="FJ256" s="239">
        <v>0</v>
      </c>
      <c r="FK256" s="239">
        <v>0</v>
      </c>
      <c r="FL256" s="239">
        <v>337052465</v>
      </c>
      <c r="FM256" s="239">
        <v>0</v>
      </c>
      <c r="FN256" s="239">
        <v>337052465</v>
      </c>
      <c r="FO256" s="239">
        <v>-25870574</v>
      </c>
      <c r="FP256" s="239">
        <v>0</v>
      </c>
      <c r="FQ256" s="239">
        <v>-25870574</v>
      </c>
      <c r="FR256" s="239">
        <v>-27554756</v>
      </c>
      <c r="FS256" s="239">
        <v>0</v>
      </c>
      <c r="FT256" s="239">
        <v>-27554756</v>
      </c>
      <c r="FU256" s="239">
        <v>-5319765</v>
      </c>
      <c r="FV256" s="239">
        <v>0</v>
      </c>
      <c r="FW256" s="239">
        <v>-5319765</v>
      </c>
      <c r="FX256" s="239">
        <v>-578150</v>
      </c>
      <c r="FY256" s="239">
        <v>0</v>
      </c>
      <c r="FZ256" s="239">
        <v>-578150</v>
      </c>
      <c r="GA256" s="239">
        <v>-4567793</v>
      </c>
      <c r="GB256" s="239">
        <v>0</v>
      </c>
      <c r="GC256" s="239">
        <v>-4567793</v>
      </c>
      <c r="GD256" s="239">
        <v>0</v>
      </c>
      <c r="GE256" s="239">
        <v>0</v>
      </c>
      <c r="GF256" s="239">
        <v>0</v>
      </c>
      <c r="GG256" s="239">
        <v>-63891038</v>
      </c>
      <c r="GH256" s="239">
        <v>0</v>
      </c>
      <c r="GI256" s="239">
        <v>-63891038</v>
      </c>
      <c r="GJ256" s="239">
        <v>273161427</v>
      </c>
      <c r="GK256" s="239">
        <v>0</v>
      </c>
      <c r="GL256" s="239">
        <v>273161427</v>
      </c>
      <c r="GM256" s="214" t="s">
        <v>1161</v>
      </c>
    </row>
    <row r="257" spans="1:195" s="214" customFormat="1" x14ac:dyDescent="0.2">
      <c r="A257" s="215" t="s">
        <v>1668</v>
      </c>
      <c r="B257" s="602" t="s">
        <v>597</v>
      </c>
      <c r="C257" s="602" t="s">
        <v>596</v>
      </c>
      <c r="D257" s="239">
        <v>-2007938</v>
      </c>
      <c r="E257" s="239">
        <v>0</v>
      </c>
      <c r="F257" s="239">
        <v>-2007938</v>
      </c>
      <c r="G257" s="239">
        <v>346</v>
      </c>
      <c r="H257" s="239">
        <v>0</v>
      </c>
      <c r="I257" s="239">
        <v>346</v>
      </c>
      <c r="J257" s="239">
        <v>1094478</v>
      </c>
      <c r="K257" s="239">
        <v>0</v>
      </c>
      <c r="L257" s="239">
        <v>1094478</v>
      </c>
      <c r="M257" s="239">
        <v>296419</v>
      </c>
      <c r="N257" s="239">
        <v>0</v>
      </c>
      <c r="O257" s="239">
        <v>296419</v>
      </c>
      <c r="P257" s="239">
        <v>-616695</v>
      </c>
      <c r="Q257" s="239">
        <v>0</v>
      </c>
      <c r="R257" s="239">
        <v>-616695</v>
      </c>
      <c r="S257" s="239">
        <v>-1967111</v>
      </c>
      <c r="T257" s="239">
        <v>0</v>
      </c>
      <c r="U257" s="239">
        <v>-1967111</v>
      </c>
      <c r="V257" s="239">
        <v>0</v>
      </c>
      <c r="W257" s="239">
        <v>0</v>
      </c>
      <c r="X257" s="239">
        <v>0</v>
      </c>
      <c r="Y257" s="239">
        <v>-131234</v>
      </c>
      <c r="Z257" s="239">
        <v>0</v>
      </c>
      <c r="AA257" s="239">
        <v>-131234</v>
      </c>
      <c r="AB257" s="239">
        <v>-110965</v>
      </c>
      <c r="AC257" s="239">
        <v>0</v>
      </c>
      <c r="AD257" s="239">
        <v>-110965</v>
      </c>
      <c r="AE257" s="239">
        <v>0</v>
      </c>
      <c r="AF257" s="239">
        <v>0</v>
      </c>
      <c r="AG257" s="239">
        <v>0</v>
      </c>
      <c r="AH257" s="239">
        <v>1195784</v>
      </c>
      <c r="AI257" s="239">
        <v>0</v>
      </c>
      <c r="AJ257" s="239">
        <v>1195784</v>
      </c>
      <c r="AK257" s="239">
        <v>-57760</v>
      </c>
      <c r="AL257" s="239">
        <v>0</v>
      </c>
      <c r="AM257" s="239">
        <v>-57760</v>
      </c>
      <c r="AN257" s="239">
        <v>-2514933</v>
      </c>
      <c r="AO257" s="239">
        <v>0</v>
      </c>
      <c r="AP257" s="239">
        <v>-2514933</v>
      </c>
      <c r="AQ257" s="239">
        <v>20962</v>
      </c>
      <c r="AR257" s="239">
        <v>0</v>
      </c>
      <c r="AS257" s="239">
        <v>20962</v>
      </c>
      <c r="AT257" s="239">
        <v>-14849</v>
      </c>
      <c r="AU257" s="239">
        <v>0</v>
      </c>
      <c r="AV257" s="239">
        <v>-14849</v>
      </c>
      <c r="AW257" s="239">
        <v>14413</v>
      </c>
      <c r="AX257" s="239">
        <v>0</v>
      </c>
      <c r="AY257" s="239">
        <v>14413</v>
      </c>
      <c r="AZ257" s="239">
        <v>0</v>
      </c>
      <c r="BA257" s="239">
        <v>0</v>
      </c>
      <c r="BB257" s="239">
        <v>0</v>
      </c>
      <c r="BC257" s="239">
        <v>0</v>
      </c>
      <c r="BD257" s="239">
        <v>0</v>
      </c>
      <c r="BE257" s="239">
        <v>0</v>
      </c>
      <c r="BF257" s="239">
        <v>-3454728</v>
      </c>
      <c r="BG257" s="239">
        <v>0</v>
      </c>
      <c r="BH257" s="239">
        <v>-3454728</v>
      </c>
      <c r="BI257" s="239">
        <v>-10995</v>
      </c>
      <c r="BJ257" s="239">
        <v>0</v>
      </c>
      <c r="BK257" s="239">
        <v>-10995</v>
      </c>
      <c r="BL257" s="239">
        <v>-16369</v>
      </c>
      <c r="BM257" s="239">
        <v>0</v>
      </c>
      <c r="BN257" s="239">
        <v>-16369</v>
      </c>
      <c r="BO257" s="239">
        <v>-1199418</v>
      </c>
      <c r="BP257" s="239">
        <v>0</v>
      </c>
      <c r="BQ257" s="239">
        <v>-1199418</v>
      </c>
      <c r="BR257" s="239">
        <v>93789</v>
      </c>
      <c r="BS257" s="239">
        <v>0</v>
      </c>
      <c r="BT257" s="239">
        <v>93789</v>
      </c>
      <c r="BU257" s="239">
        <v>-1132993</v>
      </c>
      <c r="BV257" s="239">
        <v>0</v>
      </c>
      <c r="BW257" s="239">
        <v>-1132993</v>
      </c>
      <c r="BX257" s="239">
        <v>-49536</v>
      </c>
      <c r="BY257" s="239">
        <v>0</v>
      </c>
      <c r="BZ257" s="239">
        <v>-49536</v>
      </c>
      <c r="CA257" s="239">
        <v>4574</v>
      </c>
      <c r="CB257" s="239">
        <v>0</v>
      </c>
      <c r="CC257" s="239">
        <v>4574</v>
      </c>
      <c r="CD257" s="239">
        <v>-53509</v>
      </c>
      <c r="CE257" s="239">
        <v>0</v>
      </c>
      <c r="CF257" s="239">
        <v>-53509</v>
      </c>
      <c r="CG257" s="239">
        <v>-9008</v>
      </c>
      <c r="CH257" s="239">
        <v>0</v>
      </c>
      <c r="CI257" s="239">
        <v>-9008</v>
      </c>
      <c r="CJ257" s="239">
        <v>-3090</v>
      </c>
      <c r="CK257" s="239">
        <v>0</v>
      </c>
      <c r="CL257" s="239">
        <v>-3090</v>
      </c>
      <c r="CM257" s="239">
        <v>3603</v>
      </c>
      <c r="CN257" s="239">
        <v>0</v>
      </c>
      <c r="CO257" s="239">
        <v>3603</v>
      </c>
      <c r="CP257" s="239">
        <v>0</v>
      </c>
      <c r="CQ257" s="239">
        <v>0</v>
      </c>
      <c r="CR257" s="239">
        <v>0</v>
      </c>
      <c r="CS257" s="239">
        <v>0</v>
      </c>
      <c r="CT257" s="239">
        <v>0</v>
      </c>
      <c r="CU257" s="239">
        <v>0</v>
      </c>
      <c r="CV257" s="239">
        <v>0</v>
      </c>
      <c r="CW257" s="239">
        <v>0</v>
      </c>
      <c r="CX257" s="239">
        <v>0</v>
      </c>
      <c r="CY257" s="239">
        <v>0</v>
      </c>
      <c r="CZ257" s="239">
        <v>0</v>
      </c>
      <c r="DA257" s="239">
        <v>0</v>
      </c>
      <c r="DB257" s="239">
        <v>0</v>
      </c>
      <c r="DC257" s="239">
        <v>0</v>
      </c>
      <c r="DD257" s="239">
        <v>0</v>
      </c>
      <c r="DE257" s="239">
        <v>3484</v>
      </c>
      <c r="DF257" s="239">
        <v>0</v>
      </c>
      <c r="DG257" s="239">
        <v>3484</v>
      </c>
      <c r="DH257" s="239">
        <v>0</v>
      </c>
      <c r="DI257" s="239">
        <v>0</v>
      </c>
      <c r="DJ257" s="239">
        <v>-103482</v>
      </c>
      <c r="DK257" s="239">
        <v>0</v>
      </c>
      <c r="DL257" s="239">
        <v>-103482</v>
      </c>
      <c r="DM257" s="239">
        <v>0</v>
      </c>
      <c r="DN257" s="239">
        <v>0</v>
      </c>
      <c r="DO257" s="239">
        <v>0</v>
      </c>
      <c r="DP257" s="239">
        <v>0</v>
      </c>
      <c r="DQ257" s="239">
        <v>0</v>
      </c>
      <c r="DR257" s="239">
        <v>0</v>
      </c>
      <c r="DS257" s="239">
        <v>0</v>
      </c>
      <c r="DT257" s="239">
        <v>0</v>
      </c>
      <c r="DU257" s="239">
        <v>0</v>
      </c>
      <c r="DV257" s="239">
        <v>2746</v>
      </c>
      <c r="DW257" s="239">
        <v>0</v>
      </c>
      <c r="DX257" s="239">
        <v>2746</v>
      </c>
      <c r="DY257" s="239">
        <v>0</v>
      </c>
      <c r="DZ257" s="239">
        <v>0</v>
      </c>
      <c r="EA257" s="239">
        <v>0</v>
      </c>
      <c r="EB257" s="239">
        <v>0</v>
      </c>
      <c r="EC257" s="239">
        <v>0</v>
      </c>
      <c r="ED257" s="239">
        <v>0</v>
      </c>
      <c r="EE257" s="239">
        <v>0</v>
      </c>
      <c r="EF257" s="239">
        <v>0</v>
      </c>
      <c r="EG257" s="239">
        <v>0</v>
      </c>
      <c r="EH257" s="239">
        <v>0</v>
      </c>
      <c r="EI257" s="239">
        <v>0</v>
      </c>
      <c r="EJ257" s="239">
        <v>0</v>
      </c>
      <c r="EK257" s="239">
        <v>0</v>
      </c>
      <c r="EL257" s="239">
        <v>0</v>
      </c>
      <c r="EM257" s="239">
        <v>0</v>
      </c>
      <c r="EN257" s="239">
        <v>0</v>
      </c>
      <c r="EO257" s="239">
        <v>0</v>
      </c>
      <c r="EP257" s="239">
        <v>0</v>
      </c>
      <c r="EQ257" s="239">
        <v>-21064</v>
      </c>
      <c r="ER257" s="239">
        <v>0</v>
      </c>
      <c r="ES257" s="239">
        <v>-21064</v>
      </c>
      <c r="ET257" s="239">
        <v>-335113</v>
      </c>
      <c r="EU257" s="239">
        <v>0</v>
      </c>
      <c r="EV257" s="239">
        <v>-335113</v>
      </c>
      <c r="EW257" s="239">
        <v>-29488</v>
      </c>
      <c r="EX257" s="239">
        <v>0</v>
      </c>
      <c r="EY257" s="239">
        <v>-29488</v>
      </c>
      <c r="EZ257" s="239">
        <v>-382919</v>
      </c>
      <c r="FA257" s="239">
        <v>0</v>
      </c>
      <c r="FB257" s="239">
        <v>-382919</v>
      </c>
      <c r="FC257" s="239">
        <v>0</v>
      </c>
      <c r="FD257" s="239">
        <v>0</v>
      </c>
      <c r="FE257" s="239">
        <v>0</v>
      </c>
      <c r="FF257" s="239">
        <v>0</v>
      </c>
      <c r="FG257" s="239">
        <v>0</v>
      </c>
      <c r="FH257" s="239">
        <v>0</v>
      </c>
      <c r="FI257" s="239">
        <v>0</v>
      </c>
      <c r="FJ257" s="239">
        <v>0</v>
      </c>
      <c r="FK257" s="239">
        <v>0</v>
      </c>
      <c r="FL257" s="239">
        <v>51159906</v>
      </c>
      <c r="FM257" s="239">
        <v>0</v>
      </c>
      <c r="FN257" s="239">
        <v>51159906</v>
      </c>
      <c r="FO257" s="239">
        <v>-616695</v>
      </c>
      <c r="FP257" s="239">
        <v>0</v>
      </c>
      <c r="FQ257" s="239">
        <v>-616695</v>
      </c>
      <c r="FR257" s="239">
        <v>-3454728</v>
      </c>
      <c r="FS257" s="239">
        <v>0</v>
      </c>
      <c r="FT257" s="239">
        <v>-3454728</v>
      </c>
      <c r="FU257" s="239">
        <v>-1132993</v>
      </c>
      <c r="FV257" s="239">
        <v>0</v>
      </c>
      <c r="FW257" s="239">
        <v>-1132993</v>
      </c>
      <c r="FX257" s="239">
        <v>-103482</v>
      </c>
      <c r="FY257" s="239">
        <v>0</v>
      </c>
      <c r="FZ257" s="239">
        <v>-103482</v>
      </c>
      <c r="GA257" s="239">
        <v>-382919</v>
      </c>
      <c r="GB257" s="239">
        <v>0</v>
      </c>
      <c r="GC257" s="239">
        <v>-382919</v>
      </c>
      <c r="GD257" s="239">
        <v>0</v>
      </c>
      <c r="GE257" s="239">
        <v>0</v>
      </c>
      <c r="GF257" s="239">
        <v>0</v>
      </c>
      <c r="GG257" s="239">
        <v>-5690817</v>
      </c>
      <c r="GH257" s="239">
        <v>0</v>
      </c>
      <c r="GI257" s="239">
        <v>-5690817</v>
      </c>
      <c r="GJ257" s="239">
        <v>45469089</v>
      </c>
      <c r="GK257" s="239">
        <v>0</v>
      </c>
      <c r="GL257" s="239">
        <v>45469089</v>
      </c>
      <c r="GM257" s="214" t="s">
        <v>1158</v>
      </c>
    </row>
    <row r="258" spans="1:195" s="214" customFormat="1" x14ac:dyDescent="0.2">
      <c r="B258" s="602" t="s">
        <v>599</v>
      </c>
      <c r="C258" s="602" t="s">
        <v>598</v>
      </c>
      <c r="D258" s="239">
        <v>-1251041</v>
      </c>
      <c r="E258" s="239">
        <v>0</v>
      </c>
      <c r="F258" s="239">
        <v>-1251041</v>
      </c>
      <c r="G258" s="239">
        <v>-644</v>
      </c>
      <c r="H258" s="239">
        <v>0</v>
      </c>
      <c r="I258" s="239">
        <v>-644</v>
      </c>
      <c r="J258" s="239">
        <v>3119319</v>
      </c>
      <c r="K258" s="239">
        <v>152574</v>
      </c>
      <c r="L258" s="239">
        <v>3271893</v>
      </c>
      <c r="M258" s="239">
        <v>32607</v>
      </c>
      <c r="N258" s="239">
        <v>0</v>
      </c>
      <c r="O258" s="239">
        <v>32607</v>
      </c>
      <c r="P258" s="239">
        <v>1900241</v>
      </c>
      <c r="Q258" s="239">
        <v>152574</v>
      </c>
      <c r="R258" s="239">
        <v>2052815</v>
      </c>
      <c r="S258" s="239">
        <v>-3093714</v>
      </c>
      <c r="T258" s="239">
        <v>0</v>
      </c>
      <c r="U258" s="239">
        <v>-3093714</v>
      </c>
      <c r="V258" s="239">
        <v>0</v>
      </c>
      <c r="W258" s="239">
        <v>0</v>
      </c>
      <c r="X258" s="239">
        <v>0</v>
      </c>
      <c r="Y258" s="239">
        <v>-39282</v>
      </c>
      <c r="Z258" s="239">
        <v>0</v>
      </c>
      <c r="AA258" s="239">
        <v>-39282</v>
      </c>
      <c r="AB258" s="239">
        <v>-23555</v>
      </c>
      <c r="AC258" s="239">
        <v>0</v>
      </c>
      <c r="AD258" s="239">
        <v>-23555</v>
      </c>
      <c r="AE258" s="239">
        <v>0</v>
      </c>
      <c r="AF258" s="239">
        <v>0</v>
      </c>
      <c r="AG258" s="239">
        <v>0</v>
      </c>
      <c r="AH258" s="239">
        <v>1362157</v>
      </c>
      <c r="AI258" s="239">
        <v>47814</v>
      </c>
      <c r="AJ258" s="239">
        <v>1409971</v>
      </c>
      <c r="AK258" s="239">
        <v>404260</v>
      </c>
      <c r="AL258" s="239">
        <v>0</v>
      </c>
      <c r="AM258" s="239">
        <v>404260</v>
      </c>
      <c r="AN258" s="239">
        <v>-4577920</v>
      </c>
      <c r="AO258" s="239">
        <v>-814514</v>
      </c>
      <c r="AP258" s="239">
        <v>-5392434</v>
      </c>
      <c r="AQ258" s="239">
        <v>12384</v>
      </c>
      <c r="AR258" s="239">
        <v>0</v>
      </c>
      <c r="AS258" s="239">
        <v>12384</v>
      </c>
      <c r="AT258" s="239">
        <v>-93087</v>
      </c>
      <c r="AU258" s="239">
        <v>0</v>
      </c>
      <c r="AV258" s="239">
        <v>-93087</v>
      </c>
      <c r="AW258" s="239">
        <v>-497</v>
      </c>
      <c r="AX258" s="239">
        <v>0</v>
      </c>
      <c r="AY258" s="239">
        <v>-497</v>
      </c>
      <c r="AZ258" s="239">
        <v>0</v>
      </c>
      <c r="BA258" s="239">
        <v>0</v>
      </c>
      <c r="BB258" s="239">
        <v>0</v>
      </c>
      <c r="BC258" s="239">
        <v>0</v>
      </c>
      <c r="BD258" s="239">
        <v>0</v>
      </c>
      <c r="BE258" s="239">
        <v>0</v>
      </c>
      <c r="BF258" s="239">
        <v>-6025699</v>
      </c>
      <c r="BG258" s="239">
        <v>-766700</v>
      </c>
      <c r="BH258" s="239">
        <v>-6792399</v>
      </c>
      <c r="BI258" s="239">
        <v>0</v>
      </c>
      <c r="BJ258" s="239">
        <v>0</v>
      </c>
      <c r="BK258" s="239">
        <v>0</v>
      </c>
      <c r="BL258" s="239">
        <v>1032</v>
      </c>
      <c r="BM258" s="239">
        <v>0</v>
      </c>
      <c r="BN258" s="239">
        <v>1032</v>
      </c>
      <c r="BO258" s="239">
        <v>-2343182</v>
      </c>
      <c r="BP258" s="239">
        <v>0</v>
      </c>
      <c r="BQ258" s="239">
        <v>-2343182</v>
      </c>
      <c r="BR258" s="239">
        <v>216426</v>
      </c>
      <c r="BS258" s="239">
        <v>0</v>
      </c>
      <c r="BT258" s="239">
        <v>216426</v>
      </c>
      <c r="BU258" s="239">
        <v>-2125724</v>
      </c>
      <c r="BV258" s="239">
        <v>0</v>
      </c>
      <c r="BW258" s="239">
        <v>-2125724</v>
      </c>
      <c r="BX258" s="239">
        <v>-140711</v>
      </c>
      <c r="BY258" s="239">
        <v>0</v>
      </c>
      <c r="BZ258" s="239">
        <v>-140711</v>
      </c>
      <c r="CA258" s="239">
        <v>-57</v>
      </c>
      <c r="CB258" s="239">
        <v>0</v>
      </c>
      <c r="CC258" s="239">
        <v>-57</v>
      </c>
      <c r="CD258" s="239">
        <v>-17801</v>
      </c>
      <c r="CE258" s="239">
        <v>0</v>
      </c>
      <c r="CF258" s="239">
        <v>-17801</v>
      </c>
      <c r="CG258" s="239">
        <v>4977</v>
      </c>
      <c r="CH258" s="239">
        <v>0</v>
      </c>
      <c r="CI258" s="239">
        <v>4977</v>
      </c>
      <c r="CJ258" s="239">
        <v>-1221</v>
      </c>
      <c r="CK258" s="239">
        <v>0</v>
      </c>
      <c r="CL258" s="239">
        <v>-1221</v>
      </c>
      <c r="CM258" s="239">
        <v>0</v>
      </c>
      <c r="CN258" s="239">
        <v>0</v>
      </c>
      <c r="CO258" s="239">
        <v>0</v>
      </c>
      <c r="CP258" s="239">
        <v>0</v>
      </c>
      <c r="CQ258" s="239">
        <v>0</v>
      </c>
      <c r="CR258" s="239">
        <v>0</v>
      </c>
      <c r="CS258" s="239">
        <v>0</v>
      </c>
      <c r="CT258" s="239">
        <v>0</v>
      </c>
      <c r="CU258" s="239">
        <v>0</v>
      </c>
      <c r="CV258" s="239">
        <v>0</v>
      </c>
      <c r="CW258" s="239">
        <v>0</v>
      </c>
      <c r="CX258" s="239">
        <v>0</v>
      </c>
      <c r="CY258" s="239">
        <v>0</v>
      </c>
      <c r="CZ258" s="239">
        <v>0</v>
      </c>
      <c r="DA258" s="239">
        <v>0</v>
      </c>
      <c r="DB258" s="239">
        <v>0</v>
      </c>
      <c r="DC258" s="239">
        <v>0</v>
      </c>
      <c r="DD258" s="239">
        <v>0</v>
      </c>
      <c r="DE258" s="239">
        <v>0</v>
      </c>
      <c r="DF258" s="239">
        <v>0</v>
      </c>
      <c r="DG258" s="239">
        <v>0</v>
      </c>
      <c r="DH258" s="239">
        <v>0</v>
      </c>
      <c r="DI258" s="239">
        <v>0</v>
      </c>
      <c r="DJ258" s="239">
        <v>-154813</v>
      </c>
      <c r="DK258" s="239">
        <v>0</v>
      </c>
      <c r="DL258" s="239">
        <v>-154813</v>
      </c>
      <c r="DM258" s="239">
        <v>0</v>
      </c>
      <c r="DN258" s="239">
        <v>0</v>
      </c>
      <c r="DO258" s="239">
        <v>0</v>
      </c>
      <c r="DP258" s="239">
        <v>0</v>
      </c>
      <c r="DQ258" s="239">
        <v>0</v>
      </c>
      <c r="DR258" s="239">
        <v>0</v>
      </c>
      <c r="DS258" s="239">
        <v>-3445</v>
      </c>
      <c r="DT258" s="239">
        <v>0</v>
      </c>
      <c r="DU258" s="239">
        <v>-3445</v>
      </c>
      <c r="DV258" s="239">
        <v>0</v>
      </c>
      <c r="DW258" s="239">
        <v>0</v>
      </c>
      <c r="DX258" s="239">
        <v>0</v>
      </c>
      <c r="DY258" s="239">
        <v>1099</v>
      </c>
      <c r="DZ258" s="239">
        <v>0</v>
      </c>
      <c r="EA258" s="239">
        <v>1099</v>
      </c>
      <c r="EB258" s="239">
        <v>0</v>
      </c>
      <c r="EC258" s="239">
        <v>0</v>
      </c>
      <c r="ED258" s="239">
        <v>0</v>
      </c>
      <c r="EE258" s="239">
        <v>0</v>
      </c>
      <c r="EF258" s="239">
        <v>0</v>
      </c>
      <c r="EG258" s="239">
        <v>0</v>
      </c>
      <c r="EH258" s="239">
        <v>0</v>
      </c>
      <c r="EI258" s="239">
        <v>0</v>
      </c>
      <c r="EJ258" s="239">
        <v>0</v>
      </c>
      <c r="EK258" s="239">
        <v>0</v>
      </c>
      <c r="EL258" s="239">
        <v>0</v>
      </c>
      <c r="EM258" s="239">
        <v>0</v>
      </c>
      <c r="EN258" s="239">
        <v>-1500</v>
      </c>
      <c r="EO258" s="239">
        <v>0</v>
      </c>
      <c r="EP258" s="239">
        <v>-1500</v>
      </c>
      <c r="EQ258" s="239">
        <v>-16499</v>
      </c>
      <c r="ER258" s="239">
        <v>0</v>
      </c>
      <c r="ES258" s="239">
        <v>-16499</v>
      </c>
      <c r="ET258" s="239">
        <v>-248790</v>
      </c>
      <c r="EU258" s="239">
        <v>0</v>
      </c>
      <c r="EV258" s="239">
        <v>-248790</v>
      </c>
      <c r="EW258" s="239">
        <v>-56696</v>
      </c>
      <c r="EX258" s="239">
        <v>0</v>
      </c>
      <c r="EY258" s="239">
        <v>-56696</v>
      </c>
      <c r="EZ258" s="239">
        <v>-325831</v>
      </c>
      <c r="FA258" s="239">
        <v>0</v>
      </c>
      <c r="FB258" s="239">
        <v>-325831</v>
      </c>
      <c r="FC258" s="239">
        <v>-2324</v>
      </c>
      <c r="FD258" s="239">
        <v>0</v>
      </c>
      <c r="FE258" s="239">
        <v>-2324</v>
      </c>
      <c r="FF258" s="239">
        <v>0</v>
      </c>
      <c r="FG258" s="239">
        <v>0</v>
      </c>
      <c r="FH258" s="239">
        <v>0</v>
      </c>
      <c r="FI258" s="239">
        <v>-2324</v>
      </c>
      <c r="FJ258" s="239">
        <v>0</v>
      </c>
      <c r="FK258" s="239">
        <v>-2324</v>
      </c>
      <c r="FL258" s="239">
        <v>67097311</v>
      </c>
      <c r="FM258" s="239">
        <v>1761457</v>
      </c>
      <c r="FN258" s="239">
        <v>68858768</v>
      </c>
      <c r="FO258" s="239">
        <v>1900241</v>
      </c>
      <c r="FP258" s="239">
        <v>152574</v>
      </c>
      <c r="FQ258" s="239">
        <v>2052815</v>
      </c>
      <c r="FR258" s="239">
        <v>-6025699</v>
      </c>
      <c r="FS258" s="239">
        <v>-766700</v>
      </c>
      <c r="FT258" s="239">
        <v>-6792399</v>
      </c>
      <c r="FU258" s="239">
        <v>-2125724</v>
      </c>
      <c r="FV258" s="239">
        <v>0</v>
      </c>
      <c r="FW258" s="239">
        <v>-2125724</v>
      </c>
      <c r="FX258" s="239">
        <v>-154813</v>
      </c>
      <c r="FY258" s="239">
        <v>0</v>
      </c>
      <c r="FZ258" s="239">
        <v>-154813</v>
      </c>
      <c r="GA258" s="239">
        <v>-325831</v>
      </c>
      <c r="GB258" s="239">
        <v>0</v>
      </c>
      <c r="GC258" s="239">
        <v>-325831</v>
      </c>
      <c r="GD258" s="239">
        <v>-2324</v>
      </c>
      <c r="GE258" s="239">
        <v>0</v>
      </c>
      <c r="GF258" s="239">
        <v>-2324</v>
      </c>
      <c r="GG258" s="239">
        <v>-6734150</v>
      </c>
      <c r="GH258" s="239">
        <v>-614126</v>
      </c>
      <c r="GI258" s="239">
        <v>-7348276</v>
      </c>
      <c r="GJ258" s="239">
        <v>60363161</v>
      </c>
      <c r="GK258" s="239">
        <v>1147331</v>
      </c>
      <c r="GL258" s="239">
        <v>61510492</v>
      </c>
      <c r="GM258" s="214" t="s">
        <v>1158</v>
      </c>
    </row>
    <row r="259" spans="1:195" s="214" customFormat="1" x14ac:dyDescent="0.2">
      <c r="B259" s="602" t="s">
        <v>601</v>
      </c>
      <c r="C259" s="602" t="s">
        <v>600</v>
      </c>
      <c r="D259" s="239">
        <v>-1307779</v>
      </c>
      <c r="E259" s="239">
        <v>0</v>
      </c>
      <c r="F259" s="239">
        <v>-1307779</v>
      </c>
      <c r="G259" s="239">
        <v>117289</v>
      </c>
      <c r="H259" s="239">
        <v>0</v>
      </c>
      <c r="I259" s="239">
        <v>117289</v>
      </c>
      <c r="J259" s="239">
        <v>2333976</v>
      </c>
      <c r="K259" s="239">
        <v>0</v>
      </c>
      <c r="L259" s="239">
        <v>2333976</v>
      </c>
      <c r="M259" s="239">
        <v>11423</v>
      </c>
      <c r="N259" s="239">
        <v>0</v>
      </c>
      <c r="O259" s="239">
        <v>11423</v>
      </c>
      <c r="P259" s="239">
        <v>1154909</v>
      </c>
      <c r="Q259" s="239">
        <v>0</v>
      </c>
      <c r="R259" s="239">
        <v>1154909</v>
      </c>
      <c r="S259" s="239">
        <v>-3257503</v>
      </c>
      <c r="T259" s="239">
        <v>0</v>
      </c>
      <c r="U259" s="239">
        <v>-3257503</v>
      </c>
      <c r="V259" s="239">
        <v>0</v>
      </c>
      <c r="W259" s="239">
        <v>0</v>
      </c>
      <c r="X259" s="239">
        <v>0</v>
      </c>
      <c r="Y259" s="239">
        <v>-90973</v>
      </c>
      <c r="Z259" s="239">
        <v>0</v>
      </c>
      <c r="AA259" s="239">
        <v>-90973</v>
      </c>
      <c r="AB259" s="239">
        <v>-90973</v>
      </c>
      <c r="AC259" s="239">
        <v>0</v>
      </c>
      <c r="AD259" s="239">
        <v>-90973</v>
      </c>
      <c r="AE259" s="239">
        <v>0</v>
      </c>
      <c r="AF259" s="239">
        <v>0</v>
      </c>
      <c r="AG259" s="239">
        <v>0</v>
      </c>
      <c r="AH259" s="239">
        <v>1032593</v>
      </c>
      <c r="AI259" s="239">
        <v>0</v>
      </c>
      <c r="AJ259" s="239">
        <v>1032593</v>
      </c>
      <c r="AK259" s="239">
        <v>-41861</v>
      </c>
      <c r="AL259" s="239">
        <v>0</v>
      </c>
      <c r="AM259" s="239">
        <v>-41861</v>
      </c>
      <c r="AN259" s="239">
        <v>-3148747</v>
      </c>
      <c r="AO259" s="239">
        <v>0</v>
      </c>
      <c r="AP259" s="239">
        <v>-3148747</v>
      </c>
      <c r="AQ259" s="239">
        <v>-38019</v>
      </c>
      <c r="AR259" s="239">
        <v>0</v>
      </c>
      <c r="AS259" s="239">
        <v>-38019</v>
      </c>
      <c r="AT259" s="239">
        <v>-35066</v>
      </c>
      <c r="AU259" s="239">
        <v>0</v>
      </c>
      <c r="AV259" s="239">
        <v>-35066</v>
      </c>
      <c r="AW259" s="239">
        <v>-206</v>
      </c>
      <c r="AX259" s="239">
        <v>0</v>
      </c>
      <c r="AY259" s="239">
        <v>-206</v>
      </c>
      <c r="AZ259" s="239">
        <v>-44936</v>
      </c>
      <c r="BA259" s="239">
        <v>0</v>
      </c>
      <c r="BB259" s="239">
        <v>-44936</v>
      </c>
      <c r="BC259" s="239">
        <v>4003</v>
      </c>
      <c r="BD259" s="239">
        <v>0</v>
      </c>
      <c r="BE259" s="239">
        <v>4003</v>
      </c>
      <c r="BF259" s="239">
        <v>-5620715</v>
      </c>
      <c r="BG259" s="239">
        <v>0</v>
      </c>
      <c r="BH259" s="239">
        <v>-5620715</v>
      </c>
      <c r="BI259" s="239">
        <v>-3737</v>
      </c>
      <c r="BJ259" s="239">
        <v>0</v>
      </c>
      <c r="BK259" s="239">
        <v>-3737</v>
      </c>
      <c r="BL259" s="239">
        <v>-3736</v>
      </c>
      <c r="BM259" s="239">
        <v>0</v>
      </c>
      <c r="BN259" s="239">
        <v>-3736</v>
      </c>
      <c r="BO259" s="239">
        <v>-1028492</v>
      </c>
      <c r="BP259" s="239">
        <v>0</v>
      </c>
      <c r="BQ259" s="239">
        <v>-1028492</v>
      </c>
      <c r="BR259" s="239">
        <v>-55824</v>
      </c>
      <c r="BS259" s="239">
        <v>0</v>
      </c>
      <c r="BT259" s="239">
        <v>-55824</v>
      </c>
      <c r="BU259" s="239">
        <v>-1091789</v>
      </c>
      <c r="BV259" s="239">
        <v>0</v>
      </c>
      <c r="BW259" s="239">
        <v>-1091789</v>
      </c>
      <c r="BX259" s="239">
        <v>-44205</v>
      </c>
      <c r="BY259" s="239">
        <v>0</v>
      </c>
      <c r="BZ259" s="239">
        <v>-44205</v>
      </c>
      <c r="CA259" s="239">
        <v>-1537</v>
      </c>
      <c r="CB259" s="239">
        <v>0</v>
      </c>
      <c r="CC259" s="239">
        <v>-1537</v>
      </c>
      <c r="CD259" s="239">
        <v>-121495</v>
      </c>
      <c r="CE259" s="239">
        <v>0</v>
      </c>
      <c r="CF259" s="239">
        <v>-121495</v>
      </c>
      <c r="CG259" s="239">
        <v>19042</v>
      </c>
      <c r="CH259" s="239">
        <v>0</v>
      </c>
      <c r="CI259" s="239">
        <v>19042</v>
      </c>
      <c r="CJ259" s="239">
        <v>-7686</v>
      </c>
      <c r="CK259" s="239">
        <v>0</v>
      </c>
      <c r="CL259" s="239">
        <v>-7686</v>
      </c>
      <c r="CM259" s="239">
        <v>-51</v>
      </c>
      <c r="CN259" s="239">
        <v>0</v>
      </c>
      <c r="CO259" s="239">
        <v>-51</v>
      </c>
      <c r="CP259" s="239">
        <v>-3319</v>
      </c>
      <c r="CQ259" s="239">
        <v>0</v>
      </c>
      <c r="CR259" s="239">
        <v>-3319</v>
      </c>
      <c r="CS259" s="239">
        <v>0</v>
      </c>
      <c r="CT259" s="239">
        <v>0</v>
      </c>
      <c r="CU259" s="239">
        <v>0</v>
      </c>
      <c r="CV259" s="239">
        <v>-778</v>
      </c>
      <c r="CW259" s="239">
        <v>0</v>
      </c>
      <c r="CX259" s="239">
        <v>-778</v>
      </c>
      <c r="CY259" s="239">
        <v>0</v>
      </c>
      <c r="CZ259" s="239">
        <v>0</v>
      </c>
      <c r="DA259" s="239">
        <v>0</v>
      </c>
      <c r="DB259" s="239">
        <v>0</v>
      </c>
      <c r="DC259" s="239">
        <v>0</v>
      </c>
      <c r="DD259" s="239">
        <v>0</v>
      </c>
      <c r="DE259" s="239">
        <v>0</v>
      </c>
      <c r="DF259" s="239">
        <v>0</v>
      </c>
      <c r="DG259" s="239">
        <v>0</v>
      </c>
      <c r="DH259" s="239">
        <v>0</v>
      </c>
      <c r="DI259" s="239">
        <v>0</v>
      </c>
      <c r="DJ259" s="239">
        <v>-160029</v>
      </c>
      <c r="DK259" s="239">
        <v>0</v>
      </c>
      <c r="DL259" s="239">
        <v>-160029</v>
      </c>
      <c r="DM259" s="239">
        <v>0</v>
      </c>
      <c r="DN259" s="239">
        <v>0</v>
      </c>
      <c r="DO259" s="239">
        <v>0</v>
      </c>
      <c r="DP259" s="239">
        <v>27165</v>
      </c>
      <c r="DQ259" s="239">
        <v>0</v>
      </c>
      <c r="DR259" s="239">
        <v>27165</v>
      </c>
      <c r="DS259" s="239">
        <v>0</v>
      </c>
      <c r="DT259" s="239">
        <v>0</v>
      </c>
      <c r="DU259" s="239">
        <v>0</v>
      </c>
      <c r="DV259" s="239">
        <v>0</v>
      </c>
      <c r="DW259" s="239">
        <v>0</v>
      </c>
      <c r="DX259" s="239">
        <v>0</v>
      </c>
      <c r="DY259" s="239">
        <v>10414</v>
      </c>
      <c r="DZ259" s="239">
        <v>0</v>
      </c>
      <c r="EA259" s="239">
        <v>10414</v>
      </c>
      <c r="EB259" s="239">
        <v>0</v>
      </c>
      <c r="EC259" s="239">
        <v>0</v>
      </c>
      <c r="ED259" s="239">
        <v>0</v>
      </c>
      <c r="EE259" s="239">
        <v>0</v>
      </c>
      <c r="EF259" s="239">
        <v>0</v>
      </c>
      <c r="EG259" s="239">
        <v>0</v>
      </c>
      <c r="EH259" s="239">
        <v>0</v>
      </c>
      <c r="EI259" s="239">
        <v>0</v>
      </c>
      <c r="EJ259" s="239">
        <v>0</v>
      </c>
      <c r="EK259" s="239">
        <v>-41615</v>
      </c>
      <c r="EL259" s="239">
        <v>0</v>
      </c>
      <c r="EM259" s="239">
        <v>-41615</v>
      </c>
      <c r="EN259" s="239">
        <v>-3881</v>
      </c>
      <c r="EO259" s="239">
        <v>0</v>
      </c>
      <c r="EP259" s="239">
        <v>-3881</v>
      </c>
      <c r="EQ259" s="239">
        <v>-16386</v>
      </c>
      <c r="ER259" s="239">
        <v>0</v>
      </c>
      <c r="ES259" s="239">
        <v>-16386</v>
      </c>
      <c r="ET259" s="239">
        <v>-85573</v>
      </c>
      <c r="EU259" s="239">
        <v>0</v>
      </c>
      <c r="EV259" s="239">
        <v>-85573</v>
      </c>
      <c r="EW259" s="239">
        <v>-30195</v>
      </c>
      <c r="EX259" s="239">
        <v>0</v>
      </c>
      <c r="EY259" s="239">
        <v>-30195</v>
      </c>
      <c r="EZ259" s="239">
        <v>-140071</v>
      </c>
      <c r="FA259" s="239">
        <v>0</v>
      </c>
      <c r="FB259" s="239">
        <v>-140071</v>
      </c>
      <c r="FC259" s="239">
        <v>0</v>
      </c>
      <c r="FD259" s="239">
        <v>0</v>
      </c>
      <c r="FE259" s="239">
        <v>0</v>
      </c>
      <c r="FF259" s="239">
        <v>-3044</v>
      </c>
      <c r="FG259" s="239">
        <v>0</v>
      </c>
      <c r="FH259" s="239">
        <v>-3044</v>
      </c>
      <c r="FI259" s="239">
        <v>-3044</v>
      </c>
      <c r="FJ259" s="239">
        <v>0</v>
      </c>
      <c r="FK259" s="239">
        <v>-3044</v>
      </c>
      <c r="FL259" s="239">
        <v>51361171</v>
      </c>
      <c r="FM259" s="239">
        <v>0</v>
      </c>
      <c r="FN259" s="239">
        <v>51361171</v>
      </c>
      <c r="FO259" s="239">
        <v>1154909</v>
      </c>
      <c r="FP259" s="239">
        <v>0</v>
      </c>
      <c r="FQ259" s="239">
        <v>1154909</v>
      </c>
      <c r="FR259" s="239">
        <v>-5620715</v>
      </c>
      <c r="FS259" s="239">
        <v>0</v>
      </c>
      <c r="FT259" s="239">
        <v>-5620715</v>
      </c>
      <c r="FU259" s="239">
        <v>-1091789</v>
      </c>
      <c r="FV259" s="239">
        <v>0</v>
      </c>
      <c r="FW259" s="239">
        <v>-1091789</v>
      </c>
      <c r="FX259" s="239">
        <v>-160029</v>
      </c>
      <c r="FY259" s="239">
        <v>0</v>
      </c>
      <c r="FZ259" s="239">
        <v>-160029</v>
      </c>
      <c r="GA259" s="239">
        <v>-140071</v>
      </c>
      <c r="GB259" s="239">
        <v>0</v>
      </c>
      <c r="GC259" s="239">
        <v>-140071</v>
      </c>
      <c r="GD259" s="239">
        <v>-3044</v>
      </c>
      <c r="GE259" s="239">
        <v>0</v>
      </c>
      <c r="GF259" s="239">
        <v>-3044</v>
      </c>
      <c r="GG259" s="239">
        <v>-5860739</v>
      </c>
      <c r="GH259" s="239">
        <v>0</v>
      </c>
      <c r="GI259" s="239">
        <v>-5860739</v>
      </c>
      <c r="GJ259" s="239">
        <v>45500432</v>
      </c>
      <c r="GK259" s="239">
        <v>0</v>
      </c>
      <c r="GL259" s="239">
        <v>45500432</v>
      </c>
      <c r="GM259" s="214" t="s">
        <v>1158</v>
      </c>
    </row>
    <row r="260" spans="1:195" s="214" customFormat="1" x14ac:dyDescent="0.2">
      <c r="B260" s="602" t="s">
        <v>603</v>
      </c>
      <c r="C260" s="602" t="s">
        <v>602</v>
      </c>
      <c r="D260" s="239">
        <v>-1516018</v>
      </c>
      <c r="E260" s="239">
        <v>0</v>
      </c>
      <c r="F260" s="239">
        <v>-1516018</v>
      </c>
      <c r="G260" s="239">
        <v>1026</v>
      </c>
      <c r="H260" s="239">
        <v>0</v>
      </c>
      <c r="I260" s="239">
        <v>1026</v>
      </c>
      <c r="J260" s="239">
        <v>4139609</v>
      </c>
      <c r="K260" s="239">
        <v>0</v>
      </c>
      <c r="L260" s="239">
        <v>4139609</v>
      </c>
      <c r="M260" s="239">
        <v>-5427</v>
      </c>
      <c r="N260" s="239">
        <v>0</v>
      </c>
      <c r="O260" s="239">
        <v>-5427</v>
      </c>
      <c r="P260" s="239">
        <v>2619190</v>
      </c>
      <c r="Q260" s="239">
        <v>0</v>
      </c>
      <c r="R260" s="239">
        <v>2619190</v>
      </c>
      <c r="S260" s="239">
        <v>-4676232</v>
      </c>
      <c r="T260" s="239">
        <v>0</v>
      </c>
      <c r="U260" s="239">
        <v>-4676232</v>
      </c>
      <c r="V260" s="239">
        <v>-4764</v>
      </c>
      <c r="W260" s="239">
        <v>0</v>
      </c>
      <c r="X260" s="239">
        <v>-4764</v>
      </c>
      <c r="Y260" s="239">
        <v>-65175</v>
      </c>
      <c r="Z260" s="239">
        <v>0</v>
      </c>
      <c r="AA260" s="239">
        <v>-65175</v>
      </c>
      <c r="AB260" s="239">
        <v>-60043</v>
      </c>
      <c r="AC260" s="239">
        <v>0</v>
      </c>
      <c r="AD260" s="239">
        <v>-60043</v>
      </c>
      <c r="AE260" s="239">
        <v>491</v>
      </c>
      <c r="AF260" s="239">
        <v>0</v>
      </c>
      <c r="AG260" s="239">
        <v>491</v>
      </c>
      <c r="AH260" s="239">
        <v>1201205</v>
      </c>
      <c r="AI260" s="239">
        <v>0</v>
      </c>
      <c r="AJ260" s="239">
        <v>1201205</v>
      </c>
      <c r="AK260" s="239">
        <v>-11200</v>
      </c>
      <c r="AL260" s="239">
        <v>0</v>
      </c>
      <c r="AM260" s="239">
        <v>-11200</v>
      </c>
      <c r="AN260" s="239">
        <v>-3462318</v>
      </c>
      <c r="AO260" s="239">
        <v>0</v>
      </c>
      <c r="AP260" s="239">
        <v>-3462318</v>
      </c>
      <c r="AQ260" s="239">
        <v>67125</v>
      </c>
      <c r="AR260" s="239">
        <v>0</v>
      </c>
      <c r="AS260" s="239">
        <v>67125</v>
      </c>
      <c r="AT260" s="239">
        <v>-70054</v>
      </c>
      <c r="AU260" s="239">
        <v>0</v>
      </c>
      <c r="AV260" s="239">
        <v>-70054</v>
      </c>
      <c r="AW260" s="239">
        <v>-1570</v>
      </c>
      <c r="AX260" s="239">
        <v>0</v>
      </c>
      <c r="AY260" s="239">
        <v>-1570</v>
      </c>
      <c r="AZ260" s="239">
        <v>0</v>
      </c>
      <c r="BA260" s="239">
        <v>0</v>
      </c>
      <c r="BB260" s="239">
        <v>0</v>
      </c>
      <c r="BC260" s="239">
        <v>0</v>
      </c>
      <c r="BD260" s="239">
        <v>0</v>
      </c>
      <c r="BE260" s="239">
        <v>0</v>
      </c>
      <c r="BF260" s="239">
        <v>-7018219</v>
      </c>
      <c r="BG260" s="239">
        <v>0</v>
      </c>
      <c r="BH260" s="239">
        <v>-7018219</v>
      </c>
      <c r="BI260" s="239">
        <v>-8046</v>
      </c>
      <c r="BJ260" s="239">
        <v>0</v>
      </c>
      <c r="BK260" s="239">
        <v>-8046</v>
      </c>
      <c r="BL260" s="239">
        <v>-115515</v>
      </c>
      <c r="BM260" s="239">
        <v>0</v>
      </c>
      <c r="BN260" s="239">
        <v>-115515</v>
      </c>
      <c r="BO260" s="239">
        <v>-1632541</v>
      </c>
      <c r="BP260" s="239">
        <v>0</v>
      </c>
      <c r="BQ260" s="239">
        <v>-1632541</v>
      </c>
      <c r="BR260" s="239">
        <v>13589</v>
      </c>
      <c r="BS260" s="239">
        <v>0</v>
      </c>
      <c r="BT260" s="239">
        <v>13589</v>
      </c>
      <c r="BU260" s="239">
        <v>-1742513</v>
      </c>
      <c r="BV260" s="239">
        <v>0</v>
      </c>
      <c r="BW260" s="239">
        <v>-1742513</v>
      </c>
      <c r="BX260" s="239">
        <v>-253594</v>
      </c>
      <c r="BY260" s="239">
        <v>0</v>
      </c>
      <c r="BZ260" s="239">
        <v>-253594</v>
      </c>
      <c r="CA260" s="239">
        <v>-1347</v>
      </c>
      <c r="CB260" s="239">
        <v>0</v>
      </c>
      <c r="CC260" s="239">
        <v>-1347</v>
      </c>
      <c r="CD260" s="239">
        <v>-30895</v>
      </c>
      <c r="CE260" s="239">
        <v>0</v>
      </c>
      <c r="CF260" s="239">
        <v>-30895</v>
      </c>
      <c r="CG260" s="239">
        <v>0</v>
      </c>
      <c r="CH260" s="239">
        <v>0</v>
      </c>
      <c r="CI260" s="239">
        <v>0</v>
      </c>
      <c r="CJ260" s="239">
        <v>-11985</v>
      </c>
      <c r="CK260" s="239">
        <v>0</v>
      </c>
      <c r="CL260" s="239">
        <v>-11985</v>
      </c>
      <c r="CM260" s="239">
        <v>0</v>
      </c>
      <c r="CN260" s="239">
        <v>0</v>
      </c>
      <c r="CO260" s="239">
        <v>0</v>
      </c>
      <c r="CP260" s="239">
        <v>0</v>
      </c>
      <c r="CQ260" s="239">
        <v>0</v>
      </c>
      <c r="CR260" s="239">
        <v>0</v>
      </c>
      <c r="CS260" s="239">
        <v>0</v>
      </c>
      <c r="CT260" s="239">
        <v>0</v>
      </c>
      <c r="CU260" s="239">
        <v>0</v>
      </c>
      <c r="CV260" s="239">
        <v>0</v>
      </c>
      <c r="CW260" s="239">
        <v>0</v>
      </c>
      <c r="CX260" s="239">
        <v>0</v>
      </c>
      <c r="CY260" s="239">
        <v>0</v>
      </c>
      <c r="CZ260" s="239">
        <v>0</v>
      </c>
      <c r="DA260" s="239">
        <v>0</v>
      </c>
      <c r="DB260" s="239">
        <v>-3288</v>
      </c>
      <c r="DC260" s="239">
        <v>0</v>
      </c>
      <c r="DD260" s="239">
        <v>-3288</v>
      </c>
      <c r="DE260" s="239">
        <v>0</v>
      </c>
      <c r="DF260" s="239">
        <v>0</v>
      </c>
      <c r="DG260" s="239">
        <v>0</v>
      </c>
      <c r="DH260" s="239">
        <v>0</v>
      </c>
      <c r="DI260" s="239">
        <v>0</v>
      </c>
      <c r="DJ260" s="239">
        <v>-301109</v>
      </c>
      <c r="DK260" s="239">
        <v>0</v>
      </c>
      <c r="DL260" s="239">
        <v>-301109</v>
      </c>
      <c r="DM260" s="239">
        <v>0</v>
      </c>
      <c r="DN260" s="239">
        <v>0</v>
      </c>
      <c r="DO260" s="239">
        <v>0</v>
      </c>
      <c r="DP260" s="239">
        <v>0</v>
      </c>
      <c r="DQ260" s="239">
        <v>0</v>
      </c>
      <c r="DR260" s="239">
        <v>0</v>
      </c>
      <c r="DS260" s="239">
        <v>0</v>
      </c>
      <c r="DT260" s="239">
        <v>0</v>
      </c>
      <c r="DU260" s="239">
        <v>0</v>
      </c>
      <c r="DV260" s="239">
        <v>0</v>
      </c>
      <c r="DW260" s="239">
        <v>0</v>
      </c>
      <c r="DX260" s="239">
        <v>0</v>
      </c>
      <c r="DY260" s="239">
        <v>1353</v>
      </c>
      <c r="DZ260" s="239">
        <v>0</v>
      </c>
      <c r="EA260" s="239">
        <v>1353</v>
      </c>
      <c r="EB260" s="239">
        <v>0</v>
      </c>
      <c r="EC260" s="239">
        <v>0</v>
      </c>
      <c r="ED260" s="239">
        <v>0</v>
      </c>
      <c r="EE260" s="239">
        <v>60</v>
      </c>
      <c r="EF260" s="239">
        <v>0</v>
      </c>
      <c r="EG260" s="239">
        <v>60</v>
      </c>
      <c r="EH260" s="239">
        <v>0</v>
      </c>
      <c r="EI260" s="239">
        <v>0</v>
      </c>
      <c r="EJ260" s="239">
        <v>0</v>
      </c>
      <c r="EK260" s="239">
        <v>0</v>
      </c>
      <c r="EL260" s="239">
        <v>0</v>
      </c>
      <c r="EM260" s="239">
        <v>0</v>
      </c>
      <c r="EN260" s="239">
        <v>0</v>
      </c>
      <c r="EO260" s="239">
        <v>0</v>
      </c>
      <c r="EP260" s="239">
        <v>0</v>
      </c>
      <c r="EQ260" s="239">
        <v>-24624</v>
      </c>
      <c r="ER260" s="239">
        <v>0</v>
      </c>
      <c r="ES260" s="239">
        <v>-24624</v>
      </c>
      <c r="ET260" s="239">
        <v>-231525</v>
      </c>
      <c r="EU260" s="239">
        <v>0</v>
      </c>
      <c r="EV260" s="239">
        <v>-231525</v>
      </c>
      <c r="EW260" s="239">
        <v>-57715</v>
      </c>
      <c r="EX260" s="239">
        <v>0</v>
      </c>
      <c r="EY260" s="239">
        <v>-57715</v>
      </c>
      <c r="EZ260" s="239">
        <v>-312451</v>
      </c>
      <c r="FA260" s="239">
        <v>0</v>
      </c>
      <c r="FB260" s="239">
        <v>-312451</v>
      </c>
      <c r="FC260" s="239">
        <v>0</v>
      </c>
      <c r="FD260" s="239">
        <v>0</v>
      </c>
      <c r="FE260" s="239">
        <v>0</v>
      </c>
      <c r="FF260" s="239">
        <v>0</v>
      </c>
      <c r="FG260" s="239">
        <v>0</v>
      </c>
      <c r="FH260" s="239">
        <v>0</v>
      </c>
      <c r="FI260" s="239">
        <v>0</v>
      </c>
      <c r="FJ260" s="239">
        <v>0</v>
      </c>
      <c r="FK260" s="239">
        <v>0</v>
      </c>
      <c r="FL260" s="239">
        <v>59256291</v>
      </c>
      <c r="FM260" s="239">
        <v>0</v>
      </c>
      <c r="FN260" s="239">
        <v>59256291</v>
      </c>
      <c r="FO260" s="239">
        <v>2619190</v>
      </c>
      <c r="FP260" s="239">
        <v>0</v>
      </c>
      <c r="FQ260" s="239">
        <v>2619190</v>
      </c>
      <c r="FR260" s="239">
        <v>-7018219</v>
      </c>
      <c r="FS260" s="239">
        <v>0</v>
      </c>
      <c r="FT260" s="239">
        <v>-7018219</v>
      </c>
      <c r="FU260" s="239">
        <v>-1742513</v>
      </c>
      <c r="FV260" s="239">
        <v>0</v>
      </c>
      <c r="FW260" s="239">
        <v>-1742513</v>
      </c>
      <c r="FX260" s="239">
        <v>-301109</v>
      </c>
      <c r="FY260" s="239">
        <v>0</v>
      </c>
      <c r="FZ260" s="239">
        <v>-301109</v>
      </c>
      <c r="GA260" s="239">
        <v>-312451</v>
      </c>
      <c r="GB260" s="239">
        <v>0</v>
      </c>
      <c r="GC260" s="239">
        <v>-312451</v>
      </c>
      <c r="GD260" s="239">
        <v>0</v>
      </c>
      <c r="GE260" s="239">
        <v>0</v>
      </c>
      <c r="GF260" s="239">
        <v>0</v>
      </c>
      <c r="GG260" s="239">
        <v>-6755102</v>
      </c>
      <c r="GH260" s="239">
        <v>0</v>
      </c>
      <c r="GI260" s="239">
        <v>-6755102</v>
      </c>
      <c r="GJ260" s="239">
        <v>52501189</v>
      </c>
      <c r="GK260" s="239">
        <v>0</v>
      </c>
      <c r="GL260" s="239">
        <v>52501189</v>
      </c>
      <c r="GM260" s="214" t="s">
        <v>1160</v>
      </c>
    </row>
    <row r="261" spans="1:195" s="214" customFormat="1" x14ac:dyDescent="0.2">
      <c r="B261" s="602" t="s">
        <v>605</v>
      </c>
      <c r="C261" s="602" t="s">
        <v>604</v>
      </c>
      <c r="D261" s="239">
        <v>-2185176</v>
      </c>
      <c r="E261" s="239">
        <v>0</v>
      </c>
      <c r="F261" s="239">
        <v>-2185176</v>
      </c>
      <c r="G261" s="239">
        <v>-167019</v>
      </c>
      <c r="H261" s="239">
        <v>0</v>
      </c>
      <c r="I261" s="239">
        <v>-167019</v>
      </c>
      <c r="J261" s="239">
        <v>2828839</v>
      </c>
      <c r="K261" s="239">
        <v>0</v>
      </c>
      <c r="L261" s="239">
        <v>2828839</v>
      </c>
      <c r="M261" s="239">
        <v>39380</v>
      </c>
      <c r="N261" s="239">
        <v>0</v>
      </c>
      <c r="O261" s="239">
        <v>39380</v>
      </c>
      <c r="P261" s="239">
        <v>516024</v>
      </c>
      <c r="Q261" s="239">
        <v>0</v>
      </c>
      <c r="R261" s="239">
        <v>516024</v>
      </c>
      <c r="S261" s="239">
        <v>-3809744</v>
      </c>
      <c r="T261" s="239">
        <v>0</v>
      </c>
      <c r="U261" s="239">
        <v>-3809744</v>
      </c>
      <c r="V261" s="239">
        <v>-4609</v>
      </c>
      <c r="W261" s="239">
        <v>0</v>
      </c>
      <c r="X261" s="239">
        <v>-4609</v>
      </c>
      <c r="Y261" s="239">
        <v>-162716</v>
      </c>
      <c r="Z261" s="239">
        <v>0</v>
      </c>
      <c r="AA261" s="239">
        <v>-162716</v>
      </c>
      <c r="AB261" s="239">
        <v>-134034</v>
      </c>
      <c r="AC261" s="239">
        <v>0</v>
      </c>
      <c r="AD261" s="239">
        <v>-134034</v>
      </c>
      <c r="AE261" s="239">
        <v>-222</v>
      </c>
      <c r="AF261" s="239">
        <v>0</v>
      </c>
      <c r="AG261" s="239">
        <v>-222</v>
      </c>
      <c r="AH261" s="239">
        <v>1130123</v>
      </c>
      <c r="AI261" s="239">
        <v>0</v>
      </c>
      <c r="AJ261" s="239">
        <v>1130123</v>
      </c>
      <c r="AK261" s="239">
        <v>-27462</v>
      </c>
      <c r="AL261" s="239">
        <v>0</v>
      </c>
      <c r="AM261" s="239">
        <v>-27462</v>
      </c>
      <c r="AN261" s="239">
        <v>-2371638</v>
      </c>
      <c r="AO261" s="239">
        <v>0</v>
      </c>
      <c r="AP261" s="239">
        <v>-2371638</v>
      </c>
      <c r="AQ261" s="239">
        <v>232629</v>
      </c>
      <c r="AR261" s="239">
        <v>0</v>
      </c>
      <c r="AS261" s="239">
        <v>232629</v>
      </c>
      <c r="AT261" s="239">
        <v>-62099</v>
      </c>
      <c r="AU261" s="239">
        <v>0</v>
      </c>
      <c r="AV261" s="239">
        <v>-62099</v>
      </c>
      <c r="AW261" s="239">
        <v>20963</v>
      </c>
      <c r="AX261" s="239">
        <v>0</v>
      </c>
      <c r="AY261" s="239">
        <v>20963</v>
      </c>
      <c r="AZ261" s="239">
        <v>-14453</v>
      </c>
      <c r="BA261" s="239">
        <v>0</v>
      </c>
      <c r="BB261" s="239">
        <v>-14453</v>
      </c>
      <c r="BC261" s="239">
        <v>3721</v>
      </c>
      <c r="BD261" s="239">
        <v>0</v>
      </c>
      <c r="BE261" s="239">
        <v>3721</v>
      </c>
      <c r="BF261" s="239">
        <v>-5060676</v>
      </c>
      <c r="BG261" s="239">
        <v>0</v>
      </c>
      <c r="BH261" s="239">
        <v>-5060676</v>
      </c>
      <c r="BI261" s="239">
        <v>0</v>
      </c>
      <c r="BJ261" s="239">
        <v>0</v>
      </c>
      <c r="BK261" s="239">
        <v>0</v>
      </c>
      <c r="BL261" s="239">
        <v>1693</v>
      </c>
      <c r="BM261" s="239">
        <v>0</v>
      </c>
      <c r="BN261" s="239">
        <v>1693</v>
      </c>
      <c r="BO261" s="239">
        <v>-1670405</v>
      </c>
      <c r="BP261" s="239">
        <v>0</v>
      </c>
      <c r="BQ261" s="239">
        <v>-1670405</v>
      </c>
      <c r="BR261" s="239">
        <v>242944</v>
      </c>
      <c r="BS261" s="239">
        <v>0</v>
      </c>
      <c r="BT261" s="239">
        <v>242944</v>
      </c>
      <c r="BU261" s="239">
        <v>-1425768</v>
      </c>
      <c r="BV261" s="239">
        <v>0</v>
      </c>
      <c r="BW261" s="239">
        <v>-1425768</v>
      </c>
      <c r="BX261" s="239">
        <v>-190409</v>
      </c>
      <c r="BY261" s="239">
        <v>0</v>
      </c>
      <c r="BZ261" s="239">
        <v>-190409</v>
      </c>
      <c r="CA261" s="239">
        <v>-3014</v>
      </c>
      <c r="CB261" s="239">
        <v>0</v>
      </c>
      <c r="CC261" s="239">
        <v>-3014</v>
      </c>
      <c r="CD261" s="239">
        <v>-79692</v>
      </c>
      <c r="CE261" s="239">
        <v>0</v>
      </c>
      <c r="CF261" s="239">
        <v>-79692</v>
      </c>
      <c r="CG261" s="239">
        <v>-7722</v>
      </c>
      <c r="CH261" s="239">
        <v>0</v>
      </c>
      <c r="CI261" s="239">
        <v>-7722</v>
      </c>
      <c r="CJ261" s="239">
        <v>-3186</v>
      </c>
      <c r="CK261" s="239">
        <v>0</v>
      </c>
      <c r="CL261" s="239">
        <v>-3186</v>
      </c>
      <c r="CM261" s="239">
        <v>0</v>
      </c>
      <c r="CN261" s="239">
        <v>0</v>
      </c>
      <c r="CO261" s="239">
        <v>0</v>
      </c>
      <c r="CP261" s="239">
        <v>0</v>
      </c>
      <c r="CQ261" s="239">
        <v>0</v>
      </c>
      <c r="CR261" s="239">
        <v>0</v>
      </c>
      <c r="CS261" s="239">
        <v>15786</v>
      </c>
      <c r="CT261" s="239">
        <v>0</v>
      </c>
      <c r="CU261" s="239">
        <v>15786</v>
      </c>
      <c r="CV261" s="239">
        <v>0</v>
      </c>
      <c r="CW261" s="239">
        <v>0</v>
      </c>
      <c r="CX261" s="239">
        <v>0</v>
      </c>
      <c r="CY261" s="239">
        <v>0</v>
      </c>
      <c r="CZ261" s="239">
        <v>0</v>
      </c>
      <c r="DA261" s="239">
        <v>0</v>
      </c>
      <c r="DB261" s="239">
        <v>-117912</v>
      </c>
      <c r="DC261" s="239">
        <v>0</v>
      </c>
      <c r="DD261" s="239">
        <v>-117912</v>
      </c>
      <c r="DE261" s="239">
        <v>-50576</v>
      </c>
      <c r="DF261" s="239">
        <v>0</v>
      </c>
      <c r="DG261" s="239">
        <v>-50576</v>
      </c>
      <c r="DH261" s="239">
        <v>0</v>
      </c>
      <c r="DI261" s="239">
        <v>0</v>
      </c>
      <c r="DJ261" s="239">
        <v>-436725</v>
      </c>
      <c r="DK261" s="239">
        <v>0</v>
      </c>
      <c r="DL261" s="239">
        <v>-436725</v>
      </c>
      <c r="DM261" s="239">
        <v>0</v>
      </c>
      <c r="DN261" s="239">
        <v>0</v>
      </c>
      <c r="DO261" s="239">
        <v>0</v>
      </c>
      <c r="DP261" s="239">
        <v>0</v>
      </c>
      <c r="DQ261" s="239">
        <v>0</v>
      </c>
      <c r="DR261" s="239">
        <v>0</v>
      </c>
      <c r="DS261" s="239">
        <v>-2994</v>
      </c>
      <c r="DT261" s="239">
        <v>0</v>
      </c>
      <c r="DU261" s="239">
        <v>-2994</v>
      </c>
      <c r="DV261" s="239">
        <v>0</v>
      </c>
      <c r="DW261" s="239">
        <v>0</v>
      </c>
      <c r="DX261" s="239">
        <v>0</v>
      </c>
      <c r="DY261" s="239">
        <v>4171</v>
      </c>
      <c r="DZ261" s="239">
        <v>0</v>
      </c>
      <c r="EA261" s="239">
        <v>4171</v>
      </c>
      <c r="EB261" s="239">
        <v>0</v>
      </c>
      <c r="EC261" s="239">
        <v>0</v>
      </c>
      <c r="ED261" s="239">
        <v>0</v>
      </c>
      <c r="EE261" s="239">
        <v>0</v>
      </c>
      <c r="EF261" s="239">
        <v>0</v>
      </c>
      <c r="EG261" s="239">
        <v>0</v>
      </c>
      <c r="EH261" s="239">
        <v>0</v>
      </c>
      <c r="EI261" s="239">
        <v>0</v>
      </c>
      <c r="EJ261" s="239">
        <v>0</v>
      </c>
      <c r="EK261" s="239">
        <v>-13830</v>
      </c>
      <c r="EL261" s="239">
        <v>0</v>
      </c>
      <c r="EM261" s="239">
        <v>-13830</v>
      </c>
      <c r="EN261" s="239">
        <v>-1500</v>
      </c>
      <c r="EO261" s="239">
        <v>0</v>
      </c>
      <c r="EP261" s="239">
        <v>-1500</v>
      </c>
      <c r="EQ261" s="239">
        <v>-40069</v>
      </c>
      <c r="ER261" s="239">
        <v>0</v>
      </c>
      <c r="ES261" s="239">
        <v>-40069</v>
      </c>
      <c r="ET261" s="239">
        <v>-344650</v>
      </c>
      <c r="EU261" s="239">
        <v>0</v>
      </c>
      <c r="EV261" s="239">
        <v>-344650</v>
      </c>
      <c r="EW261" s="239">
        <v>-51688</v>
      </c>
      <c r="EX261" s="239">
        <v>0</v>
      </c>
      <c r="EY261" s="239">
        <v>-51688</v>
      </c>
      <c r="EZ261" s="239">
        <v>-450560</v>
      </c>
      <c r="FA261" s="239">
        <v>0</v>
      </c>
      <c r="FB261" s="239">
        <v>-450560</v>
      </c>
      <c r="FC261" s="239">
        <v>0</v>
      </c>
      <c r="FD261" s="239">
        <v>0</v>
      </c>
      <c r="FE261" s="239">
        <v>0</v>
      </c>
      <c r="FF261" s="239">
        <v>0</v>
      </c>
      <c r="FG261" s="239">
        <v>0</v>
      </c>
      <c r="FH261" s="239">
        <v>0</v>
      </c>
      <c r="FI261" s="239">
        <v>0</v>
      </c>
      <c r="FJ261" s="239">
        <v>0</v>
      </c>
      <c r="FK261" s="239">
        <v>0</v>
      </c>
      <c r="FL261" s="239">
        <v>56287285</v>
      </c>
      <c r="FM261" s="239">
        <v>0</v>
      </c>
      <c r="FN261" s="239">
        <v>56287285</v>
      </c>
      <c r="FO261" s="239">
        <v>516024</v>
      </c>
      <c r="FP261" s="239">
        <v>0</v>
      </c>
      <c r="FQ261" s="239">
        <v>516024</v>
      </c>
      <c r="FR261" s="239">
        <v>-5060676</v>
      </c>
      <c r="FS261" s="239">
        <v>0</v>
      </c>
      <c r="FT261" s="239">
        <v>-5060676</v>
      </c>
      <c r="FU261" s="239">
        <v>-1425768</v>
      </c>
      <c r="FV261" s="239">
        <v>0</v>
      </c>
      <c r="FW261" s="239">
        <v>-1425768</v>
      </c>
      <c r="FX261" s="239">
        <v>-436725</v>
      </c>
      <c r="FY261" s="239">
        <v>0</v>
      </c>
      <c r="FZ261" s="239">
        <v>-436725</v>
      </c>
      <c r="GA261" s="239">
        <v>-450560</v>
      </c>
      <c r="GB261" s="239">
        <v>0</v>
      </c>
      <c r="GC261" s="239">
        <v>-450560</v>
      </c>
      <c r="GD261" s="239">
        <v>0</v>
      </c>
      <c r="GE261" s="239">
        <v>0</v>
      </c>
      <c r="GF261" s="239">
        <v>0</v>
      </c>
      <c r="GG261" s="239">
        <v>-6857705</v>
      </c>
      <c r="GH261" s="239">
        <v>0</v>
      </c>
      <c r="GI261" s="239">
        <v>-6857705</v>
      </c>
      <c r="GJ261" s="239">
        <v>49429580</v>
      </c>
      <c r="GK261" s="239">
        <v>0</v>
      </c>
      <c r="GL261" s="239">
        <v>49429580</v>
      </c>
      <c r="GM261" s="214" t="s">
        <v>1158</v>
      </c>
    </row>
    <row r="262" spans="1:195" s="214" customFormat="1" x14ac:dyDescent="0.2">
      <c r="B262" s="602" t="s">
        <v>607</v>
      </c>
      <c r="C262" s="602" t="s">
        <v>606</v>
      </c>
      <c r="D262" s="239">
        <v>-2113159</v>
      </c>
      <c r="E262" s="239">
        <v>0</v>
      </c>
      <c r="F262" s="239">
        <v>-2113159</v>
      </c>
      <c r="G262" s="239">
        <v>14815</v>
      </c>
      <c r="H262" s="239">
        <v>0</v>
      </c>
      <c r="I262" s="239">
        <v>14815</v>
      </c>
      <c r="J262" s="239">
        <v>931855</v>
      </c>
      <c r="K262" s="239">
        <v>0</v>
      </c>
      <c r="L262" s="239">
        <v>931855</v>
      </c>
      <c r="M262" s="239">
        <v>4657</v>
      </c>
      <c r="N262" s="239">
        <v>0</v>
      </c>
      <c r="O262" s="239">
        <v>4657</v>
      </c>
      <c r="P262" s="239">
        <v>-1161832</v>
      </c>
      <c r="Q262" s="239">
        <v>0</v>
      </c>
      <c r="R262" s="239">
        <v>-1161832</v>
      </c>
      <c r="S262" s="239">
        <v>-3172183</v>
      </c>
      <c r="T262" s="239">
        <v>0</v>
      </c>
      <c r="U262" s="239">
        <v>-3172183</v>
      </c>
      <c r="V262" s="239">
        <v>0</v>
      </c>
      <c r="W262" s="239">
        <v>0</v>
      </c>
      <c r="X262" s="239">
        <v>0</v>
      </c>
      <c r="Y262" s="239">
        <v>-115886</v>
      </c>
      <c r="Z262" s="239">
        <v>0</v>
      </c>
      <c r="AA262" s="239">
        <v>-115886</v>
      </c>
      <c r="AB262" s="239">
        <v>-92704</v>
      </c>
      <c r="AC262" s="239">
        <v>0</v>
      </c>
      <c r="AD262" s="239">
        <v>-92704</v>
      </c>
      <c r="AE262" s="239">
        <v>0</v>
      </c>
      <c r="AF262" s="239">
        <v>0</v>
      </c>
      <c r="AG262" s="239">
        <v>0</v>
      </c>
      <c r="AH262" s="239">
        <v>445990</v>
      </c>
      <c r="AI262" s="239">
        <v>0</v>
      </c>
      <c r="AJ262" s="239">
        <v>445990</v>
      </c>
      <c r="AK262" s="239">
        <v>-4333</v>
      </c>
      <c r="AL262" s="239">
        <v>0</v>
      </c>
      <c r="AM262" s="239">
        <v>-4333</v>
      </c>
      <c r="AN262" s="239">
        <v>-1396894</v>
      </c>
      <c r="AO262" s="239">
        <v>0</v>
      </c>
      <c r="AP262" s="239">
        <v>-1396894</v>
      </c>
      <c r="AQ262" s="239">
        <v>-490</v>
      </c>
      <c r="AR262" s="239">
        <v>0</v>
      </c>
      <c r="AS262" s="239">
        <v>-490</v>
      </c>
      <c r="AT262" s="239">
        <v>-47118</v>
      </c>
      <c r="AU262" s="239">
        <v>0</v>
      </c>
      <c r="AV262" s="239">
        <v>-47118</v>
      </c>
      <c r="AW262" s="239">
        <v>0</v>
      </c>
      <c r="AX262" s="239">
        <v>0</v>
      </c>
      <c r="AY262" s="239">
        <v>0</v>
      </c>
      <c r="AZ262" s="239">
        <v>-9688</v>
      </c>
      <c r="BA262" s="239">
        <v>0</v>
      </c>
      <c r="BB262" s="239">
        <v>-9688</v>
      </c>
      <c r="BC262" s="239">
        <v>606</v>
      </c>
      <c r="BD262" s="239">
        <v>0</v>
      </c>
      <c r="BE262" s="239">
        <v>606</v>
      </c>
      <c r="BF262" s="239">
        <v>-4299996</v>
      </c>
      <c r="BG262" s="239">
        <v>0</v>
      </c>
      <c r="BH262" s="239">
        <v>-4299996</v>
      </c>
      <c r="BI262" s="239">
        <v>-31184</v>
      </c>
      <c r="BJ262" s="239">
        <v>0</v>
      </c>
      <c r="BK262" s="239">
        <v>-31184</v>
      </c>
      <c r="BL262" s="239">
        <v>6789</v>
      </c>
      <c r="BM262" s="239">
        <v>0</v>
      </c>
      <c r="BN262" s="239">
        <v>6789</v>
      </c>
      <c r="BO262" s="239">
        <v>-528076</v>
      </c>
      <c r="BP262" s="239">
        <v>0</v>
      </c>
      <c r="BQ262" s="239">
        <v>-528076</v>
      </c>
      <c r="BR262" s="239">
        <v>64986</v>
      </c>
      <c r="BS262" s="239">
        <v>0</v>
      </c>
      <c r="BT262" s="239">
        <v>64986</v>
      </c>
      <c r="BU262" s="239">
        <v>-487485</v>
      </c>
      <c r="BV262" s="239">
        <v>0</v>
      </c>
      <c r="BW262" s="239">
        <v>-487485</v>
      </c>
      <c r="BX262" s="239">
        <v>-95688</v>
      </c>
      <c r="BY262" s="239">
        <v>0</v>
      </c>
      <c r="BZ262" s="239">
        <v>-95688</v>
      </c>
      <c r="CA262" s="239">
        <v>492</v>
      </c>
      <c r="CB262" s="239">
        <v>0</v>
      </c>
      <c r="CC262" s="239">
        <v>492</v>
      </c>
      <c r="CD262" s="239">
        <v>-112543</v>
      </c>
      <c r="CE262" s="239">
        <v>0</v>
      </c>
      <c r="CF262" s="239">
        <v>-112543</v>
      </c>
      <c r="CG262" s="239">
        <v>0</v>
      </c>
      <c r="CH262" s="239">
        <v>0</v>
      </c>
      <c r="CI262" s="239">
        <v>0</v>
      </c>
      <c r="CJ262" s="239">
        <v>-2631</v>
      </c>
      <c r="CK262" s="239">
        <v>0</v>
      </c>
      <c r="CL262" s="239">
        <v>-2631</v>
      </c>
      <c r="CM262" s="239">
        <v>0</v>
      </c>
      <c r="CN262" s="239">
        <v>0</v>
      </c>
      <c r="CO262" s="239">
        <v>0</v>
      </c>
      <c r="CP262" s="239">
        <v>-9335</v>
      </c>
      <c r="CQ262" s="239">
        <v>0</v>
      </c>
      <c r="CR262" s="239">
        <v>-9335</v>
      </c>
      <c r="CS262" s="239">
        <v>0</v>
      </c>
      <c r="CT262" s="239">
        <v>0</v>
      </c>
      <c r="CU262" s="239">
        <v>0</v>
      </c>
      <c r="CV262" s="239">
        <v>0</v>
      </c>
      <c r="CW262" s="239">
        <v>0</v>
      </c>
      <c r="CX262" s="239">
        <v>0</v>
      </c>
      <c r="CY262" s="239">
        <v>0</v>
      </c>
      <c r="CZ262" s="239">
        <v>0</v>
      </c>
      <c r="DA262" s="239">
        <v>0</v>
      </c>
      <c r="DB262" s="239">
        <v>0</v>
      </c>
      <c r="DC262" s="239">
        <v>0</v>
      </c>
      <c r="DD262" s="239">
        <v>0</v>
      </c>
      <c r="DE262" s="239">
        <v>0</v>
      </c>
      <c r="DF262" s="239">
        <v>0</v>
      </c>
      <c r="DG262" s="239">
        <v>0</v>
      </c>
      <c r="DH262" s="239">
        <v>0</v>
      </c>
      <c r="DI262" s="239">
        <v>0</v>
      </c>
      <c r="DJ262" s="239">
        <v>-219705</v>
      </c>
      <c r="DK262" s="239">
        <v>0</v>
      </c>
      <c r="DL262" s="239">
        <v>-219705</v>
      </c>
      <c r="DM262" s="239">
        <v>0</v>
      </c>
      <c r="DN262" s="239">
        <v>0</v>
      </c>
      <c r="DO262" s="239">
        <v>0</v>
      </c>
      <c r="DP262" s="239">
        <v>6459</v>
      </c>
      <c r="DQ262" s="239">
        <v>0</v>
      </c>
      <c r="DR262" s="239">
        <v>6459</v>
      </c>
      <c r="DS262" s="239">
        <v>0</v>
      </c>
      <c r="DT262" s="239">
        <v>0</v>
      </c>
      <c r="DU262" s="239">
        <v>0</v>
      </c>
      <c r="DV262" s="239">
        <v>2122</v>
      </c>
      <c r="DW262" s="239">
        <v>0</v>
      </c>
      <c r="DX262" s="239">
        <v>2122</v>
      </c>
      <c r="DY262" s="239">
        <v>-2542</v>
      </c>
      <c r="DZ262" s="239">
        <v>0</v>
      </c>
      <c r="EA262" s="239">
        <v>-2542</v>
      </c>
      <c r="EB262" s="239">
        <v>0</v>
      </c>
      <c r="EC262" s="239">
        <v>0</v>
      </c>
      <c r="ED262" s="239">
        <v>0</v>
      </c>
      <c r="EE262" s="239">
        <v>0</v>
      </c>
      <c r="EF262" s="239">
        <v>0</v>
      </c>
      <c r="EG262" s="239">
        <v>0</v>
      </c>
      <c r="EH262" s="239">
        <v>0</v>
      </c>
      <c r="EI262" s="239">
        <v>0</v>
      </c>
      <c r="EJ262" s="239">
        <v>0</v>
      </c>
      <c r="EK262" s="239">
        <v>-3201</v>
      </c>
      <c r="EL262" s="239">
        <v>0</v>
      </c>
      <c r="EM262" s="239">
        <v>-3201</v>
      </c>
      <c r="EN262" s="239">
        <v>-953</v>
      </c>
      <c r="EO262" s="239">
        <v>0</v>
      </c>
      <c r="EP262" s="239">
        <v>-953</v>
      </c>
      <c r="EQ262" s="239">
        <v>-61828</v>
      </c>
      <c r="ER262" s="239">
        <v>0</v>
      </c>
      <c r="ES262" s="239">
        <v>-61828</v>
      </c>
      <c r="ET262" s="239">
        <v>-228189</v>
      </c>
      <c r="EU262" s="239">
        <v>0</v>
      </c>
      <c r="EV262" s="239">
        <v>-228189</v>
      </c>
      <c r="EW262" s="239">
        <v>-55836</v>
      </c>
      <c r="EX262" s="239">
        <v>0</v>
      </c>
      <c r="EY262" s="239">
        <v>-55836</v>
      </c>
      <c r="EZ262" s="239">
        <v>-343968</v>
      </c>
      <c r="FA262" s="239">
        <v>0</v>
      </c>
      <c r="FB262" s="239">
        <v>-343968</v>
      </c>
      <c r="FC262" s="239">
        <v>0</v>
      </c>
      <c r="FD262" s="239">
        <v>0</v>
      </c>
      <c r="FE262" s="239">
        <v>0</v>
      </c>
      <c r="FF262" s="239">
        <v>0</v>
      </c>
      <c r="FG262" s="239">
        <v>0</v>
      </c>
      <c r="FH262" s="239">
        <v>0</v>
      </c>
      <c r="FI262" s="239">
        <v>0</v>
      </c>
      <c r="FJ262" s="239">
        <v>0</v>
      </c>
      <c r="FK262" s="239">
        <v>0</v>
      </c>
      <c r="FL262" s="239">
        <v>25791934</v>
      </c>
      <c r="FM262" s="239">
        <v>0</v>
      </c>
      <c r="FN262" s="239">
        <v>25791934</v>
      </c>
      <c r="FO262" s="239">
        <v>-1161832</v>
      </c>
      <c r="FP262" s="239">
        <v>0</v>
      </c>
      <c r="FQ262" s="239">
        <v>-1161832</v>
      </c>
      <c r="FR262" s="239">
        <v>-4299996</v>
      </c>
      <c r="FS262" s="239">
        <v>0</v>
      </c>
      <c r="FT262" s="239">
        <v>-4299996</v>
      </c>
      <c r="FU262" s="239">
        <v>-487485</v>
      </c>
      <c r="FV262" s="239">
        <v>0</v>
      </c>
      <c r="FW262" s="239">
        <v>-487485</v>
      </c>
      <c r="FX262" s="239">
        <v>-219705</v>
      </c>
      <c r="FY262" s="239">
        <v>0</v>
      </c>
      <c r="FZ262" s="239">
        <v>-219705</v>
      </c>
      <c r="GA262" s="239">
        <v>-343968</v>
      </c>
      <c r="GB262" s="239">
        <v>0</v>
      </c>
      <c r="GC262" s="239">
        <v>-343968</v>
      </c>
      <c r="GD262" s="239">
        <v>0</v>
      </c>
      <c r="GE262" s="239">
        <v>0</v>
      </c>
      <c r="GF262" s="239">
        <v>0</v>
      </c>
      <c r="GG262" s="239">
        <v>-6512986</v>
      </c>
      <c r="GH262" s="239">
        <v>0</v>
      </c>
      <c r="GI262" s="239">
        <v>-6512986</v>
      </c>
      <c r="GJ262" s="239">
        <v>19278948</v>
      </c>
      <c r="GK262" s="239">
        <v>0</v>
      </c>
      <c r="GL262" s="239">
        <v>19278948</v>
      </c>
      <c r="GM262" s="214" t="s">
        <v>1158</v>
      </c>
    </row>
    <row r="263" spans="1:195" s="214" customFormat="1" x14ac:dyDescent="0.2">
      <c r="B263" s="602" t="s">
        <v>609</v>
      </c>
      <c r="C263" s="602" t="s">
        <v>608</v>
      </c>
      <c r="D263" s="239">
        <v>-418868</v>
      </c>
      <c r="E263" s="239">
        <v>0</v>
      </c>
      <c r="F263" s="239">
        <v>-418868</v>
      </c>
      <c r="G263" s="239">
        <v>34146</v>
      </c>
      <c r="H263" s="239">
        <v>0</v>
      </c>
      <c r="I263" s="239">
        <v>34146</v>
      </c>
      <c r="J263" s="239">
        <v>3276638</v>
      </c>
      <c r="K263" s="239">
        <v>0</v>
      </c>
      <c r="L263" s="239">
        <v>3276638</v>
      </c>
      <c r="M263" s="239">
        <v>194542</v>
      </c>
      <c r="N263" s="239">
        <v>0</v>
      </c>
      <c r="O263" s="239">
        <v>194542</v>
      </c>
      <c r="P263" s="239">
        <v>3086458</v>
      </c>
      <c r="Q263" s="239">
        <v>0</v>
      </c>
      <c r="R263" s="239">
        <v>3086458</v>
      </c>
      <c r="S263" s="239">
        <v>-1761476</v>
      </c>
      <c r="T263" s="239">
        <v>0</v>
      </c>
      <c r="U263" s="239">
        <v>-1761476</v>
      </c>
      <c r="V263" s="239">
        <v>0</v>
      </c>
      <c r="W263" s="239">
        <v>0</v>
      </c>
      <c r="X263" s="239">
        <v>0</v>
      </c>
      <c r="Y263" s="239">
        <v>-13085</v>
      </c>
      <c r="Z263" s="239">
        <v>0</v>
      </c>
      <c r="AA263" s="239">
        <v>-13085</v>
      </c>
      <c r="AB263" s="239">
        <v>0</v>
      </c>
      <c r="AC263" s="239">
        <v>0</v>
      </c>
      <c r="AD263" s="239">
        <v>0</v>
      </c>
      <c r="AE263" s="239">
        <v>0</v>
      </c>
      <c r="AF263" s="239">
        <v>0</v>
      </c>
      <c r="AG263" s="239">
        <v>0</v>
      </c>
      <c r="AH263" s="239">
        <v>1167767</v>
      </c>
      <c r="AI263" s="239">
        <v>0</v>
      </c>
      <c r="AJ263" s="239">
        <v>1167767</v>
      </c>
      <c r="AK263" s="239">
        <v>-39798</v>
      </c>
      <c r="AL263" s="239">
        <v>0</v>
      </c>
      <c r="AM263" s="239">
        <v>-39798</v>
      </c>
      <c r="AN263" s="239">
        <v>-2476804</v>
      </c>
      <c r="AO263" s="239">
        <v>0</v>
      </c>
      <c r="AP263" s="239">
        <v>-2476804</v>
      </c>
      <c r="AQ263" s="239">
        <v>-11820</v>
      </c>
      <c r="AR263" s="239">
        <v>0</v>
      </c>
      <c r="AS263" s="239">
        <v>-11820</v>
      </c>
      <c r="AT263" s="239">
        <v>-4215</v>
      </c>
      <c r="AU263" s="239">
        <v>0</v>
      </c>
      <c r="AV263" s="239">
        <v>-4215</v>
      </c>
      <c r="AW263" s="239">
        <v>0</v>
      </c>
      <c r="AX263" s="239">
        <v>0</v>
      </c>
      <c r="AY263" s="239">
        <v>0</v>
      </c>
      <c r="AZ263" s="239">
        <v>0</v>
      </c>
      <c r="BA263" s="239">
        <v>0</v>
      </c>
      <c r="BB263" s="239">
        <v>0</v>
      </c>
      <c r="BC263" s="239">
        <v>0</v>
      </c>
      <c r="BD263" s="239">
        <v>0</v>
      </c>
      <c r="BE263" s="239">
        <v>0</v>
      </c>
      <c r="BF263" s="239">
        <v>-3139431</v>
      </c>
      <c r="BG263" s="239">
        <v>0</v>
      </c>
      <c r="BH263" s="239">
        <v>-3139431</v>
      </c>
      <c r="BI263" s="239">
        <v>-55881</v>
      </c>
      <c r="BJ263" s="239">
        <v>0</v>
      </c>
      <c r="BK263" s="239">
        <v>-55881</v>
      </c>
      <c r="BL263" s="239">
        <v>-42463</v>
      </c>
      <c r="BM263" s="239">
        <v>0</v>
      </c>
      <c r="BN263" s="239">
        <v>-42463</v>
      </c>
      <c r="BO263" s="239">
        <v>-1611077</v>
      </c>
      <c r="BP263" s="239">
        <v>0</v>
      </c>
      <c r="BQ263" s="239">
        <v>-1611077</v>
      </c>
      <c r="BR263" s="239">
        <v>-15866</v>
      </c>
      <c r="BS263" s="239">
        <v>0</v>
      </c>
      <c r="BT263" s="239">
        <v>-15866</v>
      </c>
      <c r="BU263" s="239">
        <v>-1725287</v>
      </c>
      <c r="BV263" s="239">
        <v>0</v>
      </c>
      <c r="BW263" s="239">
        <v>-1725287</v>
      </c>
      <c r="BX263" s="239">
        <v>-117421</v>
      </c>
      <c r="BY263" s="239">
        <v>0</v>
      </c>
      <c r="BZ263" s="239">
        <v>-117421</v>
      </c>
      <c r="CA263" s="239">
        <v>-1445</v>
      </c>
      <c r="CB263" s="239">
        <v>0</v>
      </c>
      <c r="CC263" s="239">
        <v>-1445</v>
      </c>
      <c r="CD263" s="239">
        <v>-44124</v>
      </c>
      <c r="CE263" s="239">
        <v>0</v>
      </c>
      <c r="CF263" s="239">
        <v>-44124</v>
      </c>
      <c r="CG263" s="239">
        <v>-5913</v>
      </c>
      <c r="CH263" s="239">
        <v>0</v>
      </c>
      <c r="CI263" s="239">
        <v>-5913</v>
      </c>
      <c r="CJ263" s="239">
        <v>0</v>
      </c>
      <c r="CK263" s="239">
        <v>0</v>
      </c>
      <c r="CL263" s="239">
        <v>0</v>
      </c>
      <c r="CM263" s="239">
        <v>0</v>
      </c>
      <c r="CN263" s="239">
        <v>0</v>
      </c>
      <c r="CO263" s="239">
        <v>0</v>
      </c>
      <c r="CP263" s="239">
        <v>0</v>
      </c>
      <c r="CQ263" s="239">
        <v>0</v>
      </c>
      <c r="CR263" s="239">
        <v>0</v>
      </c>
      <c r="CS263" s="239">
        <v>0</v>
      </c>
      <c r="CT263" s="239">
        <v>0</v>
      </c>
      <c r="CU263" s="239">
        <v>0</v>
      </c>
      <c r="CV263" s="239">
        <v>0</v>
      </c>
      <c r="CW263" s="239">
        <v>0</v>
      </c>
      <c r="CX263" s="239">
        <v>0</v>
      </c>
      <c r="CY263" s="239">
        <v>0</v>
      </c>
      <c r="CZ263" s="239">
        <v>0</v>
      </c>
      <c r="DA263" s="239">
        <v>0</v>
      </c>
      <c r="DB263" s="239">
        <v>0</v>
      </c>
      <c r="DC263" s="239">
        <v>0</v>
      </c>
      <c r="DD263" s="239">
        <v>0</v>
      </c>
      <c r="DE263" s="239">
        <v>0</v>
      </c>
      <c r="DF263" s="239">
        <v>0</v>
      </c>
      <c r="DG263" s="239">
        <v>0</v>
      </c>
      <c r="DH263" s="239">
        <v>0</v>
      </c>
      <c r="DI263" s="239">
        <v>0</v>
      </c>
      <c r="DJ263" s="239">
        <v>-168903</v>
      </c>
      <c r="DK263" s="239">
        <v>0</v>
      </c>
      <c r="DL263" s="239">
        <v>-168903</v>
      </c>
      <c r="DM263" s="239">
        <v>-3671</v>
      </c>
      <c r="DN263" s="239">
        <v>0</v>
      </c>
      <c r="DO263" s="239">
        <v>-3671</v>
      </c>
      <c r="DP263" s="239">
        <v>24158</v>
      </c>
      <c r="DQ263" s="239">
        <v>0</v>
      </c>
      <c r="DR263" s="239">
        <v>24158</v>
      </c>
      <c r="DS263" s="239">
        <v>-9907</v>
      </c>
      <c r="DT263" s="239">
        <v>0</v>
      </c>
      <c r="DU263" s="239">
        <v>-9907</v>
      </c>
      <c r="DV263" s="239">
        <v>0</v>
      </c>
      <c r="DW263" s="239">
        <v>0</v>
      </c>
      <c r="DX263" s="239">
        <v>0</v>
      </c>
      <c r="DY263" s="239">
        <v>0</v>
      </c>
      <c r="DZ263" s="239">
        <v>0</v>
      </c>
      <c r="EA263" s="239">
        <v>0</v>
      </c>
      <c r="EB263" s="239">
        <v>0</v>
      </c>
      <c r="EC263" s="239">
        <v>0</v>
      </c>
      <c r="ED263" s="239">
        <v>0</v>
      </c>
      <c r="EE263" s="239">
        <v>0</v>
      </c>
      <c r="EF263" s="239">
        <v>0</v>
      </c>
      <c r="EG263" s="239">
        <v>0</v>
      </c>
      <c r="EH263" s="239">
        <v>0</v>
      </c>
      <c r="EI263" s="239">
        <v>0</v>
      </c>
      <c r="EJ263" s="239">
        <v>0</v>
      </c>
      <c r="EK263" s="239">
        <v>0</v>
      </c>
      <c r="EL263" s="239">
        <v>0</v>
      </c>
      <c r="EM263" s="239">
        <v>0</v>
      </c>
      <c r="EN263" s="239">
        <v>0</v>
      </c>
      <c r="EO263" s="239">
        <v>0</v>
      </c>
      <c r="EP263" s="239">
        <v>0</v>
      </c>
      <c r="EQ263" s="239">
        <v>-2659</v>
      </c>
      <c r="ER263" s="239">
        <v>0</v>
      </c>
      <c r="ES263" s="239">
        <v>-2659</v>
      </c>
      <c r="ET263" s="239">
        <v>-18154</v>
      </c>
      <c r="EU263" s="239">
        <v>0</v>
      </c>
      <c r="EV263" s="239">
        <v>-18154</v>
      </c>
      <c r="EW263" s="239">
        <v>-12000</v>
      </c>
      <c r="EX263" s="239">
        <v>0</v>
      </c>
      <c r="EY263" s="239">
        <v>-12000</v>
      </c>
      <c r="EZ263" s="239">
        <v>-22233</v>
      </c>
      <c r="FA263" s="239">
        <v>0</v>
      </c>
      <c r="FB263" s="239">
        <v>-22233</v>
      </c>
      <c r="FC263" s="239">
        <v>0</v>
      </c>
      <c r="FD263" s="239">
        <v>0</v>
      </c>
      <c r="FE263" s="239">
        <v>0</v>
      </c>
      <c r="FF263" s="239">
        <v>0</v>
      </c>
      <c r="FG263" s="239">
        <v>0</v>
      </c>
      <c r="FH263" s="239">
        <v>0</v>
      </c>
      <c r="FI263" s="239">
        <v>0</v>
      </c>
      <c r="FJ263" s="239">
        <v>0</v>
      </c>
      <c r="FK263" s="239">
        <v>0</v>
      </c>
      <c r="FL263" s="239">
        <v>49466709</v>
      </c>
      <c r="FM263" s="239">
        <v>0</v>
      </c>
      <c r="FN263" s="239">
        <v>49466709</v>
      </c>
      <c r="FO263" s="239">
        <v>3086458</v>
      </c>
      <c r="FP263" s="239">
        <v>0</v>
      </c>
      <c r="FQ263" s="239">
        <v>3086458</v>
      </c>
      <c r="FR263" s="239">
        <v>-3139431</v>
      </c>
      <c r="FS263" s="239">
        <v>0</v>
      </c>
      <c r="FT263" s="239">
        <v>-3139431</v>
      </c>
      <c r="FU263" s="239">
        <v>-1725287</v>
      </c>
      <c r="FV263" s="239">
        <v>0</v>
      </c>
      <c r="FW263" s="239">
        <v>-1725287</v>
      </c>
      <c r="FX263" s="239">
        <v>-168903</v>
      </c>
      <c r="FY263" s="239">
        <v>0</v>
      </c>
      <c r="FZ263" s="239">
        <v>-168903</v>
      </c>
      <c r="GA263" s="239">
        <v>-22233</v>
      </c>
      <c r="GB263" s="239">
        <v>0</v>
      </c>
      <c r="GC263" s="239">
        <v>-22233</v>
      </c>
      <c r="GD263" s="239">
        <v>0</v>
      </c>
      <c r="GE263" s="239">
        <v>0</v>
      </c>
      <c r="GF263" s="239">
        <v>0</v>
      </c>
      <c r="GG263" s="239">
        <v>-1969396</v>
      </c>
      <c r="GH263" s="239">
        <v>0</v>
      </c>
      <c r="GI263" s="239">
        <v>-1969396</v>
      </c>
      <c r="GJ263" s="239">
        <v>47497313</v>
      </c>
      <c r="GK263" s="239">
        <v>0</v>
      </c>
      <c r="GL263" s="239">
        <v>47497313</v>
      </c>
      <c r="GM263" s="214" t="s">
        <v>1158</v>
      </c>
    </row>
    <row r="264" spans="1:195" s="214" customFormat="1" x14ac:dyDescent="0.2">
      <c r="B264" s="602" t="s">
        <v>611</v>
      </c>
      <c r="C264" s="602" t="s">
        <v>610</v>
      </c>
      <c r="D264" s="239">
        <v>-2484258</v>
      </c>
      <c r="E264" s="239">
        <v>0</v>
      </c>
      <c r="F264" s="239">
        <v>-2484258</v>
      </c>
      <c r="G264" s="239">
        <v>15490</v>
      </c>
      <c r="H264" s="239">
        <v>0</v>
      </c>
      <c r="I264" s="239">
        <v>15490</v>
      </c>
      <c r="J264" s="239">
        <v>10694524</v>
      </c>
      <c r="K264" s="239">
        <v>0</v>
      </c>
      <c r="L264" s="239">
        <v>10694524</v>
      </c>
      <c r="M264" s="239">
        <v>106048</v>
      </c>
      <c r="N264" s="239">
        <v>0</v>
      </c>
      <c r="O264" s="239">
        <v>106048</v>
      </c>
      <c r="P264" s="239">
        <v>8331804</v>
      </c>
      <c r="Q264" s="239">
        <v>0</v>
      </c>
      <c r="R264" s="239">
        <v>8331804</v>
      </c>
      <c r="S264" s="239">
        <v>-10904896</v>
      </c>
      <c r="T264" s="239">
        <v>0</v>
      </c>
      <c r="U264" s="239">
        <v>-10904896</v>
      </c>
      <c r="V264" s="239">
        <v>-53727</v>
      </c>
      <c r="W264" s="239">
        <v>0</v>
      </c>
      <c r="X264" s="239">
        <v>-53727</v>
      </c>
      <c r="Y264" s="239">
        <v>-284937</v>
      </c>
      <c r="Z264" s="239">
        <v>0</v>
      </c>
      <c r="AA264" s="239">
        <v>-284937</v>
      </c>
      <c r="AB264" s="239">
        <v>-238951</v>
      </c>
      <c r="AC264" s="239">
        <v>0</v>
      </c>
      <c r="AD264" s="239">
        <v>-238951</v>
      </c>
      <c r="AE264" s="239">
        <v>-8302</v>
      </c>
      <c r="AF264" s="239">
        <v>0</v>
      </c>
      <c r="AG264" s="239">
        <v>-8302</v>
      </c>
      <c r="AH264" s="239">
        <v>1879234</v>
      </c>
      <c r="AI264" s="239">
        <v>0</v>
      </c>
      <c r="AJ264" s="239">
        <v>1879234</v>
      </c>
      <c r="AK264" s="239">
        <v>-55385</v>
      </c>
      <c r="AL264" s="239">
        <v>0</v>
      </c>
      <c r="AM264" s="239">
        <v>-55385</v>
      </c>
      <c r="AN264" s="239">
        <v>-4779449</v>
      </c>
      <c r="AO264" s="239">
        <v>0</v>
      </c>
      <c r="AP264" s="239">
        <v>-4779449</v>
      </c>
      <c r="AQ264" s="239">
        <v>7361</v>
      </c>
      <c r="AR264" s="239">
        <v>0</v>
      </c>
      <c r="AS264" s="239">
        <v>7361</v>
      </c>
      <c r="AT264" s="239">
        <v>-234415</v>
      </c>
      <c r="AU264" s="239">
        <v>0</v>
      </c>
      <c r="AV264" s="239">
        <v>-234415</v>
      </c>
      <c r="AW264" s="239">
        <v>1443</v>
      </c>
      <c r="AX264" s="239">
        <v>0</v>
      </c>
      <c r="AY264" s="239">
        <v>1443</v>
      </c>
      <c r="AZ264" s="239">
        <v>0</v>
      </c>
      <c r="BA264" s="239">
        <v>0</v>
      </c>
      <c r="BB264" s="239">
        <v>0</v>
      </c>
      <c r="BC264" s="239">
        <v>0</v>
      </c>
      <c r="BD264" s="239">
        <v>0</v>
      </c>
      <c r="BE264" s="239">
        <v>0</v>
      </c>
      <c r="BF264" s="239">
        <v>-14371044</v>
      </c>
      <c r="BG264" s="239">
        <v>0</v>
      </c>
      <c r="BH264" s="239">
        <v>-14371044</v>
      </c>
      <c r="BI264" s="239">
        <v>-49336</v>
      </c>
      <c r="BJ264" s="239">
        <v>0</v>
      </c>
      <c r="BK264" s="239">
        <v>-49336</v>
      </c>
      <c r="BL264" s="239">
        <v>-25037</v>
      </c>
      <c r="BM264" s="239">
        <v>0</v>
      </c>
      <c r="BN264" s="239">
        <v>-25037</v>
      </c>
      <c r="BO264" s="239">
        <v>-3826413</v>
      </c>
      <c r="BP264" s="239">
        <v>0</v>
      </c>
      <c r="BQ264" s="239">
        <v>-3826413</v>
      </c>
      <c r="BR264" s="239">
        <v>-31655</v>
      </c>
      <c r="BS264" s="239">
        <v>0</v>
      </c>
      <c r="BT264" s="239">
        <v>-31655</v>
      </c>
      <c r="BU264" s="239">
        <v>-3932441</v>
      </c>
      <c r="BV264" s="239">
        <v>0</v>
      </c>
      <c r="BW264" s="239">
        <v>-3932441</v>
      </c>
      <c r="BX264" s="239">
        <v>0</v>
      </c>
      <c r="BY264" s="239">
        <v>0</v>
      </c>
      <c r="BZ264" s="239">
        <v>0</v>
      </c>
      <c r="CA264" s="239">
        <v>0</v>
      </c>
      <c r="CB264" s="239">
        <v>0</v>
      </c>
      <c r="CC264" s="239">
        <v>0</v>
      </c>
      <c r="CD264" s="239">
        <v>-65078</v>
      </c>
      <c r="CE264" s="239">
        <v>0</v>
      </c>
      <c r="CF264" s="239">
        <v>-65078</v>
      </c>
      <c r="CG264" s="239">
        <v>-7285</v>
      </c>
      <c r="CH264" s="239">
        <v>0</v>
      </c>
      <c r="CI264" s="239">
        <v>-7285</v>
      </c>
      <c r="CJ264" s="239">
        <v>-21433</v>
      </c>
      <c r="CK264" s="239">
        <v>0</v>
      </c>
      <c r="CL264" s="239">
        <v>-21433</v>
      </c>
      <c r="CM264" s="239">
        <v>217</v>
      </c>
      <c r="CN264" s="239">
        <v>0</v>
      </c>
      <c r="CO264" s="239">
        <v>217</v>
      </c>
      <c r="CP264" s="239">
        <v>0</v>
      </c>
      <c r="CQ264" s="239">
        <v>0</v>
      </c>
      <c r="CR264" s="239">
        <v>0</v>
      </c>
      <c r="CS264" s="239">
        <v>0</v>
      </c>
      <c r="CT264" s="239">
        <v>0</v>
      </c>
      <c r="CU264" s="239">
        <v>0</v>
      </c>
      <c r="CV264" s="239">
        <v>0</v>
      </c>
      <c r="CW264" s="239">
        <v>0</v>
      </c>
      <c r="CX264" s="239">
        <v>0</v>
      </c>
      <c r="CY264" s="239">
        <v>0</v>
      </c>
      <c r="CZ264" s="239">
        <v>0</v>
      </c>
      <c r="DA264" s="239">
        <v>0</v>
      </c>
      <c r="DB264" s="239">
        <v>-29308</v>
      </c>
      <c r="DC264" s="239">
        <v>0</v>
      </c>
      <c r="DD264" s="239">
        <v>-29308</v>
      </c>
      <c r="DE264" s="239">
        <v>-7752</v>
      </c>
      <c r="DF264" s="239">
        <v>0</v>
      </c>
      <c r="DG264" s="239">
        <v>-7752</v>
      </c>
      <c r="DH264" s="239">
        <v>0</v>
      </c>
      <c r="DI264" s="239">
        <v>0</v>
      </c>
      <c r="DJ264" s="239">
        <v>-130639</v>
      </c>
      <c r="DK264" s="239">
        <v>0</v>
      </c>
      <c r="DL264" s="239">
        <v>-130639</v>
      </c>
      <c r="DM264" s="239">
        <v>0</v>
      </c>
      <c r="DN264" s="239">
        <v>0</v>
      </c>
      <c r="DO264" s="239">
        <v>0</v>
      </c>
      <c r="DP264" s="239">
        <v>0</v>
      </c>
      <c r="DQ264" s="239">
        <v>0</v>
      </c>
      <c r="DR264" s="239">
        <v>0</v>
      </c>
      <c r="DS264" s="239">
        <v>-2391</v>
      </c>
      <c r="DT264" s="239">
        <v>0</v>
      </c>
      <c r="DU264" s="239">
        <v>-2391</v>
      </c>
      <c r="DV264" s="239">
        <v>-104</v>
      </c>
      <c r="DW264" s="239">
        <v>0</v>
      </c>
      <c r="DX264" s="239">
        <v>-104</v>
      </c>
      <c r="DY264" s="239">
        <v>29147</v>
      </c>
      <c r="DZ264" s="239">
        <v>0</v>
      </c>
      <c r="EA264" s="239">
        <v>29147</v>
      </c>
      <c r="EB264" s="239">
        <v>0</v>
      </c>
      <c r="EC264" s="239">
        <v>0</v>
      </c>
      <c r="ED264" s="239">
        <v>0</v>
      </c>
      <c r="EE264" s="239">
        <v>0</v>
      </c>
      <c r="EF264" s="239">
        <v>0</v>
      </c>
      <c r="EG264" s="239">
        <v>0</v>
      </c>
      <c r="EH264" s="239">
        <v>4997</v>
      </c>
      <c r="EI264" s="239">
        <v>0</v>
      </c>
      <c r="EJ264" s="239">
        <v>4997</v>
      </c>
      <c r="EK264" s="239">
        <v>0</v>
      </c>
      <c r="EL264" s="239">
        <v>0</v>
      </c>
      <c r="EM264" s="239">
        <v>0</v>
      </c>
      <c r="EN264" s="239">
        <v>0</v>
      </c>
      <c r="EO264" s="239">
        <v>0</v>
      </c>
      <c r="EP264" s="239">
        <v>0</v>
      </c>
      <c r="EQ264" s="239">
        <v>-26067</v>
      </c>
      <c r="ER264" s="239">
        <v>0</v>
      </c>
      <c r="ES264" s="239">
        <v>-26067</v>
      </c>
      <c r="ET264" s="239">
        <v>-323794</v>
      </c>
      <c r="EU264" s="239">
        <v>0</v>
      </c>
      <c r="EV264" s="239">
        <v>-323794</v>
      </c>
      <c r="EW264" s="239">
        <v>-79515</v>
      </c>
      <c r="EX264" s="239">
        <v>0</v>
      </c>
      <c r="EY264" s="239">
        <v>-79515</v>
      </c>
      <c r="EZ264" s="239">
        <v>-397727</v>
      </c>
      <c r="FA264" s="239">
        <v>0</v>
      </c>
      <c r="FB264" s="239">
        <v>-397727</v>
      </c>
      <c r="FC264" s="239">
        <v>0</v>
      </c>
      <c r="FD264" s="239">
        <v>0</v>
      </c>
      <c r="FE264" s="239">
        <v>0</v>
      </c>
      <c r="FF264" s="239">
        <v>0</v>
      </c>
      <c r="FG264" s="239">
        <v>0</v>
      </c>
      <c r="FH264" s="239">
        <v>0</v>
      </c>
      <c r="FI264" s="239">
        <v>0</v>
      </c>
      <c r="FJ264" s="239">
        <v>0</v>
      </c>
      <c r="FK264" s="239">
        <v>0</v>
      </c>
      <c r="FL264" s="239">
        <v>101391748</v>
      </c>
      <c r="FM264" s="239">
        <v>0</v>
      </c>
      <c r="FN264" s="239">
        <v>101391748</v>
      </c>
      <c r="FO264" s="239">
        <v>8331804</v>
      </c>
      <c r="FP264" s="239">
        <v>0</v>
      </c>
      <c r="FQ264" s="239">
        <v>8331804</v>
      </c>
      <c r="FR264" s="239">
        <v>-14371044</v>
      </c>
      <c r="FS264" s="239">
        <v>0</v>
      </c>
      <c r="FT264" s="239">
        <v>-14371044</v>
      </c>
      <c r="FU264" s="239">
        <v>-3932441</v>
      </c>
      <c r="FV264" s="239">
        <v>0</v>
      </c>
      <c r="FW264" s="239">
        <v>-3932441</v>
      </c>
      <c r="FX264" s="239">
        <v>-130639</v>
      </c>
      <c r="FY264" s="239">
        <v>0</v>
      </c>
      <c r="FZ264" s="239">
        <v>-130639</v>
      </c>
      <c r="GA264" s="239">
        <v>-397727</v>
      </c>
      <c r="GB264" s="239">
        <v>0</v>
      </c>
      <c r="GC264" s="239">
        <v>-397727</v>
      </c>
      <c r="GD264" s="239">
        <v>0</v>
      </c>
      <c r="GE264" s="239">
        <v>0</v>
      </c>
      <c r="GF264" s="239">
        <v>0</v>
      </c>
      <c r="GG264" s="239">
        <v>-10500047</v>
      </c>
      <c r="GH264" s="239">
        <v>0</v>
      </c>
      <c r="GI264" s="239">
        <v>-10500047</v>
      </c>
      <c r="GJ264" s="239">
        <v>90891701</v>
      </c>
      <c r="GK264" s="239">
        <v>0</v>
      </c>
      <c r="GL264" s="239">
        <v>90891701</v>
      </c>
      <c r="GM264" s="214" t="s">
        <v>1160</v>
      </c>
    </row>
    <row r="265" spans="1:195" s="214" customFormat="1" x14ac:dyDescent="0.2">
      <c r="B265" s="602" t="s">
        <v>613</v>
      </c>
      <c r="C265" s="602" t="s">
        <v>612</v>
      </c>
      <c r="D265" s="239">
        <v>-2766653</v>
      </c>
      <c r="E265" s="239">
        <v>0</v>
      </c>
      <c r="F265" s="239">
        <v>-2766653</v>
      </c>
      <c r="G265" s="239">
        <v>277911</v>
      </c>
      <c r="H265" s="239">
        <v>0</v>
      </c>
      <c r="I265" s="239">
        <v>277911</v>
      </c>
      <c r="J265" s="239">
        <v>7907842</v>
      </c>
      <c r="K265" s="239">
        <v>93277</v>
      </c>
      <c r="L265" s="239">
        <v>8001119</v>
      </c>
      <c r="M265" s="239">
        <v>43413</v>
      </c>
      <c r="N265" s="239">
        <v>0</v>
      </c>
      <c r="O265" s="239">
        <v>43413</v>
      </c>
      <c r="P265" s="239">
        <v>5462513</v>
      </c>
      <c r="Q265" s="239">
        <v>93277</v>
      </c>
      <c r="R265" s="239">
        <v>5555790</v>
      </c>
      <c r="S265" s="239">
        <v>-4398821</v>
      </c>
      <c r="T265" s="239">
        <v>-39079</v>
      </c>
      <c r="U265" s="239">
        <v>-4437900</v>
      </c>
      <c r="V265" s="239">
        <v>0</v>
      </c>
      <c r="W265" s="239">
        <v>0</v>
      </c>
      <c r="X265" s="239">
        <v>0</v>
      </c>
      <c r="Y265" s="239">
        <v>-117679</v>
      </c>
      <c r="Z265" s="239">
        <v>0</v>
      </c>
      <c r="AA265" s="239">
        <v>-117679</v>
      </c>
      <c r="AB265" s="239">
        <v>-89447</v>
      </c>
      <c r="AC265" s="239">
        <v>0</v>
      </c>
      <c r="AD265" s="239">
        <v>-89447</v>
      </c>
      <c r="AE265" s="239">
        <v>0</v>
      </c>
      <c r="AF265" s="239">
        <v>0</v>
      </c>
      <c r="AG265" s="239">
        <v>0</v>
      </c>
      <c r="AH265" s="239">
        <v>2025862</v>
      </c>
      <c r="AI265" s="239">
        <v>7434</v>
      </c>
      <c r="AJ265" s="239">
        <v>2033296</v>
      </c>
      <c r="AK265" s="239">
        <v>-51079</v>
      </c>
      <c r="AL265" s="239">
        <v>0</v>
      </c>
      <c r="AM265" s="239">
        <v>-51079</v>
      </c>
      <c r="AN265" s="239">
        <v>-4838573</v>
      </c>
      <c r="AO265" s="239">
        <v>0</v>
      </c>
      <c r="AP265" s="239">
        <v>-4838573</v>
      </c>
      <c r="AQ265" s="239">
        <v>-97480</v>
      </c>
      <c r="AR265" s="239">
        <v>0</v>
      </c>
      <c r="AS265" s="239">
        <v>-97480</v>
      </c>
      <c r="AT265" s="239">
        <v>-39801</v>
      </c>
      <c r="AU265" s="239">
        <v>0</v>
      </c>
      <c r="AV265" s="239">
        <v>-39801</v>
      </c>
      <c r="AW265" s="239">
        <v>0</v>
      </c>
      <c r="AX265" s="239">
        <v>0</v>
      </c>
      <c r="AY265" s="239">
        <v>0</v>
      </c>
      <c r="AZ265" s="239">
        <v>-10343</v>
      </c>
      <c r="BA265" s="239">
        <v>0</v>
      </c>
      <c r="BB265" s="239">
        <v>-10343</v>
      </c>
      <c r="BC265" s="239">
        <v>0</v>
      </c>
      <c r="BD265" s="239">
        <v>0</v>
      </c>
      <c r="BE265" s="239">
        <v>0</v>
      </c>
      <c r="BF265" s="239">
        <v>-7527914</v>
      </c>
      <c r="BG265" s="239">
        <v>-31645</v>
      </c>
      <c r="BH265" s="239">
        <v>-7559559</v>
      </c>
      <c r="BI265" s="239">
        <v>0</v>
      </c>
      <c r="BJ265" s="239">
        <v>0</v>
      </c>
      <c r="BK265" s="239">
        <v>0</v>
      </c>
      <c r="BL265" s="239">
        <v>35189</v>
      </c>
      <c r="BM265" s="239">
        <v>0</v>
      </c>
      <c r="BN265" s="239">
        <v>35189</v>
      </c>
      <c r="BO265" s="239">
        <v>-2951043</v>
      </c>
      <c r="BP265" s="239">
        <v>-41145</v>
      </c>
      <c r="BQ265" s="239">
        <v>-2992188</v>
      </c>
      <c r="BR265" s="239">
        <v>-152959</v>
      </c>
      <c r="BS265" s="239">
        <v>0</v>
      </c>
      <c r="BT265" s="239">
        <v>-152959</v>
      </c>
      <c r="BU265" s="239">
        <v>-3068813</v>
      </c>
      <c r="BV265" s="239">
        <v>-41145</v>
      </c>
      <c r="BW265" s="239">
        <v>-3109958</v>
      </c>
      <c r="BX265" s="239">
        <v>-187663</v>
      </c>
      <c r="BY265" s="239">
        <v>0</v>
      </c>
      <c r="BZ265" s="239">
        <v>-187663</v>
      </c>
      <c r="CA265" s="239">
        <v>-2206</v>
      </c>
      <c r="CB265" s="239">
        <v>0</v>
      </c>
      <c r="CC265" s="239">
        <v>-2206</v>
      </c>
      <c r="CD265" s="239">
        <v>-90462</v>
      </c>
      <c r="CE265" s="239">
        <v>0</v>
      </c>
      <c r="CF265" s="239">
        <v>-90462</v>
      </c>
      <c r="CG265" s="239">
        <v>583</v>
      </c>
      <c r="CH265" s="239">
        <v>0</v>
      </c>
      <c r="CI265" s="239">
        <v>583</v>
      </c>
      <c r="CJ265" s="239">
        <v>-10190</v>
      </c>
      <c r="CK265" s="239">
        <v>0</v>
      </c>
      <c r="CL265" s="239">
        <v>-10190</v>
      </c>
      <c r="CM265" s="239">
        <v>0</v>
      </c>
      <c r="CN265" s="239">
        <v>0</v>
      </c>
      <c r="CO265" s="239">
        <v>0</v>
      </c>
      <c r="CP265" s="239">
        <v>0</v>
      </c>
      <c r="CQ265" s="239">
        <v>0</v>
      </c>
      <c r="CR265" s="239">
        <v>0</v>
      </c>
      <c r="CS265" s="239">
        <v>0</v>
      </c>
      <c r="CT265" s="239">
        <v>0</v>
      </c>
      <c r="CU265" s="239">
        <v>0</v>
      </c>
      <c r="CV265" s="239">
        <v>0</v>
      </c>
      <c r="CW265" s="239">
        <v>0</v>
      </c>
      <c r="CX265" s="239">
        <v>0</v>
      </c>
      <c r="CY265" s="239">
        <v>0</v>
      </c>
      <c r="CZ265" s="239">
        <v>0</v>
      </c>
      <c r="DA265" s="239">
        <v>0</v>
      </c>
      <c r="DB265" s="239">
        <v>-62692</v>
      </c>
      <c r="DC265" s="239">
        <v>-112580</v>
      </c>
      <c r="DD265" s="239">
        <v>-175272</v>
      </c>
      <c r="DE265" s="239">
        <v>-292</v>
      </c>
      <c r="DF265" s="239">
        <v>0</v>
      </c>
      <c r="DG265" s="239">
        <v>-292</v>
      </c>
      <c r="DH265" s="239">
        <v>-85584</v>
      </c>
      <c r="DI265" s="239">
        <v>-26996</v>
      </c>
      <c r="DJ265" s="239">
        <v>-352922</v>
      </c>
      <c r="DK265" s="239">
        <v>-112580</v>
      </c>
      <c r="DL265" s="239">
        <v>-465502</v>
      </c>
      <c r="DM265" s="239">
        <v>0</v>
      </c>
      <c r="DN265" s="239">
        <v>0</v>
      </c>
      <c r="DO265" s="239">
        <v>0</v>
      </c>
      <c r="DP265" s="239">
        <v>0</v>
      </c>
      <c r="DQ265" s="239">
        <v>0</v>
      </c>
      <c r="DR265" s="239">
        <v>0</v>
      </c>
      <c r="DS265" s="239">
        <v>-39</v>
      </c>
      <c r="DT265" s="239">
        <v>0</v>
      </c>
      <c r="DU265" s="239">
        <v>-39</v>
      </c>
      <c r="DV265" s="239">
        <v>-5257</v>
      </c>
      <c r="DW265" s="239">
        <v>0</v>
      </c>
      <c r="DX265" s="239">
        <v>-5257</v>
      </c>
      <c r="DY265" s="239">
        <v>5434</v>
      </c>
      <c r="DZ265" s="239">
        <v>0</v>
      </c>
      <c r="EA265" s="239">
        <v>5434</v>
      </c>
      <c r="EB265" s="239">
        <v>0</v>
      </c>
      <c r="EC265" s="239">
        <v>0</v>
      </c>
      <c r="ED265" s="239">
        <v>0</v>
      </c>
      <c r="EE265" s="239">
        <v>0</v>
      </c>
      <c r="EF265" s="239">
        <v>0</v>
      </c>
      <c r="EG265" s="239">
        <v>0</v>
      </c>
      <c r="EH265" s="239">
        <v>-309</v>
      </c>
      <c r="EI265" s="239">
        <v>0</v>
      </c>
      <c r="EJ265" s="239">
        <v>-309</v>
      </c>
      <c r="EK265" s="239">
        <v>-10343</v>
      </c>
      <c r="EL265" s="239">
        <v>0</v>
      </c>
      <c r="EM265" s="239">
        <v>-10343</v>
      </c>
      <c r="EN265" s="239">
        <v>0</v>
      </c>
      <c r="EO265" s="239">
        <v>0</v>
      </c>
      <c r="EP265" s="239">
        <v>0</v>
      </c>
      <c r="EQ265" s="239">
        <v>-22852</v>
      </c>
      <c r="ER265" s="239">
        <v>0</v>
      </c>
      <c r="ES265" s="239">
        <v>-22852</v>
      </c>
      <c r="ET265" s="239">
        <v>-240855</v>
      </c>
      <c r="EU265" s="239">
        <v>0</v>
      </c>
      <c r="EV265" s="239">
        <v>-240855</v>
      </c>
      <c r="EW265" s="239">
        <v>-74228</v>
      </c>
      <c r="EX265" s="239">
        <v>0</v>
      </c>
      <c r="EY265" s="239">
        <v>-74228</v>
      </c>
      <c r="EZ265" s="239">
        <v>-348449</v>
      </c>
      <c r="FA265" s="239">
        <v>0</v>
      </c>
      <c r="FB265" s="239">
        <v>-348449</v>
      </c>
      <c r="FC265" s="239">
        <v>0</v>
      </c>
      <c r="FD265" s="239">
        <v>0</v>
      </c>
      <c r="FE265" s="239">
        <v>0</v>
      </c>
      <c r="FF265" s="239">
        <v>0</v>
      </c>
      <c r="FG265" s="239">
        <v>0</v>
      </c>
      <c r="FH265" s="239">
        <v>0</v>
      </c>
      <c r="FI265" s="239">
        <v>0</v>
      </c>
      <c r="FJ265" s="239">
        <v>0</v>
      </c>
      <c r="FK265" s="239">
        <v>0</v>
      </c>
      <c r="FL265" s="239">
        <v>89466500</v>
      </c>
      <c r="FM265" s="239">
        <v>326325</v>
      </c>
      <c r="FN265" s="239">
        <v>89792825</v>
      </c>
      <c r="FO265" s="239">
        <v>5462513</v>
      </c>
      <c r="FP265" s="239">
        <v>93277</v>
      </c>
      <c r="FQ265" s="239">
        <v>5555790</v>
      </c>
      <c r="FR265" s="239">
        <v>-7527914</v>
      </c>
      <c r="FS265" s="239">
        <v>-31645</v>
      </c>
      <c r="FT265" s="239">
        <v>-7559559</v>
      </c>
      <c r="FU265" s="239">
        <v>-3068813</v>
      </c>
      <c r="FV265" s="239">
        <v>-41145</v>
      </c>
      <c r="FW265" s="239">
        <v>-3109958</v>
      </c>
      <c r="FX265" s="239">
        <v>-352922</v>
      </c>
      <c r="FY265" s="239">
        <v>-112580</v>
      </c>
      <c r="FZ265" s="239">
        <v>-465502</v>
      </c>
      <c r="GA265" s="239">
        <v>-348449</v>
      </c>
      <c r="GB265" s="239">
        <v>0</v>
      </c>
      <c r="GC265" s="239">
        <v>-348449</v>
      </c>
      <c r="GD265" s="239">
        <v>0</v>
      </c>
      <c r="GE265" s="239">
        <v>0</v>
      </c>
      <c r="GF265" s="239">
        <v>0</v>
      </c>
      <c r="GG265" s="239">
        <v>-5835585</v>
      </c>
      <c r="GH265" s="239">
        <v>-92093</v>
      </c>
      <c r="GI265" s="239">
        <v>-5927678</v>
      </c>
      <c r="GJ265" s="239">
        <v>83630915</v>
      </c>
      <c r="GK265" s="239">
        <v>234232</v>
      </c>
      <c r="GL265" s="239">
        <v>83865147</v>
      </c>
      <c r="GM265" s="214" t="s">
        <v>746</v>
      </c>
    </row>
    <row r="266" spans="1:195" s="214" customFormat="1" x14ac:dyDescent="0.2">
      <c r="B266" s="602" t="s">
        <v>615</v>
      </c>
      <c r="C266" s="602" t="s">
        <v>614</v>
      </c>
      <c r="D266" s="239">
        <v>-4481408</v>
      </c>
      <c r="E266" s="239">
        <v>0</v>
      </c>
      <c r="F266" s="239">
        <v>-4481408</v>
      </c>
      <c r="G266" s="239">
        <v>15351</v>
      </c>
      <c r="H266" s="239">
        <v>0</v>
      </c>
      <c r="I266" s="239">
        <v>15351</v>
      </c>
      <c r="J266" s="239">
        <v>5337430</v>
      </c>
      <c r="K266" s="239">
        <v>0</v>
      </c>
      <c r="L266" s="239">
        <v>5337430</v>
      </c>
      <c r="M266" s="239">
        <v>293396</v>
      </c>
      <c r="N266" s="239">
        <v>0</v>
      </c>
      <c r="O266" s="239">
        <v>293396</v>
      </c>
      <c r="P266" s="239">
        <v>1164769</v>
      </c>
      <c r="Q266" s="239">
        <v>0</v>
      </c>
      <c r="R266" s="239">
        <v>1164769</v>
      </c>
      <c r="S266" s="239">
        <v>-8813098</v>
      </c>
      <c r="T266" s="239">
        <v>0</v>
      </c>
      <c r="U266" s="239">
        <v>-8813098</v>
      </c>
      <c r="V266" s="239">
        <v>-9302</v>
      </c>
      <c r="W266" s="239">
        <v>0</v>
      </c>
      <c r="X266" s="239">
        <v>-9302</v>
      </c>
      <c r="Y266" s="239">
        <v>-320358</v>
      </c>
      <c r="Z266" s="239">
        <v>0</v>
      </c>
      <c r="AA266" s="239">
        <v>-320358</v>
      </c>
      <c r="AB266" s="239">
        <v>1666</v>
      </c>
      <c r="AC266" s="239">
        <v>0</v>
      </c>
      <c r="AD266" s="239">
        <v>1666</v>
      </c>
      <c r="AE266" s="239">
        <v>0</v>
      </c>
      <c r="AF266" s="239">
        <v>0</v>
      </c>
      <c r="AG266" s="239">
        <v>0</v>
      </c>
      <c r="AH266" s="239">
        <v>1314668</v>
      </c>
      <c r="AI266" s="239">
        <v>0</v>
      </c>
      <c r="AJ266" s="239">
        <v>1314668</v>
      </c>
      <c r="AK266" s="239">
        <v>905170</v>
      </c>
      <c r="AL266" s="239">
        <v>0</v>
      </c>
      <c r="AM266" s="239">
        <v>905170</v>
      </c>
      <c r="AN266" s="239">
        <v>-6599901</v>
      </c>
      <c r="AO266" s="239">
        <v>0</v>
      </c>
      <c r="AP266" s="239">
        <v>-6599901</v>
      </c>
      <c r="AQ266" s="239">
        <v>50847</v>
      </c>
      <c r="AR266" s="239">
        <v>0</v>
      </c>
      <c r="AS266" s="239">
        <v>50847</v>
      </c>
      <c r="AT266" s="239">
        <v>-59217</v>
      </c>
      <c r="AU266" s="239">
        <v>0</v>
      </c>
      <c r="AV266" s="239">
        <v>-59217</v>
      </c>
      <c r="AW266" s="239">
        <v>0</v>
      </c>
      <c r="AX266" s="239">
        <v>0</v>
      </c>
      <c r="AY266" s="239">
        <v>0</v>
      </c>
      <c r="AZ266" s="239">
        <v>0</v>
      </c>
      <c r="BA266" s="239">
        <v>0</v>
      </c>
      <c r="BB266" s="239">
        <v>0</v>
      </c>
      <c r="BC266" s="239">
        <v>0</v>
      </c>
      <c r="BD266" s="239">
        <v>0</v>
      </c>
      <c r="BE266" s="239">
        <v>0</v>
      </c>
      <c r="BF266" s="239">
        <v>-13521889</v>
      </c>
      <c r="BG266" s="239">
        <v>0</v>
      </c>
      <c r="BH266" s="239">
        <v>-13521889</v>
      </c>
      <c r="BI266" s="239">
        <v>-345463</v>
      </c>
      <c r="BJ266" s="239">
        <v>0</v>
      </c>
      <c r="BK266" s="239">
        <v>-345463</v>
      </c>
      <c r="BL266" s="239">
        <v>-88746</v>
      </c>
      <c r="BM266" s="239">
        <v>0</v>
      </c>
      <c r="BN266" s="239">
        <v>-88746</v>
      </c>
      <c r="BO266" s="239">
        <v>-2190141</v>
      </c>
      <c r="BP266" s="239">
        <v>0</v>
      </c>
      <c r="BQ266" s="239">
        <v>-2190141</v>
      </c>
      <c r="BR266" s="239">
        <v>76089</v>
      </c>
      <c r="BS266" s="239">
        <v>0</v>
      </c>
      <c r="BT266" s="239">
        <v>76089</v>
      </c>
      <c r="BU266" s="239">
        <v>-2548261</v>
      </c>
      <c r="BV266" s="239">
        <v>0</v>
      </c>
      <c r="BW266" s="239">
        <v>-2548261</v>
      </c>
      <c r="BX266" s="239">
        <v>-172203</v>
      </c>
      <c r="BY266" s="239">
        <v>0</v>
      </c>
      <c r="BZ266" s="239">
        <v>-172203</v>
      </c>
      <c r="CA266" s="239">
        <v>-4263</v>
      </c>
      <c r="CB266" s="239">
        <v>0</v>
      </c>
      <c r="CC266" s="239">
        <v>-4263</v>
      </c>
      <c r="CD266" s="239">
        <v>-165567</v>
      </c>
      <c r="CE266" s="239">
        <v>0</v>
      </c>
      <c r="CF266" s="239">
        <v>-165567</v>
      </c>
      <c r="CG266" s="239">
        <v>8733</v>
      </c>
      <c r="CH266" s="239">
        <v>0</v>
      </c>
      <c r="CI266" s="239">
        <v>8733</v>
      </c>
      <c r="CJ266" s="239">
        <v>-9626</v>
      </c>
      <c r="CK266" s="239">
        <v>0</v>
      </c>
      <c r="CL266" s="239">
        <v>-9626</v>
      </c>
      <c r="CM266" s="239">
        <v>0</v>
      </c>
      <c r="CN266" s="239">
        <v>0</v>
      </c>
      <c r="CO266" s="239">
        <v>0</v>
      </c>
      <c r="CP266" s="239">
        <v>0</v>
      </c>
      <c r="CQ266" s="239">
        <v>0</v>
      </c>
      <c r="CR266" s="239">
        <v>0</v>
      </c>
      <c r="CS266" s="239">
        <v>0</v>
      </c>
      <c r="CT266" s="239">
        <v>0</v>
      </c>
      <c r="CU266" s="239">
        <v>0</v>
      </c>
      <c r="CV266" s="239">
        <v>0</v>
      </c>
      <c r="CW266" s="239">
        <v>0</v>
      </c>
      <c r="CX266" s="239">
        <v>0</v>
      </c>
      <c r="CY266" s="239">
        <v>0</v>
      </c>
      <c r="CZ266" s="239">
        <v>0</v>
      </c>
      <c r="DA266" s="239">
        <v>0</v>
      </c>
      <c r="DB266" s="239">
        <v>0</v>
      </c>
      <c r="DC266" s="239">
        <v>-59669</v>
      </c>
      <c r="DD266" s="239">
        <v>-59669</v>
      </c>
      <c r="DE266" s="239">
        <v>0</v>
      </c>
      <c r="DF266" s="239">
        <v>0</v>
      </c>
      <c r="DG266" s="239">
        <v>0</v>
      </c>
      <c r="DH266" s="239">
        <v>0</v>
      </c>
      <c r="DI266" s="239">
        <v>0</v>
      </c>
      <c r="DJ266" s="239">
        <v>-342926</v>
      </c>
      <c r="DK266" s="239">
        <v>-59669</v>
      </c>
      <c r="DL266" s="239">
        <v>-402595</v>
      </c>
      <c r="DM266" s="239">
        <v>-18711</v>
      </c>
      <c r="DN266" s="239">
        <v>0</v>
      </c>
      <c r="DO266" s="239">
        <v>-18711</v>
      </c>
      <c r="DP266" s="239">
        <v>-106628</v>
      </c>
      <c r="DQ266" s="239">
        <v>0</v>
      </c>
      <c r="DR266" s="239">
        <v>-106628</v>
      </c>
      <c r="DS266" s="239">
        <v>-9680</v>
      </c>
      <c r="DT266" s="239">
        <v>0</v>
      </c>
      <c r="DU266" s="239">
        <v>-9680</v>
      </c>
      <c r="DV266" s="239">
        <v>-137097</v>
      </c>
      <c r="DW266" s="239">
        <v>0</v>
      </c>
      <c r="DX266" s="239">
        <v>-137097</v>
      </c>
      <c r="DY266" s="239">
        <v>557</v>
      </c>
      <c r="DZ266" s="239">
        <v>0</v>
      </c>
      <c r="EA266" s="239">
        <v>557</v>
      </c>
      <c r="EB266" s="239">
        <v>0</v>
      </c>
      <c r="EC266" s="239">
        <v>0</v>
      </c>
      <c r="ED266" s="239">
        <v>0</v>
      </c>
      <c r="EE266" s="239">
        <v>0</v>
      </c>
      <c r="EF266" s="239">
        <v>0</v>
      </c>
      <c r="EG266" s="239">
        <v>0</v>
      </c>
      <c r="EH266" s="239">
        <v>0</v>
      </c>
      <c r="EI266" s="239">
        <v>0</v>
      </c>
      <c r="EJ266" s="239">
        <v>0</v>
      </c>
      <c r="EK266" s="239">
        <v>0</v>
      </c>
      <c r="EL266" s="239">
        <v>0</v>
      </c>
      <c r="EM266" s="239">
        <v>0</v>
      </c>
      <c r="EN266" s="239">
        <v>-1500</v>
      </c>
      <c r="EO266" s="239">
        <v>0</v>
      </c>
      <c r="EP266" s="239">
        <v>-1500</v>
      </c>
      <c r="EQ266" s="239">
        <v>-40979</v>
      </c>
      <c r="ER266" s="239">
        <v>0</v>
      </c>
      <c r="ES266" s="239">
        <v>-40979</v>
      </c>
      <c r="ET266" s="239">
        <v>-482948</v>
      </c>
      <c r="EU266" s="239">
        <v>0</v>
      </c>
      <c r="EV266" s="239">
        <v>-482948</v>
      </c>
      <c r="EW266" s="239">
        <v>-99750</v>
      </c>
      <c r="EX266" s="239">
        <v>0</v>
      </c>
      <c r="EY266" s="239">
        <v>-99750</v>
      </c>
      <c r="EZ266" s="239">
        <v>-896736</v>
      </c>
      <c r="FA266" s="239">
        <v>0</v>
      </c>
      <c r="FB266" s="239">
        <v>-896736</v>
      </c>
      <c r="FC266" s="239">
        <v>0</v>
      </c>
      <c r="FD266" s="239">
        <v>0</v>
      </c>
      <c r="FE266" s="239">
        <v>0</v>
      </c>
      <c r="FF266" s="239">
        <v>0</v>
      </c>
      <c r="FG266" s="239">
        <v>0</v>
      </c>
      <c r="FH266" s="239">
        <v>0</v>
      </c>
      <c r="FI266" s="239">
        <v>0</v>
      </c>
      <c r="FJ266" s="239">
        <v>0</v>
      </c>
      <c r="FK266" s="239">
        <v>0</v>
      </c>
      <c r="FL266" s="239">
        <v>105563775</v>
      </c>
      <c r="FM266" s="239">
        <v>896050</v>
      </c>
      <c r="FN266" s="239">
        <v>106459825</v>
      </c>
      <c r="FO266" s="239">
        <v>1164769</v>
      </c>
      <c r="FP266" s="239">
        <v>0</v>
      </c>
      <c r="FQ266" s="239">
        <v>1164769</v>
      </c>
      <c r="FR266" s="239">
        <v>-13521889</v>
      </c>
      <c r="FS266" s="239">
        <v>0</v>
      </c>
      <c r="FT266" s="239">
        <v>-13521889</v>
      </c>
      <c r="FU266" s="239">
        <v>-2548261</v>
      </c>
      <c r="FV266" s="239">
        <v>0</v>
      </c>
      <c r="FW266" s="239">
        <v>-2548261</v>
      </c>
      <c r="FX266" s="239">
        <v>-342926</v>
      </c>
      <c r="FY266" s="239">
        <v>-59669</v>
      </c>
      <c r="FZ266" s="239">
        <v>-402595</v>
      </c>
      <c r="GA266" s="239">
        <v>-896736</v>
      </c>
      <c r="GB266" s="239">
        <v>0</v>
      </c>
      <c r="GC266" s="239">
        <v>-896736</v>
      </c>
      <c r="GD266" s="239">
        <v>0</v>
      </c>
      <c r="GE266" s="239">
        <v>0</v>
      </c>
      <c r="GF266" s="239">
        <v>0</v>
      </c>
      <c r="GG266" s="239">
        <v>-16145043</v>
      </c>
      <c r="GH266" s="239">
        <v>-59669</v>
      </c>
      <c r="GI266" s="239">
        <v>-16204712</v>
      </c>
      <c r="GJ266" s="239">
        <v>89418732</v>
      </c>
      <c r="GK266" s="239">
        <v>836381</v>
      </c>
      <c r="GL266" s="239">
        <v>90255113</v>
      </c>
      <c r="GM266" s="214" t="s">
        <v>746</v>
      </c>
    </row>
    <row r="267" spans="1:195" s="214" customFormat="1" x14ac:dyDescent="0.2">
      <c r="B267" s="602" t="s">
        <v>617</v>
      </c>
      <c r="C267" s="602" t="s">
        <v>616</v>
      </c>
      <c r="D267" s="239">
        <v>-1899707</v>
      </c>
      <c r="E267" s="239">
        <v>0</v>
      </c>
      <c r="F267" s="239">
        <v>-1899707</v>
      </c>
      <c r="G267" s="239">
        <v>6962</v>
      </c>
      <c r="H267" s="239">
        <v>0</v>
      </c>
      <c r="I267" s="239">
        <v>6962</v>
      </c>
      <c r="J267" s="239">
        <v>2567313</v>
      </c>
      <c r="K267" s="239">
        <v>0</v>
      </c>
      <c r="L267" s="239">
        <v>2567313</v>
      </c>
      <c r="M267" s="239">
        <v>56593</v>
      </c>
      <c r="N267" s="239">
        <v>0</v>
      </c>
      <c r="O267" s="239">
        <v>56593</v>
      </c>
      <c r="P267" s="239">
        <v>731161</v>
      </c>
      <c r="Q267" s="239">
        <v>0</v>
      </c>
      <c r="R267" s="239">
        <v>731161</v>
      </c>
      <c r="S267" s="239">
        <v>-5501353</v>
      </c>
      <c r="T267" s="239">
        <v>0</v>
      </c>
      <c r="U267" s="239">
        <v>-5501353</v>
      </c>
      <c r="V267" s="239">
        <v>0</v>
      </c>
      <c r="W267" s="239">
        <v>0</v>
      </c>
      <c r="X267" s="239">
        <v>0</v>
      </c>
      <c r="Y267" s="239">
        <v>-175412</v>
      </c>
      <c r="Z267" s="239">
        <v>0</v>
      </c>
      <c r="AA267" s="239">
        <v>-175412</v>
      </c>
      <c r="AB267" s="239">
        <v>0</v>
      </c>
      <c r="AC267" s="239">
        <v>0</v>
      </c>
      <c r="AD267" s="239">
        <v>0</v>
      </c>
      <c r="AE267" s="239">
        <v>0</v>
      </c>
      <c r="AF267" s="239">
        <v>0</v>
      </c>
      <c r="AG267" s="239">
        <v>0</v>
      </c>
      <c r="AH267" s="239">
        <v>1273564</v>
      </c>
      <c r="AI267" s="239">
        <v>0</v>
      </c>
      <c r="AJ267" s="239">
        <v>1273564</v>
      </c>
      <c r="AK267" s="239">
        <v>-3875</v>
      </c>
      <c r="AL267" s="239">
        <v>0</v>
      </c>
      <c r="AM267" s="239">
        <v>-3875</v>
      </c>
      <c r="AN267" s="239">
        <v>-4410551</v>
      </c>
      <c r="AO267" s="239">
        <v>0</v>
      </c>
      <c r="AP267" s="239">
        <v>-4410551</v>
      </c>
      <c r="AQ267" s="239">
        <v>16281</v>
      </c>
      <c r="AR267" s="239">
        <v>0</v>
      </c>
      <c r="AS267" s="239">
        <v>16281</v>
      </c>
      <c r="AT267" s="239">
        <v>-113789</v>
      </c>
      <c r="AU267" s="239">
        <v>0</v>
      </c>
      <c r="AV267" s="239">
        <v>-113789</v>
      </c>
      <c r="AW267" s="239">
        <v>-11745</v>
      </c>
      <c r="AX267" s="239">
        <v>0</v>
      </c>
      <c r="AY267" s="239">
        <v>-11745</v>
      </c>
      <c r="AZ267" s="239">
        <v>-23309</v>
      </c>
      <c r="BA267" s="239">
        <v>0</v>
      </c>
      <c r="BB267" s="239">
        <v>-23309</v>
      </c>
      <c r="BC267" s="239">
        <v>0</v>
      </c>
      <c r="BD267" s="239">
        <v>0</v>
      </c>
      <c r="BE267" s="239">
        <v>0</v>
      </c>
      <c r="BF267" s="239">
        <v>-8950189</v>
      </c>
      <c r="BG267" s="239">
        <v>0</v>
      </c>
      <c r="BH267" s="239">
        <v>-8950189</v>
      </c>
      <c r="BI267" s="239">
        <v>-66902</v>
      </c>
      <c r="BJ267" s="239">
        <v>0</v>
      </c>
      <c r="BK267" s="239">
        <v>-66902</v>
      </c>
      <c r="BL267" s="239">
        <v>-13457</v>
      </c>
      <c r="BM267" s="239">
        <v>0</v>
      </c>
      <c r="BN267" s="239">
        <v>-13457</v>
      </c>
      <c r="BO267" s="239">
        <v>-2489964</v>
      </c>
      <c r="BP267" s="239">
        <v>0</v>
      </c>
      <c r="BQ267" s="239">
        <v>-2489964</v>
      </c>
      <c r="BR267" s="239">
        <v>-36521</v>
      </c>
      <c r="BS267" s="239">
        <v>0</v>
      </c>
      <c r="BT267" s="239">
        <v>-36521</v>
      </c>
      <c r="BU267" s="239">
        <v>-2606844</v>
      </c>
      <c r="BV267" s="239">
        <v>0</v>
      </c>
      <c r="BW267" s="239">
        <v>-2606844</v>
      </c>
      <c r="BX267" s="239">
        <v>-12984</v>
      </c>
      <c r="BY267" s="239">
        <v>0</v>
      </c>
      <c r="BZ267" s="239">
        <v>-12984</v>
      </c>
      <c r="CA267" s="239">
        <v>0</v>
      </c>
      <c r="CB267" s="239">
        <v>0</v>
      </c>
      <c r="CC267" s="239">
        <v>0</v>
      </c>
      <c r="CD267" s="239">
        <v>-32323</v>
      </c>
      <c r="CE267" s="239">
        <v>0</v>
      </c>
      <c r="CF267" s="239">
        <v>-32323</v>
      </c>
      <c r="CG267" s="239">
        <v>-279</v>
      </c>
      <c r="CH267" s="239">
        <v>0</v>
      </c>
      <c r="CI267" s="239">
        <v>-279</v>
      </c>
      <c r="CJ267" s="239">
        <v>0</v>
      </c>
      <c r="CK267" s="239">
        <v>0</v>
      </c>
      <c r="CL267" s="239">
        <v>0</v>
      </c>
      <c r="CM267" s="239">
        <v>0</v>
      </c>
      <c r="CN267" s="239">
        <v>0</v>
      </c>
      <c r="CO267" s="239">
        <v>0</v>
      </c>
      <c r="CP267" s="239">
        <v>-24414</v>
      </c>
      <c r="CQ267" s="239">
        <v>0</v>
      </c>
      <c r="CR267" s="239">
        <v>-24414</v>
      </c>
      <c r="CS267" s="239">
        <v>0</v>
      </c>
      <c r="CT267" s="239">
        <v>0</v>
      </c>
      <c r="CU267" s="239">
        <v>0</v>
      </c>
      <c r="CV267" s="239">
        <v>0</v>
      </c>
      <c r="CW267" s="239">
        <v>0</v>
      </c>
      <c r="CX267" s="239">
        <v>0</v>
      </c>
      <c r="CY267" s="239">
        <v>0</v>
      </c>
      <c r="CZ267" s="239">
        <v>0</v>
      </c>
      <c r="DA267" s="239">
        <v>0</v>
      </c>
      <c r="DB267" s="239">
        <v>0</v>
      </c>
      <c r="DC267" s="239">
        <v>0</v>
      </c>
      <c r="DD267" s="239">
        <v>0</v>
      </c>
      <c r="DE267" s="239">
        <v>0</v>
      </c>
      <c r="DF267" s="239">
        <v>0</v>
      </c>
      <c r="DG267" s="239">
        <v>0</v>
      </c>
      <c r="DH267" s="239">
        <v>0</v>
      </c>
      <c r="DI267" s="239">
        <v>0</v>
      </c>
      <c r="DJ267" s="239">
        <v>-70000</v>
      </c>
      <c r="DK267" s="239">
        <v>0</v>
      </c>
      <c r="DL267" s="239">
        <v>-70000</v>
      </c>
      <c r="DM267" s="239">
        <v>0</v>
      </c>
      <c r="DN267" s="239">
        <v>0</v>
      </c>
      <c r="DO267" s="239">
        <v>0</v>
      </c>
      <c r="DP267" s="239">
        <v>0</v>
      </c>
      <c r="DQ267" s="239">
        <v>0</v>
      </c>
      <c r="DR267" s="239">
        <v>0</v>
      </c>
      <c r="DS267" s="239">
        <v>0</v>
      </c>
      <c r="DT267" s="239">
        <v>0</v>
      </c>
      <c r="DU267" s="239">
        <v>0</v>
      </c>
      <c r="DV267" s="239">
        <v>5332</v>
      </c>
      <c r="DW267" s="239">
        <v>0</v>
      </c>
      <c r="DX267" s="239">
        <v>5332</v>
      </c>
      <c r="DY267" s="239">
        <v>262</v>
      </c>
      <c r="DZ267" s="239">
        <v>0</v>
      </c>
      <c r="EA267" s="239">
        <v>262</v>
      </c>
      <c r="EB267" s="239">
        <v>0</v>
      </c>
      <c r="EC267" s="239">
        <v>0</v>
      </c>
      <c r="ED267" s="239">
        <v>0</v>
      </c>
      <c r="EE267" s="239">
        <v>0</v>
      </c>
      <c r="EF267" s="239">
        <v>0</v>
      </c>
      <c r="EG267" s="239">
        <v>0</v>
      </c>
      <c r="EH267" s="239">
        <v>117</v>
      </c>
      <c r="EI267" s="239">
        <v>0</v>
      </c>
      <c r="EJ267" s="239">
        <v>117</v>
      </c>
      <c r="EK267" s="239">
        <v>-24414.91</v>
      </c>
      <c r="EL267" s="239">
        <v>0</v>
      </c>
      <c r="EM267" s="239">
        <v>-24414.91</v>
      </c>
      <c r="EN267" s="239">
        <v>-1500</v>
      </c>
      <c r="EO267" s="239">
        <v>0</v>
      </c>
      <c r="EP267" s="239">
        <v>-1500</v>
      </c>
      <c r="EQ267" s="239">
        <v>-32312.799999999999</v>
      </c>
      <c r="ER267" s="239">
        <v>0</v>
      </c>
      <c r="ES267" s="239">
        <v>-32312.799999999999</v>
      </c>
      <c r="ET267" s="239">
        <v>-387376</v>
      </c>
      <c r="EU267" s="239">
        <v>0</v>
      </c>
      <c r="EV267" s="239">
        <v>-387376</v>
      </c>
      <c r="EW267" s="239">
        <v>-72036.94</v>
      </c>
      <c r="EX267" s="239">
        <v>0</v>
      </c>
      <c r="EY267" s="239">
        <v>-72036.94</v>
      </c>
      <c r="EZ267" s="239">
        <v>-511930</v>
      </c>
      <c r="FA267" s="239">
        <v>0</v>
      </c>
      <c r="FB267" s="239">
        <v>-511930</v>
      </c>
      <c r="FC267" s="239">
        <v>-78931</v>
      </c>
      <c r="FD267" s="239">
        <v>0</v>
      </c>
      <c r="FE267" s="239">
        <v>-78931</v>
      </c>
      <c r="FF267" s="239">
        <v>-16844</v>
      </c>
      <c r="FG267" s="239">
        <v>0</v>
      </c>
      <c r="FH267" s="239">
        <v>-16844</v>
      </c>
      <c r="FI267" s="239">
        <v>-95775</v>
      </c>
      <c r="FJ267" s="239">
        <v>0</v>
      </c>
      <c r="FK267" s="239">
        <v>-95775</v>
      </c>
      <c r="FL267" s="239">
        <v>66449315</v>
      </c>
      <c r="FM267" s="239">
        <v>0</v>
      </c>
      <c r="FN267" s="239">
        <v>66449315</v>
      </c>
      <c r="FO267" s="239">
        <v>731161</v>
      </c>
      <c r="FP267" s="239">
        <v>0</v>
      </c>
      <c r="FQ267" s="239">
        <v>731161</v>
      </c>
      <c r="FR267" s="239">
        <v>-8950189</v>
      </c>
      <c r="FS267" s="239">
        <v>0</v>
      </c>
      <c r="FT267" s="239">
        <v>-8950189</v>
      </c>
      <c r="FU267" s="239">
        <v>-2606844</v>
      </c>
      <c r="FV267" s="239">
        <v>0</v>
      </c>
      <c r="FW267" s="239">
        <v>-2606844</v>
      </c>
      <c r="FX267" s="239">
        <v>-70000</v>
      </c>
      <c r="FY267" s="239">
        <v>0</v>
      </c>
      <c r="FZ267" s="239">
        <v>-70000</v>
      </c>
      <c r="GA267" s="239">
        <v>-511930</v>
      </c>
      <c r="GB267" s="239">
        <v>0</v>
      </c>
      <c r="GC267" s="239">
        <v>-511930</v>
      </c>
      <c r="GD267" s="239">
        <v>-95775</v>
      </c>
      <c r="GE267" s="239">
        <v>0</v>
      </c>
      <c r="GF267" s="239">
        <v>-95775</v>
      </c>
      <c r="GG267" s="239">
        <v>-11503577</v>
      </c>
      <c r="GH267" s="239">
        <v>0</v>
      </c>
      <c r="GI267" s="239">
        <v>-11503577</v>
      </c>
      <c r="GJ267" s="239">
        <v>54945738</v>
      </c>
      <c r="GK267" s="239">
        <v>0</v>
      </c>
      <c r="GL267" s="239">
        <v>54945738</v>
      </c>
      <c r="GM267" s="214" t="s">
        <v>1158</v>
      </c>
    </row>
    <row r="268" spans="1:195" s="214" customFormat="1" x14ac:dyDescent="0.2">
      <c r="B268" s="602" t="s">
        <v>619</v>
      </c>
      <c r="C268" s="602" t="s">
        <v>618</v>
      </c>
      <c r="D268" s="239">
        <v>-1473323</v>
      </c>
      <c r="E268" s="239">
        <v>0</v>
      </c>
      <c r="F268" s="239">
        <v>-1473323</v>
      </c>
      <c r="G268" s="239">
        <v>3414</v>
      </c>
      <c r="H268" s="239">
        <v>0</v>
      </c>
      <c r="I268" s="239">
        <v>3414</v>
      </c>
      <c r="J268" s="239">
        <v>1218998</v>
      </c>
      <c r="K268" s="239">
        <v>0</v>
      </c>
      <c r="L268" s="239">
        <v>1218998</v>
      </c>
      <c r="M268" s="239">
        <v>3037</v>
      </c>
      <c r="N268" s="239">
        <v>0</v>
      </c>
      <c r="O268" s="239">
        <v>3037</v>
      </c>
      <c r="P268" s="239">
        <v>-247874</v>
      </c>
      <c r="Q268" s="239">
        <v>0</v>
      </c>
      <c r="R268" s="239">
        <v>-247874</v>
      </c>
      <c r="S268" s="239">
        <v>-3764721</v>
      </c>
      <c r="T268" s="239">
        <v>0</v>
      </c>
      <c r="U268" s="239">
        <v>-3764721</v>
      </c>
      <c r="V268" s="239">
        <v>0</v>
      </c>
      <c r="W268" s="239">
        <v>0</v>
      </c>
      <c r="X268" s="239">
        <v>0</v>
      </c>
      <c r="Y268" s="239">
        <v>-134193</v>
      </c>
      <c r="Z268" s="239">
        <v>0</v>
      </c>
      <c r="AA268" s="239">
        <v>-134193</v>
      </c>
      <c r="AB268" s="239">
        <v>0</v>
      </c>
      <c r="AC268" s="239">
        <v>0</v>
      </c>
      <c r="AD268" s="239">
        <v>0</v>
      </c>
      <c r="AE268" s="239">
        <v>0</v>
      </c>
      <c r="AF268" s="239">
        <v>0</v>
      </c>
      <c r="AG268" s="239">
        <v>0</v>
      </c>
      <c r="AH268" s="239">
        <v>611306</v>
      </c>
      <c r="AI268" s="239">
        <v>0</v>
      </c>
      <c r="AJ268" s="239">
        <v>611306</v>
      </c>
      <c r="AK268" s="239">
        <v>-12228</v>
      </c>
      <c r="AL268" s="239">
        <v>0</v>
      </c>
      <c r="AM268" s="239">
        <v>-12228</v>
      </c>
      <c r="AN268" s="239">
        <v>-2267624</v>
      </c>
      <c r="AO268" s="239">
        <v>0</v>
      </c>
      <c r="AP268" s="239">
        <v>-2267624</v>
      </c>
      <c r="AQ268" s="239">
        <v>-64625</v>
      </c>
      <c r="AR268" s="239">
        <v>0</v>
      </c>
      <c r="AS268" s="239">
        <v>-64625</v>
      </c>
      <c r="AT268" s="239">
        <v>-32986</v>
      </c>
      <c r="AU268" s="239">
        <v>0</v>
      </c>
      <c r="AV268" s="239">
        <v>-32986</v>
      </c>
      <c r="AW268" s="239">
        <v>0</v>
      </c>
      <c r="AX268" s="239">
        <v>0</v>
      </c>
      <c r="AY268" s="239">
        <v>0</v>
      </c>
      <c r="AZ268" s="239">
        <v>-32464</v>
      </c>
      <c r="BA268" s="239">
        <v>0</v>
      </c>
      <c r="BB268" s="239">
        <v>-32464</v>
      </c>
      <c r="BC268" s="239">
        <v>0</v>
      </c>
      <c r="BD268" s="239">
        <v>0</v>
      </c>
      <c r="BE268" s="239">
        <v>0</v>
      </c>
      <c r="BF268" s="239">
        <v>-5697535</v>
      </c>
      <c r="BG268" s="239">
        <v>0</v>
      </c>
      <c r="BH268" s="239">
        <v>-5697535</v>
      </c>
      <c r="BI268" s="239">
        <v>-5053</v>
      </c>
      <c r="BJ268" s="239">
        <v>0</v>
      </c>
      <c r="BK268" s="239">
        <v>-5053</v>
      </c>
      <c r="BL268" s="239">
        <v>-281873</v>
      </c>
      <c r="BM268" s="239">
        <v>0</v>
      </c>
      <c r="BN268" s="239">
        <v>-281873</v>
      </c>
      <c r="BO268" s="239">
        <v>-910979</v>
      </c>
      <c r="BP268" s="239">
        <v>0</v>
      </c>
      <c r="BQ268" s="239">
        <v>-910979</v>
      </c>
      <c r="BR268" s="239">
        <v>166192</v>
      </c>
      <c r="BS268" s="239">
        <v>0</v>
      </c>
      <c r="BT268" s="239">
        <v>166192</v>
      </c>
      <c r="BU268" s="239">
        <v>-1031713</v>
      </c>
      <c r="BV268" s="239">
        <v>0</v>
      </c>
      <c r="BW268" s="239">
        <v>-1031713</v>
      </c>
      <c r="BX268" s="239">
        <v>-85259</v>
      </c>
      <c r="BY268" s="239">
        <v>0</v>
      </c>
      <c r="BZ268" s="239">
        <v>-85259</v>
      </c>
      <c r="CA268" s="239">
        <v>-4824</v>
      </c>
      <c r="CB268" s="239">
        <v>0</v>
      </c>
      <c r="CC268" s="239">
        <v>-4824</v>
      </c>
      <c r="CD268" s="239">
        <v>-107420</v>
      </c>
      <c r="CE268" s="239">
        <v>0</v>
      </c>
      <c r="CF268" s="239">
        <v>-107420</v>
      </c>
      <c r="CG268" s="239">
        <v>0</v>
      </c>
      <c r="CH268" s="239">
        <v>0</v>
      </c>
      <c r="CI268" s="239">
        <v>0</v>
      </c>
      <c r="CJ268" s="239">
        <v>0</v>
      </c>
      <c r="CK268" s="239">
        <v>0</v>
      </c>
      <c r="CL268" s="239">
        <v>0</v>
      </c>
      <c r="CM268" s="239">
        <v>0</v>
      </c>
      <c r="CN268" s="239">
        <v>0</v>
      </c>
      <c r="CO268" s="239">
        <v>0</v>
      </c>
      <c r="CP268" s="239">
        <v>-32464</v>
      </c>
      <c r="CQ268" s="239">
        <v>0</v>
      </c>
      <c r="CR268" s="239">
        <v>-32464</v>
      </c>
      <c r="CS268" s="239">
        <v>0</v>
      </c>
      <c r="CT268" s="239">
        <v>0</v>
      </c>
      <c r="CU268" s="239">
        <v>0</v>
      </c>
      <c r="CV268" s="239">
        <v>0</v>
      </c>
      <c r="CW268" s="239">
        <v>0</v>
      </c>
      <c r="CX268" s="239">
        <v>0</v>
      </c>
      <c r="CY268" s="239">
        <v>0</v>
      </c>
      <c r="CZ268" s="239">
        <v>0</v>
      </c>
      <c r="DA268" s="239">
        <v>0</v>
      </c>
      <c r="DB268" s="239">
        <v>0</v>
      </c>
      <c r="DC268" s="239">
        <v>0</v>
      </c>
      <c r="DD268" s="239">
        <v>0</v>
      </c>
      <c r="DE268" s="239">
        <v>0</v>
      </c>
      <c r="DF268" s="239">
        <v>0</v>
      </c>
      <c r="DG268" s="239">
        <v>0</v>
      </c>
      <c r="DH268" s="239">
        <v>0</v>
      </c>
      <c r="DI268" s="239">
        <v>0</v>
      </c>
      <c r="DJ268" s="239">
        <v>-229967</v>
      </c>
      <c r="DK268" s="239">
        <v>0</v>
      </c>
      <c r="DL268" s="239">
        <v>-229967</v>
      </c>
      <c r="DM268" s="239">
        <v>0</v>
      </c>
      <c r="DN268" s="239">
        <v>0</v>
      </c>
      <c r="DO268" s="239">
        <v>0</v>
      </c>
      <c r="DP268" s="239">
        <v>0</v>
      </c>
      <c r="DQ268" s="239">
        <v>0</v>
      </c>
      <c r="DR268" s="239">
        <v>0</v>
      </c>
      <c r="DS268" s="239">
        <v>0</v>
      </c>
      <c r="DT268" s="239">
        <v>0</v>
      </c>
      <c r="DU268" s="239">
        <v>0</v>
      </c>
      <c r="DV268" s="239">
        <v>0</v>
      </c>
      <c r="DW268" s="239">
        <v>0</v>
      </c>
      <c r="DX268" s="239">
        <v>0</v>
      </c>
      <c r="DY268" s="239">
        <v>3807</v>
      </c>
      <c r="DZ268" s="239">
        <v>0</v>
      </c>
      <c r="EA268" s="239">
        <v>3807</v>
      </c>
      <c r="EB268" s="239">
        <v>0</v>
      </c>
      <c r="EC268" s="239">
        <v>0</v>
      </c>
      <c r="ED268" s="239">
        <v>0</v>
      </c>
      <c r="EE268" s="239">
        <v>0</v>
      </c>
      <c r="EF268" s="239">
        <v>0</v>
      </c>
      <c r="EG268" s="239">
        <v>0</v>
      </c>
      <c r="EH268" s="239">
        <v>0</v>
      </c>
      <c r="EI268" s="239">
        <v>0</v>
      </c>
      <c r="EJ268" s="239">
        <v>0</v>
      </c>
      <c r="EK268" s="239">
        <v>-32464</v>
      </c>
      <c r="EL268" s="239">
        <v>0</v>
      </c>
      <c r="EM268" s="239">
        <v>-32464</v>
      </c>
      <c r="EN268" s="239">
        <v>-1500</v>
      </c>
      <c r="EO268" s="239">
        <v>0</v>
      </c>
      <c r="EP268" s="239">
        <v>-1500</v>
      </c>
      <c r="EQ268" s="239">
        <v>-24872</v>
      </c>
      <c r="ER268" s="239">
        <v>0</v>
      </c>
      <c r="ES268" s="239">
        <v>-24872</v>
      </c>
      <c r="ET268" s="239">
        <v>-251048</v>
      </c>
      <c r="EU268" s="239">
        <v>0</v>
      </c>
      <c r="EV268" s="239">
        <v>-251048</v>
      </c>
      <c r="EW268" s="239">
        <v>-72523</v>
      </c>
      <c r="EX268" s="239">
        <v>0</v>
      </c>
      <c r="EY268" s="239">
        <v>-72523</v>
      </c>
      <c r="EZ268" s="239">
        <v>-378600</v>
      </c>
      <c r="FA268" s="239">
        <v>0</v>
      </c>
      <c r="FB268" s="239">
        <v>-378600</v>
      </c>
      <c r="FC268" s="239">
        <v>0</v>
      </c>
      <c r="FD268" s="239">
        <v>0</v>
      </c>
      <c r="FE268" s="239">
        <v>0</v>
      </c>
      <c r="FF268" s="239">
        <v>0</v>
      </c>
      <c r="FG268" s="239">
        <v>0</v>
      </c>
      <c r="FH268" s="239">
        <v>0</v>
      </c>
      <c r="FI268" s="239">
        <v>0</v>
      </c>
      <c r="FJ268" s="239">
        <v>0</v>
      </c>
      <c r="FK268" s="239">
        <v>0</v>
      </c>
      <c r="FL268" s="239">
        <v>34965069</v>
      </c>
      <c r="FM268" s="239">
        <v>0</v>
      </c>
      <c r="FN268" s="239">
        <v>34965069</v>
      </c>
      <c r="FO268" s="239">
        <v>-247874</v>
      </c>
      <c r="FP268" s="239">
        <v>0</v>
      </c>
      <c r="FQ268" s="239">
        <v>-247874</v>
      </c>
      <c r="FR268" s="239">
        <v>-5697535</v>
      </c>
      <c r="FS268" s="239">
        <v>0</v>
      </c>
      <c r="FT268" s="239">
        <v>-5697535</v>
      </c>
      <c r="FU268" s="239">
        <v>-1031713</v>
      </c>
      <c r="FV268" s="239">
        <v>0</v>
      </c>
      <c r="FW268" s="239">
        <v>-1031713</v>
      </c>
      <c r="FX268" s="239">
        <v>-229967</v>
      </c>
      <c r="FY268" s="239">
        <v>0</v>
      </c>
      <c r="FZ268" s="239">
        <v>-229967</v>
      </c>
      <c r="GA268" s="239">
        <v>-378600</v>
      </c>
      <c r="GB268" s="239">
        <v>0</v>
      </c>
      <c r="GC268" s="239">
        <v>-378600</v>
      </c>
      <c r="GD268" s="239">
        <v>0</v>
      </c>
      <c r="GE268" s="239">
        <v>0</v>
      </c>
      <c r="GF268" s="239">
        <v>0</v>
      </c>
      <c r="GG268" s="239">
        <v>-7585689</v>
      </c>
      <c r="GH268" s="239">
        <v>0</v>
      </c>
      <c r="GI268" s="239">
        <v>-7585689</v>
      </c>
      <c r="GJ268" s="239">
        <v>27379380</v>
      </c>
      <c r="GK268" s="239">
        <v>0</v>
      </c>
      <c r="GL268" s="239">
        <v>27379380</v>
      </c>
      <c r="GM268" s="214" t="s">
        <v>1158</v>
      </c>
    </row>
    <row r="269" spans="1:195" s="214" customFormat="1" x14ac:dyDescent="0.2">
      <c r="B269" s="602" t="s">
        <v>621</v>
      </c>
      <c r="C269" s="602" t="s">
        <v>620</v>
      </c>
      <c r="D269" s="239">
        <v>-2432594</v>
      </c>
      <c r="E269" s="239">
        <v>0</v>
      </c>
      <c r="F269" s="239">
        <v>-2432594</v>
      </c>
      <c r="G269" s="239">
        <v>29107</v>
      </c>
      <c r="H269" s="239">
        <v>0</v>
      </c>
      <c r="I269" s="239">
        <v>29107</v>
      </c>
      <c r="J269" s="239">
        <v>9768144</v>
      </c>
      <c r="K269" s="239">
        <v>0</v>
      </c>
      <c r="L269" s="239">
        <v>9768144</v>
      </c>
      <c r="M269" s="239">
        <v>-593</v>
      </c>
      <c r="N269" s="239">
        <v>0</v>
      </c>
      <c r="O269" s="239">
        <v>-593</v>
      </c>
      <c r="P269" s="239">
        <v>7364064</v>
      </c>
      <c r="Q269" s="239">
        <v>0</v>
      </c>
      <c r="R269" s="239">
        <v>7364064</v>
      </c>
      <c r="S269" s="239">
        <v>-5044892</v>
      </c>
      <c r="T269" s="239">
        <v>0</v>
      </c>
      <c r="U269" s="239">
        <v>-5044892</v>
      </c>
      <c r="V269" s="239">
        <v>-6632</v>
      </c>
      <c r="W269" s="239">
        <v>0</v>
      </c>
      <c r="X269" s="239">
        <v>-6632</v>
      </c>
      <c r="Y269" s="239">
        <v>-213081</v>
      </c>
      <c r="Z269" s="239">
        <v>0</v>
      </c>
      <c r="AA269" s="239">
        <v>-213081</v>
      </c>
      <c r="AB269" s="239">
        <v>-196627</v>
      </c>
      <c r="AC269" s="239">
        <v>0</v>
      </c>
      <c r="AD269" s="239">
        <v>-196627</v>
      </c>
      <c r="AE269" s="239">
        <v>1429</v>
      </c>
      <c r="AF269" s="239">
        <v>0</v>
      </c>
      <c r="AG269" s="239">
        <v>1429</v>
      </c>
      <c r="AH269" s="239">
        <v>1497628</v>
      </c>
      <c r="AI269" s="239">
        <v>0</v>
      </c>
      <c r="AJ269" s="239">
        <v>1497628</v>
      </c>
      <c r="AK269" s="239">
        <v>-34207</v>
      </c>
      <c r="AL269" s="239">
        <v>0</v>
      </c>
      <c r="AM269" s="239">
        <v>-34207</v>
      </c>
      <c r="AN269" s="239">
        <v>-2879657</v>
      </c>
      <c r="AO269" s="239">
        <v>0</v>
      </c>
      <c r="AP269" s="239">
        <v>-2879657</v>
      </c>
      <c r="AQ269" s="239">
        <v>11304</v>
      </c>
      <c r="AR269" s="239">
        <v>0</v>
      </c>
      <c r="AS269" s="239">
        <v>11304</v>
      </c>
      <c r="AT269" s="239">
        <v>-25530</v>
      </c>
      <c r="AU269" s="239">
        <v>0</v>
      </c>
      <c r="AV269" s="239">
        <v>-25530</v>
      </c>
      <c r="AW269" s="239">
        <v>-646</v>
      </c>
      <c r="AX269" s="239">
        <v>0</v>
      </c>
      <c r="AY269" s="239">
        <v>-646</v>
      </c>
      <c r="AZ269" s="239">
        <v>-53329</v>
      </c>
      <c r="BA269" s="239">
        <v>0</v>
      </c>
      <c r="BB269" s="239">
        <v>-53329</v>
      </c>
      <c r="BC269" s="239">
        <v>149</v>
      </c>
      <c r="BD269" s="239">
        <v>0</v>
      </c>
      <c r="BE269" s="239">
        <v>149</v>
      </c>
      <c r="BF269" s="239">
        <v>-6742261</v>
      </c>
      <c r="BG269" s="239">
        <v>0</v>
      </c>
      <c r="BH269" s="239">
        <v>-6742261</v>
      </c>
      <c r="BI269" s="239">
        <v>-52967</v>
      </c>
      <c r="BJ269" s="239">
        <v>0</v>
      </c>
      <c r="BK269" s="239">
        <v>-52967</v>
      </c>
      <c r="BL269" s="239">
        <v>-704</v>
      </c>
      <c r="BM269" s="239">
        <v>0</v>
      </c>
      <c r="BN269" s="239">
        <v>-704</v>
      </c>
      <c r="BO269" s="239">
        <v>-546833</v>
      </c>
      <c r="BP269" s="239">
        <v>0</v>
      </c>
      <c r="BQ269" s="239">
        <v>-546833</v>
      </c>
      <c r="BR269" s="239">
        <v>39347</v>
      </c>
      <c r="BS269" s="239">
        <v>0</v>
      </c>
      <c r="BT269" s="239">
        <v>39347</v>
      </c>
      <c r="BU269" s="239">
        <v>-561157</v>
      </c>
      <c r="BV269" s="239">
        <v>0</v>
      </c>
      <c r="BW269" s="239">
        <v>-561157</v>
      </c>
      <c r="BX269" s="239">
        <v>-54572</v>
      </c>
      <c r="BY269" s="239">
        <v>0</v>
      </c>
      <c r="BZ269" s="239">
        <v>-54572</v>
      </c>
      <c r="CA269" s="239">
        <v>361</v>
      </c>
      <c r="CB269" s="239">
        <v>0</v>
      </c>
      <c r="CC269" s="239">
        <v>361</v>
      </c>
      <c r="CD269" s="239">
        <v>-288999</v>
      </c>
      <c r="CE269" s="239">
        <v>0</v>
      </c>
      <c r="CF269" s="239">
        <v>-288999</v>
      </c>
      <c r="CG269" s="239">
        <v>862</v>
      </c>
      <c r="CH269" s="239">
        <v>0</v>
      </c>
      <c r="CI269" s="239">
        <v>862</v>
      </c>
      <c r="CJ269" s="239">
        <v>-257</v>
      </c>
      <c r="CK269" s="239">
        <v>0</v>
      </c>
      <c r="CL269" s="239">
        <v>-257</v>
      </c>
      <c r="CM269" s="239">
        <v>-162</v>
      </c>
      <c r="CN269" s="239">
        <v>0</v>
      </c>
      <c r="CO269" s="239">
        <v>-162</v>
      </c>
      <c r="CP269" s="239">
        <v>-2471</v>
      </c>
      <c r="CQ269" s="239">
        <v>0</v>
      </c>
      <c r="CR269" s="239">
        <v>-2471</v>
      </c>
      <c r="CS269" s="239">
        <v>0</v>
      </c>
      <c r="CT269" s="239">
        <v>0</v>
      </c>
      <c r="CU269" s="239">
        <v>0</v>
      </c>
      <c r="CV269" s="239">
        <v>-2125</v>
      </c>
      <c r="CW269" s="239">
        <v>0</v>
      </c>
      <c r="CX269" s="239">
        <v>-2125</v>
      </c>
      <c r="CY269" s="239">
        <v>0</v>
      </c>
      <c r="CZ269" s="239">
        <v>0</v>
      </c>
      <c r="DA269" s="239">
        <v>0</v>
      </c>
      <c r="DB269" s="239">
        <v>0</v>
      </c>
      <c r="DC269" s="239">
        <v>0</v>
      </c>
      <c r="DD269" s="239">
        <v>0</v>
      </c>
      <c r="DE269" s="239">
        <v>0</v>
      </c>
      <c r="DF269" s="239">
        <v>0</v>
      </c>
      <c r="DG269" s="239">
        <v>0</v>
      </c>
      <c r="DH269" s="239">
        <v>0</v>
      </c>
      <c r="DI269" s="239">
        <v>0</v>
      </c>
      <c r="DJ269" s="239">
        <v>-347363</v>
      </c>
      <c r="DK269" s="239">
        <v>0</v>
      </c>
      <c r="DL269" s="239">
        <v>-347363</v>
      </c>
      <c r="DM269" s="239">
        <v>0</v>
      </c>
      <c r="DN269" s="239">
        <v>0</v>
      </c>
      <c r="DO269" s="239">
        <v>0</v>
      </c>
      <c r="DP269" s="239">
        <v>0</v>
      </c>
      <c r="DQ269" s="239">
        <v>0</v>
      </c>
      <c r="DR269" s="239">
        <v>0</v>
      </c>
      <c r="DS269" s="239">
        <v>0</v>
      </c>
      <c r="DT269" s="239">
        <v>0</v>
      </c>
      <c r="DU269" s="239">
        <v>0</v>
      </c>
      <c r="DV269" s="239">
        <v>0</v>
      </c>
      <c r="DW269" s="239">
        <v>0</v>
      </c>
      <c r="DX269" s="239">
        <v>0</v>
      </c>
      <c r="DY269" s="239">
        <v>905</v>
      </c>
      <c r="DZ269" s="239">
        <v>0</v>
      </c>
      <c r="EA269" s="239">
        <v>905</v>
      </c>
      <c r="EB269" s="239">
        <v>0</v>
      </c>
      <c r="EC269" s="239">
        <v>0</v>
      </c>
      <c r="ED269" s="239">
        <v>0</v>
      </c>
      <c r="EE269" s="239">
        <v>0</v>
      </c>
      <c r="EF269" s="239">
        <v>0</v>
      </c>
      <c r="EG269" s="239">
        <v>0</v>
      </c>
      <c r="EH269" s="239">
        <v>0</v>
      </c>
      <c r="EI269" s="239">
        <v>0</v>
      </c>
      <c r="EJ269" s="239">
        <v>0</v>
      </c>
      <c r="EK269" s="239">
        <v>-53283</v>
      </c>
      <c r="EL269" s="239">
        <v>0</v>
      </c>
      <c r="EM269" s="239">
        <v>-53283</v>
      </c>
      <c r="EN269" s="239">
        <v>-1253</v>
      </c>
      <c r="EO269" s="239">
        <v>0</v>
      </c>
      <c r="EP269" s="239">
        <v>-1253</v>
      </c>
      <c r="EQ269" s="239">
        <v>-78881</v>
      </c>
      <c r="ER269" s="239">
        <v>0</v>
      </c>
      <c r="ES269" s="239">
        <v>-78881</v>
      </c>
      <c r="ET269" s="239">
        <v>-133175</v>
      </c>
      <c r="EU269" s="239">
        <v>0</v>
      </c>
      <c r="EV269" s="239">
        <v>-133175</v>
      </c>
      <c r="EW269" s="239">
        <v>-56205</v>
      </c>
      <c r="EX269" s="239">
        <v>0</v>
      </c>
      <c r="EY269" s="239">
        <v>-56205</v>
      </c>
      <c r="EZ269" s="239">
        <v>-321892</v>
      </c>
      <c r="FA269" s="239">
        <v>0</v>
      </c>
      <c r="FB269" s="239">
        <v>-321892</v>
      </c>
      <c r="FC269" s="239">
        <v>-14107</v>
      </c>
      <c r="FD269" s="239">
        <v>0</v>
      </c>
      <c r="FE269" s="239">
        <v>-14107</v>
      </c>
      <c r="FF269" s="239">
        <v>-29551</v>
      </c>
      <c r="FG269" s="239">
        <v>0</v>
      </c>
      <c r="FH269" s="239">
        <v>-29551</v>
      </c>
      <c r="FI269" s="239">
        <v>-43658</v>
      </c>
      <c r="FJ269" s="239">
        <v>0</v>
      </c>
      <c r="FK269" s="239">
        <v>-43658</v>
      </c>
      <c r="FL269" s="239">
        <v>69606003</v>
      </c>
      <c r="FM269" s="239">
        <v>0</v>
      </c>
      <c r="FN269" s="239">
        <v>69606003</v>
      </c>
      <c r="FO269" s="239">
        <v>7364064</v>
      </c>
      <c r="FP269" s="239">
        <v>0</v>
      </c>
      <c r="FQ269" s="239">
        <v>7364064</v>
      </c>
      <c r="FR269" s="239">
        <v>-6742261</v>
      </c>
      <c r="FS269" s="239">
        <v>0</v>
      </c>
      <c r="FT269" s="239">
        <v>-6742261</v>
      </c>
      <c r="FU269" s="239">
        <v>-561157</v>
      </c>
      <c r="FV269" s="239">
        <v>0</v>
      </c>
      <c r="FW269" s="239">
        <v>-561157</v>
      </c>
      <c r="FX269" s="239">
        <v>-347363</v>
      </c>
      <c r="FY269" s="239">
        <v>0</v>
      </c>
      <c r="FZ269" s="239">
        <v>-347363</v>
      </c>
      <c r="GA269" s="239">
        <v>-321892</v>
      </c>
      <c r="GB269" s="239">
        <v>0</v>
      </c>
      <c r="GC269" s="239">
        <v>-321892</v>
      </c>
      <c r="GD269" s="239">
        <v>-43658</v>
      </c>
      <c r="GE269" s="239">
        <v>0</v>
      </c>
      <c r="GF269" s="239">
        <v>-43658</v>
      </c>
      <c r="GG269" s="239">
        <v>-652267</v>
      </c>
      <c r="GH269" s="239">
        <v>0</v>
      </c>
      <c r="GI269" s="239">
        <v>-652267</v>
      </c>
      <c r="GJ269" s="239">
        <v>68953736</v>
      </c>
      <c r="GK269" s="239">
        <v>0</v>
      </c>
      <c r="GL269" s="239">
        <v>68953736</v>
      </c>
      <c r="GM269" s="214" t="s">
        <v>1158</v>
      </c>
    </row>
    <row r="270" spans="1:195" s="214" customFormat="1" x14ac:dyDescent="0.2">
      <c r="B270" s="602" t="s">
        <v>623</v>
      </c>
      <c r="C270" s="602" t="s">
        <v>622</v>
      </c>
      <c r="D270" s="239">
        <v>-3548876</v>
      </c>
      <c r="E270" s="239">
        <v>-470</v>
      </c>
      <c r="F270" s="239">
        <v>-3549346</v>
      </c>
      <c r="G270" s="239">
        <v>30461</v>
      </c>
      <c r="H270" s="239">
        <v>0</v>
      </c>
      <c r="I270" s="239">
        <v>30461</v>
      </c>
      <c r="J270" s="239">
        <v>6802879</v>
      </c>
      <c r="K270" s="239">
        <v>12681</v>
      </c>
      <c r="L270" s="239">
        <v>6815560</v>
      </c>
      <c r="M270" s="239">
        <v>322447</v>
      </c>
      <c r="N270" s="239">
        <v>0</v>
      </c>
      <c r="O270" s="239">
        <v>322447</v>
      </c>
      <c r="P270" s="239">
        <v>3606911</v>
      </c>
      <c r="Q270" s="239">
        <v>12211</v>
      </c>
      <c r="R270" s="239">
        <v>3619122</v>
      </c>
      <c r="S270" s="239">
        <v>-7202280</v>
      </c>
      <c r="T270" s="239">
        <v>0</v>
      </c>
      <c r="U270" s="239">
        <v>-7202280</v>
      </c>
      <c r="V270" s="239">
        <v>-8857</v>
      </c>
      <c r="W270" s="239">
        <v>0</v>
      </c>
      <c r="X270" s="239">
        <v>-8857</v>
      </c>
      <c r="Y270" s="239">
        <v>-422966</v>
      </c>
      <c r="Z270" s="239">
        <v>0</v>
      </c>
      <c r="AA270" s="239">
        <v>-422966</v>
      </c>
      <c r="AB270" s="239">
        <v>-379852</v>
      </c>
      <c r="AC270" s="239">
        <v>0</v>
      </c>
      <c r="AD270" s="239">
        <v>-379852</v>
      </c>
      <c r="AE270" s="239">
        <v>0</v>
      </c>
      <c r="AF270" s="239">
        <v>0</v>
      </c>
      <c r="AG270" s="239">
        <v>0</v>
      </c>
      <c r="AH270" s="239">
        <v>2263105</v>
      </c>
      <c r="AI270" s="239">
        <v>24461</v>
      </c>
      <c r="AJ270" s="239">
        <v>2287566</v>
      </c>
      <c r="AK270" s="239">
        <v>-103972</v>
      </c>
      <c r="AL270" s="239">
        <v>-1040</v>
      </c>
      <c r="AM270" s="239">
        <v>-105012</v>
      </c>
      <c r="AN270" s="239">
        <v>-7763466</v>
      </c>
      <c r="AO270" s="239">
        <v>-43796</v>
      </c>
      <c r="AP270" s="239">
        <v>-7807262</v>
      </c>
      <c r="AQ270" s="239">
        <v>-468104</v>
      </c>
      <c r="AR270" s="239">
        <v>-1353</v>
      </c>
      <c r="AS270" s="239">
        <v>-469457</v>
      </c>
      <c r="AT270" s="239">
        <v>-29865</v>
      </c>
      <c r="AU270" s="239">
        <v>0</v>
      </c>
      <c r="AV270" s="239">
        <v>-29865</v>
      </c>
      <c r="AW270" s="239">
        <v>0</v>
      </c>
      <c r="AX270" s="239">
        <v>0</v>
      </c>
      <c r="AY270" s="239">
        <v>0</v>
      </c>
      <c r="AZ270" s="239">
        <v>-1723</v>
      </c>
      <c r="BA270" s="239">
        <v>0</v>
      </c>
      <c r="BB270" s="239">
        <v>-1723</v>
      </c>
      <c r="BC270" s="239">
        <v>0</v>
      </c>
      <c r="BD270" s="239">
        <v>0</v>
      </c>
      <c r="BE270" s="239">
        <v>0</v>
      </c>
      <c r="BF270" s="239">
        <v>-13729271</v>
      </c>
      <c r="BG270" s="239">
        <v>-21728</v>
      </c>
      <c r="BH270" s="239">
        <v>-13750999</v>
      </c>
      <c r="BI270" s="239">
        <v>-7408</v>
      </c>
      <c r="BJ270" s="239">
        <v>0</v>
      </c>
      <c r="BK270" s="239">
        <v>-7408</v>
      </c>
      <c r="BL270" s="239">
        <v>54418</v>
      </c>
      <c r="BM270" s="239">
        <v>0</v>
      </c>
      <c r="BN270" s="239">
        <v>54418</v>
      </c>
      <c r="BO270" s="239">
        <v>-2499396</v>
      </c>
      <c r="BP270" s="239">
        <v>0</v>
      </c>
      <c r="BQ270" s="239">
        <v>-2499396</v>
      </c>
      <c r="BR270" s="239">
        <v>-228727</v>
      </c>
      <c r="BS270" s="239">
        <v>1691</v>
      </c>
      <c r="BT270" s="239">
        <v>-227036</v>
      </c>
      <c r="BU270" s="239">
        <v>-2681113</v>
      </c>
      <c r="BV270" s="239">
        <v>1691</v>
      </c>
      <c r="BW270" s="239">
        <v>-2679422</v>
      </c>
      <c r="BX270" s="239">
        <v>-54806</v>
      </c>
      <c r="BY270" s="239">
        <v>0</v>
      </c>
      <c r="BZ270" s="239">
        <v>-54806</v>
      </c>
      <c r="CA270" s="239">
        <v>733</v>
      </c>
      <c r="CB270" s="239">
        <v>0</v>
      </c>
      <c r="CC270" s="239">
        <v>733</v>
      </c>
      <c r="CD270" s="239">
        <v>-117013</v>
      </c>
      <c r="CE270" s="239">
        <v>0</v>
      </c>
      <c r="CF270" s="239">
        <v>-117013</v>
      </c>
      <c r="CG270" s="239">
        <v>2348</v>
      </c>
      <c r="CH270" s="239">
        <v>0</v>
      </c>
      <c r="CI270" s="239">
        <v>2348</v>
      </c>
      <c r="CJ270" s="239">
        <v>-487</v>
      </c>
      <c r="CK270" s="239">
        <v>0</v>
      </c>
      <c r="CL270" s="239">
        <v>-487</v>
      </c>
      <c r="CM270" s="239">
        <v>0</v>
      </c>
      <c r="CN270" s="239">
        <v>0</v>
      </c>
      <c r="CO270" s="239">
        <v>0</v>
      </c>
      <c r="CP270" s="239">
        <v>0</v>
      </c>
      <c r="CQ270" s="239">
        <v>0</v>
      </c>
      <c r="CR270" s="239">
        <v>0</v>
      </c>
      <c r="CS270" s="239">
        <v>0</v>
      </c>
      <c r="CT270" s="239">
        <v>0</v>
      </c>
      <c r="CU270" s="239">
        <v>0</v>
      </c>
      <c r="CV270" s="239">
        <v>0</v>
      </c>
      <c r="CW270" s="239">
        <v>0</v>
      </c>
      <c r="CX270" s="239">
        <v>0</v>
      </c>
      <c r="CY270" s="239">
        <v>0</v>
      </c>
      <c r="CZ270" s="239">
        <v>0</v>
      </c>
      <c r="DA270" s="239">
        <v>0</v>
      </c>
      <c r="DB270" s="239">
        <v>0</v>
      </c>
      <c r="DC270" s="239">
        <v>0</v>
      </c>
      <c r="DD270" s="239">
        <v>0</v>
      </c>
      <c r="DE270" s="239">
        <v>0</v>
      </c>
      <c r="DF270" s="239">
        <v>0</v>
      </c>
      <c r="DG270" s="239">
        <v>0</v>
      </c>
      <c r="DH270" s="239">
        <v>0</v>
      </c>
      <c r="DI270" s="239">
        <v>0</v>
      </c>
      <c r="DJ270" s="239">
        <v>-169225</v>
      </c>
      <c r="DK270" s="239">
        <v>0</v>
      </c>
      <c r="DL270" s="239">
        <v>-169225</v>
      </c>
      <c r="DM270" s="239">
        <v>0</v>
      </c>
      <c r="DN270" s="239">
        <v>0</v>
      </c>
      <c r="DO270" s="239">
        <v>0</v>
      </c>
      <c r="DP270" s="239">
        <v>0</v>
      </c>
      <c r="DQ270" s="239">
        <v>0</v>
      </c>
      <c r="DR270" s="239">
        <v>0</v>
      </c>
      <c r="DS270" s="239">
        <v>-4731</v>
      </c>
      <c r="DT270" s="239">
        <v>0</v>
      </c>
      <c r="DU270" s="239">
        <v>-4731</v>
      </c>
      <c r="DV270" s="239">
        <v>-20977</v>
      </c>
      <c r="DW270" s="239">
        <v>0</v>
      </c>
      <c r="DX270" s="239">
        <v>-20977</v>
      </c>
      <c r="DY270" s="239">
        <v>30651</v>
      </c>
      <c r="DZ270" s="239">
        <v>0</v>
      </c>
      <c r="EA270" s="239">
        <v>30651</v>
      </c>
      <c r="EB270" s="239">
        <v>0</v>
      </c>
      <c r="EC270" s="239">
        <v>0</v>
      </c>
      <c r="ED270" s="239">
        <v>0</v>
      </c>
      <c r="EE270" s="239">
        <v>0</v>
      </c>
      <c r="EF270" s="239">
        <v>0</v>
      </c>
      <c r="EG270" s="239">
        <v>0</v>
      </c>
      <c r="EH270" s="239">
        <v>235</v>
      </c>
      <c r="EI270" s="239">
        <v>0</v>
      </c>
      <c r="EJ270" s="239">
        <v>235</v>
      </c>
      <c r="EK270" s="239">
        <v>-1723</v>
      </c>
      <c r="EL270" s="239">
        <v>0</v>
      </c>
      <c r="EM270" s="239">
        <v>-1723</v>
      </c>
      <c r="EN270" s="239">
        <v>-1500</v>
      </c>
      <c r="EO270" s="239">
        <v>0</v>
      </c>
      <c r="EP270" s="239">
        <v>-1500</v>
      </c>
      <c r="EQ270" s="239">
        <v>-37519</v>
      </c>
      <c r="ER270" s="239">
        <v>0</v>
      </c>
      <c r="ES270" s="239">
        <v>-37519</v>
      </c>
      <c r="ET270" s="239">
        <v>-405654</v>
      </c>
      <c r="EU270" s="239">
        <v>-1478</v>
      </c>
      <c r="EV270" s="239">
        <v>-407132</v>
      </c>
      <c r="EW270" s="239">
        <v>-84272</v>
      </c>
      <c r="EX270" s="239">
        <v>0</v>
      </c>
      <c r="EY270" s="239">
        <v>-84272</v>
      </c>
      <c r="EZ270" s="239">
        <v>-525490</v>
      </c>
      <c r="FA270" s="239">
        <v>-1478</v>
      </c>
      <c r="FB270" s="239">
        <v>-526968</v>
      </c>
      <c r="FC270" s="239">
        <v>0</v>
      </c>
      <c r="FD270" s="239">
        <v>0</v>
      </c>
      <c r="FE270" s="239">
        <v>0</v>
      </c>
      <c r="FF270" s="239">
        <v>0</v>
      </c>
      <c r="FG270" s="239">
        <v>0</v>
      </c>
      <c r="FH270" s="239">
        <v>0</v>
      </c>
      <c r="FI270" s="239">
        <v>0</v>
      </c>
      <c r="FJ270" s="239">
        <v>0</v>
      </c>
      <c r="FK270" s="239">
        <v>0</v>
      </c>
      <c r="FL270" s="239">
        <v>102331925</v>
      </c>
      <c r="FM270" s="239">
        <v>863802</v>
      </c>
      <c r="FN270" s="239">
        <v>103195727</v>
      </c>
      <c r="FO270" s="239">
        <v>3606911</v>
      </c>
      <c r="FP270" s="239">
        <v>12211</v>
      </c>
      <c r="FQ270" s="239">
        <v>3619122</v>
      </c>
      <c r="FR270" s="239">
        <v>-13729271</v>
      </c>
      <c r="FS270" s="239">
        <v>-21728</v>
      </c>
      <c r="FT270" s="239">
        <v>-13750999</v>
      </c>
      <c r="FU270" s="239">
        <v>-2681113</v>
      </c>
      <c r="FV270" s="239">
        <v>1691</v>
      </c>
      <c r="FW270" s="239">
        <v>-2679422</v>
      </c>
      <c r="FX270" s="239">
        <v>-169225</v>
      </c>
      <c r="FY270" s="239">
        <v>0</v>
      </c>
      <c r="FZ270" s="239">
        <v>-169225</v>
      </c>
      <c r="GA270" s="239">
        <v>-525490</v>
      </c>
      <c r="GB270" s="239">
        <v>-1478</v>
      </c>
      <c r="GC270" s="239">
        <v>-526968</v>
      </c>
      <c r="GD270" s="239">
        <v>0</v>
      </c>
      <c r="GE270" s="239">
        <v>0</v>
      </c>
      <c r="GF270" s="239">
        <v>0</v>
      </c>
      <c r="GG270" s="239">
        <v>-13498188</v>
      </c>
      <c r="GH270" s="239">
        <v>-9304</v>
      </c>
      <c r="GI270" s="239">
        <v>-13507492</v>
      </c>
      <c r="GJ270" s="239">
        <v>88833737</v>
      </c>
      <c r="GK270" s="239">
        <v>854498</v>
      </c>
      <c r="GL270" s="239">
        <v>89688235</v>
      </c>
      <c r="GM270" s="214" t="s">
        <v>1160</v>
      </c>
    </row>
    <row r="271" spans="1:195" s="214" customFormat="1" x14ac:dyDescent="0.2">
      <c r="B271" s="602" t="s">
        <v>625</v>
      </c>
      <c r="C271" s="602" t="s">
        <v>624</v>
      </c>
      <c r="D271" s="239">
        <v>-1085053</v>
      </c>
      <c r="E271" s="239">
        <v>0</v>
      </c>
      <c r="F271" s="239">
        <v>-1085053</v>
      </c>
      <c r="G271" s="239">
        <v>2346</v>
      </c>
      <c r="H271" s="239">
        <v>0</v>
      </c>
      <c r="I271" s="239">
        <v>2346</v>
      </c>
      <c r="J271" s="239">
        <v>1775121</v>
      </c>
      <c r="K271" s="239">
        <v>0</v>
      </c>
      <c r="L271" s="239">
        <v>1775121</v>
      </c>
      <c r="M271" s="239">
        <v>383761</v>
      </c>
      <c r="N271" s="239">
        <v>0</v>
      </c>
      <c r="O271" s="239">
        <v>383761</v>
      </c>
      <c r="P271" s="239">
        <v>1076175</v>
      </c>
      <c r="Q271" s="239">
        <v>0</v>
      </c>
      <c r="R271" s="239">
        <v>1076175</v>
      </c>
      <c r="S271" s="239">
        <v>-2681180</v>
      </c>
      <c r="T271" s="239">
        <v>0</v>
      </c>
      <c r="U271" s="239">
        <v>-2681180</v>
      </c>
      <c r="V271" s="239">
        <v>-1992</v>
      </c>
      <c r="W271" s="239">
        <v>0</v>
      </c>
      <c r="X271" s="239">
        <v>-1992</v>
      </c>
      <c r="Y271" s="239">
        <v>-63220</v>
      </c>
      <c r="Z271" s="239">
        <v>0</v>
      </c>
      <c r="AA271" s="239">
        <v>-63220</v>
      </c>
      <c r="AB271" s="239">
        <v>-44279</v>
      </c>
      <c r="AC271" s="239">
        <v>0</v>
      </c>
      <c r="AD271" s="239">
        <v>-44279</v>
      </c>
      <c r="AE271" s="239">
        <v>-1340</v>
      </c>
      <c r="AF271" s="239">
        <v>0</v>
      </c>
      <c r="AG271" s="239">
        <v>-1340</v>
      </c>
      <c r="AH271" s="239">
        <v>876236</v>
      </c>
      <c r="AI271" s="239">
        <v>0</v>
      </c>
      <c r="AJ271" s="239">
        <v>876236</v>
      </c>
      <c r="AK271" s="239">
        <v>-27246</v>
      </c>
      <c r="AL271" s="239">
        <v>0</v>
      </c>
      <c r="AM271" s="239">
        <v>-27246</v>
      </c>
      <c r="AN271" s="239">
        <v>-1606844</v>
      </c>
      <c r="AO271" s="239">
        <v>0</v>
      </c>
      <c r="AP271" s="239">
        <v>-1606844</v>
      </c>
      <c r="AQ271" s="239">
        <v>1562</v>
      </c>
      <c r="AR271" s="239">
        <v>0</v>
      </c>
      <c r="AS271" s="239">
        <v>1562</v>
      </c>
      <c r="AT271" s="239">
        <v>-5604</v>
      </c>
      <c r="AU271" s="239">
        <v>0</v>
      </c>
      <c r="AV271" s="239">
        <v>-5604</v>
      </c>
      <c r="AW271" s="239">
        <v>0</v>
      </c>
      <c r="AX271" s="239">
        <v>0</v>
      </c>
      <c r="AY271" s="239">
        <v>0</v>
      </c>
      <c r="AZ271" s="239">
        <v>0</v>
      </c>
      <c r="BA271" s="239">
        <v>0</v>
      </c>
      <c r="BB271" s="239">
        <v>0</v>
      </c>
      <c r="BC271" s="239">
        <v>0</v>
      </c>
      <c r="BD271" s="239">
        <v>0</v>
      </c>
      <c r="BE271" s="239">
        <v>0</v>
      </c>
      <c r="BF271" s="239">
        <v>-3506296</v>
      </c>
      <c r="BG271" s="239">
        <v>0</v>
      </c>
      <c r="BH271" s="239">
        <v>-3506296</v>
      </c>
      <c r="BI271" s="239">
        <v>-363</v>
      </c>
      <c r="BJ271" s="239">
        <v>0</v>
      </c>
      <c r="BK271" s="239">
        <v>-363</v>
      </c>
      <c r="BL271" s="239">
        <v>54542</v>
      </c>
      <c r="BM271" s="239">
        <v>0</v>
      </c>
      <c r="BN271" s="239">
        <v>54542</v>
      </c>
      <c r="BO271" s="239">
        <v>-1368078</v>
      </c>
      <c r="BP271" s="239">
        <v>0</v>
      </c>
      <c r="BQ271" s="239">
        <v>-1368078</v>
      </c>
      <c r="BR271" s="239">
        <v>-23064</v>
      </c>
      <c r="BS271" s="239">
        <v>0</v>
      </c>
      <c r="BT271" s="239">
        <v>-23064</v>
      </c>
      <c r="BU271" s="239">
        <v>-1336963</v>
      </c>
      <c r="BV271" s="239">
        <v>0</v>
      </c>
      <c r="BW271" s="239">
        <v>-1336963</v>
      </c>
      <c r="BX271" s="239">
        <v>-94114</v>
      </c>
      <c r="BY271" s="239">
        <v>0</v>
      </c>
      <c r="BZ271" s="239">
        <v>-94114</v>
      </c>
      <c r="CA271" s="239">
        <v>-1389</v>
      </c>
      <c r="CB271" s="239">
        <v>0</v>
      </c>
      <c r="CC271" s="239">
        <v>-1389</v>
      </c>
      <c r="CD271" s="239">
        <v>-187763</v>
      </c>
      <c r="CE271" s="239">
        <v>0</v>
      </c>
      <c r="CF271" s="239">
        <v>-187763</v>
      </c>
      <c r="CG271" s="239">
        <v>-18654</v>
      </c>
      <c r="CH271" s="239">
        <v>0</v>
      </c>
      <c r="CI271" s="239">
        <v>-18654</v>
      </c>
      <c r="CJ271" s="239">
        <v>-1401</v>
      </c>
      <c r="CK271" s="239">
        <v>0</v>
      </c>
      <c r="CL271" s="239">
        <v>-1401</v>
      </c>
      <c r="CM271" s="239">
        <v>0</v>
      </c>
      <c r="CN271" s="239">
        <v>0</v>
      </c>
      <c r="CO271" s="239">
        <v>0</v>
      </c>
      <c r="CP271" s="239">
        <v>0</v>
      </c>
      <c r="CQ271" s="239">
        <v>0</v>
      </c>
      <c r="CR271" s="239">
        <v>0</v>
      </c>
      <c r="CS271" s="239">
        <v>0</v>
      </c>
      <c r="CT271" s="239">
        <v>0</v>
      </c>
      <c r="CU271" s="239">
        <v>0</v>
      </c>
      <c r="CV271" s="239">
        <v>0</v>
      </c>
      <c r="CW271" s="239">
        <v>0</v>
      </c>
      <c r="CX271" s="239">
        <v>0</v>
      </c>
      <c r="CY271" s="239">
        <v>0</v>
      </c>
      <c r="CZ271" s="239">
        <v>0</v>
      </c>
      <c r="DA271" s="239">
        <v>0</v>
      </c>
      <c r="DB271" s="239">
        <v>0</v>
      </c>
      <c r="DC271" s="239">
        <v>0</v>
      </c>
      <c r="DD271" s="239">
        <v>0</v>
      </c>
      <c r="DE271" s="239">
        <v>0</v>
      </c>
      <c r="DF271" s="239">
        <v>0</v>
      </c>
      <c r="DG271" s="239">
        <v>0</v>
      </c>
      <c r="DH271" s="239">
        <v>0</v>
      </c>
      <c r="DI271" s="239">
        <v>0</v>
      </c>
      <c r="DJ271" s="239">
        <v>-303321</v>
      </c>
      <c r="DK271" s="239">
        <v>0</v>
      </c>
      <c r="DL271" s="239">
        <v>-303321</v>
      </c>
      <c r="DM271" s="239">
        <v>-12813</v>
      </c>
      <c r="DN271" s="239">
        <v>0</v>
      </c>
      <c r="DO271" s="239">
        <v>-12813</v>
      </c>
      <c r="DP271" s="239">
        <v>113392</v>
      </c>
      <c r="DQ271" s="239">
        <v>0</v>
      </c>
      <c r="DR271" s="239">
        <v>113392</v>
      </c>
      <c r="DS271" s="239">
        <v>-4903</v>
      </c>
      <c r="DT271" s="239">
        <v>0</v>
      </c>
      <c r="DU271" s="239">
        <v>-4903</v>
      </c>
      <c r="DV271" s="239">
        <v>1013</v>
      </c>
      <c r="DW271" s="239">
        <v>0</v>
      </c>
      <c r="DX271" s="239">
        <v>1013</v>
      </c>
      <c r="DY271" s="239">
        <v>1477</v>
      </c>
      <c r="DZ271" s="239">
        <v>0</v>
      </c>
      <c r="EA271" s="239">
        <v>1477</v>
      </c>
      <c r="EB271" s="239">
        <v>0</v>
      </c>
      <c r="EC271" s="239">
        <v>0</v>
      </c>
      <c r="ED271" s="239">
        <v>0</v>
      </c>
      <c r="EE271" s="239">
        <v>0</v>
      </c>
      <c r="EF271" s="239">
        <v>0</v>
      </c>
      <c r="EG271" s="239">
        <v>0</v>
      </c>
      <c r="EH271" s="239">
        <v>0</v>
      </c>
      <c r="EI271" s="239">
        <v>0</v>
      </c>
      <c r="EJ271" s="239">
        <v>0</v>
      </c>
      <c r="EK271" s="239">
        <v>0</v>
      </c>
      <c r="EL271" s="239">
        <v>0</v>
      </c>
      <c r="EM271" s="239">
        <v>0</v>
      </c>
      <c r="EN271" s="239">
        <v>0</v>
      </c>
      <c r="EO271" s="239">
        <v>0</v>
      </c>
      <c r="EP271" s="239">
        <v>0</v>
      </c>
      <c r="EQ271" s="239">
        <v>-21262</v>
      </c>
      <c r="ER271" s="239">
        <v>0</v>
      </c>
      <c r="ES271" s="239">
        <v>-21262</v>
      </c>
      <c r="ET271" s="239">
        <v>-141919</v>
      </c>
      <c r="EU271" s="239">
        <v>0</v>
      </c>
      <c r="EV271" s="239">
        <v>-141919</v>
      </c>
      <c r="EW271" s="239">
        <v>-18515</v>
      </c>
      <c r="EX271" s="239">
        <v>0</v>
      </c>
      <c r="EY271" s="239">
        <v>-18515</v>
      </c>
      <c r="EZ271" s="239">
        <v>-83530</v>
      </c>
      <c r="FA271" s="239">
        <v>0</v>
      </c>
      <c r="FB271" s="239">
        <v>-83530</v>
      </c>
      <c r="FC271" s="239">
        <v>-23485</v>
      </c>
      <c r="FD271" s="239">
        <v>0</v>
      </c>
      <c r="FE271" s="239">
        <v>-23485</v>
      </c>
      <c r="FF271" s="239">
        <v>0</v>
      </c>
      <c r="FG271" s="239">
        <v>0</v>
      </c>
      <c r="FH271" s="239">
        <v>0</v>
      </c>
      <c r="FI271" s="239">
        <v>-23485</v>
      </c>
      <c r="FJ271" s="239">
        <v>0</v>
      </c>
      <c r="FK271" s="239">
        <v>-23485</v>
      </c>
      <c r="FL271" s="239">
        <v>41786240</v>
      </c>
      <c r="FM271" s="239">
        <v>0</v>
      </c>
      <c r="FN271" s="239">
        <v>41786240</v>
      </c>
      <c r="FO271" s="239">
        <v>1076175</v>
      </c>
      <c r="FP271" s="239">
        <v>0</v>
      </c>
      <c r="FQ271" s="239">
        <v>1076175</v>
      </c>
      <c r="FR271" s="239">
        <v>-3506296</v>
      </c>
      <c r="FS271" s="239">
        <v>0</v>
      </c>
      <c r="FT271" s="239">
        <v>-3506296</v>
      </c>
      <c r="FU271" s="239">
        <v>-1336963</v>
      </c>
      <c r="FV271" s="239">
        <v>0</v>
      </c>
      <c r="FW271" s="239">
        <v>-1336963</v>
      </c>
      <c r="FX271" s="239">
        <v>-303321</v>
      </c>
      <c r="FY271" s="239">
        <v>0</v>
      </c>
      <c r="FZ271" s="239">
        <v>-303321</v>
      </c>
      <c r="GA271" s="239">
        <v>-83530</v>
      </c>
      <c r="GB271" s="239">
        <v>0</v>
      </c>
      <c r="GC271" s="239">
        <v>-83530</v>
      </c>
      <c r="GD271" s="239">
        <v>-23485</v>
      </c>
      <c r="GE271" s="239">
        <v>0</v>
      </c>
      <c r="GF271" s="239">
        <v>-23485</v>
      </c>
      <c r="GG271" s="239">
        <v>-4177420</v>
      </c>
      <c r="GH271" s="239">
        <v>0</v>
      </c>
      <c r="GI271" s="239">
        <v>-4177420</v>
      </c>
      <c r="GJ271" s="239">
        <v>37608820</v>
      </c>
      <c r="GK271" s="239">
        <v>0</v>
      </c>
      <c r="GL271" s="239">
        <v>37608820</v>
      </c>
      <c r="GM271" s="214" t="s">
        <v>1158</v>
      </c>
    </row>
    <row r="272" spans="1:195" s="214" customFormat="1" x14ac:dyDescent="0.2">
      <c r="B272" s="602" t="s">
        <v>627</v>
      </c>
      <c r="C272" s="602" t="s">
        <v>626</v>
      </c>
      <c r="D272" s="239">
        <v>-2464612</v>
      </c>
      <c r="E272" s="239">
        <v>0</v>
      </c>
      <c r="F272" s="239">
        <v>-2464612</v>
      </c>
      <c r="G272" s="239">
        <v>86016</v>
      </c>
      <c r="H272" s="239">
        <v>0</v>
      </c>
      <c r="I272" s="239">
        <v>86016</v>
      </c>
      <c r="J272" s="239">
        <v>1925140</v>
      </c>
      <c r="K272" s="239">
        <v>0</v>
      </c>
      <c r="L272" s="239">
        <v>1925140</v>
      </c>
      <c r="M272" s="239">
        <v>-16609</v>
      </c>
      <c r="N272" s="239">
        <v>0</v>
      </c>
      <c r="O272" s="239">
        <v>-16609</v>
      </c>
      <c r="P272" s="239">
        <v>-470065</v>
      </c>
      <c r="Q272" s="239">
        <v>0</v>
      </c>
      <c r="R272" s="239">
        <v>-470065</v>
      </c>
      <c r="S272" s="239">
        <v>-4407391</v>
      </c>
      <c r="T272" s="239">
        <v>0</v>
      </c>
      <c r="U272" s="239">
        <v>-4407391</v>
      </c>
      <c r="V272" s="239">
        <v>-2287</v>
      </c>
      <c r="W272" s="239">
        <v>0</v>
      </c>
      <c r="X272" s="239">
        <v>-2287</v>
      </c>
      <c r="Y272" s="239">
        <v>-85510</v>
      </c>
      <c r="Z272" s="239">
        <v>0</v>
      </c>
      <c r="AA272" s="239">
        <v>-85510</v>
      </c>
      <c r="AB272" s="239">
        <v>-61064</v>
      </c>
      <c r="AC272" s="239">
        <v>0</v>
      </c>
      <c r="AD272" s="239">
        <v>-61064</v>
      </c>
      <c r="AE272" s="239">
        <v>-573</v>
      </c>
      <c r="AF272" s="239">
        <v>0</v>
      </c>
      <c r="AG272" s="239">
        <v>-573</v>
      </c>
      <c r="AH272" s="239">
        <v>1325817</v>
      </c>
      <c r="AI272" s="239">
        <v>0</v>
      </c>
      <c r="AJ272" s="239">
        <v>1325817</v>
      </c>
      <c r="AK272" s="239">
        <v>541821</v>
      </c>
      <c r="AL272" s="239">
        <v>0</v>
      </c>
      <c r="AM272" s="239">
        <v>541821</v>
      </c>
      <c r="AN272" s="239">
        <v>-6040093</v>
      </c>
      <c r="AO272" s="239">
        <v>0</v>
      </c>
      <c r="AP272" s="239">
        <v>-6040093</v>
      </c>
      <c r="AQ272" s="239">
        <v>31076</v>
      </c>
      <c r="AR272" s="239">
        <v>0</v>
      </c>
      <c r="AS272" s="239">
        <v>31076</v>
      </c>
      <c r="AT272" s="239">
        <v>-35676</v>
      </c>
      <c r="AU272" s="239">
        <v>0</v>
      </c>
      <c r="AV272" s="239">
        <v>-35676</v>
      </c>
      <c r="AW272" s="239">
        <v>0</v>
      </c>
      <c r="AX272" s="239">
        <v>0</v>
      </c>
      <c r="AY272" s="239">
        <v>0</v>
      </c>
      <c r="AZ272" s="239">
        <v>0</v>
      </c>
      <c r="BA272" s="239">
        <v>0</v>
      </c>
      <c r="BB272" s="239">
        <v>0</v>
      </c>
      <c r="BC272" s="239">
        <v>0</v>
      </c>
      <c r="BD272" s="239">
        <v>0</v>
      </c>
      <c r="BE272" s="239">
        <v>0</v>
      </c>
      <c r="BF272" s="239">
        <v>-8669956</v>
      </c>
      <c r="BG272" s="239">
        <v>0</v>
      </c>
      <c r="BH272" s="239">
        <v>-8669956</v>
      </c>
      <c r="BI272" s="239">
        <v>-81091</v>
      </c>
      <c r="BJ272" s="239">
        <v>0</v>
      </c>
      <c r="BK272" s="239">
        <v>-81091</v>
      </c>
      <c r="BL272" s="239">
        <v>-101072</v>
      </c>
      <c r="BM272" s="239">
        <v>0</v>
      </c>
      <c r="BN272" s="239">
        <v>-101072</v>
      </c>
      <c r="BO272" s="239">
        <v>-1076773</v>
      </c>
      <c r="BP272" s="239">
        <v>0</v>
      </c>
      <c r="BQ272" s="239">
        <v>-1076773</v>
      </c>
      <c r="BR272" s="239">
        <v>-22628</v>
      </c>
      <c r="BS272" s="239">
        <v>0</v>
      </c>
      <c r="BT272" s="239">
        <v>-22628</v>
      </c>
      <c r="BU272" s="239">
        <v>-1281564</v>
      </c>
      <c r="BV272" s="239">
        <v>0</v>
      </c>
      <c r="BW272" s="239">
        <v>-1281564</v>
      </c>
      <c r="BX272" s="239">
        <v>0</v>
      </c>
      <c r="BY272" s="239">
        <v>0</v>
      </c>
      <c r="BZ272" s="239">
        <v>0</v>
      </c>
      <c r="CA272" s="239">
        <v>-320</v>
      </c>
      <c r="CB272" s="239">
        <v>0</v>
      </c>
      <c r="CC272" s="239">
        <v>-320</v>
      </c>
      <c r="CD272" s="239">
        <v>-85405</v>
      </c>
      <c r="CE272" s="239">
        <v>0</v>
      </c>
      <c r="CF272" s="239">
        <v>-85405</v>
      </c>
      <c r="CG272" s="239">
        <v>-1341</v>
      </c>
      <c r="CH272" s="239">
        <v>0</v>
      </c>
      <c r="CI272" s="239">
        <v>-1341</v>
      </c>
      <c r="CJ272" s="239">
        <v>0</v>
      </c>
      <c r="CK272" s="239">
        <v>0</v>
      </c>
      <c r="CL272" s="239">
        <v>0</v>
      </c>
      <c r="CM272" s="239">
        <v>0</v>
      </c>
      <c r="CN272" s="239">
        <v>0</v>
      </c>
      <c r="CO272" s="239">
        <v>0</v>
      </c>
      <c r="CP272" s="239">
        <v>0</v>
      </c>
      <c r="CQ272" s="239">
        <v>0</v>
      </c>
      <c r="CR272" s="239">
        <v>0</v>
      </c>
      <c r="CS272" s="239">
        <v>0</v>
      </c>
      <c r="CT272" s="239">
        <v>0</v>
      </c>
      <c r="CU272" s="239">
        <v>0</v>
      </c>
      <c r="CV272" s="239">
        <v>0</v>
      </c>
      <c r="CW272" s="239">
        <v>0</v>
      </c>
      <c r="CX272" s="239">
        <v>0</v>
      </c>
      <c r="CY272" s="239">
        <v>0</v>
      </c>
      <c r="CZ272" s="239">
        <v>0</v>
      </c>
      <c r="DA272" s="239">
        <v>0</v>
      </c>
      <c r="DB272" s="239">
        <v>0</v>
      </c>
      <c r="DC272" s="239">
        <v>0</v>
      </c>
      <c r="DD272" s="239">
        <v>0</v>
      </c>
      <c r="DE272" s="239">
        <v>0</v>
      </c>
      <c r="DF272" s="239">
        <v>0</v>
      </c>
      <c r="DG272" s="239">
        <v>0</v>
      </c>
      <c r="DH272" s="239">
        <v>0</v>
      </c>
      <c r="DI272" s="239">
        <v>0</v>
      </c>
      <c r="DJ272" s="239">
        <v>-87066</v>
      </c>
      <c r="DK272" s="239">
        <v>0</v>
      </c>
      <c r="DL272" s="239">
        <v>-87066</v>
      </c>
      <c r="DM272" s="239">
        <v>0</v>
      </c>
      <c r="DN272" s="239">
        <v>0</v>
      </c>
      <c r="DO272" s="239">
        <v>0</v>
      </c>
      <c r="DP272" s="239">
        <v>1584</v>
      </c>
      <c r="DQ272" s="239">
        <v>0</v>
      </c>
      <c r="DR272" s="239">
        <v>1584</v>
      </c>
      <c r="DS272" s="239">
        <v>0</v>
      </c>
      <c r="DT272" s="239">
        <v>0</v>
      </c>
      <c r="DU272" s="239">
        <v>0</v>
      </c>
      <c r="DV272" s="239">
        <v>0</v>
      </c>
      <c r="DW272" s="239">
        <v>0</v>
      </c>
      <c r="DX272" s="239">
        <v>0</v>
      </c>
      <c r="DY272" s="239">
        <v>3000</v>
      </c>
      <c r="DZ272" s="239">
        <v>0</v>
      </c>
      <c r="EA272" s="239">
        <v>3000</v>
      </c>
      <c r="EB272" s="239">
        <v>0</v>
      </c>
      <c r="EC272" s="239">
        <v>0</v>
      </c>
      <c r="ED272" s="239">
        <v>0</v>
      </c>
      <c r="EE272" s="239">
        <v>0</v>
      </c>
      <c r="EF272" s="239">
        <v>0</v>
      </c>
      <c r="EG272" s="239">
        <v>0</v>
      </c>
      <c r="EH272" s="239">
        <v>0</v>
      </c>
      <c r="EI272" s="239">
        <v>0</v>
      </c>
      <c r="EJ272" s="239">
        <v>0</v>
      </c>
      <c r="EK272" s="239">
        <v>0</v>
      </c>
      <c r="EL272" s="239">
        <v>0</v>
      </c>
      <c r="EM272" s="239">
        <v>0</v>
      </c>
      <c r="EN272" s="239">
        <v>0</v>
      </c>
      <c r="EO272" s="239">
        <v>0</v>
      </c>
      <c r="EP272" s="239">
        <v>0</v>
      </c>
      <c r="EQ272" s="239">
        <v>-18827</v>
      </c>
      <c r="ER272" s="239">
        <v>0</v>
      </c>
      <c r="ES272" s="239">
        <v>-18827</v>
      </c>
      <c r="ET272" s="239">
        <v>-439588</v>
      </c>
      <c r="EU272" s="239">
        <v>0</v>
      </c>
      <c r="EV272" s="239">
        <v>-439588</v>
      </c>
      <c r="EW272" s="239">
        <v>-18407</v>
      </c>
      <c r="EX272" s="239">
        <v>0</v>
      </c>
      <c r="EY272" s="239">
        <v>-18407</v>
      </c>
      <c r="EZ272" s="239">
        <v>-472238</v>
      </c>
      <c r="FA272" s="239">
        <v>0</v>
      </c>
      <c r="FB272" s="239">
        <v>-472238</v>
      </c>
      <c r="FC272" s="239">
        <v>0</v>
      </c>
      <c r="FD272" s="239">
        <v>0</v>
      </c>
      <c r="FE272" s="239">
        <v>0</v>
      </c>
      <c r="FF272" s="239">
        <v>-30822</v>
      </c>
      <c r="FG272" s="239">
        <v>0</v>
      </c>
      <c r="FH272" s="239">
        <v>-30822</v>
      </c>
      <c r="FI272" s="239">
        <v>-30822</v>
      </c>
      <c r="FJ272" s="239">
        <v>0</v>
      </c>
      <c r="FK272" s="239">
        <v>-30822</v>
      </c>
      <c r="FL272" s="239">
        <v>63409674</v>
      </c>
      <c r="FM272" s="239">
        <v>0</v>
      </c>
      <c r="FN272" s="239">
        <v>63409674</v>
      </c>
      <c r="FO272" s="239">
        <v>-470065</v>
      </c>
      <c r="FP272" s="239">
        <v>0</v>
      </c>
      <c r="FQ272" s="239">
        <v>-470065</v>
      </c>
      <c r="FR272" s="239">
        <v>-8669956</v>
      </c>
      <c r="FS272" s="239">
        <v>0</v>
      </c>
      <c r="FT272" s="239">
        <v>-8669956</v>
      </c>
      <c r="FU272" s="239">
        <v>-1281564</v>
      </c>
      <c r="FV272" s="239">
        <v>0</v>
      </c>
      <c r="FW272" s="239">
        <v>-1281564</v>
      </c>
      <c r="FX272" s="239">
        <v>-87066</v>
      </c>
      <c r="FY272" s="239">
        <v>0</v>
      </c>
      <c r="FZ272" s="239">
        <v>-87066</v>
      </c>
      <c r="GA272" s="239">
        <v>-472238</v>
      </c>
      <c r="GB272" s="239">
        <v>0</v>
      </c>
      <c r="GC272" s="239">
        <v>-472238</v>
      </c>
      <c r="GD272" s="239">
        <v>-30822</v>
      </c>
      <c r="GE272" s="239">
        <v>0</v>
      </c>
      <c r="GF272" s="239">
        <v>-30822</v>
      </c>
      <c r="GG272" s="239">
        <v>-11011711</v>
      </c>
      <c r="GH272" s="239">
        <v>0</v>
      </c>
      <c r="GI272" s="239">
        <v>-11011711</v>
      </c>
      <c r="GJ272" s="239">
        <v>52397963</v>
      </c>
      <c r="GK272" s="239">
        <v>0</v>
      </c>
      <c r="GL272" s="239">
        <v>52397963</v>
      </c>
      <c r="GM272" s="214" t="s">
        <v>1159</v>
      </c>
    </row>
    <row r="273" spans="2:195" s="214" customFormat="1" x14ac:dyDescent="0.2">
      <c r="B273" s="602" t="s">
        <v>629</v>
      </c>
      <c r="C273" s="602" t="s">
        <v>628</v>
      </c>
      <c r="D273" s="239">
        <v>-1916149</v>
      </c>
      <c r="E273" s="239">
        <v>0</v>
      </c>
      <c r="F273" s="239">
        <v>-1916149</v>
      </c>
      <c r="G273" s="239">
        <v>14752</v>
      </c>
      <c r="H273" s="239">
        <v>0</v>
      </c>
      <c r="I273" s="239">
        <v>14752</v>
      </c>
      <c r="J273" s="239">
        <v>1869871</v>
      </c>
      <c r="K273" s="239">
        <v>0</v>
      </c>
      <c r="L273" s="239">
        <v>1869871</v>
      </c>
      <c r="M273" s="239">
        <v>66302</v>
      </c>
      <c r="N273" s="239">
        <v>0</v>
      </c>
      <c r="O273" s="239">
        <v>66302</v>
      </c>
      <c r="P273" s="239">
        <v>34776</v>
      </c>
      <c r="Q273" s="239">
        <v>0</v>
      </c>
      <c r="R273" s="239">
        <v>34776</v>
      </c>
      <c r="S273" s="239">
        <v>-5054077</v>
      </c>
      <c r="T273" s="239">
        <v>0</v>
      </c>
      <c r="U273" s="239">
        <v>-5054077</v>
      </c>
      <c r="V273" s="239">
        <v>-6788</v>
      </c>
      <c r="W273" s="239">
        <v>0</v>
      </c>
      <c r="X273" s="239">
        <v>-6788</v>
      </c>
      <c r="Y273" s="239">
        <v>-198818</v>
      </c>
      <c r="Z273" s="239">
        <v>0</v>
      </c>
      <c r="AA273" s="239">
        <v>-198818</v>
      </c>
      <c r="AB273" s="239">
        <v>-198818</v>
      </c>
      <c r="AC273" s="239">
        <v>0</v>
      </c>
      <c r="AD273" s="239">
        <v>-198818</v>
      </c>
      <c r="AE273" s="239">
        <v>0</v>
      </c>
      <c r="AF273" s="239">
        <v>0</v>
      </c>
      <c r="AG273" s="239">
        <v>0</v>
      </c>
      <c r="AH273" s="239">
        <v>1131001</v>
      </c>
      <c r="AI273" s="239">
        <v>0</v>
      </c>
      <c r="AJ273" s="239">
        <v>1131001</v>
      </c>
      <c r="AK273" s="239">
        <v>-4692</v>
      </c>
      <c r="AL273" s="239">
        <v>0</v>
      </c>
      <c r="AM273" s="239">
        <v>-4692</v>
      </c>
      <c r="AN273" s="239">
        <v>-3245196</v>
      </c>
      <c r="AO273" s="239">
        <v>0</v>
      </c>
      <c r="AP273" s="239">
        <v>-3245196</v>
      </c>
      <c r="AQ273" s="239">
        <v>44687</v>
      </c>
      <c r="AR273" s="239">
        <v>0</v>
      </c>
      <c r="AS273" s="239">
        <v>44687</v>
      </c>
      <c r="AT273" s="239">
        <v>-91445</v>
      </c>
      <c r="AU273" s="239">
        <v>0</v>
      </c>
      <c r="AV273" s="239">
        <v>-91445</v>
      </c>
      <c r="AW273" s="239">
        <v>0</v>
      </c>
      <c r="AX273" s="239">
        <v>0</v>
      </c>
      <c r="AY273" s="239">
        <v>0</v>
      </c>
      <c r="AZ273" s="239">
        <v>-23744</v>
      </c>
      <c r="BA273" s="239">
        <v>0</v>
      </c>
      <c r="BB273" s="239">
        <v>-23744</v>
      </c>
      <c r="BC273" s="239">
        <v>124</v>
      </c>
      <c r="BD273" s="239">
        <v>0</v>
      </c>
      <c r="BE273" s="239">
        <v>124</v>
      </c>
      <c r="BF273" s="239">
        <v>-7442160</v>
      </c>
      <c r="BG273" s="239">
        <v>0</v>
      </c>
      <c r="BH273" s="239">
        <v>-7442160</v>
      </c>
      <c r="BI273" s="239">
        <v>-13775</v>
      </c>
      <c r="BJ273" s="239">
        <v>0</v>
      </c>
      <c r="BK273" s="239">
        <v>-13775</v>
      </c>
      <c r="BL273" s="239">
        <v>226</v>
      </c>
      <c r="BM273" s="239">
        <v>0</v>
      </c>
      <c r="BN273" s="239">
        <v>226</v>
      </c>
      <c r="BO273" s="239">
        <v>-1832916</v>
      </c>
      <c r="BP273" s="239">
        <v>0</v>
      </c>
      <c r="BQ273" s="239">
        <v>-1832916</v>
      </c>
      <c r="BR273" s="239">
        <v>-281878</v>
      </c>
      <c r="BS273" s="239">
        <v>0</v>
      </c>
      <c r="BT273" s="239">
        <v>-281878</v>
      </c>
      <c r="BU273" s="239">
        <v>-2128343</v>
      </c>
      <c r="BV273" s="239">
        <v>0</v>
      </c>
      <c r="BW273" s="239">
        <v>-2128343</v>
      </c>
      <c r="BX273" s="239">
        <v>-231125</v>
      </c>
      <c r="BY273" s="239">
        <v>0</v>
      </c>
      <c r="BZ273" s="239">
        <v>-231125</v>
      </c>
      <c r="CA273" s="239">
        <v>917</v>
      </c>
      <c r="CB273" s="239">
        <v>0</v>
      </c>
      <c r="CC273" s="239">
        <v>917</v>
      </c>
      <c r="CD273" s="239">
        <v>-128889</v>
      </c>
      <c r="CE273" s="239">
        <v>0</v>
      </c>
      <c r="CF273" s="239">
        <v>-128889</v>
      </c>
      <c r="CG273" s="239">
        <v>-115</v>
      </c>
      <c r="CH273" s="239">
        <v>0</v>
      </c>
      <c r="CI273" s="239">
        <v>-115</v>
      </c>
      <c r="CJ273" s="239">
        <v>-22861</v>
      </c>
      <c r="CK273" s="239">
        <v>0</v>
      </c>
      <c r="CL273" s="239">
        <v>-22861</v>
      </c>
      <c r="CM273" s="239">
        <v>0</v>
      </c>
      <c r="CN273" s="239">
        <v>0</v>
      </c>
      <c r="CO273" s="239">
        <v>0</v>
      </c>
      <c r="CP273" s="239">
        <v>0</v>
      </c>
      <c r="CQ273" s="239">
        <v>0</v>
      </c>
      <c r="CR273" s="239">
        <v>0</v>
      </c>
      <c r="CS273" s="239">
        <v>124</v>
      </c>
      <c r="CT273" s="239">
        <v>0</v>
      </c>
      <c r="CU273" s="239">
        <v>124</v>
      </c>
      <c r="CV273" s="239">
        <v>-6859</v>
      </c>
      <c r="CW273" s="239">
        <v>0</v>
      </c>
      <c r="CX273" s="239">
        <v>-6859</v>
      </c>
      <c r="CY273" s="239">
        <v>0</v>
      </c>
      <c r="CZ273" s="239">
        <v>0</v>
      </c>
      <c r="DA273" s="239">
        <v>0</v>
      </c>
      <c r="DB273" s="239">
        <v>0</v>
      </c>
      <c r="DC273" s="239">
        <v>0</v>
      </c>
      <c r="DD273" s="239">
        <v>0</v>
      </c>
      <c r="DE273" s="239">
        <v>0</v>
      </c>
      <c r="DF273" s="239">
        <v>0</v>
      </c>
      <c r="DG273" s="239">
        <v>0</v>
      </c>
      <c r="DH273" s="239">
        <v>0</v>
      </c>
      <c r="DI273" s="239">
        <v>0</v>
      </c>
      <c r="DJ273" s="239">
        <v>-388808</v>
      </c>
      <c r="DK273" s="239">
        <v>0</v>
      </c>
      <c r="DL273" s="239">
        <v>-388808</v>
      </c>
      <c r="DM273" s="239">
        <v>-353</v>
      </c>
      <c r="DN273" s="239">
        <v>0</v>
      </c>
      <c r="DO273" s="239">
        <v>-353</v>
      </c>
      <c r="DP273" s="239">
        <v>2162</v>
      </c>
      <c r="DQ273" s="239">
        <v>0</v>
      </c>
      <c r="DR273" s="239">
        <v>2162</v>
      </c>
      <c r="DS273" s="239">
        <v>-165</v>
      </c>
      <c r="DT273" s="239">
        <v>0</v>
      </c>
      <c r="DU273" s="239">
        <v>-165</v>
      </c>
      <c r="DV273" s="239">
        <v>0</v>
      </c>
      <c r="DW273" s="239">
        <v>0</v>
      </c>
      <c r="DX273" s="239">
        <v>0</v>
      </c>
      <c r="DY273" s="239">
        <v>434</v>
      </c>
      <c r="DZ273" s="239">
        <v>0</v>
      </c>
      <c r="EA273" s="239">
        <v>434</v>
      </c>
      <c r="EB273" s="239">
        <v>0</v>
      </c>
      <c r="EC273" s="239">
        <v>0</v>
      </c>
      <c r="ED273" s="239">
        <v>0</v>
      </c>
      <c r="EE273" s="239">
        <v>0</v>
      </c>
      <c r="EF273" s="239">
        <v>0</v>
      </c>
      <c r="EG273" s="239">
        <v>0</v>
      </c>
      <c r="EH273" s="239">
        <v>0</v>
      </c>
      <c r="EI273" s="239">
        <v>0</v>
      </c>
      <c r="EJ273" s="239">
        <v>0</v>
      </c>
      <c r="EK273" s="239">
        <v>-23744</v>
      </c>
      <c r="EL273" s="239">
        <v>0</v>
      </c>
      <c r="EM273" s="239">
        <v>-23744</v>
      </c>
      <c r="EN273" s="239">
        <v>-1500</v>
      </c>
      <c r="EO273" s="239">
        <v>0</v>
      </c>
      <c r="EP273" s="239">
        <v>-1500</v>
      </c>
      <c r="EQ273" s="239">
        <v>-31680</v>
      </c>
      <c r="ER273" s="239">
        <v>0</v>
      </c>
      <c r="ES273" s="239">
        <v>-31680</v>
      </c>
      <c r="ET273" s="239">
        <v>-111966</v>
      </c>
      <c r="EU273" s="239">
        <v>0</v>
      </c>
      <c r="EV273" s="239">
        <v>-111966</v>
      </c>
      <c r="EW273" s="239">
        <v>-60015</v>
      </c>
      <c r="EX273" s="239">
        <v>0</v>
      </c>
      <c r="EY273" s="239">
        <v>-60015</v>
      </c>
      <c r="EZ273" s="239">
        <v>-226827</v>
      </c>
      <c r="FA273" s="239">
        <v>0</v>
      </c>
      <c r="FB273" s="239">
        <v>-226827</v>
      </c>
      <c r="FC273" s="239">
        <v>0</v>
      </c>
      <c r="FD273" s="239">
        <v>0</v>
      </c>
      <c r="FE273" s="239">
        <v>0</v>
      </c>
      <c r="FF273" s="239">
        <v>-10161</v>
      </c>
      <c r="FG273" s="239">
        <v>0</v>
      </c>
      <c r="FH273" s="239">
        <v>-10161</v>
      </c>
      <c r="FI273" s="239">
        <v>-10161</v>
      </c>
      <c r="FJ273" s="239">
        <v>0</v>
      </c>
      <c r="FK273" s="239">
        <v>-10161</v>
      </c>
      <c r="FL273" s="239">
        <v>57293107</v>
      </c>
      <c r="FM273" s="239">
        <v>0</v>
      </c>
      <c r="FN273" s="239">
        <v>57293107</v>
      </c>
      <c r="FO273" s="239">
        <v>34776</v>
      </c>
      <c r="FP273" s="239">
        <v>0</v>
      </c>
      <c r="FQ273" s="239">
        <v>34776</v>
      </c>
      <c r="FR273" s="239">
        <v>-7442160</v>
      </c>
      <c r="FS273" s="239">
        <v>0</v>
      </c>
      <c r="FT273" s="239">
        <v>-7442160</v>
      </c>
      <c r="FU273" s="239">
        <v>-2128343</v>
      </c>
      <c r="FV273" s="239">
        <v>0</v>
      </c>
      <c r="FW273" s="239">
        <v>-2128343</v>
      </c>
      <c r="FX273" s="239">
        <v>-388808</v>
      </c>
      <c r="FY273" s="239">
        <v>0</v>
      </c>
      <c r="FZ273" s="239">
        <v>-388808</v>
      </c>
      <c r="GA273" s="239">
        <v>-226827</v>
      </c>
      <c r="GB273" s="239">
        <v>0</v>
      </c>
      <c r="GC273" s="239">
        <v>-226827</v>
      </c>
      <c r="GD273" s="239">
        <v>-10161</v>
      </c>
      <c r="GE273" s="239">
        <v>0</v>
      </c>
      <c r="GF273" s="239">
        <v>-10161</v>
      </c>
      <c r="GG273" s="239">
        <v>-10161523</v>
      </c>
      <c r="GH273" s="239">
        <v>0</v>
      </c>
      <c r="GI273" s="239">
        <v>-10161523</v>
      </c>
      <c r="GJ273" s="239">
        <v>47131584</v>
      </c>
      <c r="GK273" s="239">
        <v>0</v>
      </c>
      <c r="GL273" s="239">
        <v>47131584</v>
      </c>
      <c r="GM273" s="214" t="s">
        <v>1158</v>
      </c>
    </row>
    <row r="274" spans="2:195" s="214" customFormat="1" x14ac:dyDescent="0.2">
      <c r="B274" s="602" t="s">
        <v>631</v>
      </c>
      <c r="C274" s="602" t="s">
        <v>630</v>
      </c>
      <c r="D274" s="239">
        <v>-1612298</v>
      </c>
      <c r="E274" s="239">
        <v>0</v>
      </c>
      <c r="F274" s="239">
        <v>-1612298</v>
      </c>
      <c r="G274" s="239">
        <v>2765</v>
      </c>
      <c r="H274" s="239">
        <v>0</v>
      </c>
      <c r="I274" s="239">
        <v>2765</v>
      </c>
      <c r="J274" s="239">
        <v>9398440</v>
      </c>
      <c r="K274" s="239">
        <v>0</v>
      </c>
      <c r="L274" s="239">
        <v>9398440</v>
      </c>
      <c r="M274" s="239">
        <v>-49367</v>
      </c>
      <c r="N274" s="239">
        <v>0</v>
      </c>
      <c r="O274" s="239">
        <v>-49367</v>
      </c>
      <c r="P274" s="239">
        <v>7739540</v>
      </c>
      <c r="Q274" s="239">
        <v>0</v>
      </c>
      <c r="R274" s="239">
        <v>7739540</v>
      </c>
      <c r="S274" s="239">
        <v>-4603551</v>
      </c>
      <c r="T274" s="239">
        <v>0</v>
      </c>
      <c r="U274" s="239">
        <v>-4603551</v>
      </c>
      <c r="V274" s="239">
        <v>-13929</v>
      </c>
      <c r="W274" s="239">
        <v>0</v>
      </c>
      <c r="X274" s="239">
        <v>-13929</v>
      </c>
      <c r="Y274" s="239">
        <v>-61530</v>
      </c>
      <c r="Z274" s="239">
        <v>0</v>
      </c>
      <c r="AA274" s="239">
        <v>-61530</v>
      </c>
      <c r="AB274" s="239">
        <v>-60938</v>
      </c>
      <c r="AC274" s="239">
        <v>0</v>
      </c>
      <c r="AD274" s="239">
        <v>-60938</v>
      </c>
      <c r="AE274" s="239">
        <v>-592</v>
      </c>
      <c r="AF274" s="239">
        <v>0</v>
      </c>
      <c r="AG274" s="239">
        <v>-592</v>
      </c>
      <c r="AH274" s="239">
        <v>2691880</v>
      </c>
      <c r="AI274" s="239">
        <v>0</v>
      </c>
      <c r="AJ274" s="239">
        <v>2691880</v>
      </c>
      <c r="AK274" s="239">
        <v>637606</v>
      </c>
      <c r="AL274" s="239">
        <v>0</v>
      </c>
      <c r="AM274" s="239">
        <v>637606</v>
      </c>
      <c r="AN274" s="239">
        <v>-6733755</v>
      </c>
      <c r="AO274" s="239">
        <v>0</v>
      </c>
      <c r="AP274" s="239">
        <v>-6733755</v>
      </c>
      <c r="AQ274" s="239">
        <v>-30002</v>
      </c>
      <c r="AR274" s="239">
        <v>0</v>
      </c>
      <c r="AS274" s="239">
        <v>-30002</v>
      </c>
      <c r="AT274" s="239">
        <v>-84381</v>
      </c>
      <c r="AU274" s="239">
        <v>0</v>
      </c>
      <c r="AV274" s="239">
        <v>-84381</v>
      </c>
      <c r="AW274" s="239">
        <v>0</v>
      </c>
      <c r="AX274" s="239">
        <v>0</v>
      </c>
      <c r="AY274" s="239">
        <v>0</v>
      </c>
      <c r="AZ274" s="239">
        <v>-5388</v>
      </c>
      <c r="BA274" s="239">
        <v>0</v>
      </c>
      <c r="BB274" s="239">
        <v>-5388</v>
      </c>
      <c r="BC274" s="239">
        <v>0</v>
      </c>
      <c r="BD274" s="239">
        <v>0</v>
      </c>
      <c r="BE274" s="239">
        <v>0</v>
      </c>
      <c r="BF274" s="239">
        <v>-8189121</v>
      </c>
      <c r="BG274" s="239">
        <v>0</v>
      </c>
      <c r="BH274" s="239">
        <v>-8189121</v>
      </c>
      <c r="BI274" s="239">
        <v>-65405</v>
      </c>
      <c r="BJ274" s="239">
        <v>0</v>
      </c>
      <c r="BK274" s="239">
        <v>-65405</v>
      </c>
      <c r="BL274" s="239">
        <v>-3303</v>
      </c>
      <c r="BM274" s="239">
        <v>0</v>
      </c>
      <c r="BN274" s="239">
        <v>-3303</v>
      </c>
      <c r="BO274" s="239">
        <v>-3495195</v>
      </c>
      <c r="BP274" s="239">
        <v>0</v>
      </c>
      <c r="BQ274" s="239">
        <v>-3495195</v>
      </c>
      <c r="BR274" s="239">
        <v>-97372</v>
      </c>
      <c r="BS274" s="239">
        <v>0</v>
      </c>
      <c r="BT274" s="239">
        <v>-97372</v>
      </c>
      <c r="BU274" s="239">
        <v>-3661275</v>
      </c>
      <c r="BV274" s="239">
        <v>0</v>
      </c>
      <c r="BW274" s="239">
        <v>-3661275</v>
      </c>
      <c r="BX274" s="239">
        <v>-195958</v>
      </c>
      <c r="BY274" s="239">
        <v>0</v>
      </c>
      <c r="BZ274" s="239">
        <v>-195958</v>
      </c>
      <c r="CA274" s="239">
        <v>-11448</v>
      </c>
      <c r="CB274" s="239">
        <v>0</v>
      </c>
      <c r="CC274" s="239">
        <v>-11448</v>
      </c>
      <c r="CD274" s="239">
        <v>-57669</v>
      </c>
      <c r="CE274" s="239">
        <v>0</v>
      </c>
      <c r="CF274" s="239">
        <v>-57669</v>
      </c>
      <c r="CG274" s="239">
        <v>-229</v>
      </c>
      <c r="CH274" s="239">
        <v>0</v>
      </c>
      <c r="CI274" s="239">
        <v>-229</v>
      </c>
      <c r="CJ274" s="239">
        <v>-21095</v>
      </c>
      <c r="CK274" s="239">
        <v>0</v>
      </c>
      <c r="CL274" s="239">
        <v>-21095</v>
      </c>
      <c r="CM274" s="239">
        <v>0</v>
      </c>
      <c r="CN274" s="239">
        <v>0</v>
      </c>
      <c r="CO274" s="239">
        <v>0</v>
      </c>
      <c r="CP274" s="239">
        <v>0</v>
      </c>
      <c r="CQ274" s="239">
        <v>0</v>
      </c>
      <c r="CR274" s="239">
        <v>0</v>
      </c>
      <c r="CS274" s="239">
        <v>0</v>
      </c>
      <c r="CT274" s="239">
        <v>0</v>
      </c>
      <c r="CU274" s="239">
        <v>0</v>
      </c>
      <c r="CV274" s="239">
        <v>0</v>
      </c>
      <c r="CW274" s="239">
        <v>0</v>
      </c>
      <c r="CX274" s="239">
        <v>0</v>
      </c>
      <c r="CY274" s="239">
        <v>0</v>
      </c>
      <c r="CZ274" s="239">
        <v>0</v>
      </c>
      <c r="DA274" s="239">
        <v>0</v>
      </c>
      <c r="DB274" s="239">
        <v>0</v>
      </c>
      <c r="DC274" s="239">
        <v>0</v>
      </c>
      <c r="DD274" s="239">
        <v>0</v>
      </c>
      <c r="DE274" s="239">
        <v>0</v>
      </c>
      <c r="DF274" s="239">
        <v>0</v>
      </c>
      <c r="DG274" s="239">
        <v>0</v>
      </c>
      <c r="DH274" s="239">
        <v>0</v>
      </c>
      <c r="DI274" s="239">
        <v>0</v>
      </c>
      <c r="DJ274" s="239">
        <v>-286399</v>
      </c>
      <c r="DK274" s="239">
        <v>0</v>
      </c>
      <c r="DL274" s="239">
        <v>-286399</v>
      </c>
      <c r="DM274" s="239">
        <v>-13527</v>
      </c>
      <c r="DN274" s="239">
        <v>0</v>
      </c>
      <c r="DO274" s="239">
        <v>-13527</v>
      </c>
      <c r="DP274" s="239">
        <v>0</v>
      </c>
      <c r="DQ274" s="239">
        <v>0</v>
      </c>
      <c r="DR274" s="239">
        <v>0</v>
      </c>
      <c r="DS274" s="239">
        <v>-7951</v>
      </c>
      <c r="DT274" s="239">
        <v>0</v>
      </c>
      <c r="DU274" s="239">
        <v>-7951</v>
      </c>
      <c r="DV274" s="239">
        <v>-52775</v>
      </c>
      <c r="DW274" s="239">
        <v>0</v>
      </c>
      <c r="DX274" s="239">
        <v>-52775</v>
      </c>
      <c r="DY274" s="239">
        <v>1298</v>
      </c>
      <c r="DZ274" s="239">
        <v>0</v>
      </c>
      <c r="EA274" s="239">
        <v>1298</v>
      </c>
      <c r="EB274" s="239">
        <v>0</v>
      </c>
      <c r="EC274" s="239">
        <v>0</v>
      </c>
      <c r="ED274" s="239">
        <v>0</v>
      </c>
      <c r="EE274" s="239">
        <v>0</v>
      </c>
      <c r="EF274" s="239">
        <v>0</v>
      </c>
      <c r="EG274" s="239">
        <v>0</v>
      </c>
      <c r="EH274" s="239">
        <v>0</v>
      </c>
      <c r="EI274" s="239">
        <v>0</v>
      </c>
      <c r="EJ274" s="239">
        <v>0</v>
      </c>
      <c r="EK274" s="239">
        <v>-5388</v>
      </c>
      <c r="EL274" s="239">
        <v>0</v>
      </c>
      <c r="EM274" s="239">
        <v>-5388</v>
      </c>
      <c r="EN274" s="239">
        <v>0</v>
      </c>
      <c r="EO274" s="239">
        <v>0</v>
      </c>
      <c r="EP274" s="239">
        <v>0</v>
      </c>
      <c r="EQ274" s="239">
        <v>-10262</v>
      </c>
      <c r="ER274" s="239">
        <v>0</v>
      </c>
      <c r="ES274" s="239">
        <v>-10262</v>
      </c>
      <c r="ET274" s="239">
        <v>-57041</v>
      </c>
      <c r="EU274" s="239">
        <v>0</v>
      </c>
      <c r="EV274" s="239">
        <v>-57041</v>
      </c>
      <c r="EW274" s="239">
        <v>-39037</v>
      </c>
      <c r="EX274" s="239">
        <v>0</v>
      </c>
      <c r="EY274" s="239">
        <v>-39037</v>
      </c>
      <c r="EZ274" s="239">
        <v>-184683</v>
      </c>
      <c r="FA274" s="239">
        <v>0</v>
      </c>
      <c r="FB274" s="239">
        <v>-184683</v>
      </c>
      <c r="FC274" s="239">
        <v>0</v>
      </c>
      <c r="FD274" s="239">
        <v>0</v>
      </c>
      <c r="FE274" s="239">
        <v>0</v>
      </c>
      <c r="FF274" s="239">
        <v>0</v>
      </c>
      <c r="FG274" s="239">
        <v>0</v>
      </c>
      <c r="FH274" s="239">
        <v>0</v>
      </c>
      <c r="FI274" s="239">
        <v>0</v>
      </c>
      <c r="FJ274" s="239">
        <v>0</v>
      </c>
      <c r="FK274" s="239">
        <v>0</v>
      </c>
      <c r="FL274" s="239">
        <v>116217019</v>
      </c>
      <c r="FM274" s="239">
        <v>0</v>
      </c>
      <c r="FN274" s="239">
        <v>116217019</v>
      </c>
      <c r="FO274" s="239">
        <v>7739540</v>
      </c>
      <c r="FP274" s="239">
        <v>0</v>
      </c>
      <c r="FQ274" s="239">
        <v>7739540</v>
      </c>
      <c r="FR274" s="239">
        <v>-8189121</v>
      </c>
      <c r="FS274" s="239">
        <v>0</v>
      </c>
      <c r="FT274" s="239">
        <v>-8189121</v>
      </c>
      <c r="FU274" s="239">
        <v>-3661275</v>
      </c>
      <c r="FV274" s="239">
        <v>0</v>
      </c>
      <c r="FW274" s="239">
        <v>-3661275</v>
      </c>
      <c r="FX274" s="239">
        <v>-286399</v>
      </c>
      <c r="FY274" s="239">
        <v>0</v>
      </c>
      <c r="FZ274" s="239">
        <v>-286399</v>
      </c>
      <c r="GA274" s="239">
        <v>-184683</v>
      </c>
      <c r="GB274" s="239">
        <v>0</v>
      </c>
      <c r="GC274" s="239">
        <v>-184683</v>
      </c>
      <c r="GD274" s="239">
        <v>0</v>
      </c>
      <c r="GE274" s="239">
        <v>0</v>
      </c>
      <c r="GF274" s="239">
        <v>0</v>
      </c>
      <c r="GG274" s="239">
        <v>-4581938</v>
      </c>
      <c r="GH274" s="239">
        <v>0</v>
      </c>
      <c r="GI274" s="239">
        <v>-4581938</v>
      </c>
      <c r="GJ274" s="239">
        <v>111635081</v>
      </c>
      <c r="GK274" s="239">
        <v>0</v>
      </c>
      <c r="GL274" s="239">
        <v>111635081</v>
      </c>
      <c r="GM274" s="214" t="s">
        <v>746</v>
      </c>
    </row>
    <row r="275" spans="2:195" s="214" customFormat="1" x14ac:dyDescent="0.2">
      <c r="B275" s="602" t="s">
        <v>633</v>
      </c>
      <c r="C275" s="602" t="s">
        <v>632</v>
      </c>
      <c r="D275" s="239">
        <v>-1697592</v>
      </c>
      <c r="E275" s="239">
        <v>0</v>
      </c>
      <c r="F275" s="239">
        <v>-1697592</v>
      </c>
      <c r="G275" s="239">
        <v>154518</v>
      </c>
      <c r="H275" s="239">
        <v>0</v>
      </c>
      <c r="I275" s="239">
        <v>154518</v>
      </c>
      <c r="J275" s="239">
        <v>4691669</v>
      </c>
      <c r="K275" s="239">
        <v>0</v>
      </c>
      <c r="L275" s="239">
        <v>4691669</v>
      </c>
      <c r="M275" s="239">
        <v>35406</v>
      </c>
      <c r="N275" s="239">
        <v>0</v>
      </c>
      <c r="O275" s="239">
        <v>35406</v>
      </c>
      <c r="P275" s="239">
        <v>3184001</v>
      </c>
      <c r="Q275" s="239">
        <v>0</v>
      </c>
      <c r="R275" s="239">
        <v>3184001</v>
      </c>
      <c r="S275" s="239">
        <v>-8561758</v>
      </c>
      <c r="T275" s="239">
        <v>0</v>
      </c>
      <c r="U275" s="239">
        <v>-8561758</v>
      </c>
      <c r="V275" s="239">
        <v>0</v>
      </c>
      <c r="W275" s="239">
        <v>0</v>
      </c>
      <c r="X275" s="239">
        <v>0</v>
      </c>
      <c r="Y275" s="239">
        <v>-341213</v>
      </c>
      <c r="Z275" s="239">
        <v>0</v>
      </c>
      <c r="AA275" s="239">
        <v>-341213</v>
      </c>
      <c r="AB275" s="239">
        <v>0</v>
      </c>
      <c r="AC275" s="239">
        <v>0</v>
      </c>
      <c r="AD275" s="239">
        <v>0</v>
      </c>
      <c r="AE275" s="239">
        <v>0</v>
      </c>
      <c r="AF275" s="239">
        <v>0</v>
      </c>
      <c r="AG275" s="239">
        <v>0</v>
      </c>
      <c r="AH275" s="239">
        <v>1243867</v>
      </c>
      <c r="AI275" s="239">
        <v>0</v>
      </c>
      <c r="AJ275" s="239">
        <v>1243867</v>
      </c>
      <c r="AK275" s="239">
        <v>-63550</v>
      </c>
      <c r="AL275" s="239">
        <v>0</v>
      </c>
      <c r="AM275" s="239">
        <v>-63550</v>
      </c>
      <c r="AN275" s="239">
        <v>-3747594</v>
      </c>
      <c r="AO275" s="239">
        <v>0</v>
      </c>
      <c r="AP275" s="239">
        <v>-3747594</v>
      </c>
      <c r="AQ275" s="239">
        <v>236443</v>
      </c>
      <c r="AR275" s="239">
        <v>0</v>
      </c>
      <c r="AS275" s="239">
        <v>236443</v>
      </c>
      <c r="AT275" s="239">
        <v>-143125</v>
      </c>
      <c r="AU275" s="239">
        <v>0</v>
      </c>
      <c r="AV275" s="239">
        <v>-143125</v>
      </c>
      <c r="AW275" s="239">
        <v>8838</v>
      </c>
      <c r="AX275" s="239">
        <v>0</v>
      </c>
      <c r="AY275" s="239">
        <v>8838</v>
      </c>
      <c r="AZ275" s="239">
        <v>0</v>
      </c>
      <c r="BA275" s="239">
        <v>0</v>
      </c>
      <c r="BB275" s="239">
        <v>0</v>
      </c>
      <c r="BC275" s="239">
        <v>0</v>
      </c>
      <c r="BD275" s="239">
        <v>0</v>
      </c>
      <c r="BE275" s="239">
        <v>0</v>
      </c>
      <c r="BF275" s="239">
        <v>-11368092</v>
      </c>
      <c r="BG275" s="239">
        <v>0</v>
      </c>
      <c r="BH275" s="239">
        <v>-11368092</v>
      </c>
      <c r="BI275" s="239">
        <v>0</v>
      </c>
      <c r="BJ275" s="239">
        <v>0</v>
      </c>
      <c r="BK275" s="239">
        <v>0</v>
      </c>
      <c r="BL275" s="239">
        <v>-8358</v>
      </c>
      <c r="BM275" s="239">
        <v>0</v>
      </c>
      <c r="BN275" s="239">
        <v>-8358</v>
      </c>
      <c r="BO275" s="239">
        <v>-1652295</v>
      </c>
      <c r="BP275" s="239">
        <v>0</v>
      </c>
      <c r="BQ275" s="239">
        <v>-1652295</v>
      </c>
      <c r="BR275" s="239">
        <v>-11442</v>
      </c>
      <c r="BS275" s="239">
        <v>0</v>
      </c>
      <c r="BT275" s="239">
        <v>-11442</v>
      </c>
      <c r="BU275" s="239">
        <v>-1672095</v>
      </c>
      <c r="BV275" s="239">
        <v>0</v>
      </c>
      <c r="BW275" s="239">
        <v>-1672095</v>
      </c>
      <c r="BX275" s="239">
        <v>-19887</v>
      </c>
      <c r="BY275" s="239">
        <v>0</v>
      </c>
      <c r="BZ275" s="239">
        <v>-19887</v>
      </c>
      <c r="CA275" s="239">
        <v>-1791</v>
      </c>
      <c r="CB275" s="239">
        <v>0</v>
      </c>
      <c r="CC275" s="239">
        <v>-1791</v>
      </c>
      <c r="CD275" s="239">
        <v>-25351</v>
      </c>
      <c r="CE275" s="239">
        <v>0</v>
      </c>
      <c r="CF275" s="239">
        <v>-25351</v>
      </c>
      <c r="CG275" s="239">
        <v>-9313</v>
      </c>
      <c r="CH275" s="239">
        <v>0</v>
      </c>
      <c r="CI275" s="239">
        <v>-9313</v>
      </c>
      <c r="CJ275" s="239">
        <v>-1792</v>
      </c>
      <c r="CK275" s="239">
        <v>0</v>
      </c>
      <c r="CL275" s="239">
        <v>-1792</v>
      </c>
      <c r="CM275" s="239">
        <v>0</v>
      </c>
      <c r="CN275" s="239">
        <v>0</v>
      </c>
      <c r="CO275" s="239">
        <v>0</v>
      </c>
      <c r="CP275" s="239">
        <v>0</v>
      </c>
      <c r="CQ275" s="239">
        <v>0</v>
      </c>
      <c r="CR275" s="239">
        <v>0</v>
      </c>
      <c r="CS275" s="239">
        <v>0</v>
      </c>
      <c r="CT275" s="239">
        <v>0</v>
      </c>
      <c r="CU275" s="239">
        <v>0</v>
      </c>
      <c r="CV275" s="239">
        <v>0</v>
      </c>
      <c r="CW275" s="239">
        <v>0</v>
      </c>
      <c r="CX275" s="239">
        <v>0</v>
      </c>
      <c r="CY275" s="239">
        <v>0</v>
      </c>
      <c r="CZ275" s="239">
        <v>0</v>
      </c>
      <c r="DA275" s="239">
        <v>0</v>
      </c>
      <c r="DB275" s="239">
        <v>0</v>
      </c>
      <c r="DC275" s="239">
        <v>0</v>
      </c>
      <c r="DD275" s="239">
        <v>0</v>
      </c>
      <c r="DE275" s="239">
        <v>0</v>
      </c>
      <c r="DF275" s="239">
        <v>0</v>
      </c>
      <c r="DG275" s="239">
        <v>0</v>
      </c>
      <c r="DH275" s="239">
        <v>0</v>
      </c>
      <c r="DI275" s="239">
        <v>0</v>
      </c>
      <c r="DJ275" s="239">
        <v>-58134</v>
      </c>
      <c r="DK275" s="239">
        <v>0</v>
      </c>
      <c r="DL275" s="239">
        <v>-58134</v>
      </c>
      <c r="DM275" s="239">
        <v>0</v>
      </c>
      <c r="DN275" s="239">
        <v>0</v>
      </c>
      <c r="DO275" s="239">
        <v>0</v>
      </c>
      <c r="DP275" s="239">
        <v>0</v>
      </c>
      <c r="DQ275" s="239">
        <v>0</v>
      </c>
      <c r="DR275" s="239">
        <v>0</v>
      </c>
      <c r="DS275" s="239">
        <v>-332</v>
      </c>
      <c r="DT275" s="239">
        <v>0</v>
      </c>
      <c r="DU275" s="239">
        <v>-332</v>
      </c>
      <c r="DV275" s="239">
        <v>2608</v>
      </c>
      <c r="DW275" s="239">
        <v>0</v>
      </c>
      <c r="DX275" s="239">
        <v>2608</v>
      </c>
      <c r="DY275" s="239">
        <v>0</v>
      </c>
      <c r="DZ275" s="239">
        <v>0</v>
      </c>
      <c r="EA275" s="239">
        <v>0</v>
      </c>
      <c r="EB275" s="239">
        <v>0</v>
      </c>
      <c r="EC275" s="239">
        <v>0</v>
      </c>
      <c r="ED275" s="239">
        <v>0</v>
      </c>
      <c r="EE275" s="239">
        <v>0</v>
      </c>
      <c r="EF275" s="239">
        <v>0</v>
      </c>
      <c r="EG275" s="239">
        <v>0</v>
      </c>
      <c r="EH275" s="239">
        <v>0</v>
      </c>
      <c r="EI275" s="239">
        <v>0</v>
      </c>
      <c r="EJ275" s="239">
        <v>0</v>
      </c>
      <c r="EK275" s="239">
        <v>0</v>
      </c>
      <c r="EL275" s="239">
        <v>0</v>
      </c>
      <c r="EM275" s="239">
        <v>0</v>
      </c>
      <c r="EN275" s="239">
        <v>-1500</v>
      </c>
      <c r="EO275" s="239">
        <v>0</v>
      </c>
      <c r="EP275" s="239">
        <v>-1500</v>
      </c>
      <c r="EQ275" s="239">
        <v>-30386</v>
      </c>
      <c r="ER275" s="239">
        <v>0</v>
      </c>
      <c r="ES275" s="239">
        <v>-30386</v>
      </c>
      <c r="ET275" s="239">
        <v>-277958</v>
      </c>
      <c r="EU275" s="239">
        <v>0</v>
      </c>
      <c r="EV275" s="239">
        <v>-277958</v>
      </c>
      <c r="EW275" s="239">
        <v>-62208</v>
      </c>
      <c r="EX275" s="239">
        <v>0</v>
      </c>
      <c r="EY275" s="239">
        <v>-62208</v>
      </c>
      <c r="EZ275" s="239">
        <v>-369776</v>
      </c>
      <c r="FA275" s="239">
        <v>0</v>
      </c>
      <c r="FB275" s="239">
        <v>-369776</v>
      </c>
      <c r="FC275" s="239">
        <v>0</v>
      </c>
      <c r="FD275" s="239">
        <v>0</v>
      </c>
      <c r="FE275" s="239">
        <v>0</v>
      </c>
      <c r="FF275" s="239">
        <v>0</v>
      </c>
      <c r="FG275" s="239">
        <v>0</v>
      </c>
      <c r="FH275" s="239">
        <v>0</v>
      </c>
      <c r="FI275" s="239">
        <v>0</v>
      </c>
      <c r="FJ275" s="239">
        <v>0</v>
      </c>
      <c r="FK275" s="239">
        <v>0</v>
      </c>
      <c r="FL275" s="239">
        <v>66282747</v>
      </c>
      <c r="FM275" s="239">
        <v>0</v>
      </c>
      <c r="FN275" s="239">
        <v>66282747</v>
      </c>
      <c r="FO275" s="239">
        <v>3184001</v>
      </c>
      <c r="FP275" s="239">
        <v>0</v>
      </c>
      <c r="FQ275" s="239">
        <v>3184001</v>
      </c>
      <c r="FR275" s="239">
        <v>-11368092</v>
      </c>
      <c r="FS275" s="239">
        <v>0</v>
      </c>
      <c r="FT275" s="239">
        <v>-11368092</v>
      </c>
      <c r="FU275" s="239">
        <v>-1672095</v>
      </c>
      <c r="FV275" s="239">
        <v>0</v>
      </c>
      <c r="FW275" s="239">
        <v>-1672095</v>
      </c>
      <c r="FX275" s="239">
        <v>-58134</v>
      </c>
      <c r="FY275" s="239">
        <v>0</v>
      </c>
      <c r="FZ275" s="239">
        <v>-58134</v>
      </c>
      <c r="GA275" s="239">
        <v>-369776</v>
      </c>
      <c r="GB275" s="239">
        <v>0</v>
      </c>
      <c r="GC275" s="239">
        <v>-369776</v>
      </c>
      <c r="GD275" s="239">
        <v>0</v>
      </c>
      <c r="GE275" s="239">
        <v>0</v>
      </c>
      <c r="GF275" s="239">
        <v>0</v>
      </c>
      <c r="GG275" s="239">
        <v>-10284096</v>
      </c>
      <c r="GH275" s="239">
        <v>0</v>
      </c>
      <c r="GI275" s="239">
        <v>-10284096</v>
      </c>
      <c r="GJ275" s="239">
        <v>55998651</v>
      </c>
      <c r="GK275" s="239">
        <v>0</v>
      </c>
      <c r="GL275" s="239">
        <v>55998651</v>
      </c>
      <c r="GM275" s="214" t="s">
        <v>1160</v>
      </c>
    </row>
    <row r="276" spans="2:195" s="214" customFormat="1" x14ac:dyDescent="0.2">
      <c r="B276" s="602" t="s">
        <v>635</v>
      </c>
      <c r="C276" s="602" t="s">
        <v>634</v>
      </c>
      <c r="D276" s="239">
        <v>-999683</v>
      </c>
      <c r="E276" s="239">
        <v>0</v>
      </c>
      <c r="F276" s="239">
        <v>-999683</v>
      </c>
      <c r="G276" s="239">
        <v>3128</v>
      </c>
      <c r="H276" s="239">
        <v>0</v>
      </c>
      <c r="I276" s="239">
        <v>3128</v>
      </c>
      <c r="J276" s="239">
        <v>2217673</v>
      </c>
      <c r="K276" s="239">
        <v>0</v>
      </c>
      <c r="L276" s="239">
        <v>2217673</v>
      </c>
      <c r="M276" s="239">
        <v>199594</v>
      </c>
      <c r="N276" s="239">
        <v>0</v>
      </c>
      <c r="O276" s="239">
        <v>199594</v>
      </c>
      <c r="P276" s="239">
        <v>1420712</v>
      </c>
      <c r="Q276" s="239">
        <v>0</v>
      </c>
      <c r="R276" s="239">
        <v>1420712</v>
      </c>
      <c r="S276" s="239">
        <v>-2004246</v>
      </c>
      <c r="T276" s="239">
        <v>0</v>
      </c>
      <c r="U276" s="239">
        <v>-2004246</v>
      </c>
      <c r="V276" s="239">
        <v>0</v>
      </c>
      <c r="W276" s="239">
        <v>0</v>
      </c>
      <c r="X276" s="239">
        <v>0</v>
      </c>
      <c r="Y276" s="239">
        <v>-89806</v>
      </c>
      <c r="Z276" s="239">
        <v>0</v>
      </c>
      <c r="AA276" s="239">
        <v>-89806</v>
      </c>
      <c r="AB276" s="239">
        <v>-73184</v>
      </c>
      <c r="AC276" s="239">
        <v>0</v>
      </c>
      <c r="AD276" s="239">
        <v>-73184</v>
      </c>
      <c r="AE276" s="239">
        <v>0</v>
      </c>
      <c r="AF276" s="239">
        <v>0</v>
      </c>
      <c r="AG276" s="239">
        <v>0</v>
      </c>
      <c r="AH276" s="239">
        <v>825070</v>
      </c>
      <c r="AI276" s="239">
        <v>0</v>
      </c>
      <c r="AJ276" s="239">
        <v>825070</v>
      </c>
      <c r="AK276" s="239">
        <v>-15054</v>
      </c>
      <c r="AL276" s="239">
        <v>0</v>
      </c>
      <c r="AM276" s="239">
        <v>-15054</v>
      </c>
      <c r="AN276" s="239">
        <v>-1314146</v>
      </c>
      <c r="AO276" s="239">
        <v>0</v>
      </c>
      <c r="AP276" s="239">
        <v>-1314146</v>
      </c>
      <c r="AQ276" s="239">
        <v>-4717</v>
      </c>
      <c r="AR276" s="239">
        <v>0</v>
      </c>
      <c r="AS276" s="239">
        <v>-4717</v>
      </c>
      <c r="AT276" s="239">
        <v>-42520</v>
      </c>
      <c r="AU276" s="239">
        <v>0</v>
      </c>
      <c r="AV276" s="239">
        <v>-42520</v>
      </c>
      <c r="AW276" s="239">
        <v>0</v>
      </c>
      <c r="AX276" s="239">
        <v>0</v>
      </c>
      <c r="AY276" s="239">
        <v>0</v>
      </c>
      <c r="AZ276" s="239">
        <v>0</v>
      </c>
      <c r="BA276" s="239">
        <v>0</v>
      </c>
      <c r="BB276" s="239">
        <v>0</v>
      </c>
      <c r="BC276" s="239">
        <v>0</v>
      </c>
      <c r="BD276" s="239">
        <v>0</v>
      </c>
      <c r="BE276" s="239">
        <v>0</v>
      </c>
      <c r="BF276" s="239">
        <v>-2645419</v>
      </c>
      <c r="BG276" s="239">
        <v>0</v>
      </c>
      <c r="BH276" s="239">
        <v>-2645419</v>
      </c>
      <c r="BI276" s="239">
        <v>-24256</v>
      </c>
      <c r="BJ276" s="239">
        <v>0</v>
      </c>
      <c r="BK276" s="239">
        <v>-24256</v>
      </c>
      <c r="BL276" s="239">
        <v>-297</v>
      </c>
      <c r="BM276" s="239">
        <v>0</v>
      </c>
      <c r="BN276" s="239">
        <v>-297</v>
      </c>
      <c r="BO276" s="239">
        <v>-1372113</v>
      </c>
      <c r="BP276" s="239">
        <v>0</v>
      </c>
      <c r="BQ276" s="239">
        <v>-1372113</v>
      </c>
      <c r="BR276" s="239">
        <v>-69299</v>
      </c>
      <c r="BS276" s="239">
        <v>0</v>
      </c>
      <c r="BT276" s="239">
        <v>-69299</v>
      </c>
      <c r="BU276" s="239">
        <v>-1465965</v>
      </c>
      <c r="BV276" s="239">
        <v>0</v>
      </c>
      <c r="BW276" s="239">
        <v>-1465965</v>
      </c>
      <c r="BX276" s="239">
        <v>-17825</v>
      </c>
      <c r="BY276" s="239">
        <v>0</v>
      </c>
      <c r="BZ276" s="239">
        <v>-17825</v>
      </c>
      <c r="CA276" s="239">
        <v>416</v>
      </c>
      <c r="CB276" s="239">
        <v>0</v>
      </c>
      <c r="CC276" s="239">
        <v>416</v>
      </c>
      <c r="CD276" s="239">
        <v>-2126</v>
      </c>
      <c r="CE276" s="239">
        <v>0</v>
      </c>
      <c r="CF276" s="239">
        <v>-2126</v>
      </c>
      <c r="CG276" s="239">
        <v>0</v>
      </c>
      <c r="CH276" s="239">
        <v>0</v>
      </c>
      <c r="CI276" s="239">
        <v>0</v>
      </c>
      <c r="CJ276" s="239">
        <v>-1035</v>
      </c>
      <c r="CK276" s="239">
        <v>0</v>
      </c>
      <c r="CL276" s="239">
        <v>-1035</v>
      </c>
      <c r="CM276" s="239">
        <v>0</v>
      </c>
      <c r="CN276" s="239">
        <v>0</v>
      </c>
      <c r="CO276" s="239">
        <v>0</v>
      </c>
      <c r="CP276" s="239">
        <v>0</v>
      </c>
      <c r="CQ276" s="239">
        <v>0</v>
      </c>
      <c r="CR276" s="239">
        <v>0</v>
      </c>
      <c r="CS276" s="239">
        <v>0</v>
      </c>
      <c r="CT276" s="239">
        <v>0</v>
      </c>
      <c r="CU276" s="239">
        <v>0</v>
      </c>
      <c r="CV276" s="239">
        <v>0</v>
      </c>
      <c r="CW276" s="239">
        <v>0</v>
      </c>
      <c r="CX276" s="239">
        <v>0</v>
      </c>
      <c r="CY276" s="239">
        <v>0</v>
      </c>
      <c r="CZ276" s="239">
        <v>0</v>
      </c>
      <c r="DA276" s="239">
        <v>0</v>
      </c>
      <c r="DB276" s="239">
        <v>0</v>
      </c>
      <c r="DC276" s="239">
        <v>0</v>
      </c>
      <c r="DD276" s="239">
        <v>0</v>
      </c>
      <c r="DE276" s="239">
        <v>0</v>
      </c>
      <c r="DF276" s="239">
        <v>0</v>
      </c>
      <c r="DG276" s="239">
        <v>0</v>
      </c>
      <c r="DH276" s="239">
        <v>0</v>
      </c>
      <c r="DI276" s="239">
        <v>0</v>
      </c>
      <c r="DJ276" s="239">
        <v>-20570</v>
      </c>
      <c r="DK276" s="239">
        <v>0</v>
      </c>
      <c r="DL276" s="239">
        <v>-20570</v>
      </c>
      <c r="DM276" s="239">
        <v>0</v>
      </c>
      <c r="DN276" s="239">
        <v>0</v>
      </c>
      <c r="DO276" s="239">
        <v>0</v>
      </c>
      <c r="DP276" s="239">
        <v>0</v>
      </c>
      <c r="DQ276" s="239">
        <v>0</v>
      </c>
      <c r="DR276" s="239">
        <v>0</v>
      </c>
      <c r="DS276" s="239">
        <v>0</v>
      </c>
      <c r="DT276" s="239">
        <v>0</v>
      </c>
      <c r="DU276" s="239">
        <v>0</v>
      </c>
      <c r="DV276" s="239">
        <v>-706</v>
      </c>
      <c r="DW276" s="239">
        <v>0</v>
      </c>
      <c r="DX276" s="239">
        <v>-706</v>
      </c>
      <c r="DY276" s="239">
        <v>2512</v>
      </c>
      <c r="DZ276" s="239">
        <v>0</v>
      </c>
      <c r="EA276" s="239">
        <v>2512</v>
      </c>
      <c r="EB276" s="239">
        <v>0</v>
      </c>
      <c r="EC276" s="239">
        <v>0</v>
      </c>
      <c r="ED276" s="239">
        <v>0</v>
      </c>
      <c r="EE276" s="239">
        <v>0</v>
      </c>
      <c r="EF276" s="239">
        <v>0</v>
      </c>
      <c r="EG276" s="239">
        <v>0</v>
      </c>
      <c r="EH276" s="239">
        <v>0</v>
      </c>
      <c r="EI276" s="239">
        <v>0</v>
      </c>
      <c r="EJ276" s="239">
        <v>0</v>
      </c>
      <c r="EK276" s="239">
        <v>0</v>
      </c>
      <c r="EL276" s="239">
        <v>0</v>
      </c>
      <c r="EM276" s="239">
        <v>0</v>
      </c>
      <c r="EN276" s="239">
        <v>-1500</v>
      </c>
      <c r="EO276" s="239">
        <v>0</v>
      </c>
      <c r="EP276" s="239">
        <v>-1500</v>
      </c>
      <c r="EQ276" s="239">
        <v>-7446</v>
      </c>
      <c r="ER276" s="239">
        <v>0</v>
      </c>
      <c r="ES276" s="239">
        <v>-7446</v>
      </c>
      <c r="ET276" s="239">
        <v>-208103</v>
      </c>
      <c r="EU276" s="239">
        <v>0</v>
      </c>
      <c r="EV276" s="239">
        <v>-208103</v>
      </c>
      <c r="EW276" s="239">
        <v>-21197</v>
      </c>
      <c r="EX276" s="239">
        <v>0</v>
      </c>
      <c r="EY276" s="239">
        <v>-21197</v>
      </c>
      <c r="EZ276" s="239">
        <v>-236440</v>
      </c>
      <c r="FA276" s="239">
        <v>0</v>
      </c>
      <c r="FB276" s="239">
        <v>-236440</v>
      </c>
      <c r="FC276" s="239">
        <v>0</v>
      </c>
      <c r="FD276" s="239">
        <v>0</v>
      </c>
      <c r="FE276" s="239">
        <v>0</v>
      </c>
      <c r="FF276" s="239">
        <v>0</v>
      </c>
      <c r="FG276" s="239">
        <v>0</v>
      </c>
      <c r="FH276" s="239">
        <v>0</v>
      </c>
      <c r="FI276" s="239">
        <v>0</v>
      </c>
      <c r="FJ276" s="239">
        <v>0</v>
      </c>
      <c r="FK276" s="239">
        <v>0</v>
      </c>
      <c r="FL276" s="239">
        <v>37474931</v>
      </c>
      <c r="FM276" s="239">
        <v>0</v>
      </c>
      <c r="FN276" s="239">
        <v>37474931</v>
      </c>
      <c r="FO276" s="239">
        <v>1420712</v>
      </c>
      <c r="FP276" s="239">
        <v>0</v>
      </c>
      <c r="FQ276" s="239">
        <v>1420712</v>
      </c>
      <c r="FR276" s="239">
        <v>-2645419</v>
      </c>
      <c r="FS276" s="239">
        <v>0</v>
      </c>
      <c r="FT276" s="239">
        <v>-2645419</v>
      </c>
      <c r="FU276" s="239">
        <v>-1465965</v>
      </c>
      <c r="FV276" s="239">
        <v>0</v>
      </c>
      <c r="FW276" s="239">
        <v>-1465965</v>
      </c>
      <c r="FX276" s="239">
        <v>-20570</v>
      </c>
      <c r="FY276" s="239">
        <v>0</v>
      </c>
      <c r="FZ276" s="239">
        <v>-20570</v>
      </c>
      <c r="GA276" s="239">
        <v>-236440</v>
      </c>
      <c r="GB276" s="239">
        <v>0</v>
      </c>
      <c r="GC276" s="239">
        <v>-236440</v>
      </c>
      <c r="GD276" s="239">
        <v>0</v>
      </c>
      <c r="GE276" s="239">
        <v>0</v>
      </c>
      <c r="GF276" s="239">
        <v>0</v>
      </c>
      <c r="GG276" s="239">
        <v>-2947682</v>
      </c>
      <c r="GH276" s="239">
        <v>0</v>
      </c>
      <c r="GI276" s="239">
        <v>-2947682</v>
      </c>
      <c r="GJ276" s="239">
        <v>34527249</v>
      </c>
      <c r="GK276" s="239">
        <v>0</v>
      </c>
      <c r="GL276" s="239">
        <v>34527249</v>
      </c>
      <c r="GM276" s="214" t="s">
        <v>1158</v>
      </c>
    </row>
    <row r="277" spans="2:195" s="214" customFormat="1" x14ac:dyDescent="0.2">
      <c r="B277" s="602" t="s">
        <v>637</v>
      </c>
      <c r="C277" s="602" t="s">
        <v>636</v>
      </c>
      <c r="D277" s="239">
        <v>-1847613</v>
      </c>
      <c r="E277" s="239">
        <v>0</v>
      </c>
      <c r="F277" s="239">
        <v>-1847613</v>
      </c>
      <c r="G277" s="239">
        <v>-13038</v>
      </c>
      <c r="H277" s="239">
        <v>0</v>
      </c>
      <c r="I277" s="239">
        <v>-13038</v>
      </c>
      <c r="J277" s="239">
        <v>375718</v>
      </c>
      <c r="K277" s="239">
        <v>0</v>
      </c>
      <c r="L277" s="239">
        <v>375718</v>
      </c>
      <c r="M277" s="239">
        <v>-8353</v>
      </c>
      <c r="N277" s="239">
        <v>0</v>
      </c>
      <c r="O277" s="239">
        <v>-8353</v>
      </c>
      <c r="P277" s="239">
        <v>-1493286</v>
      </c>
      <c r="Q277" s="239">
        <v>0</v>
      </c>
      <c r="R277" s="239">
        <v>-1493286</v>
      </c>
      <c r="S277" s="239">
        <v>-3020301</v>
      </c>
      <c r="T277" s="239">
        <v>0</v>
      </c>
      <c r="U277" s="239">
        <v>-3020301</v>
      </c>
      <c r="V277" s="239">
        <v>0</v>
      </c>
      <c r="W277" s="239">
        <v>0</v>
      </c>
      <c r="X277" s="239">
        <v>0</v>
      </c>
      <c r="Y277" s="239">
        <v>-28427</v>
      </c>
      <c r="Z277" s="239">
        <v>0</v>
      </c>
      <c r="AA277" s="239">
        <v>-28427</v>
      </c>
      <c r="AB277" s="239">
        <v>-33955</v>
      </c>
      <c r="AC277" s="239">
        <v>0</v>
      </c>
      <c r="AD277" s="239">
        <v>-33955</v>
      </c>
      <c r="AE277" s="239">
        <v>0</v>
      </c>
      <c r="AF277" s="239">
        <v>0</v>
      </c>
      <c r="AG277" s="239">
        <v>0</v>
      </c>
      <c r="AH277" s="239">
        <v>454012</v>
      </c>
      <c r="AI277" s="239">
        <v>0</v>
      </c>
      <c r="AJ277" s="239">
        <v>454012</v>
      </c>
      <c r="AK277" s="239">
        <v>-32958</v>
      </c>
      <c r="AL277" s="239">
        <v>0</v>
      </c>
      <c r="AM277" s="239">
        <v>-32958</v>
      </c>
      <c r="AN277" s="239">
        <v>-3204316</v>
      </c>
      <c r="AO277" s="239">
        <v>0</v>
      </c>
      <c r="AP277" s="239">
        <v>-3204316</v>
      </c>
      <c r="AQ277" s="239">
        <v>-4576</v>
      </c>
      <c r="AR277" s="239">
        <v>0</v>
      </c>
      <c r="AS277" s="239">
        <v>-4576</v>
      </c>
      <c r="AT277" s="239">
        <v>-32806</v>
      </c>
      <c r="AU277" s="239">
        <v>0</v>
      </c>
      <c r="AV277" s="239">
        <v>-32806</v>
      </c>
      <c r="AW277" s="239">
        <v>0</v>
      </c>
      <c r="AX277" s="239">
        <v>0</v>
      </c>
      <c r="AY277" s="239">
        <v>0</v>
      </c>
      <c r="AZ277" s="239">
        <v>-15956</v>
      </c>
      <c r="BA277" s="239">
        <v>0</v>
      </c>
      <c r="BB277" s="239">
        <v>-15956</v>
      </c>
      <c r="BC277" s="239">
        <v>0</v>
      </c>
      <c r="BD277" s="239">
        <v>0</v>
      </c>
      <c r="BE277" s="239">
        <v>0</v>
      </c>
      <c r="BF277" s="239">
        <v>-5885328</v>
      </c>
      <c r="BG277" s="239">
        <v>0</v>
      </c>
      <c r="BH277" s="239">
        <v>-5885328</v>
      </c>
      <c r="BI277" s="239">
        <v>-4055</v>
      </c>
      <c r="BJ277" s="239">
        <v>0</v>
      </c>
      <c r="BK277" s="239">
        <v>-4055</v>
      </c>
      <c r="BL277" s="239">
        <v>0</v>
      </c>
      <c r="BM277" s="239">
        <v>0</v>
      </c>
      <c r="BN277" s="239">
        <v>0</v>
      </c>
      <c r="BO277" s="239">
        <v>-554131</v>
      </c>
      <c r="BP277" s="239">
        <v>0</v>
      </c>
      <c r="BQ277" s="239">
        <v>-554131</v>
      </c>
      <c r="BR277" s="239">
        <v>-23164</v>
      </c>
      <c r="BS277" s="239">
        <v>0</v>
      </c>
      <c r="BT277" s="239">
        <v>-23164</v>
      </c>
      <c r="BU277" s="239">
        <v>-581350</v>
      </c>
      <c r="BV277" s="239">
        <v>0</v>
      </c>
      <c r="BW277" s="239">
        <v>-581350</v>
      </c>
      <c r="BX277" s="239">
        <v>-49186</v>
      </c>
      <c r="BY277" s="239">
        <v>0</v>
      </c>
      <c r="BZ277" s="239">
        <v>-49186</v>
      </c>
      <c r="CA277" s="239">
        <v>276</v>
      </c>
      <c r="CB277" s="239">
        <v>0</v>
      </c>
      <c r="CC277" s="239">
        <v>276</v>
      </c>
      <c r="CD277" s="239">
        <v>-11748</v>
      </c>
      <c r="CE277" s="239">
        <v>0</v>
      </c>
      <c r="CF277" s="239">
        <v>-11748</v>
      </c>
      <c r="CG277" s="239">
        <v>0</v>
      </c>
      <c r="CH277" s="239">
        <v>0</v>
      </c>
      <c r="CI277" s="239">
        <v>0</v>
      </c>
      <c r="CJ277" s="239">
        <v>-74</v>
      </c>
      <c r="CK277" s="239">
        <v>0</v>
      </c>
      <c r="CL277" s="239">
        <v>-74</v>
      </c>
      <c r="CM277" s="239">
        <v>0</v>
      </c>
      <c r="CN277" s="239">
        <v>0</v>
      </c>
      <c r="CO277" s="239">
        <v>0</v>
      </c>
      <c r="CP277" s="239">
        <v>0</v>
      </c>
      <c r="CQ277" s="239">
        <v>0</v>
      </c>
      <c r="CR277" s="239">
        <v>0</v>
      </c>
      <c r="CS277" s="239">
        <v>0</v>
      </c>
      <c r="CT277" s="239">
        <v>0</v>
      </c>
      <c r="CU277" s="239">
        <v>0</v>
      </c>
      <c r="CV277" s="239">
        <v>0</v>
      </c>
      <c r="CW277" s="239">
        <v>0</v>
      </c>
      <c r="CX277" s="239">
        <v>0</v>
      </c>
      <c r="CY277" s="239">
        <v>0</v>
      </c>
      <c r="CZ277" s="239">
        <v>0</v>
      </c>
      <c r="DA277" s="239">
        <v>0</v>
      </c>
      <c r="DB277" s="239">
        <v>0</v>
      </c>
      <c r="DC277" s="239">
        <v>0</v>
      </c>
      <c r="DD277" s="239">
        <v>0</v>
      </c>
      <c r="DE277" s="239">
        <v>0</v>
      </c>
      <c r="DF277" s="239">
        <v>0</v>
      </c>
      <c r="DG277" s="239">
        <v>0</v>
      </c>
      <c r="DH277" s="239">
        <v>0</v>
      </c>
      <c r="DI277" s="239">
        <v>0</v>
      </c>
      <c r="DJ277" s="239">
        <v>-60732</v>
      </c>
      <c r="DK277" s="239">
        <v>0</v>
      </c>
      <c r="DL277" s="239">
        <v>-60732</v>
      </c>
      <c r="DM277" s="239">
        <v>0</v>
      </c>
      <c r="DN277" s="239">
        <v>0</v>
      </c>
      <c r="DO277" s="239">
        <v>0</v>
      </c>
      <c r="DP277" s="239">
        <v>7458</v>
      </c>
      <c r="DQ277" s="239">
        <v>0</v>
      </c>
      <c r="DR277" s="239">
        <v>7458</v>
      </c>
      <c r="DS277" s="239">
        <v>0</v>
      </c>
      <c r="DT277" s="239">
        <v>0</v>
      </c>
      <c r="DU277" s="239">
        <v>0</v>
      </c>
      <c r="DV277" s="239">
        <v>0</v>
      </c>
      <c r="DW277" s="239">
        <v>0</v>
      </c>
      <c r="DX277" s="239">
        <v>0</v>
      </c>
      <c r="DY277" s="239">
        <v>2693</v>
      </c>
      <c r="DZ277" s="239">
        <v>0</v>
      </c>
      <c r="EA277" s="239">
        <v>2693</v>
      </c>
      <c r="EB277" s="239">
        <v>0</v>
      </c>
      <c r="EC277" s="239">
        <v>0</v>
      </c>
      <c r="ED277" s="239">
        <v>0</v>
      </c>
      <c r="EE277" s="239">
        <v>0</v>
      </c>
      <c r="EF277" s="239">
        <v>0</v>
      </c>
      <c r="EG277" s="239">
        <v>0</v>
      </c>
      <c r="EH277" s="239">
        <v>0</v>
      </c>
      <c r="EI277" s="239">
        <v>0</v>
      </c>
      <c r="EJ277" s="239">
        <v>0</v>
      </c>
      <c r="EK277" s="239">
        <v>-17675</v>
      </c>
      <c r="EL277" s="239">
        <v>0</v>
      </c>
      <c r="EM277" s="239">
        <v>-17675</v>
      </c>
      <c r="EN277" s="239">
        <v>0</v>
      </c>
      <c r="EO277" s="239">
        <v>0</v>
      </c>
      <c r="EP277" s="239">
        <v>0</v>
      </c>
      <c r="EQ277" s="239">
        <v>-75262</v>
      </c>
      <c r="ER277" s="239">
        <v>0</v>
      </c>
      <c r="ES277" s="239">
        <v>-75262</v>
      </c>
      <c r="ET277" s="239">
        <v>-194634</v>
      </c>
      <c r="EU277" s="239">
        <v>0</v>
      </c>
      <c r="EV277" s="239">
        <v>-194634</v>
      </c>
      <c r="EW277" s="239">
        <v>-39786</v>
      </c>
      <c r="EX277" s="239">
        <v>0</v>
      </c>
      <c r="EY277" s="239">
        <v>-39786</v>
      </c>
      <c r="EZ277" s="239">
        <v>-317206</v>
      </c>
      <c r="FA277" s="239">
        <v>0</v>
      </c>
      <c r="FB277" s="239">
        <v>-317206</v>
      </c>
      <c r="FC277" s="239">
        <v>0</v>
      </c>
      <c r="FD277" s="239">
        <v>0</v>
      </c>
      <c r="FE277" s="239">
        <v>0</v>
      </c>
      <c r="FF277" s="239">
        <v>0</v>
      </c>
      <c r="FG277" s="239">
        <v>0</v>
      </c>
      <c r="FH277" s="239">
        <v>0</v>
      </c>
      <c r="FI277" s="239">
        <v>0</v>
      </c>
      <c r="FJ277" s="239">
        <v>0</v>
      </c>
      <c r="FK277" s="239">
        <v>0</v>
      </c>
      <c r="FL277" s="239">
        <v>26406971</v>
      </c>
      <c r="FM277" s="239">
        <v>0</v>
      </c>
      <c r="FN277" s="239">
        <v>26406971</v>
      </c>
      <c r="FO277" s="239">
        <v>-1493286</v>
      </c>
      <c r="FP277" s="239">
        <v>0</v>
      </c>
      <c r="FQ277" s="239">
        <v>-1493286</v>
      </c>
      <c r="FR277" s="239">
        <v>-5885328</v>
      </c>
      <c r="FS277" s="239">
        <v>0</v>
      </c>
      <c r="FT277" s="239">
        <v>-5885328</v>
      </c>
      <c r="FU277" s="239">
        <v>-581350</v>
      </c>
      <c r="FV277" s="239">
        <v>0</v>
      </c>
      <c r="FW277" s="239">
        <v>-581350</v>
      </c>
      <c r="FX277" s="239">
        <v>-60732</v>
      </c>
      <c r="FY277" s="239">
        <v>0</v>
      </c>
      <c r="FZ277" s="239">
        <v>-60732</v>
      </c>
      <c r="GA277" s="239">
        <v>-317206</v>
      </c>
      <c r="GB277" s="239">
        <v>0</v>
      </c>
      <c r="GC277" s="239">
        <v>-317206</v>
      </c>
      <c r="GD277" s="239">
        <v>0</v>
      </c>
      <c r="GE277" s="239">
        <v>0</v>
      </c>
      <c r="GF277" s="239">
        <v>0</v>
      </c>
      <c r="GG277" s="239">
        <v>-8337902</v>
      </c>
      <c r="GH277" s="239">
        <v>0</v>
      </c>
      <c r="GI277" s="239">
        <v>-8337902</v>
      </c>
      <c r="GJ277" s="239">
        <v>18069069</v>
      </c>
      <c r="GK277" s="239">
        <v>0</v>
      </c>
      <c r="GL277" s="239">
        <v>18069069</v>
      </c>
      <c r="GM277" s="214" t="s">
        <v>1158</v>
      </c>
    </row>
    <row r="278" spans="2:195" s="214" customFormat="1" x14ac:dyDescent="0.2">
      <c r="B278" s="602" t="s">
        <v>639</v>
      </c>
      <c r="C278" s="602" t="s">
        <v>638</v>
      </c>
      <c r="D278" s="239">
        <v>-1653102</v>
      </c>
      <c r="E278" s="239">
        <v>0</v>
      </c>
      <c r="F278" s="239">
        <v>-1653102</v>
      </c>
      <c r="G278" s="239">
        <v>111487</v>
      </c>
      <c r="H278" s="239">
        <v>0</v>
      </c>
      <c r="I278" s="239">
        <v>111487</v>
      </c>
      <c r="J278" s="239">
        <v>3828543</v>
      </c>
      <c r="K278" s="239">
        <v>0</v>
      </c>
      <c r="L278" s="239">
        <v>3828543</v>
      </c>
      <c r="M278" s="239">
        <v>127539</v>
      </c>
      <c r="N278" s="239">
        <v>0</v>
      </c>
      <c r="O278" s="239">
        <v>127539</v>
      </c>
      <c r="P278" s="239">
        <v>2414467</v>
      </c>
      <c r="Q278" s="239">
        <v>0</v>
      </c>
      <c r="R278" s="239">
        <v>2414467</v>
      </c>
      <c r="S278" s="239">
        <v>-4117027</v>
      </c>
      <c r="T278" s="239">
        <v>0</v>
      </c>
      <c r="U278" s="239">
        <v>-4117027</v>
      </c>
      <c r="V278" s="239">
        <v>-42857</v>
      </c>
      <c r="W278" s="239">
        <v>0</v>
      </c>
      <c r="X278" s="239">
        <v>-42857</v>
      </c>
      <c r="Y278" s="239">
        <v>-228857</v>
      </c>
      <c r="Z278" s="239">
        <v>0</v>
      </c>
      <c r="AA278" s="239">
        <v>-228857</v>
      </c>
      <c r="AB278" s="239">
        <v>-223128</v>
      </c>
      <c r="AC278" s="239">
        <v>0</v>
      </c>
      <c r="AD278" s="239">
        <v>-223128</v>
      </c>
      <c r="AE278" s="239">
        <v>-312</v>
      </c>
      <c r="AF278" s="239">
        <v>0</v>
      </c>
      <c r="AG278" s="239">
        <v>-312</v>
      </c>
      <c r="AH278" s="239">
        <v>895664</v>
      </c>
      <c r="AI278" s="239">
        <v>0</v>
      </c>
      <c r="AJ278" s="239">
        <v>895664</v>
      </c>
      <c r="AK278" s="239">
        <v>-20421</v>
      </c>
      <c r="AL278" s="239">
        <v>0</v>
      </c>
      <c r="AM278" s="239">
        <v>-20421</v>
      </c>
      <c r="AN278" s="239">
        <v>-4103042</v>
      </c>
      <c r="AO278" s="239">
        <v>0</v>
      </c>
      <c r="AP278" s="239">
        <v>-4103042</v>
      </c>
      <c r="AQ278" s="239">
        <v>-11569</v>
      </c>
      <c r="AR278" s="239">
        <v>0</v>
      </c>
      <c r="AS278" s="239">
        <v>-11569</v>
      </c>
      <c r="AT278" s="239">
        <v>-56910</v>
      </c>
      <c r="AU278" s="239">
        <v>0</v>
      </c>
      <c r="AV278" s="239">
        <v>-56910</v>
      </c>
      <c r="AW278" s="239">
        <v>0</v>
      </c>
      <c r="AX278" s="239">
        <v>0</v>
      </c>
      <c r="AY278" s="239">
        <v>0</v>
      </c>
      <c r="AZ278" s="239">
        <v>-30959</v>
      </c>
      <c r="BA278" s="239">
        <v>0</v>
      </c>
      <c r="BB278" s="239">
        <v>-30959</v>
      </c>
      <c r="BC278" s="239">
        <v>-2859</v>
      </c>
      <c r="BD278" s="239">
        <v>0</v>
      </c>
      <c r="BE278" s="239">
        <v>-2859</v>
      </c>
      <c r="BF278" s="239">
        <v>-7675980</v>
      </c>
      <c r="BG278" s="239">
        <v>0</v>
      </c>
      <c r="BH278" s="239">
        <v>-7675980</v>
      </c>
      <c r="BI278" s="239">
        <v>-1577</v>
      </c>
      <c r="BJ278" s="239">
        <v>0</v>
      </c>
      <c r="BK278" s="239">
        <v>-1577</v>
      </c>
      <c r="BL278" s="239">
        <v>-42720</v>
      </c>
      <c r="BM278" s="239">
        <v>0</v>
      </c>
      <c r="BN278" s="239">
        <v>-42720</v>
      </c>
      <c r="BO278" s="239">
        <v>-1193619</v>
      </c>
      <c r="BP278" s="239">
        <v>0</v>
      </c>
      <c r="BQ278" s="239">
        <v>-1193619</v>
      </c>
      <c r="BR278" s="239">
        <v>73870</v>
      </c>
      <c r="BS278" s="239">
        <v>0</v>
      </c>
      <c r="BT278" s="239">
        <v>73870</v>
      </c>
      <c r="BU278" s="239">
        <v>-1164046</v>
      </c>
      <c r="BV278" s="239">
        <v>0</v>
      </c>
      <c r="BW278" s="239">
        <v>-1164046</v>
      </c>
      <c r="BX278" s="239">
        <v>-246083</v>
      </c>
      <c r="BY278" s="239">
        <v>0</v>
      </c>
      <c r="BZ278" s="239">
        <v>-246083</v>
      </c>
      <c r="CA278" s="239">
        <v>-1017</v>
      </c>
      <c r="CB278" s="239">
        <v>0</v>
      </c>
      <c r="CC278" s="239">
        <v>-1017</v>
      </c>
      <c r="CD278" s="239">
        <v>-77693</v>
      </c>
      <c r="CE278" s="239">
        <v>0</v>
      </c>
      <c r="CF278" s="239">
        <v>-77693</v>
      </c>
      <c r="CG278" s="239">
        <v>-11266</v>
      </c>
      <c r="CH278" s="239">
        <v>0</v>
      </c>
      <c r="CI278" s="239">
        <v>-11266</v>
      </c>
      <c r="CJ278" s="239">
        <v>-2323</v>
      </c>
      <c r="CK278" s="239">
        <v>0</v>
      </c>
      <c r="CL278" s="239">
        <v>-2323</v>
      </c>
      <c r="CM278" s="239">
        <v>0</v>
      </c>
      <c r="CN278" s="239">
        <v>0</v>
      </c>
      <c r="CO278" s="239">
        <v>0</v>
      </c>
      <c r="CP278" s="239">
        <v>0</v>
      </c>
      <c r="CQ278" s="239">
        <v>0</v>
      </c>
      <c r="CR278" s="239">
        <v>0</v>
      </c>
      <c r="CS278" s="239">
        <v>0</v>
      </c>
      <c r="CT278" s="239">
        <v>0</v>
      </c>
      <c r="CU278" s="239">
        <v>0</v>
      </c>
      <c r="CV278" s="239">
        <v>0</v>
      </c>
      <c r="CW278" s="239">
        <v>0</v>
      </c>
      <c r="CX278" s="239">
        <v>0</v>
      </c>
      <c r="CY278" s="239">
        <v>47</v>
      </c>
      <c r="CZ278" s="239">
        <v>0</v>
      </c>
      <c r="DA278" s="239">
        <v>47</v>
      </c>
      <c r="DB278" s="239">
        <v>0</v>
      </c>
      <c r="DC278" s="239">
        <v>0</v>
      </c>
      <c r="DD278" s="239">
        <v>0</v>
      </c>
      <c r="DE278" s="239">
        <v>0</v>
      </c>
      <c r="DF278" s="239">
        <v>0</v>
      </c>
      <c r="DG278" s="239">
        <v>0</v>
      </c>
      <c r="DH278" s="239">
        <v>0</v>
      </c>
      <c r="DI278" s="239">
        <v>0</v>
      </c>
      <c r="DJ278" s="239">
        <v>-338335</v>
      </c>
      <c r="DK278" s="239">
        <v>0</v>
      </c>
      <c r="DL278" s="239">
        <v>-338335</v>
      </c>
      <c r="DM278" s="239">
        <v>-5048</v>
      </c>
      <c r="DN278" s="239">
        <v>0</v>
      </c>
      <c r="DO278" s="239">
        <v>-5048</v>
      </c>
      <c r="DP278" s="239">
        <v>0</v>
      </c>
      <c r="DQ278" s="239">
        <v>0</v>
      </c>
      <c r="DR278" s="239">
        <v>0</v>
      </c>
      <c r="DS278" s="239">
        <v>0</v>
      </c>
      <c r="DT278" s="239">
        <v>0</v>
      </c>
      <c r="DU278" s="239">
        <v>0</v>
      </c>
      <c r="DV278" s="239">
        <v>-55126</v>
      </c>
      <c r="DW278" s="239">
        <v>0</v>
      </c>
      <c r="DX278" s="239">
        <v>-55126</v>
      </c>
      <c r="DY278" s="239">
        <v>1889</v>
      </c>
      <c r="DZ278" s="239">
        <v>0</v>
      </c>
      <c r="EA278" s="239">
        <v>1889</v>
      </c>
      <c r="EB278" s="239">
        <v>0</v>
      </c>
      <c r="EC278" s="239">
        <v>0</v>
      </c>
      <c r="ED278" s="239">
        <v>0</v>
      </c>
      <c r="EE278" s="239">
        <v>0</v>
      </c>
      <c r="EF278" s="239">
        <v>0</v>
      </c>
      <c r="EG278" s="239">
        <v>0</v>
      </c>
      <c r="EH278" s="239">
        <v>4967</v>
      </c>
      <c r="EI278" s="239">
        <v>0</v>
      </c>
      <c r="EJ278" s="239">
        <v>4967</v>
      </c>
      <c r="EK278" s="239">
        <v>-28464</v>
      </c>
      <c r="EL278" s="239">
        <v>0</v>
      </c>
      <c r="EM278" s="239">
        <v>-28464</v>
      </c>
      <c r="EN278" s="239">
        <v>0</v>
      </c>
      <c r="EO278" s="239">
        <v>0</v>
      </c>
      <c r="EP278" s="239">
        <v>0</v>
      </c>
      <c r="EQ278" s="239">
        <v>-22795</v>
      </c>
      <c r="ER278" s="239">
        <v>0</v>
      </c>
      <c r="ES278" s="239">
        <v>-22795</v>
      </c>
      <c r="ET278" s="239">
        <v>-274027</v>
      </c>
      <c r="EU278" s="239">
        <v>0</v>
      </c>
      <c r="EV278" s="239">
        <v>-274027</v>
      </c>
      <c r="EW278" s="239">
        <v>-55370</v>
      </c>
      <c r="EX278" s="239">
        <v>0</v>
      </c>
      <c r="EY278" s="239">
        <v>-55370</v>
      </c>
      <c r="EZ278" s="239">
        <v>-433974</v>
      </c>
      <c r="FA278" s="239">
        <v>0</v>
      </c>
      <c r="FB278" s="239">
        <v>-433974</v>
      </c>
      <c r="FC278" s="239">
        <v>0</v>
      </c>
      <c r="FD278" s="239">
        <v>0</v>
      </c>
      <c r="FE278" s="239">
        <v>0</v>
      </c>
      <c r="FF278" s="239">
        <v>0</v>
      </c>
      <c r="FG278" s="239">
        <v>0</v>
      </c>
      <c r="FH278" s="239">
        <v>0</v>
      </c>
      <c r="FI278" s="239">
        <v>0</v>
      </c>
      <c r="FJ278" s="239">
        <v>0</v>
      </c>
      <c r="FK278" s="239">
        <v>0</v>
      </c>
      <c r="FL278" s="239">
        <v>47357640</v>
      </c>
      <c r="FM278" s="239">
        <v>0</v>
      </c>
      <c r="FN278" s="239">
        <v>47357640</v>
      </c>
      <c r="FO278" s="239">
        <v>2414467</v>
      </c>
      <c r="FP278" s="239">
        <v>0</v>
      </c>
      <c r="FQ278" s="239">
        <v>2414467</v>
      </c>
      <c r="FR278" s="239">
        <v>-7675980</v>
      </c>
      <c r="FS278" s="239">
        <v>0</v>
      </c>
      <c r="FT278" s="239">
        <v>-7675980</v>
      </c>
      <c r="FU278" s="239">
        <v>-1164046</v>
      </c>
      <c r="FV278" s="239">
        <v>0</v>
      </c>
      <c r="FW278" s="239">
        <v>-1164046</v>
      </c>
      <c r="FX278" s="239">
        <v>-338335</v>
      </c>
      <c r="FY278" s="239">
        <v>0</v>
      </c>
      <c r="FZ278" s="239">
        <v>-338335</v>
      </c>
      <c r="GA278" s="239">
        <v>-433974</v>
      </c>
      <c r="GB278" s="239">
        <v>0</v>
      </c>
      <c r="GC278" s="239">
        <v>-433974</v>
      </c>
      <c r="GD278" s="239">
        <v>0</v>
      </c>
      <c r="GE278" s="239">
        <v>0</v>
      </c>
      <c r="GF278" s="239">
        <v>0</v>
      </c>
      <c r="GG278" s="239">
        <v>-7197868</v>
      </c>
      <c r="GH278" s="239">
        <v>0</v>
      </c>
      <c r="GI278" s="239">
        <v>-7197868</v>
      </c>
      <c r="GJ278" s="239">
        <v>40159772</v>
      </c>
      <c r="GK278" s="239">
        <v>0</v>
      </c>
      <c r="GL278" s="239">
        <v>40159772</v>
      </c>
      <c r="GM278" s="214" t="s">
        <v>1158</v>
      </c>
    </row>
    <row r="279" spans="2:195" s="214" customFormat="1" x14ac:dyDescent="0.2">
      <c r="B279" s="602" t="s">
        <v>641</v>
      </c>
      <c r="C279" s="602" t="s">
        <v>640</v>
      </c>
      <c r="D279" s="239">
        <v>-1700058</v>
      </c>
      <c r="E279" s="239">
        <v>0</v>
      </c>
      <c r="F279" s="239">
        <v>-1700058</v>
      </c>
      <c r="G279" s="239">
        <v>24040</v>
      </c>
      <c r="H279" s="239">
        <v>0</v>
      </c>
      <c r="I279" s="239">
        <v>24040</v>
      </c>
      <c r="J279" s="239">
        <v>2188970</v>
      </c>
      <c r="K279" s="239">
        <v>0</v>
      </c>
      <c r="L279" s="239">
        <v>2188970</v>
      </c>
      <c r="M279" s="239">
        <v>6150</v>
      </c>
      <c r="N279" s="239">
        <v>0</v>
      </c>
      <c r="O279" s="239">
        <v>6150</v>
      </c>
      <c r="P279" s="239">
        <v>519102</v>
      </c>
      <c r="Q279" s="239">
        <v>0</v>
      </c>
      <c r="R279" s="239">
        <v>519102</v>
      </c>
      <c r="S279" s="239">
        <v>-5677008</v>
      </c>
      <c r="T279" s="239">
        <v>0</v>
      </c>
      <c r="U279" s="239">
        <v>-5677008</v>
      </c>
      <c r="V279" s="239">
        <v>-14885</v>
      </c>
      <c r="W279" s="239">
        <v>0</v>
      </c>
      <c r="X279" s="239">
        <v>-14885</v>
      </c>
      <c r="Y279" s="239">
        <v>-106485</v>
      </c>
      <c r="Z279" s="239">
        <v>0</v>
      </c>
      <c r="AA279" s="239">
        <v>-106485</v>
      </c>
      <c r="AB279" s="239">
        <v>0</v>
      </c>
      <c r="AC279" s="239">
        <v>0</v>
      </c>
      <c r="AD279" s="239">
        <v>0</v>
      </c>
      <c r="AE279" s="239">
        <v>0</v>
      </c>
      <c r="AF279" s="239">
        <v>0</v>
      </c>
      <c r="AG279" s="239">
        <v>0</v>
      </c>
      <c r="AH279" s="239">
        <v>591685</v>
      </c>
      <c r="AI279" s="239">
        <v>0</v>
      </c>
      <c r="AJ279" s="239">
        <v>591685</v>
      </c>
      <c r="AK279" s="239">
        <v>-17565</v>
      </c>
      <c r="AL279" s="239">
        <v>0</v>
      </c>
      <c r="AM279" s="239">
        <v>-17565</v>
      </c>
      <c r="AN279" s="239">
        <v>-2779495</v>
      </c>
      <c r="AO279" s="239">
        <v>0</v>
      </c>
      <c r="AP279" s="239">
        <v>-2779495</v>
      </c>
      <c r="AQ279" s="239">
        <v>-206</v>
      </c>
      <c r="AR279" s="239">
        <v>0</v>
      </c>
      <c r="AS279" s="239">
        <v>-206</v>
      </c>
      <c r="AT279" s="239">
        <v>-73320</v>
      </c>
      <c r="AU279" s="239">
        <v>0</v>
      </c>
      <c r="AV279" s="239">
        <v>-73320</v>
      </c>
      <c r="AW279" s="239">
        <v>13442</v>
      </c>
      <c r="AX279" s="239">
        <v>0</v>
      </c>
      <c r="AY279" s="239">
        <v>13442</v>
      </c>
      <c r="AZ279" s="239">
        <v>-38569</v>
      </c>
      <c r="BA279" s="239">
        <v>0</v>
      </c>
      <c r="BB279" s="239">
        <v>-38569</v>
      </c>
      <c r="BC279" s="239">
        <v>62</v>
      </c>
      <c r="BD279" s="239">
        <v>0</v>
      </c>
      <c r="BE279" s="239">
        <v>62</v>
      </c>
      <c r="BF279" s="239">
        <v>-8087459</v>
      </c>
      <c r="BG279" s="239">
        <v>0</v>
      </c>
      <c r="BH279" s="239">
        <v>-8087459</v>
      </c>
      <c r="BI279" s="239">
        <v>-780</v>
      </c>
      <c r="BJ279" s="239">
        <v>0</v>
      </c>
      <c r="BK279" s="239">
        <v>-780</v>
      </c>
      <c r="BL279" s="239">
        <v>0</v>
      </c>
      <c r="BM279" s="239">
        <v>0</v>
      </c>
      <c r="BN279" s="239">
        <v>0</v>
      </c>
      <c r="BO279" s="239">
        <v>-753778</v>
      </c>
      <c r="BP279" s="239">
        <v>0</v>
      </c>
      <c r="BQ279" s="239">
        <v>-753778</v>
      </c>
      <c r="BR279" s="239">
        <v>67644</v>
      </c>
      <c r="BS279" s="239">
        <v>0</v>
      </c>
      <c r="BT279" s="239">
        <v>67644</v>
      </c>
      <c r="BU279" s="239">
        <v>-686914</v>
      </c>
      <c r="BV279" s="239">
        <v>0</v>
      </c>
      <c r="BW279" s="239">
        <v>-686914</v>
      </c>
      <c r="BX279" s="239">
        <v>-78873</v>
      </c>
      <c r="BY279" s="239">
        <v>0</v>
      </c>
      <c r="BZ279" s="239">
        <v>-78873</v>
      </c>
      <c r="CA279" s="239">
        <v>51</v>
      </c>
      <c r="CB279" s="239">
        <v>0</v>
      </c>
      <c r="CC279" s="239">
        <v>51</v>
      </c>
      <c r="CD279" s="239">
        <v>-34939</v>
      </c>
      <c r="CE279" s="239">
        <v>0</v>
      </c>
      <c r="CF279" s="239">
        <v>-34939</v>
      </c>
      <c r="CG279" s="239">
        <v>-216</v>
      </c>
      <c r="CH279" s="239">
        <v>0</v>
      </c>
      <c r="CI279" s="239">
        <v>-216</v>
      </c>
      <c r="CJ279" s="239">
        <v>-7095</v>
      </c>
      <c r="CK279" s="239">
        <v>0</v>
      </c>
      <c r="CL279" s="239">
        <v>-7095</v>
      </c>
      <c r="CM279" s="239">
        <v>0</v>
      </c>
      <c r="CN279" s="239">
        <v>0</v>
      </c>
      <c r="CO279" s="239">
        <v>0</v>
      </c>
      <c r="CP279" s="239">
        <v>0</v>
      </c>
      <c r="CQ279" s="239">
        <v>0</v>
      </c>
      <c r="CR279" s="239">
        <v>0</v>
      </c>
      <c r="CS279" s="239">
        <v>42</v>
      </c>
      <c r="CT279" s="239">
        <v>0</v>
      </c>
      <c r="CU279" s="239">
        <v>42</v>
      </c>
      <c r="CV279" s="239">
        <v>-5521</v>
      </c>
      <c r="CW279" s="239">
        <v>0</v>
      </c>
      <c r="CX279" s="239">
        <v>-5521</v>
      </c>
      <c r="CY279" s="239">
        <v>0</v>
      </c>
      <c r="CZ279" s="239">
        <v>0</v>
      </c>
      <c r="DA279" s="239">
        <v>0</v>
      </c>
      <c r="DB279" s="239">
        <v>0</v>
      </c>
      <c r="DC279" s="239">
        <v>0</v>
      </c>
      <c r="DD279" s="239">
        <v>0</v>
      </c>
      <c r="DE279" s="239">
        <v>0</v>
      </c>
      <c r="DF279" s="239">
        <v>0</v>
      </c>
      <c r="DG279" s="239">
        <v>0</v>
      </c>
      <c r="DH279" s="239">
        <v>0</v>
      </c>
      <c r="DI279" s="239">
        <v>0</v>
      </c>
      <c r="DJ279" s="239">
        <v>-126551</v>
      </c>
      <c r="DK279" s="239">
        <v>0</v>
      </c>
      <c r="DL279" s="239">
        <v>-126551</v>
      </c>
      <c r="DM279" s="239">
        <v>0</v>
      </c>
      <c r="DN279" s="239">
        <v>0</v>
      </c>
      <c r="DO279" s="239">
        <v>0</v>
      </c>
      <c r="DP279" s="239">
        <v>0</v>
      </c>
      <c r="DQ279" s="239">
        <v>0</v>
      </c>
      <c r="DR279" s="239">
        <v>0</v>
      </c>
      <c r="DS279" s="239">
        <v>0</v>
      </c>
      <c r="DT279" s="239">
        <v>0</v>
      </c>
      <c r="DU279" s="239">
        <v>0</v>
      </c>
      <c r="DV279" s="239">
        <v>0</v>
      </c>
      <c r="DW279" s="239">
        <v>0</v>
      </c>
      <c r="DX279" s="239">
        <v>0</v>
      </c>
      <c r="DY279" s="239">
        <v>5301</v>
      </c>
      <c r="DZ279" s="239">
        <v>0</v>
      </c>
      <c r="EA279" s="239">
        <v>5301</v>
      </c>
      <c r="EB279" s="239">
        <v>0</v>
      </c>
      <c r="EC279" s="239">
        <v>0</v>
      </c>
      <c r="ED279" s="239">
        <v>0</v>
      </c>
      <c r="EE279" s="239">
        <v>0</v>
      </c>
      <c r="EF279" s="239">
        <v>0</v>
      </c>
      <c r="EG279" s="239">
        <v>0</v>
      </c>
      <c r="EH279" s="239">
        <v>757</v>
      </c>
      <c r="EI279" s="239">
        <v>0</v>
      </c>
      <c r="EJ279" s="239">
        <v>757</v>
      </c>
      <c r="EK279" s="239">
        <v>-38569</v>
      </c>
      <c r="EL279" s="239">
        <v>0</v>
      </c>
      <c r="EM279" s="239">
        <v>-38569</v>
      </c>
      <c r="EN279" s="239">
        <v>-1500</v>
      </c>
      <c r="EO279" s="239">
        <v>0</v>
      </c>
      <c r="EP279" s="239">
        <v>-1500</v>
      </c>
      <c r="EQ279" s="239">
        <v>-33649</v>
      </c>
      <c r="ER279" s="239">
        <v>0</v>
      </c>
      <c r="ES279" s="239">
        <v>-33649</v>
      </c>
      <c r="ET279" s="239">
        <v>-295830</v>
      </c>
      <c r="EU279" s="239">
        <v>0</v>
      </c>
      <c r="EV279" s="239">
        <v>-295830</v>
      </c>
      <c r="EW279" s="239">
        <v>-101124</v>
      </c>
      <c r="EX279" s="239">
        <v>0</v>
      </c>
      <c r="EY279" s="239">
        <v>-101124</v>
      </c>
      <c r="EZ279" s="239">
        <v>-464614</v>
      </c>
      <c r="FA279" s="239">
        <v>0</v>
      </c>
      <c r="FB279" s="239">
        <v>-464614</v>
      </c>
      <c r="FC279" s="239">
        <v>0</v>
      </c>
      <c r="FD279" s="239">
        <v>0</v>
      </c>
      <c r="FE279" s="239">
        <v>0</v>
      </c>
      <c r="FF279" s="239">
        <v>0</v>
      </c>
      <c r="FG279" s="239">
        <v>0</v>
      </c>
      <c r="FH279" s="239">
        <v>0</v>
      </c>
      <c r="FI279" s="239">
        <v>0</v>
      </c>
      <c r="FJ279" s="239">
        <v>0</v>
      </c>
      <c r="FK279" s="239">
        <v>0</v>
      </c>
      <c r="FL279" s="239">
        <v>38645196</v>
      </c>
      <c r="FM279" s="239">
        <v>0</v>
      </c>
      <c r="FN279" s="239">
        <v>38645196</v>
      </c>
      <c r="FO279" s="239">
        <v>519102</v>
      </c>
      <c r="FP279" s="239">
        <v>0</v>
      </c>
      <c r="FQ279" s="239">
        <v>519102</v>
      </c>
      <c r="FR279" s="239">
        <v>-8087459</v>
      </c>
      <c r="FS279" s="239">
        <v>0</v>
      </c>
      <c r="FT279" s="239">
        <v>-8087459</v>
      </c>
      <c r="FU279" s="239">
        <v>-686914</v>
      </c>
      <c r="FV279" s="239">
        <v>0</v>
      </c>
      <c r="FW279" s="239">
        <v>-686914</v>
      </c>
      <c r="FX279" s="239">
        <v>-126551</v>
      </c>
      <c r="FY279" s="239">
        <v>0</v>
      </c>
      <c r="FZ279" s="239">
        <v>-126551</v>
      </c>
      <c r="GA279" s="239">
        <v>-464614</v>
      </c>
      <c r="GB279" s="239">
        <v>0</v>
      </c>
      <c r="GC279" s="239">
        <v>-464614</v>
      </c>
      <c r="GD279" s="239">
        <v>0</v>
      </c>
      <c r="GE279" s="239">
        <v>0</v>
      </c>
      <c r="GF279" s="239">
        <v>0</v>
      </c>
      <c r="GG279" s="239">
        <v>-8846436</v>
      </c>
      <c r="GH279" s="239">
        <v>0</v>
      </c>
      <c r="GI279" s="239">
        <v>-8846436</v>
      </c>
      <c r="GJ279" s="239">
        <v>29798760</v>
      </c>
      <c r="GK279" s="239">
        <v>0</v>
      </c>
      <c r="GL279" s="239">
        <v>29798760</v>
      </c>
      <c r="GM279" s="214" t="s">
        <v>1158</v>
      </c>
    </row>
    <row r="280" spans="2:195" s="214" customFormat="1" x14ac:dyDescent="0.2">
      <c r="B280" s="602" t="s">
        <v>643</v>
      </c>
      <c r="C280" s="602" t="s">
        <v>642</v>
      </c>
      <c r="D280" s="239">
        <v>-2612090</v>
      </c>
      <c r="E280" s="239">
        <v>0</v>
      </c>
      <c r="F280" s="239">
        <v>-2612090</v>
      </c>
      <c r="G280" s="239">
        <v>28353</v>
      </c>
      <c r="H280" s="239">
        <v>0</v>
      </c>
      <c r="I280" s="239">
        <v>28353</v>
      </c>
      <c r="J280" s="239">
        <v>3446916</v>
      </c>
      <c r="K280" s="239">
        <v>0</v>
      </c>
      <c r="L280" s="239">
        <v>3446916</v>
      </c>
      <c r="M280" s="239">
        <v>-65748</v>
      </c>
      <c r="N280" s="239">
        <v>0</v>
      </c>
      <c r="O280" s="239">
        <v>-65748</v>
      </c>
      <c r="P280" s="239">
        <v>797431</v>
      </c>
      <c r="Q280" s="239">
        <v>0</v>
      </c>
      <c r="R280" s="239">
        <v>797431</v>
      </c>
      <c r="S280" s="239">
        <v>-4434870</v>
      </c>
      <c r="T280" s="239">
        <v>0</v>
      </c>
      <c r="U280" s="239">
        <v>-4434870</v>
      </c>
      <c r="V280" s="239">
        <v>-26653</v>
      </c>
      <c r="W280" s="239">
        <v>0</v>
      </c>
      <c r="X280" s="239">
        <v>-26653</v>
      </c>
      <c r="Y280" s="239">
        <v>-356143</v>
      </c>
      <c r="Z280" s="239">
        <v>0</v>
      </c>
      <c r="AA280" s="239">
        <v>-356143</v>
      </c>
      <c r="AB280" s="239">
        <v>-354876</v>
      </c>
      <c r="AC280" s="239">
        <v>0</v>
      </c>
      <c r="AD280" s="239">
        <v>-354876</v>
      </c>
      <c r="AE280" s="239">
        <v>-1268</v>
      </c>
      <c r="AF280" s="239">
        <v>0</v>
      </c>
      <c r="AG280" s="239">
        <v>-1268</v>
      </c>
      <c r="AH280" s="239">
        <v>1798651</v>
      </c>
      <c r="AI280" s="239">
        <v>0</v>
      </c>
      <c r="AJ280" s="239">
        <v>1798651</v>
      </c>
      <c r="AK280" s="239">
        <v>630373</v>
      </c>
      <c r="AL280" s="239">
        <v>0</v>
      </c>
      <c r="AM280" s="239">
        <v>630373</v>
      </c>
      <c r="AN280" s="239">
        <v>-5029418</v>
      </c>
      <c r="AO280" s="239">
        <v>0</v>
      </c>
      <c r="AP280" s="239">
        <v>-5029418</v>
      </c>
      <c r="AQ280" s="239">
        <v>-57299</v>
      </c>
      <c r="AR280" s="239">
        <v>0</v>
      </c>
      <c r="AS280" s="239">
        <v>-57299</v>
      </c>
      <c r="AT280" s="239">
        <v>-32717</v>
      </c>
      <c r="AU280" s="239">
        <v>0</v>
      </c>
      <c r="AV280" s="239">
        <v>-32717</v>
      </c>
      <c r="AW280" s="239">
        <v>0</v>
      </c>
      <c r="AX280" s="239">
        <v>0</v>
      </c>
      <c r="AY280" s="239">
        <v>0</v>
      </c>
      <c r="AZ280" s="239">
        <v>-4827</v>
      </c>
      <c r="BA280" s="239">
        <v>0</v>
      </c>
      <c r="BB280" s="239">
        <v>-4827</v>
      </c>
      <c r="BC280" s="239">
        <v>0</v>
      </c>
      <c r="BD280" s="239">
        <v>0</v>
      </c>
      <c r="BE280" s="239">
        <v>0</v>
      </c>
      <c r="BF280" s="239">
        <v>-7486250</v>
      </c>
      <c r="BG280" s="239">
        <v>0</v>
      </c>
      <c r="BH280" s="239">
        <v>-7486250</v>
      </c>
      <c r="BI280" s="239">
        <v>-104337</v>
      </c>
      <c r="BJ280" s="239">
        <v>0</v>
      </c>
      <c r="BK280" s="239">
        <v>-104337</v>
      </c>
      <c r="BL280" s="239">
        <v>-14971</v>
      </c>
      <c r="BM280" s="239">
        <v>0</v>
      </c>
      <c r="BN280" s="239">
        <v>-14971</v>
      </c>
      <c r="BO280" s="239">
        <v>-1864171</v>
      </c>
      <c r="BP280" s="239">
        <v>0</v>
      </c>
      <c r="BQ280" s="239">
        <v>-1864171</v>
      </c>
      <c r="BR280" s="239">
        <v>-28474</v>
      </c>
      <c r="BS280" s="239">
        <v>0</v>
      </c>
      <c r="BT280" s="239">
        <v>-28474</v>
      </c>
      <c r="BU280" s="239">
        <v>-2011953</v>
      </c>
      <c r="BV280" s="239">
        <v>0</v>
      </c>
      <c r="BW280" s="239">
        <v>-2011953</v>
      </c>
      <c r="BX280" s="239">
        <v>-273314</v>
      </c>
      <c r="BY280" s="239">
        <v>0</v>
      </c>
      <c r="BZ280" s="239">
        <v>-273314</v>
      </c>
      <c r="CA280" s="239">
        <v>-11548</v>
      </c>
      <c r="CB280" s="239">
        <v>0</v>
      </c>
      <c r="CC280" s="239">
        <v>-11548</v>
      </c>
      <c r="CD280" s="239">
        <v>-62814</v>
      </c>
      <c r="CE280" s="239">
        <v>0</v>
      </c>
      <c r="CF280" s="239">
        <v>-62814</v>
      </c>
      <c r="CG280" s="239">
        <v>0</v>
      </c>
      <c r="CH280" s="239">
        <v>0</v>
      </c>
      <c r="CI280" s="239">
        <v>0</v>
      </c>
      <c r="CJ280" s="239">
        <v>-4973</v>
      </c>
      <c r="CK280" s="239">
        <v>0</v>
      </c>
      <c r="CL280" s="239">
        <v>-4973</v>
      </c>
      <c r="CM280" s="239">
        <v>0</v>
      </c>
      <c r="CN280" s="239">
        <v>0</v>
      </c>
      <c r="CO280" s="239">
        <v>0</v>
      </c>
      <c r="CP280" s="239">
        <v>-4827</v>
      </c>
      <c r="CQ280" s="239">
        <v>0</v>
      </c>
      <c r="CR280" s="239">
        <v>-4827</v>
      </c>
      <c r="CS280" s="239">
        <v>0</v>
      </c>
      <c r="CT280" s="239">
        <v>0</v>
      </c>
      <c r="CU280" s="239">
        <v>0</v>
      </c>
      <c r="CV280" s="239">
        <v>0</v>
      </c>
      <c r="CW280" s="239">
        <v>0</v>
      </c>
      <c r="CX280" s="239">
        <v>0</v>
      </c>
      <c r="CY280" s="239">
        <v>0</v>
      </c>
      <c r="CZ280" s="239">
        <v>0</v>
      </c>
      <c r="DA280" s="239">
        <v>0</v>
      </c>
      <c r="DB280" s="239">
        <v>-10000</v>
      </c>
      <c r="DC280" s="239">
        <v>0</v>
      </c>
      <c r="DD280" s="239">
        <v>-10000</v>
      </c>
      <c r="DE280" s="239">
        <v>-55000</v>
      </c>
      <c r="DF280" s="239">
        <v>0</v>
      </c>
      <c r="DG280" s="239">
        <v>-55000</v>
      </c>
      <c r="DH280" s="239">
        <v>0</v>
      </c>
      <c r="DI280" s="239">
        <v>0</v>
      </c>
      <c r="DJ280" s="239">
        <v>-422476</v>
      </c>
      <c r="DK280" s="239">
        <v>0</v>
      </c>
      <c r="DL280" s="239">
        <v>-422476</v>
      </c>
      <c r="DM280" s="239">
        <v>-883</v>
      </c>
      <c r="DN280" s="239">
        <v>0</v>
      </c>
      <c r="DO280" s="239">
        <v>-883</v>
      </c>
      <c r="DP280" s="239">
        <v>-653</v>
      </c>
      <c r="DQ280" s="239">
        <v>0</v>
      </c>
      <c r="DR280" s="239">
        <v>-653</v>
      </c>
      <c r="DS280" s="239">
        <v>-2278</v>
      </c>
      <c r="DT280" s="239">
        <v>0</v>
      </c>
      <c r="DU280" s="239">
        <v>-2278</v>
      </c>
      <c r="DV280" s="239">
        <v>10657</v>
      </c>
      <c r="DW280" s="239">
        <v>0</v>
      </c>
      <c r="DX280" s="239">
        <v>10657</v>
      </c>
      <c r="DY280" s="239">
        <v>4015</v>
      </c>
      <c r="DZ280" s="239">
        <v>0</v>
      </c>
      <c r="EA280" s="239">
        <v>4015</v>
      </c>
      <c r="EB280" s="239">
        <v>0</v>
      </c>
      <c r="EC280" s="239">
        <v>0</v>
      </c>
      <c r="ED280" s="239">
        <v>0</v>
      </c>
      <c r="EE280" s="239">
        <v>0</v>
      </c>
      <c r="EF280" s="239">
        <v>0</v>
      </c>
      <c r="EG280" s="239">
        <v>0</v>
      </c>
      <c r="EH280" s="239">
        <v>0</v>
      </c>
      <c r="EI280" s="239">
        <v>0</v>
      </c>
      <c r="EJ280" s="239">
        <v>0</v>
      </c>
      <c r="EK280" s="239">
        <v>0</v>
      </c>
      <c r="EL280" s="239">
        <v>0</v>
      </c>
      <c r="EM280" s="239">
        <v>0</v>
      </c>
      <c r="EN280" s="239">
        <v>-1500</v>
      </c>
      <c r="EO280" s="239">
        <v>0</v>
      </c>
      <c r="EP280" s="239">
        <v>-1500</v>
      </c>
      <c r="EQ280" s="239">
        <v>-42521</v>
      </c>
      <c r="ER280" s="239">
        <v>0</v>
      </c>
      <c r="ES280" s="239">
        <v>-42521</v>
      </c>
      <c r="ET280" s="239">
        <v>-386876</v>
      </c>
      <c r="EU280" s="239">
        <v>0</v>
      </c>
      <c r="EV280" s="239">
        <v>-386876</v>
      </c>
      <c r="EW280" s="239">
        <v>-55876</v>
      </c>
      <c r="EX280" s="239">
        <v>0</v>
      </c>
      <c r="EY280" s="239">
        <v>-55876</v>
      </c>
      <c r="EZ280" s="239">
        <v>-475915</v>
      </c>
      <c r="FA280" s="239">
        <v>0</v>
      </c>
      <c r="FB280" s="239">
        <v>-475915</v>
      </c>
      <c r="FC280" s="239">
        <v>0</v>
      </c>
      <c r="FD280" s="239">
        <v>0</v>
      </c>
      <c r="FE280" s="239">
        <v>0</v>
      </c>
      <c r="FF280" s="239">
        <v>0</v>
      </c>
      <c r="FG280" s="239">
        <v>0</v>
      </c>
      <c r="FH280" s="239">
        <v>0</v>
      </c>
      <c r="FI280" s="239">
        <v>0</v>
      </c>
      <c r="FJ280" s="239">
        <v>0</v>
      </c>
      <c r="FK280" s="239">
        <v>0</v>
      </c>
      <c r="FL280" s="239">
        <v>81415680</v>
      </c>
      <c r="FM280" s="239">
        <v>0</v>
      </c>
      <c r="FN280" s="239">
        <v>81415680</v>
      </c>
      <c r="FO280" s="239">
        <v>797431</v>
      </c>
      <c r="FP280" s="239">
        <v>0</v>
      </c>
      <c r="FQ280" s="239">
        <v>797431</v>
      </c>
      <c r="FR280" s="239">
        <v>-7486250</v>
      </c>
      <c r="FS280" s="239">
        <v>0</v>
      </c>
      <c r="FT280" s="239">
        <v>-7486250</v>
      </c>
      <c r="FU280" s="239">
        <v>-2011953</v>
      </c>
      <c r="FV280" s="239">
        <v>0</v>
      </c>
      <c r="FW280" s="239">
        <v>-2011953</v>
      </c>
      <c r="FX280" s="239">
        <v>-422476</v>
      </c>
      <c r="FY280" s="239">
        <v>0</v>
      </c>
      <c r="FZ280" s="239">
        <v>-422476</v>
      </c>
      <c r="GA280" s="239">
        <v>-475915</v>
      </c>
      <c r="GB280" s="239">
        <v>0</v>
      </c>
      <c r="GC280" s="239">
        <v>-475915</v>
      </c>
      <c r="GD280" s="239">
        <v>0</v>
      </c>
      <c r="GE280" s="239">
        <v>0</v>
      </c>
      <c r="GF280" s="239">
        <v>0</v>
      </c>
      <c r="GG280" s="239">
        <v>-9599163</v>
      </c>
      <c r="GH280" s="239">
        <v>0</v>
      </c>
      <c r="GI280" s="239">
        <v>-9599163</v>
      </c>
      <c r="GJ280" s="239">
        <v>71816517</v>
      </c>
      <c r="GK280" s="239">
        <v>0</v>
      </c>
      <c r="GL280" s="239">
        <v>71816517</v>
      </c>
      <c r="GM280" s="214" t="s">
        <v>746</v>
      </c>
    </row>
    <row r="281" spans="2:195" s="214" customFormat="1" x14ac:dyDescent="0.2">
      <c r="B281" s="602" t="s">
        <v>645</v>
      </c>
      <c r="C281" s="602" t="s">
        <v>644</v>
      </c>
      <c r="D281" s="239">
        <v>-1464488</v>
      </c>
      <c r="E281" s="239">
        <v>0</v>
      </c>
      <c r="F281" s="239">
        <v>-1464488</v>
      </c>
      <c r="G281" s="239">
        <v>4157</v>
      </c>
      <c r="H281" s="239">
        <v>0</v>
      </c>
      <c r="I281" s="239">
        <v>4157</v>
      </c>
      <c r="J281" s="239">
        <v>954566</v>
      </c>
      <c r="K281" s="239">
        <v>0</v>
      </c>
      <c r="L281" s="239">
        <v>954566</v>
      </c>
      <c r="M281" s="239">
        <v>16740</v>
      </c>
      <c r="N281" s="239">
        <v>0</v>
      </c>
      <c r="O281" s="239">
        <v>16740</v>
      </c>
      <c r="P281" s="239">
        <v>-489025</v>
      </c>
      <c r="Q281" s="239">
        <v>0</v>
      </c>
      <c r="R281" s="239">
        <v>-489025</v>
      </c>
      <c r="S281" s="239">
        <v>-6051938</v>
      </c>
      <c r="T281" s="239">
        <v>0</v>
      </c>
      <c r="U281" s="239">
        <v>-6051938</v>
      </c>
      <c r="V281" s="239">
        <v>-19807</v>
      </c>
      <c r="W281" s="239">
        <v>0</v>
      </c>
      <c r="X281" s="239">
        <v>-19807</v>
      </c>
      <c r="Y281" s="239">
        <v>-70492</v>
      </c>
      <c r="Z281" s="239">
        <v>0</v>
      </c>
      <c r="AA281" s="239">
        <v>-70492</v>
      </c>
      <c r="AB281" s="239">
        <v>-57367</v>
      </c>
      <c r="AC281" s="239">
        <v>0</v>
      </c>
      <c r="AD281" s="239">
        <v>-57367</v>
      </c>
      <c r="AE281" s="239">
        <v>-1089</v>
      </c>
      <c r="AF281" s="239">
        <v>0</v>
      </c>
      <c r="AG281" s="239">
        <v>-1089</v>
      </c>
      <c r="AH281" s="239">
        <v>583903</v>
      </c>
      <c r="AI281" s="239">
        <v>0</v>
      </c>
      <c r="AJ281" s="239">
        <v>583903</v>
      </c>
      <c r="AK281" s="239">
        <v>210770</v>
      </c>
      <c r="AL281" s="239">
        <v>0</v>
      </c>
      <c r="AM281" s="239">
        <v>210770</v>
      </c>
      <c r="AN281" s="239">
        <v>-2178644</v>
      </c>
      <c r="AO281" s="239">
        <v>0</v>
      </c>
      <c r="AP281" s="239">
        <v>-2178644</v>
      </c>
      <c r="AQ281" s="239">
        <v>28063</v>
      </c>
      <c r="AR281" s="239">
        <v>0</v>
      </c>
      <c r="AS281" s="239">
        <v>28063</v>
      </c>
      <c r="AT281" s="239">
        <v>-163302</v>
      </c>
      <c r="AU281" s="239">
        <v>0</v>
      </c>
      <c r="AV281" s="239">
        <v>-163302</v>
      </c>
      <c r="AW281" s="239">
        <v>2205</v>
      </c>
      <c r="AX281" s="239">
        <v>0</v>
      </c>
      <c r="AY281" s="239">
        <v>2205</v>
      </c>
      <c r="AZ281" s="239">
        <v>-33628</v>
      </c>
      <c r="BA281" s="239">
        <v>0</v>
      </c>
      <c r="BB281" s="239">
        <v>-33628</v>
      </c>
      <c r="BC281" s="239">
        <v>322</v>
      </c>
      <c r="BD281" s="239">
        <v>0</v>
      </c>
      <c r="BE281" s="239">
        <v>322</v>
      </c>
      <c r="BF281" s="239">
        <v>-7672741</v>
      </c>
      <c r="BG281" s="239">
        <v>0</v>
      </c>
      <c r="BH281" s="239">
        <v>-7672741</v>
      </c>
      <c r="BI281" s="239">
        <v>-7948</v>
      </c>
      <c r="BJ281" s="239">
        <v>0</v>
      </c>
      <c r="BK281" s="239">
        <v>-7948</v>
      </c>
      <c r="BL281" s="239">
        <v>-40</v>
      </c>
      <c r="BM281" s="239">
        <v>0</v>
      </c>
      <c r="BN281" s="239">
        <v>-40</v>
      </c>
      <c r="BO281" s="239">
        <v>-611472</v>
      </c>
      <c r="BP281" s="239">
        <v>0</v>
      </c>
      <c r="BQ281" s="239">
        <v>-611472</v>
      </c>
      <c r="BR281" s="239">
        <v>-223350</v>
      </c>
      <c r="BS281" s="239">
        <v>0</v>
      </c>
      <c r="BT281" s="239">
        <v>-223350</v>
      </c>
      <c r="BU281" s="239">
        <v>-842810</v>
      </c>
      <c r="BV281" s="239">
        <v>0</v>
      </c>
      <c r="BW281" s="239">
        <v>-842810</v>
      </c>
      <c r="BX281" s="239">
        <v>-30555</v>
      </c>
      <c r="BY281" s="239">
        <v>0</v>
      </c>
      <c r="BZ281" s="239">
        <v>-30555</v>
      </c>
      <c r="CA281" s="239">
        <v>0</v>
      </c>
      <c r="CB281" s="239">
        <v>0</v>
      </c>
      <c r="CC281" s="239">
        <v>0</v>
      </c>
      <c r="CD281" s="239">
        <v>0</v>
      </c>
      <c r="CE281" s="239">
        <v>0</v>
      </c>
      <c r="CF281" s="239">
        <v>0</v>
      </c>
      <c r="CG281" s="239">
        <v>0</v>
      </c>
      <c r="CH281" s="239">
        <v>0</v>
      </c>
      <c r="CI281" s="239">
        <v>0</v>
      </c>
      <c r="CJ281" s="239">
        <v>0</v>
      </c>
      <c r="CK281" s="239">
        <v>0</v>
      </c>
      <c r="CL281" s="239">
        <v>0</v>
      </c>
      <c r="CM281" s="239">
        <v>0</v>
      </c>
      <c r="CN281" s="239">
        <v>0</v>
      </c>
      <c r="CO281" s="239">
        <v>0</v>
      </c>
      <c r="CP281" s="239">
        <v>0</v>
      </c>
      <c r="CQ281" s="239">
        <v>0</v>
      </c>
      <c r="CR281" s="239">
        <v>0</v>
      </c>
      <c r="CS281" s="239">
        <v>322</v>
      </c>
      <c r="CT281" s="239">
        <v>0</v>
      </c>
      <c r="CU281" s="239">
        <v>322</v>
      </c>
      <c r="CV281" s="239">
        <v>0</v>
      </c>
      <c r="CW281" s="239">
        <v>0</v>
      </c>
      <c r="CX281" s="239">
        <v>0</v>
      </c>
      <c r="CY281" s="239">
        <v>0</v>
      </c>
      <c r="CZ281" s="239">
        <v>0</v>
      </c>
      <c r="DA281" s="239">
        <v>0</v>
      </c>
      <c r="DB281" s="239">
        <v>0</v>
      </c>
      <c r="DC281" s="239">
        <v>0</v>
      </c>
      <c r="DD281" s="239">
        <v>0</v>
      </c>
      <c r="DE281" s="239">
        <v>0</v>
      </c>
      <c r="DF281" s="239">
        <v>0</v>
      </c>
      <c r="DG281" s="239">
        <v>0</v>
      </c>
      <c r="DH281" s="239">
        <v>0</v>
      </c>
      <c r="DI281" s="239">
        <v>0</v>
      </c>
      <c r="DJ281" s="239">
        <v>-30233</v>
      </c>
      <c r="DK281" s="239">
        <v>0</v>
      </c>
      <c r="DL281" s="239">
        <v>-30233</v>
      </c>
      <c r="DM281" s="239">
        <v>-20340</v>
      </c>
      <c r="DN281" s="239">
        <v>0</v>
      </c>
      <c r="DO281" s="239">
        <v>-20340</v>
      </c>
      <c r="DP281" s="239">
        <v>-9724</v>
      </c>
      <c r="DQ281" s="239">
        <v>0</v>
      </c>
      <c r="DR281" s="239">
        <v>-9724</v>
      </c>
      <c r="DS281" s="239">
        <v>-1818</v>
      </c>
      <c r="DT281" s="239">
        <v>0</v>
      </c>
      <c r="DU281" s="239">
        <v>-1818</v>
      </c>
      <c r="DV281" s="239">
        <v>73</v>
      </c>
      <c r="DW281" s="239">
        <v>0</v>
      </c>
      <c r="DX281" s="239">
        <v>73</v>
      </c>
      <c r="DY281" s="239">
        <v>4100</v>
      </c>
      <c r="DZ281" s="239">
        <v>0</v>
      </c>
      <c r="EA281" s="239">
        <v>4100</v>
      </c>
      <c r="EB281" s="239">
        <v>0</v>
      </c>
      <c r="EC281" s="239">
        <v>0</v>
      </c>
      <c r="ED281" s="239">
        <v>0</v>
      </c>
      <c r="EE281" s="239">
        <v>0</v>
      </c>
      <c r="EF281" s="239">
        <v>0</v>
      </c>
      <c r="EG281" s="239">
        <v>0</v>
      </c>
      <c r="EH281" s="239">
        <v>0</v>
      </c>
      <c r="EI281" s="239">
        <v>0</v>
      </c>
      <c r="EJ281" s="239">
        <v>0</v>
      </c>
      <c r="EK281" s="239">
        <v>-33628</v>
      </c>
      <c r="EL281" s="239">
        <v>0</v>
      </c>
      <c r="EM281" s="239">
        <v>-33628</v>
      </c>
      <c r="EN281" s="239">
        <v>-1500</v>
      </c>
      <c r="EO281" s="239">
        <v>0</v>
      </c>
      <c r="EP281" s="239">
        <v>-1500</v>
      </c>
      <c r="EQ281" s="239">
        <v>-18957</v>
      </c>
      <c r="ER281" s="239">
        <v>0</v>
      </c>
      <c r="ES281" s="239">
        <v>-18957</v>
      </c>
      <c r="ET281" s="239">
        <v>-233151</v>
      </c>
      <c r="EU281" s="239">
        <v>0</v>
      </c>
      <c r="EV281" s="239">
        <v>-233151</v>
      </c>
      <c r="EW281" s="239">
        <v>-40344</v>
      </c>
      <c r="EX281" s="239">
        <v>0</v>
      </c>
      <c r="EY281" s="239">
        <v>-40344</v>
      </c>
      <c r="EZ281" s="239">
        <v>-355289</v>
      </c>
      <c r="FA281" s="239">
        <v>0</v>
      </c>
      <c r="FB281" s="239">
        <v>-355289</v>
      </c>
      <c r="FC281" s="239">
        <v>0</v>
      </c>
      <c r="FD281" s="239">
        <v>0</v>
      </c>
      <c r="FE281" s="239">
        <v>0</v>
      </c>
      <c r="FF281" s="239">
        <v>0</v>
      </c>
      <c r="FG281" s="239">
        <v>0</v>
      </c>
      <c r="FH281" s="239">
        <v>0</v>
      </c>
      <c r="FI281" s="239">
        <v>0</v>
      </c>
      <c r="FJ281" s="239">
        <v>0</v>
      </c>
      <c r="FK281" s="239">
        <v>0</v>
      </c>
      <c r="FL281" s="239">
        <v>36257312</v>
      </c>
      <c r="FM281" s="239">
        <v>0</v>
      </c>
      <c r="FN281" s="239">
        <v>36257312</v>
      </c>
      <c r="FO281" s="239">
        <v>-489025</v>
      </c>
      <c r="FP281" s="239">
        <v>0</v>
      </c>
      <c r="FQ281" s="239">
        <v>-489025</v>
      </c>
      <c r="FR281" s="239">
        <v>-7672741</v>
      </c>
      <c r="FS281" s="239">
        <v>0</v>
      </c>
      <c r="FT281" s="239">
        <v>-7672741</v>
      </c>
      <c r="FU281" s="239">
        <v>-842810</v>
      </c>
      <c r="FV281" s="239">
        <v>0</v>
      </c>
      <c r="FW281" s="239">
        <v>-842810</v>
      </c>
      <c r="FX281" s="239">
        <v>-30233</v>
      </c>
      <c r="FY281" s="239">
        <v>0</v>
      </c>
      <c r="FZ281" s="239">
        <v>-30233</v>
      </c>
      <c r="GA281" s="239">
        <v>-355289</v>
      </c>
      <c r="GB281" s="239">
        <v>0</v>
      </c>
      <c r="GC281" s="239">
        <v>-355289</v>
      </c>
      <c r="GD281" s="239">
        <v>0</v>
      </c>
      <c r="GE281" s="239">
        <v>0</v>
      </c>
      <c r="GF281" s="239">
        <v>0</v>
      </c>
      <c r="GG281" s="239">
        <v>-9390098</v>
      </c>
      <c r="GH281" s="239">
        <v>0</v>
      </c>
      <c r="GI281" s="239">
        <v>-9390098</v>
      </c>
      <c r="GJ281" s="239">
        <v>26867214</v>
      </c>
      <c r="GK281" s="239">
        <v>0</v>
      </c>
      <c r="GL281" s="239">
        <v>26867214</v>
      </c>
      <c r="GM281" s="214" t="s">
        <v>1158</v>
      </c>
    </row>
    <row r="282" spans="2:195" s="214" customFormat="1" x14ac:dyDescent="0.2">
      <c r="B282" s="602" t="s">
        <v>647</v>
      </c>
      <c r="C282" s="602" t="s">
        <v>646</v>
      </c>
      <c r="D282" s="239">
        <v>-1933016</v>
      </c>
      <c r="E282" s="239">
        <v>0</v>
      </c>
      <c r="F282" s="239">
        <v>-1933016</v>
      </c>
      <c r="G282" s="239">
        <v>9693.25</v>
      </c>
      <c r="H282" s="239">
        <v>0</v>
      </c>
      <c r="I282" s="239">
        <v>9693.25</v>
      </c>
      <c r="J282" s="239">
        <v>2135153</v>
      </c>
      <c r="K282" s="239">
        <v>0</v>
      </c>
      <c r="L282" s="239">
        <v>2135153</v>
      </c>
      <c r="M282" s="239">
        <v>-4696.01</v>
      </c>
      <c r="N282" s="239">
        <v>0</v>
      </c>
      <c r="O282" s="239">
        <v>-4696.01</v>
      </c>
      <c r="P282" s="239">
        <v>207134</v>
      </c>
      <c r="Q282" s="239">
        <v>0</v>
      </c>
      <c r="R282" s="239">
        <v>207134</v>
      </c>
      <c r="S282" s="239">
        <v>-3956501</v>
      </c>
      <c r="T282" s="239">
        <v>0</v>
      </c>
      <c r="U282" s="239">
        <v>-3956501</v>
      </c>
      <c r="V282" s="239">
        <v>-14195</v>
      </c>
      <c r="W282" s="239">
        <v>0</v>
      </c>
      <c r="X282" s="239">
        <v>-14195</v>
      </c>
      <c r="Y282" s="239">
        <v>-362126</v>
      </c>
      <c r="Z282" s="239">
        <v>0</v>
      </c>
      <c r="AA282" s="239">
        <v>-362126</v>
      </c>
      <c r="AB282" s="239">
        <v>-299446</v>
      </c>
      <c r="AC282" s="239">
        <v>0</v>
      </c>
      <c r="AD282" s="239">
        <v>-299446</v>
      </c>
      <c r="AE282" s="239">
        <v>1746</v>
      </c>
      <c r="AF282" s="239">
        <v>0</v>
      </c>
      <c r="AG282" s="239">
        <v>1746</v>
      </c>
      <c r="AH282" s="239">
        <v>1241653</v>
      </c>
      <c r="AI282" s="239">
        <v>0</v>
      </c>
      <c r="AJ282" s="239">
        <v>1241653</v>
      </c>
      <c r="AK282" s="239">
        <v>311651</v>
      </c>
      <c r="AL282" s="239">
        <v>0</v>
      </c>
      <c r="AM282" s="239">
        <v>311651</v>
      </c>
      <c r="AN282" s="239">
        <v>-3029207</v>
      </c>
      <c r="AO282" s="239">
        <v>0</v>
      </c>
      <c r="AP282" s="239">
        <v>-3029207</v>
      </c>
      <c r="AQ282" s="239">
        <v>-16123</v>
      </c>
      <c r="AR282" s="239">
        <v>0</v>
      </c>
      <c r="AS282" s="239">
        <v>-16123</v>
      </c>
      <c r="AT282" s="239">
        <v>-28933</v>
      </c>
      <c r="AU282" s="239">
        <v>0</v>
      </c>
      <c r="AV282" s="239">
        <v>-28933</v>
      </c>
      <c r="AW282" s="239">
        <v>0</v>
      </c>
      <c r="AX282" s="239">
        <v>0</v>
      </c>
      <c r="AY282" s="239">
        <v>0</v>
      </c>
      <c r="AZ282" s="239">
        <v>-46286</v>
      </c>
      <c r="BA282" s="239">
        <v>0</v>
      </c>
      <c r="BB282" s="239">
        <v>-46286</v>
      </c>
      <c r="BC282" s="239">
        <v>3961</v>
      </c>
      <c r="BD282" s="239">
        <v>0</v>
      </c>
      <c r="BE282" s="239">
        <v>3961</v>
      </c>
      <c r="BF282" s="239">
        <v>-5881911</v>
      </c>
      <c r="BG282" s="239">
        <v>0</v>
      </c>
      <c r="BH282" s="239">
        <v>-5881911</v>
      </c>
      <c r="BI282" s="239">
        <v>-8354</v>
      </c>
      <c r="BJ282" s="239">
        <v>0</v>
      </c>
      <c r="BK282" s="239">
        <v>-8354</v>
      </c>
      <c r="BL282" s="239">
        <v>4198</v>
      </c>
      <c r="BM282" s="239">
        <v>0</v>
      </c>
      <c r="BN282" s="239">
        <v>4198</v>
      </c>
      <c r="BO282" s="239">
        <v>-1833642</v>
      </c>
      <c r="BP282" s="239">
        <v>0</v>
      </c>
      <c r="BQ282" s="239">
        <v>-1833642</v>
      </c>
      <c r="BR282" s="239">
        <v>-186764</v>
      </c>
      <c r="BS282" s="239">
        <v>0</v>
      </c>
      <c r="BT282" s="239">
        <v>-186764</v>
      </c>
      <c r="BU282" s="239">
        <v>-2024562</v>
      </c>
      <c r="BV282" s="239">
        <v>0</v>
      </c>
      <c r="BW282" s="239">
        <v>-2024562</v>
      </c>
      <c r="BX282" s="239">
        <v>-175428</v>
      </c>
      <c r="BY282" s="239">
        <v>0</v>
      </c>
      <c r="BZ282" s="239">
        <v>-175428</v>
      </c>
      <c r="CA282" s="239">
        <v>5172</v>
      </c>
      <c r="CB282" s="239">
        <v>0</v>
      </c>
      <c r="CC282" s="239">
        <v>5172</v>
      </c>
      <c r="CD282" s="239">
        <v>-141076</v>
      </c>
      <c r="CE282" s="239">
        <v>0</v>
      </c>
      <c r="CF282" s="239">
        <v>-141076</v>
      </c>
      <c r="CG282" s="239">
        <v>-13172</v>
      </c>
      <c r="CH282" s="239">
        <v>0</v>
      </c>
      <c r="CI282" s="239">
        <v>-13172</v>
      </c>
      <c r="CJ282" s="239">
        <v>-7233</v>
      </c>
      <c r="CK282" s="239">
        <v>0</v>
      </c>
      <c r="CL282" s="239">
        <v>-7233</v>
      </c>
      <c r="CM282" s="239">
        <v>0</v>
      </c>
      <c r="CN282" s="239">
        <v>0</v>
      </c>
      <c r="CO282" s="239">
        <v>0</v>
      </c>
      <c r="CP282" s="239">
        <v>0</v>
      </c>
      <c r="CQ282" s="239">
        <v>0</v>
      </c>
      <c r="CR282" s="239">
        <v>0</v>
      </c>
      <c r="CS282" s="239">
        <v>0</v>
      </c>
      <c r="CT282" s="239">
        <v>0</v>
      </c>
      <c r="CU282" s="239">
        <v>0</v>
      </c>
      <c r="CV282" s="239">
        <v>-29718</v>
      </c>
      <c r="CW282" s="239">
        <v>0</v>
      </c>
      <c r="CX282" s="239">
        <v>-29718</v>
      </c>
      <c r="CY282" s="239">
        <v>-436</v>
      </c>
      <c r="CZ282" s="239">
        <v>0</v>
      </c>
      <c r="DA282" s="239">
        <v>-436</v>
      </c>
      <c r="DB282" s="239">
        <v>0</v>
      </c>
      <c r="DC282" s="239">
        <v>0</v>
      </c>
      <c r="DD282" s="239">
        <v>0</v>
      </c>
      <c r="DE282" s="239">
        <v>0</v>
      </c>
      <c r="DF282" s="239">
        <v>0</v>
      </c>
      <c r="DG282" s="239">
        <v>0</v>
      </c>
      <c r="DH282" s="239">
        <v>0</v>
      </c>
      <c r="DI282" s="239">
        <v>0</v>
      </c>
      <c r="DJ282" s="239">
        <v>-361891</v>
      </c>
      <c r="DK282" s="239">
        <v>0</v>
      </c>
      <c r="DL282" s="239">
        <v>-361891</v>
      </c>
      <c r="DM282" s="239">
        <v>-247858</v>
      </c>
      <c r="DN282" s="239">
        <v>0</v>
      </c>
      <c r="DO282" s="239">
        <v>-247858</v>
      </c>
      <c r="DP282" s="239">
        <v>31806</v>
      </c>
      <c r="DQ282" s="239">
        <v>0</v>
      </c>
      <c r="DR282" s="239">
        <v>31806</v>
      </c>
      <c r="DS282" s="239">
        <v>-560</v>
      </c>
      <c r="DT282" s="239">
        <v>0</v>
      </c>
      <c r="DU282" s="239">
        <v>-560</v>
      </c>
      <c r="DV282" s="239">
        <v>0</v>
      </c>
      <c r="DW282" s="239">
        <v>0</v>
      </c>
      <c r="DX282" s="239">
        <v>0</v>
      </c>
      <c r="DY282" s="239">
        <v>1960</v>
      </c>
      <c r="DZ282" s="239">
        <v>0</v>
      </c>
      <c r="EA282" s="239">
        <v>1960</v>
      </c>
      <c r="EB282" s="239">
        <v>0</v>
      </c>
      <c r="EC282" s="239">
        <v>0</v>
      </c>
      <c r="ED282" s="239">
        <v>0</v>
      </c>
      <c r="EE282" s="239">
        <v>0</v>
      </c>
      <c r="EF282" s="239">
        <v>0</v>
      </c>
      <c r="EG282" s="239">
        <v>0</v>
      </c>
      <c r="EH282" s="239">
        <v>0</v>
      </c>
      <c r="EI282" s="239">
        <v>0</v>
      </c>
      <c r="EJ282" s="239">
        <v>0</v>
      </c>
      <c r="EK282" s="239">
        <v>-29717</v>
      </c>
      <c r="EL282" s="239">
        <v>0</v>
      </c>
      <c r="EM282" s="239">
        <v>-29717</v>
      </c>
      <c r="EN282" s="239">
        <v>0</v>
      </c>
      <c r="EO282" s="239">
        <v>0</v>
      </c>
      <c r="EP282" s="239">
        <v>0</v>
      </c>
      <c r="EQ282" s="239">
        <v>-17602</v>
      </c>
      <c r="ER282" s="239">
        <v>0</v>
      </c>
      <c r="ES282" s="239">
        <v>-17602</v>
      </c>
      <c r="ET282" s="239">
        <v>-313248</v>
      </c>
      <c r="EU282" s="239">
        <v>0</v>
      </c>
      <c r="EV282" s="239">
        <v>-313248</v>
      </c>
      <c r="EW282" s="239">
        <v>-45063</v>
      </c>
      <c r="EX282" s="239">
        <v>0</v>
      </c>
      <c r="EY282" s="239">
        <v>-45063</v>
      </c>
      <c r="EZ282" s="239">
        <v>-620282</v>
      </c>
      <c r="FA282" s="239">
        <v>0</v>
      </c>
      <c r="FB282" s="239">
        <v>-620282</v>
      </c>
      <c r="FC282" s="239">
        <v>-4256</v>
      </c>
      <c r="FD282" s="239">
        <v>0</v>
      </c>
      <c r="FE282" s="239">
        <v>-4256</v>
      </c>
      <c r="FF282" s="239">
        <v>-5211</v>
      </c>
      <c r="FG282" s="239">
        <v>0</v>
      </c>
      <c r="FH282" s="239">
        <v>-5211</v>
      </c>
      <c r="FI282" s="239">
        <v>-9467</v>
      </c>
      <c r="FJ282" s="239">
        <v>0</v>
      </c>
      <c r="FK282" s="239">
        <v>-9467</v>
      </c>
      <c r="FL282" s="239">
        <v>63396982</v>
      </c>
      <c r="FM282" s="239">
        <v>0</v>
      </c>
      <c r="FN282" s="239">
        <v>63396982</v>
      </c>
      <c r="FO282" s="239">
        <v>207134</v>
      </c>
      <c r="FP282" s="239">
        <v>0</v>
      </c>
      <c r="FQ282" s="239">
        <v>207134</v>
      </c>
      <c r="FR282" s="239">
        <v>-5881911</v>
      </c>
      <c r="FS282" s="239">
        <v>0</v>
      </c>
      <c r="FT282" s="239">
        <v>-5881911</v>
      </c>
      <c r="FU282" s="239">
        <v>-2024562</v>
      </c>
      <c r="FV282" s="239">
        <v>0</v>
      </c>
      <c r="FW282" s="239">
        <v>-2024562</v>
      </c>
      <c r="FX282" s="239">
        <v>-361891</v>
      </c>
      <c r="FY282" s="239">
        <v>0</v>
      </c>
      <c r="FZ282" s="239">
        <v>-361891</v>
      </c>
      <c r="GA282" s="239">
        <v>-620282</v>
      </c>
      <c r="GB282" s="239">
        <v>0</v>
      </c>
      <c r="GC282" s="239">
        <v>-620282</v>
      </c>
      <c r="GD282" s="239">
        <v>-9467</v>
      </c>
      <c r="GE282" s="239">
        <v>0</v>
      </c>
      <c r="GF282" s="239">
        <v>-9467</v>
      </c>
      <c r="GG282" s="239">
        <v>-8690979</v>
      </c>
      <c r="GH282" s="239">
        <v>0</v>
      </c>
      <c r="GI282" s="239">
        <v>-8690979</v>
      </c>
      <c r="GJ282" s="239">
        <v>54706003</v>
      </c>
      <c r="GK282" s="239">
        <v>0</v>
      </c>
      <c r="GL282" s="239">
        <v>54706003</v>
      </c>
      <c r="GM282" s="214" t="s">
        <v>1158</v>
      </c>
    </row>
    <row r="283" spans="2:195" s="214" customFormat="1" x14ac:dyDescent="0.2">
      <c r="B283" s="602" t="s">
        <v>649</v>
      </c>
      <c r="C283" s="602" t="s">
        <v>648</v>
      </c>
      <c r="D283" s="239">
        <v>-1593248</v>
      </c>
      <c r="E283" s="239">
        <v>0</v>
      </c>
      <c r="F283" s="239">
        <v>-1593248</v>
      </c>
      <c r="G283" s="239">
        <v>29700</v>
      </c>
      <c r="H283" s="239">
        <v>0</v>
      </c>
      <c r="I283" s="239">
        <v>29700</v>
      </c>
      <c r="J283" s="239">
        <v>872916</v>
      </c>
      <c r="K283" s="239">
        <v>0</v>
      </c>
      <c r="L283" s="239">
        <v>872916</v>
      </c>
      <c r="M283" s="239">
        <v>104176</v>
      </c>
      <c r="N283" s="239">
        <v>0</v>
      </c>
      <c r="O283" s="239">
        <v>104176</v>
      </c>
      <c r="P283" s="239">
        <v>-586456</v>
      </c>
      <c r="Q283" s="239">
        <v>0</v>
      </c>
      <c r="R283" s="239">
        <v>-586456</v>
      </c>
      <c r="S283" s="239">
        <v>-2694608</v>
      </c>
      <c r="T283" s="239">
        <v>0</v>
      </c>
      <c r="U283" s="239">
        <v>-2694608</v>
      </c>
      <c r="V283" s="239">
        <v>-2617</v>
      </c>
      <c r="W283" s="239">
        <v>0</v>
      </c>
      <c r="X283" s="239">
        <v>-2617</v>
      </c>
      <c r="Y283" s="239">
        <v>-134574</v>
      </c>
      <c r="Z283" s="239">
        <v>0</v>
      </c>
      <c r="AA283" s="239">
        <v>-134574</v>
      </c>
      <c r="AB283" s="239">
        <v>-125852</v>
      </c>
      <c r="AC283" s="239">
        <v>0</v>
      </c>
      <c r="AD283" s="239">
        <v>-125852</v>
      </c>
      <c r="AE283" s="239">
        <v>-8722</v>
      </c>
      <c r="AF283" s="239">
        <v>0</v>
      </c>
      <c r="AG283" s="239">
        <v>-8722</v>
      </c>
      <c r="AH283" s="239">
        <v>853906</v>
      </c>
      <c r="AI283" s="239">
        <v>0</v>
      </c>
      <c r="AJ283" s="239">
        <v>853906</v>
      </c>
      <c r="AK283" s="239">
        <v>203222</v>
      </c>
      <c r="AL283" s="239">
        <v>0</v>
      </c>
      <c r="AM283" s="239">
        <v>203222</v>
      </c>
      <c r="AN283" s="239">
        <v>-1256930</v>
      </c>
      <c r="AO283" s="239">
        <v>0</v>
      </c>
      <c r="AP283" s="239">
        <v>-1256930</v>
      </c>
      <c r="AQ283" s="239">
        <v>2892</v>
      </c>
      <c r="AR283" s="239">
        <v>0</v>
      </c>
      <c r="AS283" s="239">
        <v>2892</v>
      </c>
      <c r="AT283" s="239">
        <v>-33857</v>
      </c>
      <c r="AU283" s="239">
        <v>0</v>
      </c>
      <c r="AV283" s="239">
        <v>-33857</v>
      </c>
      <c r="AW283" s="239">
        <v>-2845</v>
      </c>
      <c r="AX283" s="239">
        <v>0</v>
      </c>
      <c r="AY283" s="239">
        <v>-2845</v>
      </c>
      <c r="AZ283" s="239">
        <v>-7649</v>
      </c>
      <c r="BA283" s="239">
        <v>0</v>
      </c>
      <c r="BB283" s="239">
        <v>-7649</v>
      </c>
      <c r="BC283" s="239">
        <v>0</v>
      </c>
      <c r="BD283" s="239">
        <v>0</v>
      </c>
      <c r="BE283" s="239">
        <v>0</v>
      </c>
      <c r="BF283" s="239">
        <v>-3070443</v>
      </c>
      <c r="BG283" s="239">
        <v>0</v>
      </c>
      <c r="BH283" s="239">
        <v>-3070443</v>
      </c>
      <c r="BI283" s="239">
        <v>-32235</v>
      </c>
      <c r="BJ283" s="239">
        <v>0</v>
      </c>
      <c r="BK283" s="239">
        <v>-32235</v>
      </c>
      <c r="BL283" s="239">
        <v>0</v>
      </c>
      <c r="BM283" s="239">
        <v>0</v>
      </c>
      <c r="BN283" s="239">
        <v>0</v>
      </c>
      <c r="BO283" s="239">
        <v>-816045</v>
      </c>
      <c r="BP283" s="239">
        <v>0</v>
      </c>
      <c r="BQ283" s="239">
        <v>-816045</v>
      </c>
      <c r="BR283" s="239">
        <v>-54075</v>
      </c>
      <c r="BS283" s="239">
        <v>0</v>
      </c>
      <c r="BT283" s="239">
        <v>-54075</v>
      </c>
      <c r="BU283" s="239">
        <v>-902355</v>
      </c>
      <c r="BV283" s="239">
        <v>0</v>
      </c>
      <c r="BW283" s="239">
        <v>-902355</v>
      </c>
      <c r="BX283" s="239">
        <v>-64477</v>
      </c>
      <c r="BY283" s="239">
        <v>0</v>
      </c>
      <c r="BZ283" s="239">
        <v>-64477</v>
      </c>
      <c r="CA283" s="239">
        <v>-22573</v>
      </c>
      <c r="CB283" s="239">
        <v>0</v>
      </c>
      <c r="CC283" s="239">
        <v>-22573</v>
      </c>
      <c r="CD283" s="239">
        <v>-3900</v>
      </c>
      <c r="CE283" s="239">
        <v>0</v>
      </c>
      <c r="CF283" s="239">
        <v>-3900</v>
      </c>
      <c r="CG283" s="239">
        <v>22500</v>
      </c>
      <c r="CH283" s="239">
        <v>0</v>
      </c>
      <c r="CI283" s="239">
        <v>22500</v>
      </c>
      <c r="CJ283" s="239">
        <v>-607</v>
      </c>
      <c r="CK283" s="239">
        <v>0</v>
      </c>
      <c r="CL283" s="239">
        <v>-607</v>
      </c>
      <c r="CM283" s="239">
        <v>-226</v>
      </c>
      <c r="CN283" s="239">
        <v>0</v>
      </c>
      <c r="CO283" s="239">
        <v>-226</v>
      </c>
      <c r="CP283" s="239">
        <v>-7649</v>
      </c>
      <c r="CQ283" s="239">
        <v>0</v>
      </c>
      <c r="CR283" s="239">
        <v>-7649</v>
      </c>
      <c r="CS283" s="239">
        <v>0</v>
      </c>
      <c r="CT283" s="239">
        <v>0</v>
      </c>
      <c r="CU283" s="239">
        <v>0</v>
      </c>
      <c r="CV283" s="239">
        <v>-9331</v>
      </c>
      <c r="CW283" s="239">
        <v>0</v>
      </c>
      <c r="CX283" s="239">
        <v>-9331</v>
      </c>
      <c r="CY283" s="239">
        <v>0</v>
      </c>
      <c r="CZ283" s="239">
        <v>0</v>
      </c>
      <c r="DA283" s="239">
        <v>0</v>
      </c>
      <c r="DB283" s="239">
        <v>0</v>
      </c>
      <c r="DC283" s="239">
        <v>0</v>
      </c>
      <c r="DD283" s="239">
        <v>0</v>
      </c>
      <c r="DE283" s="239">
        <v>0</v>
      </c>
      <c r="DF283" s="239">
        <v>0</v>
      </c>
      <c r="DG283" s="239">
        <v>0</v>
      </c>
      <c r="DH283" s="239">
        <v>0</v>
      </c>
      <c r="DI283" s="239">
        <v>0</v>
      </c>
      <c r="DJ283" s="239">
        <v>-86263</v>
      </c>
      <c r="DK283" s="239">
        <v>0</v>
      </c>
      <c r="DL283" s="239">
        <v>-86263</v>
      </c>
      <c r="DM283" s="239">
        <v>0</v>
      </c>
      <c r="DN283" s="239">
        <v>0</v>
      </c>
      <c r="DO283" s="239">
        <v>0</v>
      </c>
      <c r="DP283" s="239">
        <v>0</v>
      </c>
      <c r="DQ283" s="239">
        <v>0</v>
      </c>
      <c r="DR283" s="239">
        <v>0</v>
      </c>
      <c r="DS283" s="239">
        <v>-1951</v>
      </c>
      <c r="DT283" s="239">
        <v>0</v>
      </c>
      <c r="DU283" s="239">
        <v>-1951</v>
      </c>
      <c r="DV283" s="239">
        <v>0</v>
      </c>
      <c r="DW283" s="239">
        <v>0</v>
      </c>
      <c r="DX283" s="239">
        <v>0</v>
      </c>
      <c r="DY283" s="239">
        <v>0</v>
      </c>
      <c r="DZ283" s="239">
        <v>0</v>
      </c>
      <c r="EA283" s="239">
        <v>0</v>
      </c>
      <c r="EB283" s="239">
        <v>0</v>
      </c>
      <c r="EC283" s="239">
        <v>0</v>
      </c>
      <c r="ED283" s="239">
        <v>0</v>
      </c>
      <c r="EE283" s="239">
        <v>0</v>
      </c>
      <c r="EF283" s="239">
        <v>0</v>
      </c>
      <c r="EG283" s="239">
        <v>0</v>
      </c>
      <c r="EH283" s="239">
        <v>0</v>
      </c>
      <c r="EI283" s="239">
        <v>0</v>
      </c>
      <c r="EJ283" s="239">
        <v>0</v>
      </c>
      <c r="EK283" s="239">
        <v>0</v>
      </c>
      <c r="EL283" s="239">
        <v>0</v>
      </c>
      <c r="EM283" s="239">
        <v>0</v>
      </c>
      <c r="EN283" s="239">
        <v>0</v>
      </c>
      <c r="EO283" s="239">
        <v>0</v>
      </c>
      <c r="EP283" s="239">
        <v>0</v>
      </c>
      <c r="EQ283" s="239">
        <v>-5209</v>
      </c>
      <c r="ER283" s="239">
        <v>0</v>
      </c>
      <c r="ES283" s="239">
        <v>-5209</v>
      </c>
      <c r="ET283" s="239">
        <v>-85641</v>
      </c>
      <c r="EU283" s="239">
        <v>0</v>
      </c>
      <c r="EV283" s="239">
        <v>-85641</v>
      </c>
      <c r="EW283" s="239">
        <v>-35137</v>
      </c>
      <c r="EX283" s="239">
        <v>0</v>
      </c>
      <c r="EY283" s="239">
        <v>-35137</v>
      </c>
      <c r="EZ283" s="239">
        <v>-127938</v>
      </c>
      <c r="FA283" s="239">
        <v>0</v>
      </c>
      <c r="FB283" s="239">
        <v>-127938</v>
      </c>
      <c r="FC283" s="239">
        <v>0</v>
      </c>
      <c r="FD283" s="239">
        <v>0</v>
      </c>
      <c r="FE283" s="239">
        <v>0</v>
      </c>
      <c r="FF283" s="239">
        <v>0</v>
      </c>
      <c r="FG283" s="239">
        <v>0</v>
      </c>
      <c r="FH283" s="239">
        <v>0</v>
      </c>
      <c r="FI283" s="239">
        <v>0</v>
      </c>
      <c r="FJ283" s="239">
        <v>0</v>
      </c>
      <c r="FK283" s="239">
        <v>0</v>
      </c>
      <c r="FL283" s="239">
        <v>41632833</v>
      </c>
      <c r="FM283" s="239">
        <v>0</v>
      </c>
      <c r="FN283" s="239">
        <v>41632833</v>
      </c>
      <c r="FO283" s="239">
        <v>-586456</v>
      </c>
      <c r="FP283" s="239">
        <v>0</v>
      </c>
      <c r="FQ283" s="239">
        <v>-586456</v>
      </c>
      <c r="FR283" s="239">
        <v>-3070443</v>
      </c>
      <c r="FS283" s="239">
        <v>0</v>
      </c>
      <c r="FT283" s="239">
        <v>-3070443</v>
      </c>
      <c r="FU283" s="239">
        <v>-902355</v>
      </c>
      <c r="FV283" s="239">
        <v>0</v>
      </c>
      <c r="FW283" s="239">
        <v>-902355</v>
      </c>
      <c r="FX283" s="239">
        <v>-86263</v>
      </c>
      <c r="FY283" s="239">
        <v>0</v>
      </c>
      <c r="FZ283" s="239">
        <v>-86263</v>
      </c>
      <c r="GA283" s="239">
        <v>-127938</v>
      </c>
      <c r="GB283" s="239">
        <v>0</v>
      </c>
      <c r="GC283" s="239">
        <v>-127938</v>
      </c>
      <c r="GD283" s="239">
        <v>0</v>
      </c>
      <c r="GE283" s="239">
        <v>0</v>
      </c>
      <c r="GF283" s="239">
        <v>0</v>
      </c>
      <c r="GG283" s="239">
        <v>-4773455</v>
      </c>
      <c r="GH283" s="239">
        <v>0</v>
      </c>
      <c r="GI283" s="239">
        <v>-4773455</v>
      </c>
      <c r="GJ283" s="239">
        <v>36859378</v>
      </c>
      <c r="GK283" s="239">
        <v>0</v>
      </c>
      <c r="GL283" s="239">
        <v>36859378</v>
      </c>
      <c r="GM283" s="214" t="s">
        <v>1158</v>
      </c>
    </row>
    <row r="284" spans="2:195" s="214" customFormat="1" x14ac:dyDescent="0.2">
      <c r="B284" s="602" t="s">
        <v>651</v>
      </c>
      <c r="C284" s="602" t="s">
        <v>650</v>
      </c>
      <c r="D284" s="239">
        <v>-1846400</v>
      </c>
      <c r="E284" s="239">
        <v>0</v>
      </c>
      <c r="F284" s="239">
        <v>-1846400</v>
      </c>
      <c r="G284" s="239">
        <v>2463</v>
      </c>
      <c r="H284" s="239">
        <v>0</v>
      </c>
      <c r="I284" s="239">
        <v>2463</v>
      </c>
      <c r="J284" s="239">
        <v>2184581</v>
      </c>
      <c r="K284" s="239">
        <v>0</v>
      </c>
      <c r="L284" s="239">
        <v>2184581</v>
      </c>
      <c r="M284" s="239">
        <v>20030</v>
      </c>
      <c r="N284" s="239">
        <v>0</v>
      </c>
      <c r="O284" s="239">
        <v>20030</v>
      </c>
      <c r="P284" s="239">
        <v>360674</v>
      </c>
      <c r="Q284" s="239">
        <v>0</v>
      </c>
      <c r="R284" s="239">
        <v>360674</v>
      </c>
      <c r="S284" s="239">
        <v>-5507638</v>
      </c>
      <c r="T284" s="239">
        <v>0</v>
      </c>
      <c r="U284" s="239">
        <v>-5507638</v>
      </c>
      <c r="V284" s="239">
        <v>-14270</v>
      </c>
      <c r="W284" s="239">
        <v>0</v>
      </c>
      <c r="X284" s="239">
        <v>-14270</v>
      </c>
      <c r="Y284" s="239">
        <v>-273114</v>
      </c>
      <c r="Z284" s="239">
        <v>0</v>
      </c>
      <c r="AA284" s="239">
        <v>-273114</v>
      </c>
      <c r="AB284" s="239">
        <v>-254361</v>
      </c>
      <c r="AC284" s="239">
        <v>0</v>
      </c>
      <c r="AD284" s="239">
        <v>-254361</v>
      </c>
      <c r="AE284" s="239">
        <v>0</v>
      </c>
      <c r="AF284" s="239">
        <v>0</v>
      </c>
      <c r="AG284" s="239">
        <v>0</v>
      </c>
      <c r="AH284" s="239">
        <v>821078</v>
      </c>
      <c r="AI284" s="239">
        <v>0</v>
      </c>
      <c r="AJ284" s="239">
        <v>821078</v>
      </c>
      <c r="AK284" s="239">
        <v>-12314</v>
      </c>
      <c r="AL284" s="239">
        <v>0</v>
      </c>
      <c r="AM284" s="239">
        <v>-12314</v>
      </c>
      <c r="AN284" s="239">
        <v>-4220746</v>
      </c>
      <c r="AO284" s="239">
        <v>0</v>
      </c>
      <c r="AP284" s="239">
        <v>-4220746</v>
      </c>
      <c r="AQ284" s="239">
        <v>13637</v>
      </c>
      <c r="AR284" s="239">
        <v>0</v>
      </c>
      <c r="AS284" s="239">
        <v>13637</v>
      </c>
      <c r="AT284" s="239">
        <v>-40637</v>
      </c>
      <c r="AU284" s="239">
        <v>0</v>
      </c>
      <c r="AV284" s="239">
        <v>-40637</v>
      </c>
      <c r="AW284" s="239">
        <v>-9549</v>
      </c>
      <c r="AX284" s="239">
        <v>0</v>
      </c>
      <c r="AY284" s="239">
        <v>-9549</v>
      </c>
      <c r="AZ284" s="239">
        <v>-4730</v>
      </c>
      <c r="BA284" s="239">
        <v>0</v>
      </c>
      <c r="BB284" s="239">
        <v>-4730</v>
      </c>
      <c r="BC284" s="239">
        <v>0</v>
      </c>
      <c r="BD284" s="239">
        <v>0</v>
      </c>
      <c r="BE284" s="239">
        <v>0</v>
      </c>
      <c r="BF284" s="239">
        <v>-9234013</v>
      </c>
      <c r="BG284" s="239">
        <v>0</v>
      </c>
      <c r="BH284" s="239">
        <v>-9234013</v>
      </c>
      <c r="BI284" s="239">
        <v>0</v>
      </c>
      <c r="BJ284" s="239">
        <v>0</v>
      </c>
      <c r="BK284" s="239">
        <v>0</v>
      </c>
      <c r="BL284" s="239">
        <v>0</v>
      </c>
      <c r="BM284" s="239">
        <v>0</v>
      </c>
      <c r="BN284" s="239">
        <v>0</v>
      </c>
      <c r="BO284" s="239">
        <v>-1379194</v>
      </c>
      <c r="BP284" s="239">
        <v>0</v>
      </c>
      <c r="BQ284" s="239">
        <v>-1379194</v>
      </c>
      <c r="BR284" s="239">
        <v>-50997</v>
      </c>
      <c r="BS284" s="239">
        <v>0</v>
      </c>
      <c r="BT284" s="239">
        <v>-50997</v>
      </c>
      <c r="BU284" s="239">
        <v>-1430191</v>
      </c>
      <c r="BV284" s="239">
        <v>0</v>
      </c>
      <c r="BW284" s="239">
        <v>-1430191</v>
      </c>
      <c r="BX284" s="239">
        <v>-183361</v>
      </c>
      <c r="BY284" s="239">
        <v>0</v>
      </c>
      <c r="BZ284" s="239">
        <v>-183361</v>
      </c>
      <c r="CA284" s="239">
        <v>-19516</v>
      </c>
      <c r="CB284" s="239">
        <v>0</v>
      </c>
      <c r="CC284" s="239">
        <v>-19516</v>
      </c>
      <c r="CD284" s="239">
        <v>-71267</v>
      </c>
      <c r="CE284" s="239">
        <v>0</v>
      </c>
      <c r="CF284" s="239">
        <v>-71267</v>
      </c>
      <c r="CG284" s="239">
        <v>-1342</v>
      </c>
      <c r="CH284" s="239">
        <v>0</v>
      </c>
      <c r="CI284" s="239">
        <v>-1342</v>
      </c>
      <c r="CJ284" s="239">
        <v>-870</v>
      </c>
      <c r="CK284" s="239">
        <v>0</v>
      </c>
      <c r="CL284" s="239">
        <v>-870</v>
      </c>
      <c r="CM284" s="239">
        <v>-1068</v>
      </c>
      <c r="CN284" s="239">
        <v>0</v>
      </c>
      <c r="CO284" s="239">
        <v>-1068</v>
      </c>
      <c r="CP284" s="239">
        <v>0</v>
      </c>
      <c r="CQ284" s="239">
        <v>0</v>
      </c>
      <c r="CR284" s="239">
        <v>0</v>
      </c>
      <c r="CS284" s="239">
        <v>0</v>
      </c>
      <c r="CT284" s="239">
        <v>0</v>
      </c>
      <c r="CU284" s="239">
        <v>0</v>
      </c>
      <c r="CV284" s="239">
        <v>0</v>
      </c>
      <c r="CW284" s="239">
        <v>0</v>
      </c>
      <c r="CX284" s="239">
        <v>0</v>
      </c>
      <c r="CY284" s="239">
        <v>0</v>
      </c>
      <c r="CZ284" s="239">
        <v>0</v>
      </c>
      <c r="DA284" s="239">
        <v>0</v>
      </c>
      <c r="DB284" s="239">
        <v>0</v>
      </c>
      <c r="DC284" s="239">
        <v>0</v>
      </c>
      <c r="DD284" s="239">
        <v>0</v>
      </c>
      <c r="DE284" s="239">
        <v>0</v>
      </c>
      <c r="DF284" s="239">
        <v>0</v>
      </c>
      <c r="DG284" s="239">
        <v>0</v>
      </c>
      <c r="DH284" s="239">
        <v>0</v>
      </c>
      <c r="DI284" s="239">
        <v>0</v>
      </c>
      <c r="DJ284" s="239">
        <v>-277424</v>
      </c>
      <c r="DK284" s="239">
        <v>0</v>
      </c>
      <c r="DL284" s="239">
        <v>-277424</v>
      </c>
      <c r="DM284" s="239">
        <v>-10409</v>
      </c>
      <c r="DN284" s="239">
        <v>0</v>
      </c>
      <c r="DO284" s="239">
        <v>-10409</v>
      </c>
      <c r="DP284" s="239">
        <v>6343</v>
      </c>
      <c r="DQ284" s="239">
        <v>0</v>
      </c>
      <c r="DR284" s="239">
        <v>6343</v>
      </c>
      <c r="DS284" s="239">
        <v>-185</v>
      </c>
      <c r="DT284" s="239">
        <v>0</v>
      </c>
      <c r="DU284" s="239">
        <v>-185</v>
      </c>
      <c r="DV284" s="239">
        <v>74</v>
      </c>
      <c r="DW284" s="239">
        <v>0</v>
      </c>
      <c r="DX284" s="239">
        <v>74</v>
      </c>
      <c r="DY284" s="239">
        <v>9383</v>
      </c>
      <c r="DZ284" s="239">
        <v>0</v>
      </c>
      <c r="EA284" s="239">
        <v>9383</v>
      </c>
      <c r="EB284" s="239">
        <v>0</v>
      </c>
      <c r="EC284" s="239">
        <v>0</v>
      </c>
      <c r="ED284" s="239">
        <v>0</v>
      </c>
      <c r="EE284" s="239">
        <v>0</v>
      </c>
      <c r="EF284" s="239">
        <v>0</v>
      </c>
      <c r="EG284" s="239">
        <v>0</v>
      </c>
      <c r="EH284" s="239">
        <v>-1018</v>
      </c>
      <c r="EI284" s="239">
        <v>0</v>
      </c>
      <c r="EJ284" s="239">
        <v>-1018</v>
      </c>
      <c r="EK284" s="239">
        <v>-4730</v>
      </c>
      <c r="EL284" s="239">
        <v>0</v>
      </c>
      <c r="EM284" s="239">
        <v>-4730</v>
      </c>
      <c r="EN284" s="239">
        <v>-1500</v>
      </c>
      <c r="EO284" s="239">
        <v>0</v>
      </c>
      <c r="EP284" s="239">
        <v>-1500</v>
      </c>
      <c r="EQ284" s="239">
        <v>-51548</v>
      </c>
      <c r="ER284" s="239">
        <v>0</v>
      </c>
      <c r="ES284" s="239">
        <v>-51548</v>
      </c>
      <c r="ET284" s="239">
        <v>-147324</v>
      </c>
      <c r="EU284" s="239">
        <v>0</v>
      </c>
      <c r="EV284" s="239">
        <v>-147324</v>
      </c>
      <c r="EW284" s="239">
        <v>-59389</v>
      </c>
      <c r="EX284" s="239">
        <v>0</v>
      </c>
      <c r="EY284" s="239">
        <v>-59389</v>
      </c>
      <c r="EZ284" s="239">
        <v>-260303</v>
      </c>
      <c r="FA284" s="239">
        <v>0</v>
      </c>
      <c r="FB284" s="239">
        <v>-260303</v>
      </c>
      <c r="FC284" s="239">
        <v>0</v>
      </c>
      <c r="FD284" s="239">
        <v>0</v>
      </c>
      <c r="FE284" s="239">
        <v>0</v>
      </c>
      <c r="FF284" s="239">
        <v>0</v>
      </c>
      <c r="FG284" s="239">
        <v>0</v>
      </c>
      <c r="FH284" s="239">
        <v>0</v>
      </c>
      <c r="FI284" s="239">
        <v>0</v>
      </c>
      <c r="FJ284" s="239">
        <v>0</v>
      </c>
      <c r="FK284" s="239">
        <v>0</v>
      </c>
      <c r="FL284" s="239">
        <v>44007069</v>
      </c>
      <c r="FM284" s="239">
        <v>0</v>
      </c>
      <c r="FN284" s="239">
        <v>44007069</v>
      </c>
      <c r="FO284" s="239">
        <v>360674</v>
      </c>
      <c r="FP284" s="239">
        <v>0</v>
      </c>
      <c r="FQ284" s="239">
        <v>360674</v>
      </c>
      <c r="FR284" s="239">
        <v>-9234013</v>
      </c>
      <c r="FS284" s="239">
        <v>0</v>
      </c>
      <c r="FT284" s="239">
        <v>-9234013</v>
      </c>
      <c r="FU284" s="239">
        <v>-1430191</v>
      </c>
      <c r="FV284" s="239">
        <v>0</v>
      </c>
      <c r="FW284" s="239">
        <v>-1430191</v>
      </c>
      <c r="FX284" s="239">
        <v>-277424</v>
      </c>
      <c r="FY284" s="239">
        <v>0</v>
      </c>
      <c r="FZ284" s="239">
        <v>-277424</v>
      </c>
      <c r="GA284" s="239">
        <v>-260303</v>
      </c>
      <c r="GB284" s="239">
        <v>0</v>
      </c>
      <c r="GC284" s="239">
        <v>-260303</v>
      </c>
      <c r="GD284" s="239">
        <v>0</v>
      </c>
      <c r="GE284" s="239">
        <v>0</v>
      </c>
      <c r="GF284" s="239">
        <v>0</v>
      </c>
      <c r="GG284" s="239">
        <v>-10841257</v>
      </c>
      <c r="GH284" s="239">
        <v>0</v>
      </c>
      <c r="GI284" s="239">
        <v>-10841257</v>
      </c>
      <c r="GJ284" s="239">
        <v>33165812</v>
      </c>
      <c r="GK284" s="239">
        <v>0</v>
      </c>
      <c r="GL284" s="239">
        <v>33165812</v>
      </c>
      <c r="GM284" s="214" t="s">
        <v>1158</v>
      </c>
    </row>
    <row r="285" spans="2:195" s="214" customFormat="1" x14ac:dyDescent="0.2">
      <c r="B285" s="602" t="s">
        <v>653</v>
      </c>
      <c r="C285" s="602" t="s">
        <v>652</v>
      </c>
      <c r="D285" s="239">
        <v>-833459</v>
      </c>
      <c r="E285" s="239">
        <v>0</v>
      </c>
      <c r="F285" s="239">
        <v>-833459</v>
      </c>
      <c r="G285" s="239">
        <v>35188</v>
      </c>
      <c r="H285" s="239">
        <v>0</v>
      </c>
      <c r="I285" s="239">
        <v>35188</v>
      </c>
      <c r="J285" s="239">
        <v>1009127</v>
      </c>
      <c r="K285" s="239">
        <v>0</v>
      </c>
      <c r="L285" s="239">
        <v>1009127</v>
      </c>
      <c r="M285" s="239">
        <v>0</v>
      </c>
      <c r="N285" s="239">
        <v>0</v>
      </c>
      <c r="O285" s="239">
        <v>0</v>
      </c>
      <c r="P285" s="239">
        <v>210856</v>
      </c>
      <c r="Q285" s="239">
        <v>0</v>
      </c>
      <c r="R285" s="239">
        <v>210856</v>
      </c>
      <c r="S285" s="239">
        <v>-1704497</v>
      </c>
      <c r="T285" s="239">
        <v>0</v>
      </c>
      <c r="U285" s="239">
        <v>-1704497</v>
      </c>
      <c r="V285" s="239">
        <v>-1975</v>
      </c>
      <c r="W285" s="239">
        <v>0</v>
      </c>
      <c r="X285" s="239">
        <v>-1975</v>
      </c>
      <c r="Y285" s="239">
        <v>-38520</v>
      </c>
      <c r="Z285" s="239">
        <v>0</v>
      </c>
      <c r="AA285" s="239">
        <v>-38520</v>
      </c>
      <c r="AB285" s="239">
        <v>-36351.32</v>
      </c>
      <c r="AC285" s="239">
        <v>0</v>
      </c>
      <c r="AD285" s="239">
        <v>-36351.32</v>
      </c>
      <c r="AE285" s="239">
        <v>-622</v>
      </c>
      <c r="AF285" s="239">
        <v>0</v>
      </c>
      <c r="AG285" s="239">
        <v>-622</v>
      </c>
      <c r="AH285" s="239">
        <v>623741</v>
      </c>
      <c r="AI285" s="239">
        <v>0</v>
      </c>
      <c r="AJ285" s="239">
        <v>623741</v>
      </c>
      <c r="AK285" s="239">
        <v>-20167</v>
      </c>
      <c r="AL285" s="239">
        <v>0</v>
      </c>
      <c r="AM285" s="239">
        <v>-20167</v>
      </c>
      <c r="AN285" s="239">
        <v>-2439755</v>
      </c>
      <c r="AO285" s="239">
        <v>0</v>
      </c>
      <c r="AP285" s="239">
        <v>-2439755</v>
      </c>
      <c r="AQ285" s="239">
        <v>-837</v>
      </c>
      <c r="AR285" s="239">
        <v>0</v>
      </c>
      <c r="AS285" s="239">
        <v>-837</v>
      </c>
      <c r="AT285" s="239">
        <v>-29143</v>
      </c>
      <c r="AU285" s="239">
        <v>0</v>
      </c>
      <c r="AV285" s="239">
        <v>-29143</v>
      </c>
      <c r="AW285" s="239">
        <v>0</v>
      </c>
      <c r="AX285" s="239">
        <v>0</v>
      </c>
      <c r="AY285" s="239">
        <v>0</v>
      </c>
      <c r="AZ285" s="239">
        <v>-1964</v>
      </c>
      <c r="BA285" s="239">
        <v>0</v>
      </c>
      <c r="BB285" s="239">
        <v>-1964</v>
      </c>
      <c r="BC285" s="239">
        <v>0</v>
      </c>
      <c r="BD285" s="239">
        <v>0</v>
      </c>
      <c r="BE285" s="239">
        <v>0</v>
      </c>
      <c r="BF285" s="239">
        <v>-3611142</v>
      </c>
      <c r="BG285" s="239">
        <v>0</v>
      </c>
      <c r="BH285" s="239">
        <v>-3611142</v>
      </c>
      <c r="BI285" s="239">
        <v>-15255</v>
      </c>
      <c r="BJ285" s="239">
        <v>0</v>
      </c>
      <c r="BK285" s="239">
        <v>-15255</v>
      </c>
      <c r="BL285" s="239">
        <v>-164977</v>
      </c>
      <c r="BM285" s="239">
        <v>0</v>
      </c>
      <c r="BN285" s="239">
        <v>-164977</v>
      </c>
      <c r="BO285" s="239">
        <v>-854968</v>
      </c>
      <c r="BP285" s="239">
        <v>0</v>
      </c>
      <c r="BQ285" s="239">
        <v>-854968</v>
      </c>
      <c r="BR285" s="239">
        <v>-53925</v>
      </c>
      <c r="BS285" s="239">
        <v>0</v>
      </c>
      <c r="BT285" s="239">
        <v>-53925</v>
      </c>
      <c r="BU285" s="239">
        <v>-1089125</v>
      </c>
      <c r="BV285" s="239">
        <v>0</v>
      </c>
      <c r="BW285" s="239">
        <v>-1089125</v>
      </c>
      <c r="BX285" s="239">
        <v>-11106</v>
      </c>
      <c r="BY285" s="239">
        <v>0</v>
      </c>
      <c r="BZ285" s="239">
        <v>-11106</v>
      </c>
      <c r="CA285" s="239">
        <v>0</v>
      </c>
      <c r="CB285" s="239">
        <v>0</v>
      </c>
      <c r="CC285" s="239">
        <v>0</v>
      </c>
      <c r="CD285" s="239">
        <v>-173159</v>
      </c>
      <c r="CE285" s="239">
        <v>0</v>
      </c>
      <c r="CF285" s="239">
        <v>-173159</v>
      </c>
      <c r="CG285" s="239">
        <v>0</v>
      </c>
      <c r="CH285" s="239">
        <v>0</v>
      </c>
      <c r="CI285" s="239">
        <v>0</v>
      </c>
      <c r="CJ285" s="239">
        <v>0</v>
      </c>
      <c r="CK285" s="239">
        <v>0</v>
      </c>
      <c r="CL285" s="239">
        <v>0</v>
      </c>
      <c r="CM285" s="239">
        <v>0</v>
      </c>
      <c r="CN285" s="239">
        <v>0</v>
      </c>
      <c r="CO285" s="239">
        <v>0</v>
      </c>
      <c r="CP285" s="239">
        <v>-1964</v>
      </c>
      <c r="CQ285" s="239">
        <v>0</v>
      </c>
      <c r="CR285" s="239">
        <v>-1964</v>
      </c>
      <c r="CS285" s="239">
        <v>0</v>
      </c>
      <c r="CT285" s="239">
        <v>0</v>
      </c>
      <c r="CU285" s="239">
        <v>0</v>
      </c>
      <c r="CV285" s="239">
        <v>0</v>
      </c>
      <c r="CW285" s="239">
        <v>0</v>
      </c>
      <c r="CX285" s="239">
        <v>0</v>
      </c>
      <c r="CY285" s="239">
        <v>0</v>
      </c>
      <c r="CZ285" s="239">
        <v>0</v>
      </c>
      <c r="DA285" s="239">
        <v>0</v>
      </c>
      <c r="DB285" s="239">
        <v>0</v>
      </c>
      <c r="DC285" s="239">
        <v>0</v>
      </c>
      <c r="DD285" s="239">
        <v>0</v>
      </c>
      <c r="DE285" s="239">
        <v>0</v>
      </c>
      <c r="DF285" s="239">
        <v>0</v>
      </c>
      <c r="DG285" s="239">
        <v>0</v>
      </c>
      <c r="DH285" s="239">
        <v>0</v>
      </c>
      <c r="DI285" s="239">
        <v>0</v>
      </c>
      <c r="DJ285" s="239">
        <v>-186229</v>
      </c>
      <c r="DK285" s="239">
        <v>0</v>
      </c>
      <c r="DL285" s="239">
        <v>-186229</v>
      </c>
      <c r="DM285" s="239">
        <v>0</v>
      </c>
      <c r="DN285" s="239">
        <v>0</v>
      </c>
      <c r="DO285" s="239">
        <v>0</v>
      </c>
      <c r="DP285" s="239">
        <v>0</v>
      </c>
      <c r="DQ285" s="239">
        <v>0</v>
      </c>
      <c r="DR285" s="239">
        <v>0</v>
      </c>
      <c r="DS285" s="239">
        <v>0</v>
      </c>
      <c r="DT285" s="239">
        <v>0</v>
      </c>
      <c r="DU285" s="239">
        <v>0</v>
      </c>
      <c r="DV285" s="239">
        <v>0</v>
      </c>
      <c r="DW285" s="239">
        <v>0</v>
      </c>
      <c r="DX285" s="239">
        <v>0</v>
      </c>
      <c r="DY285" s="239">
        <v>0</v>
      </c>
      <c r="DZ285" s="239">
        <v>0</v>
      </c>
      <c r="EA285" s="239">
        <v>0</v>
      </c>
      <c r="EB285" s="239">
        <v>0</v>
      </c>
      <c r="EC285" s="239">
        <v>0</v>
      </c>
      <c r="ED285" s="239">
        <v>0</v>
      </c>
      <c r="EE285" s="239">
        <v>0</v>
      </c>
      <c r="EF285" s="239">
        <v>0</v>
      </c>
      <c r="EG285" s="239">
        <v>0</v>
      </c>
      <c r="EH285" s="239">
        <v>0</v>
      </c>
      <c r="EI285" s="239">
        <v>0</v>
      </c>
      <c r="EJ285" s="239">
        <v>0</v>
      </c>
      <c r="EK285" s="239">
        <v>0</v>
      </c>
      <c r="EL285" s="239">
        <v>0</v>
      </c>
      <c r="EM285" s="239">
        <v>0</v>
      </c>
      <c r="EN285" s="239">
        <v>0</v>
      </c>
      <c r="EO285" s="239">
        <v>0</v>
      </c>
      <c r="EP285" s="239">
        <v>0</v>
      </c>
      <c r="EQ285" s="239">
        <v>-14545</v>
      </c>
      <c r="ER285" s="239">
        <v>0</v>
      </c>
      <c r="ES285" s="239">
        <v>-14545</v>
      </c>
      <c r="ET285" s="239">
        <v>-143000</v>
      </c>
      <c r="EU285" s="239">
        <v>0</v>
      </c>
      <c r="EV285" s="239">
        <v>-143000</v>
      </c>
      <c r="EW285" s="239">
        <v>-31805</v>
      </c>
      <c r="EX285" s="239">
        <v>0</v>
      </c>
      <c r="EY285" s="239">
        <v>-31805</v>
      </c>
      <c r="EZ285" s="239">
        <v>-189350</v>
      </c>
      <c r="FA285" s="239">
        <v>0</v>
      </c>
      <c r="FB285" s="239">
        <v>-189350</v>
      </c>
      <c r="FC285" s="239">
        <v>0</v>
      </c>
      <c r="FD285" s="239">
        <v>0</v>
      </c>
      <c r="FE285" s="239">
        <v>0</v>
      </c>
      <c r="FF285" s="239">
        <v>0</v>
      </c>
      <c r="FG285" s="239">
        <v>0</v>
      </c>
      <c r="FH285" s="239">
        <v>0</v>
      </c>
      <c r="FI285" s="239">
        <v>0</v>
      </c>
      <c r="FJ285" s="239">
        <v>0</v>
      </c>
      <c r="FK285" s="239">
        <v>0</v>
      </c>
      <c r="FL285" s="239">
        <v>31810924</v>
      </c>
      <c r="FM285" s="239">
        <v>0</v>
      </c>
      <c r="FN285" s="239">
        <v>31810924</v>
      </c>
      <c r="FO285" s="239">
        <v>210856</v>
      </c>
      <c r="FP285" s="239">
        <v>0</v>
      </c>
      <c r="FQ285" s="239">
        <v>210856</v>
      </c>
      <c r="FR285" s="239">
        <v>-3611142</v>
      </c>
      <c r="FS285" s="239">
        <v>0</v>
      </c>
      <c r="FT285" s="239">
        <v>-3611142</v>
      </c>
      <c r="FU285" s="239">
        <v>-1089125</v>
      </c>
      <c r="FV285" s="239">
        <v>0</v>
      </c>
      <c r="FW285" s="239">
        <v>-1089125</v>
      </c>
      <c r="FX285" s="239">
        <v>-186229</v>
      </c>
      <c r="FY285" s="239">
        <v>0</v>
      </c>
      <c r="FZ285" s="239">
        <v>-186229</v>
      </c>
      <c r="GA285" s="239">
        <v>-189350</v>
      </c>
      <c r="GB285" s="239">
        <v>0</v>
      </c>
      <c r="GC285" s="239">
        <v>-189350</v>
      </c>
      <c r="GD285" s="239">
        <v>0</v>
      </c>
      <c r="GE285" s="239">
        <v>0</v>
      </c>
      <c r="GF285" s="239">
        <v>0</v>
      </c>
      <c r="GG285" s="239">
        <v>-4864990</v>
      </c>
      <c r="GH285" s="239">
        <v>0</v>
      </c>
      <c r="GI285" s="239">
        <v>-4864990</v>
      </c>
      <c r="GJ285" s="239">
        <v>26945934</v>
      </c>
      <c r="GK285" s="239">
        <v>0</v>
      </c>
      <c r="GL285" s="239">
        <v>26945934</v>
      </c>
      <c r="GM285" s="214" t="s">
        <v>1158</v>
      </c>
    </row>
    <row r="286" spans="2:195" s="214" customFormat="1" x14ac:dyDescent="0.2">
      <c r="B286" s="602" t="s">
        <v>655</v>
      </c>
      <c r="C286" s="602" t="s">
        <v>654</v>
      </c>
      <c r="D286" s="239">
        <v>-1839856</v>
      </c>
      <c r="E286" s="239">
        <v>0</v>
      </c>
      <c r="F286" s="239">
        <v>-1839856</v>
      </c>
      <c r="G286" s="239">
        <v>1760170.39</v>
      </c>
      <c r="H286" s="239">
        <v>0</v>
      </c>
      <c r="I286" s="239">
        <v>1760170.39</v>
      </c>
      <c r="J286" s="239">
        <v>4600506</v>
      </c>
      <c r="K286" s="239">
        <v>0</v>
      </c>
      <c r="L286" s="239">
        <v>4600506</v>
      </c>
      <c r="M286" s="239">
        <v>8876</v>
      </c>
      <c r="N286" s="239">
        <v>0</v>
      </c>
      <c r="O286" s="239">
        <v>8876</v>
      </c>
      <c r="P286" s="239">
        <v>4529696</v>
      </c>
      <c r="Q286" s="239">
        <v>0</v>
      </c>
      <c r="R286" s="239">
        <v>4529696</v>
      </c>
      <c r="S286" s="239">
        <v>-3631251</v>
      </c>
      <c r="T286" s="239">
        <v>0</v>
      </c>
      <c r="U286" s="239">
        <v>-3631251</v>
      </c>
      <c r="V286" s="239">
        <v>-18072</v>
      </c>
      <c r="W286" s="239">
        <v>0</v>
      </c>
      <c r="X286" s="239">
        <v>-18072</v>
      </c>
      <c r="Y286" s="239">
        <v>-226521</v>
      </c>
      <c r="Z286" s="239">
        <v>0</v>
      </c>
      <c r="AA286" s="239">
        <v>-226521</v>
      </c>
      <c r="AB286" s="239">
        <v>-226521</v>
      </c>
      <c r="AC286" s="239">
        <v>0</v>
      </c>
      <c r="AD286" s="239">
        <v>-226521</v>
      </c>
      <c r="AE286" s="239">
        <v>0</v>
      </c>
      <c r="AF286" s="239">
        <v>0</v>
      </c>
      <c r="AG286" s="239">
        <v>0</v>
      </c>
      <c r="AH286" s="239">
        <v>3010809</v>
      </c>
      <c r="AI286" s="239">
        <v>0</v>
      </c>
      <c r="AJ286" s="239">
        <v>3010809</v>
      </c>
      <c r="AK286" s="239">
        <v>1782428</v>
      </c>
      <c r="AL286" s="239">
        <v>0</v>
      </c>
      <c r="AM286" s="239">
        <v>1782428</v>
      </c>
      <c r="AN286" s="239">
        <v>-4338165</v>
      </c>
      <c r="AO286" s="239">
        <v>0</v>
      </c>
      <c r="AP286" s="239">
        <v>-4338165</v>
      </c>
      <c r="AQ286" s="239">
        <v>-106505</v>
      </c>
      <c r="AR286" s="239">
        <v>0</v>
      </c>
      <c r="AS286" s="239">
        <v>-106505</v>
      </c>
      <c r="AT286" s="239">
        <v>-31186</v>
      </c>
      <c r="AU286" s="239">
        <v>0</v>
      </c>
      <c r="AV286" s="239">
        <v>-31186</v>
      </c>
      <c r="AW286" s="239">
        <v>5980</v>
      </c>
      <c r="AX286" s="239">
        <v>0</v>
      </c>
      <c r="AY286" s="239">
        <v>5980</v>
      </c>
      <c r="AZ286" s="239">
        <v>0</v>
      </c>
      <c r="BA286" s="239">
        <v>0</v>
      </c>
      <c r="BB286" s="239">
        <v>0</v>
      </c>
      <c r="BC286" s="239">
        <v>0</v>
      </c>
      <c r="BD286" s="239">
        <v>0</v>
      </c>
      <c r="BE286" s="239">
        <v>0</v>
      </c>
      <c r="BF286" s="239">
        <v>-3534411</v>
      </c>
      <c r="BG286" s="239">
        <v>0</v>
      </c>
      <c r="BH286" s="239">
        <v>-3534411</v>
      </c>
      <c r="BI286" s="239">
        <v>-2877</v>
      </c>
      <c r="BJ286" s="239">
        <v>0</v>
      </c>
      <c r="BK286" s="239">
        <v>-2877</v>
      </c>
      <c r="BL286" s="239">
        <v>-2657</v>
      </c>
      <c r="BM286" s="239">
        <v>0</v>
      </c>
      <c r="BN286" s="239">
        <v>-2657</v>
      </c>
      <c r="BO286" s="239">
        <v>-5881336</v>
      </c>
      <c r="BP286" s="239">
        <v>0</v>
      </c>
      <c r="BQ286" s="239">
        <v>-5881336</v>
      </c>
      <c r="BR286" s="239">
        <v>324220</v>
      </c>
      <c r="BS286" s="239">
        <v>0</v>
      </c>
      <c r="BT286" s="239">
        <v>324220</v>
      </c>
      <c r="BU286" s="239">
        <v>-5562650</v>
      </c>
      <c r="BV286" s="239">
        <v>0</v>
      </c>
      <c r="BW286" s="239">
        <v>-5562650</v>
      </c>
      <c r="BX286" s="239">
        <v>-46977</v>
      </c>
      <c r="BY286" s="239">
        <v>0</v>
      </c>
      <c r="BZ286" s="239">
        <v>-46977</v>
      </c>
      <c r="CA286" s="239">
        <v>-1470</v>
      </c>
      <c r="CB286" s="239">
        <v>0</v>
      </c>
      <c r="CC286" s="239">
        <v>-1470</v>
      </c>
      <c r="CD286" s="239">
        <v>-33441</v>
      </c>
      <c r="CE286" s="239">
        <v>0</v>
      </c>
      <c r="CF286" s="239">
        <v>-33441</v>
      </c>
      <c r="CG286" s="239">
        <v>-159</v>
      </c>
      <c r="CH286" s="239">
        <v>0</v>
      </c>
      <c r="CI286" s="239">
        <v>-159</v>
      </c>
      <c r="CJ286" s="239">
        <v>-752</v>
      </c>
      <c r="CK286" s="239">
        <v>0</v>
      </c>
      <c r="CL286" s="239">
        <v>-752</v>
      </c>
      <c r="CM286" s="239">
        <v>374</v>
      </c>
      <c r="CN286" s="239">
        <v>0</v>
      </c>
      <c r="CO286" s="239">
        <v>374</v>
      </c>
      <c r="CP286" s="239">
        <v>0</v>
      </c>
      <c r="CQ286" s="239">
        <v>0</v>
      </c>
      <c r="CR286" s="239">
        <v>0</v>
      </c>
      <c r="CS286" s="239">
        <v>0</v>
      </c>
      <c r="CT286" s="239">
        <v>0</v>
      </c>
      <c r="CU286" s="239">
        <v>0</v>
      </c>
      <c r="CV286" s="239">
        <v>0</v>
      </c>
      <c r="CW286" s="239">
        <v>0</v>
      </c>
      <c r="CX286" s="239">
        <v>0</v>
      </c>
      <c r="CY286" s="239">
        <v>0</v>
      </c>
      <c r="CZ286" s="239">
        <v>0</v>
      </c>
      <c r="DA286" s="239">
        <v>0</v>
      </c>
      <c r="DB286" s="239">
        <v>0</v>
      </c>
      <c r="DC286" s="239">
        <v>0</v>
      </c>
      <c r="DD286" s="239">
        <v>0</v>
      </c>
      <c r="DE286" s="239">
        <v>0</v>
      </c>
      <c r="DF286" s="239">
        <v>0</v>
      </c>
      <c r="DG286" s="239">
        <v>0</v>
      </c>
      <c r="DH286" s="239">
        <v>0</v>
      </c>
      <c r="DI286" s="239">
        <v>0</v>
      </c>
      <c r="DJ286" s="239">
        <v>-82425</v>
      </c>
      <c r="DK286" s="239">
        <v>0</v>
      </c>
      <c r="DL286" s="239">
        <v>-82425</v>
      </c>
      <c r="DM286" s="239">
        <v>0</v>
      </c>
      <c r="DN286" s="239">
        <v>0</v>
      </c>
      <c r="DO286" s="239">
        <v>0</v>
      </c>
      <c r="DP286" s="239">
        <v>0</v>
      </c>
      <c r="DQ286" s="239">
        <v>0</v>
      </c>
      <c r="DR286" s="239">
        <v>0</v>
      </c>
      <c r="DS286" s="239">
        <v>0</v>
      </c>
      <c r="DT286" s="239">
        <v>0</v>
      </c>
      <c r="DU286" s="239">
        <v>0</v>
      </c>
      <c r="DV286" s="239">
        <v>0</v>
      </c>
      <c r="DW286" s="239">
        <v>0</v>
      </c>
      <c r="DX286" s="239">
        <v>0</v>
      </c>
      <c r="DY286" s="239">
        <v>1500</v>
      </c>
      <c r="DZ286" s="239">
        <v>0</v>
      </c>
      <c r="EA286" s="239">
        <v>1500</v>
      </c>
      <c r="EB286" s="239">
        <v>0</v>
      </c>
      <c r="EC286" s="239">
        <v>0</v>
      </c>
      <c r="ED286" s="239">
        <v>0</v>
      </c>
      <c r="EE286" s="239">
        <v>0</v>
      </c>
      <c r="EF286" s="239">
        <v>0</v>
      </c>
      <c r="EG286" s="239">
        <v>0</v>
      </c>
      <c r="EH286" s="239">
        <v>0</v>
      </c>
      <c r="EI286" s="239">
        <v>0</v>
      </c>
      <c r="EJ286" s="239">
        <v>0</v>
      </c>
      <c r="EK286" s="239">
        <v>0</v>
      </c>
      <c r="EL286" s="239">
        <v>0</v>
      </c>
      <c r="EM286" s="239">
        <v>0</v>
      </c>
      <c r="EN286" s="239">
        <v>0</v>
      </c>
      <c r="EO286" s="239">
        <v>0</v>
      </c>
      <c r="EP286" s="239">
        <v>0</v>
      </c>
      <c r="EQ286" s="239">
        <v>-12047</v>
      </c>
      <c r="ER286" s="239">
        <v>0</v>
      </c>
      <c r="ES286" s="239">
        <v>-12047</v>
      </c>
      <c r="ET286" s="239">
        <v>-320964</v>
      </c>
      <c r="EU286" s="239">
        <v>0</v>
      </c>
      <c r="EV286" s="239">
        <v>-320964</v>
      </c>
      <c r="EW286" s="239">
        <v>-20997</v>
      </c>
      <c r="EX286" s="239">
        <v>0</v>
      </c>
      <c r="EY286" s="239">
        <v>-20997</v>
      </c>
      <c r="EZ286" s="239">
        <v>-352508</v>
      </c>
      <c r="FA286" s="239">
        <v>0</v>
      </c>
      <c r="FB286" s="239">
        <v>-352508</v>
      </c>
      <c r="FC286" s="239">
        <v>0</v>
      </c>
      <c r="FD286" s="239">
        <v>0</v>
      </c>
      <c r="FE286" s="239">
        <v>0</v>
      </c>
      <c r="FF286" s="239">
        <v>0</v>
      </c>
      <c r="FG286" s="239">
        <v>0</v>
      </c>
      <c r="FH286" s="239">
        <v>0</v>
      </c>
      <c r="FI286" s="239">
        <v>0</v>
      </c>
      <c r="FJ286" s="239">
        <v>0</v>
      </c>
      <c r="FK286" s="239">
        <v>0</v>
      </c>
      <c r="FL286" s="239">
        <v>116327401</v>
      </c>
      <c r="FM286" s="239">
        <v>0</v>
      </c>
      <c r="FN286" s="239">
        <v>116327401</v>
      </c>
      <c r="FO286" s="239">
        <v>4529696</v>
      </c>
      <c r="FP286" s="239">
        <v>0</v>
      </c>
      <c r="FQ286" s="239">
        <v>4529696</v>
      </c>
      <c r="FR286" s="239">
        <v>-3534411</v>
      </c>
      <c r="FS286" s="239">
        <v>0</v>
      </c>
      <c r="FT286" s="239">
        <v>-3534411</v>
      </c>
      <c r="FU286" s="239">
        <v>-5562650</v>
      </c>
      <c r="FV286" s="239">
        <v>0</v>
      </c>
      <c r="FW286" s="239">
        <v>-5562650</v>
      </c>
      <c r="FX286" s="239">
        <v>-82425</v>
      </c>
      <c r="FY286" s="239">
        <v>0</v>
      </c>
      <c r="FZ286" s="239">
        <v>-82425</v>
      </c>
      <c r="GA286" s="239">
        <v>-352508</v>
      </c>
      <c r="GB286" s="239">
        <v>0</v>
      </c>
      <c r="GC286" s="239">
        <v>-352508</v>
      </c>
      <c r="GD286" s="239">
        <v>0</v>
      </c>
      <c r="GE286" s="239">
        <v>0</v>
      </c>
      <c r="GF286" s="239">
        <v>0</v>
      </c>
      <c r="GG286" s="239">
        <v>-5002298</v>
      </c>
      <c r="GH286" s="239">
        <v>0</v>
      </c>
      <c r="GI286" s="239">
        <v>-5002298</v>
      </c>
      <c r="GJ286" s="239">
        <v>111325103</v>
      </c>
      <c r="GK286" s="239">
        <v>0</v>
      </c>
      <c r="GL286" s="239">
        <v>111325103</v>
      </c>
      <c r="GM286" s="214" t="s">
        <v>746</v>
      </c>
    </row>
    <row r="287" spans="2:195" s="214" customFormat="1" x14ac:dyDescent="0.2">
      <c r="B287" s="602" t="s">
        <v>657</v>
      </c>
      <c r="C287" s="602" t="s">
        <v>656</v>
      </c>
      <c r="D287" s="239">
        <v>-1435840</v>
      </c>
      <c r="E287" s="239">
        <v>0</v>
      </c>
      <c r="F287" s="239">
        <v>-1435840</v>
      </c>
      <c r="G287" s="239">
        <v>43507</v>
      </c>
      <c r="H287" s="239">
        <v>0</v>
      </c>
      <c r="I287" s="239">
        <v>43507</v>
      </c>
      <c r="J287" s="239">
        <v>1372260</v>
      </c>
      <c r="K287" s="239">
        <v>0</v>
      </c>
      <c r="L287" s="239">
        <v>1372260</v>
      </c>
      <c r="M287" s="239">
        <v>310455</v>
      </c>
      <c r="N287" s="239">
        <v>0</v>
      </c>
      <c r="O287" s="239">
        <v>310455</v>
      </c>
      <c r="P287" s="239">
        <v>290382</v>
      </c>
      <c r="Q287" s="239">
        <v>0</v>
      </c>
      <c r="R287" s="239">
        <v>290382</v>
      </c>
      <c r="S287" s="239">
        <v>-2758376</v>
      </c>
      <c r="T287" s="239">
        <v>0</v>
      </c>
      <c r="U287" s="239">
        <v>-2758376</v>
      </c>
      <c r="V287" s="239">
        <v>0</v>
      </c>
      <c r="W287" s="239">
        <v>0</v>
      </c>
      <c r="X287" s="239">
        <v>0</v>
      </c>
      <c r="Y287" s="239">
        <v>-82095</v>
      </c>
      <c r="Z287" s="239">
        <v>0</v>
      </c>
      <c r="AA287" s="239">
        <v>-82095</v>
      </c>
      <c r="AB287" s="239">
        <v>-72102</v>
      </c>
      <c r="AC287" s="239">
        <v>0</v>
      </c>
      <c r="AD287" s="239">
        <v>-72102</v>
      </c>
      <c r="AE287" s="239">
        <v>0</v>
      </c>
      <c r="AF287" s="239">
        <v>0</v>
      </c>
      <c r="AG287" s="239">
        <v>0</v>
      </c>
      <c r="AH287" s="239">
        <v>1414159</v>
      </c>
      <c r="AI287" s="239">
        <v>0</v>
      </c>
      <c r="AJ287" s="239">
        <v>1414159</v>
      </c>
      <c r="AK287" s="239">
        <v>446774</v>
      </c>
      <c r="AL287" s="239">
        <v>0</v>
      </c>
      <c r="AM287" s="239">
        <v>446774</v>
      </c>
      <c r="AN287" s="239">
        <v>-5115897</v>
      </c>
      <c r="AO287" s="239">
        <v>0</v>
      </c>
      <c r="AP287" s="239">
        <v>-5115897</v>
      </c>
      <c r="AQ287" s="239">
        <v>-94512</v>
      </c>
      <c r="AR287" s="239">
        <v>0</v>
      </c>
      <c r="AS287" s="239">
        <v>-94512</v>
      </c>
      <c r="AT287" s="239">
        <v>-66017</v>
      </c>
      <c r="AU287" s="239">
        <v>0</v>
      </c>
      <c r="AV287" s="239">
        <v>-66017</v>
      </c>
      <c r="AW287" s="239">
        <v>6471</v>
      </c>
      <c r="AX287" s="239">
        <v>0</v>
      </c>
      <c r="AY287" s="239">
        <v>6471</v>
      </c>
      <c r="AZ287" s="239">
        <v>-6237</v>
      </c>
      <c r="BA287" s="239">
        <v>0</v>
      </c>
      <c r="BB287" s="239">
        <v>-6237</v>
      </c>
      <c r="BC287" s="239">
        <v>178</v>
      </c>
      <c r="BD287" s="239">
        <v>0</v>
      </c>
      <c r="BE287" s="239">
        <v>178</v>
      </c>
      <c r="BF287" s="239">
        <v>-6255552</v>
      </c>
      <c r="BG287" s="239">
        <v>0</v>
      </c>
      <c r="BH287" s="239">
        <v>-6255552</v>
      </c>
      <c r="BI287" s="239">
        <v>-32470</v>
      </c>
      <c r="BJ287" s="239">
        <v>0</v>
      </c>
      <c r="BK287" s="239">
        <v>-32470</v>
      </c>
      <c r="BL287" s="239">
        <v>13172</v>
      </c>
      <c r="BM287" s="239">
        <v>0</v>
      </c>
      <c r="BN287" s="239">
        <v>13172</v>
      </c>
      <c r="BO287" s="239">
        <v>-2866945</v>
      </c>
      <c r="BP287" s="239">
        <v>0</v>
      </c>
      <c r="BQ287" s="239">
        <v>-2866945</v>
      </c>
      <c r="BR287" s="239">
        <v>221259</v>
      </c>
      <c r="BS287" s="239">
        <v>0</v>
      </c>
      <c r="BT287" s="239">
        <v>221259</v>
      </c>
      <c r="BU287" s="239">
        <v>-2664984</v>
      </c>
      <c r="BV287" s="239">
        <v>0</v>
      </c>
      <c r="BW287" s="239">
        <v>-2664984</v>
      </c>
      <c r="BX287" s="239">
        <v>-130558</v>
      </c>
      <c r="BY287" s="239">
        <v>0</v>
      </c>
      <c r="BZ287" s="239">
        <v>-130558</v>
      </c>
      <c r="CA287" s="239">
        <v>0</v>
      </c>
      <c r="CB287" s="239">
        <v>0</v>
      </c>
      <c r="CC287" s="239">
        <v>0</v>
      </c>
      <c r="CD287" s="239">
        <v>-52335</v>
      </c>
      <c r="CE287" s="239">
        <v>0</v>
      </c>
      <c r="CF287" s="239">
        <v>-52335</v>
      </c>
      <c r="CG287" s="239">
        <v>-7985</v>
      </c>
      <c r="CH287" s="239">
        <v>0</v>
      </c>
      <c r="CI287" s="239">
        <v>-7985</v>
      </c>
      <c r="CJ287" s="239">
        <v>-16135</v>
      </c>
      <c r="CK287" s="239">
        <v>0</v>
      </c>
      <c r="CL287" s="239">
        <v>-16135</v>
      </c>
      <c r="CM287" s="239">
        <v>1617</v>
      </c>
      <c r="CN287" s="239">
        <v>0</v>
      </c>
      <c r="CO287" s="239">
        <v>1617</v>
      </c>
      <c r="CP287" s="239">
        <v>-8388</v>
      </c>
      <c r="CQ287" s="239">
        <v>0</v>
      </c>
      <c r="CR287" s="239">
        <v>-8388</v>
      </c>
      <c r="CS287" s="239">
        <v>0</v>
      </c>
      <c r="CT287" s="239">
        <v>0</v>
      </c>
      <c r="CU287" s="239">
        <v>0</v>
      </c>
      <c r="CV287" s="239">
        <v>-6236</v>
      </c>
      <c r="CW287" s="239">
        <v>0</v>
      </c>
      <c r="CX287" s="239">
        <v>-6236</v>
      </c>
      <c r="CY287" s="239">
        <v>0</v>
      </c>
      <c r="CZ287" s="239">
        <v>0</v>
      </c>
      <c r="DA287" s="239">
        <v>0</v>
      </c>
      <c r="DB287" s="239">
        <v>0</v>
      </c>
      <c r="DC287" s="239">
        <v>0</v>
      </c>
      <c r="DD287" s="239">
        <v>0</v>
      </c>
      <c r="DE287" s="239">
        <v>0</v>
      </c>
      <c r="DF287" s="239">
        <v>0</v>
      </c>
      <c r="DG287" s="239">
        <v>0</v>
      </c>
      <c r="DH287" s="239">
        <v>0</v>
      </c>
      <c r="DI287" s="239">
        <v>0</v>
      </c>
      <c r="DJ287" s="239">
        <v>-220020</v>
      </c>
      <c r="DK287" s="239">
        <v>0</v>
      </c>
      <c r="DL287" s="239">
        <v>-220020</v>
      </c>
      <c r="DM287" s="239">
        <v>-1668</v>
      </c>
      <c r="DN287" s="239">
        <v>0</v>
      </c>
      <c r="DO287" s="239">
        <v>-1668</v>
      </c>
      <c r="DP287" s="239">
        <v>-5359</v>
      </c>
      <c r="DQ287" s="239">
        <v>0</v>
      </c>
      <c r="DR287" s="239">
        <v>-5359</v>
      </c>
      <c r="DS287" s="239">
        <v>-23802</v>
      </c>
      <c r="DT287" s="239">
        <v>0</v>
      </c>
      <c r="DU287" s="239">
        <v>-23802</v>
      </c>
      <c r="DV287" s="239">
        <v>0</v>
      </c>
      <c r="DW287" s="239">
        <v>0</v>
      </c>
      <c r="DX287" s="239">
        <v>0</v>
      </c>
      <c r="DY287" s="239">
        <v>717</v>
      </c>
      <c r="DZ287" s="239">
        <v>0</v>
      </c>
      <c r="EA287" s="239">
        <v>717</v>
      </c>
      <c r="EB287" s="239">
        <v>0</v>
      </c>
      <c r="EC287" s="239">
        <v>0</v>
      </c>
      <c r="ED287" s="239">
        <v>0</v>
      </c>
      <c r="EE287" s="239">
        <v>4064</v>
      </c>
      <c r="EF287" s="239">
        <v>0</v>
      </c>
      <c r="EG287" s="239">
        <v>4064</v>
      </c>
      <c r="EH287" s="239">
        <v>0</v>
      </c>
      <c r="EI287" s="239">
        <v>0</v>
      </c>
      <c r="EJ287" s="239">
        <v>0</v>
      </c>
      <c r="EK287" s="239">
        <v>0</v>
      </c>
      <c r="EL287" s="239">
        <v>0</v>
      </c>
      <c r="EM287" s="239">
        <v>0</v>
      </c>
      <c r="EN287" s="239">
        <v>0</v>
      </c>
      <c r="EO287" s="239">
        <v>0</v>
      </c>
      <c r="EP287" s="239">
        <v>0</v>
      </c>
      <c r="EQ287" s="239">
        <v>-26834</v>
      </c>
      <c r="ER287" s="239">
        <v>0</v>
      </c>
      <c r="ES287" s="239">
        <v>-26834</v>
      </c>
      <c r="ET287" s="239">
        <v>-274588</v>
      </c>
      <c r="EU287" s="239">
        <v>0</v>
      </c>
      <c r="EV287" s="239">
        <v>-274588</v>
      </c>
      <c r="EW287" s="239">
        <v>-58515</v>
      </c>
      <c r="EX287" s="239">
        <v>0</v>
      </c>
      <c r="EY287" s="239">
        <v>-58515</v>
      </c>
      <c r="EZ287" s="239">
        <v>-385985</v>
      </c>
      <c r="FA287" s="239">
        <v>0</v>
      </c>
      <c r="FB287" s="239">
        <v>-385985</v>
      </c>
      <c r="FC287" s="239">
        <v>0</v>
      </c>
      <c r="FD287" s="239">
        <v>0</v>
      </c>
      <c r="FE287" s="239">
        <v>0</v>
      </c>
      <c r="FF287" s="239">
        <v>0</v>
      </c>
      <c r="FG287" s="239">
        <v>0</v>
      </c>
      <c r="FH287" s="239">
        <v>0</v>
      </c>
      <c r="FI287" s="239">
        <v>0</v>
      </c>
      <c r="FJ287" s="239">
        <v>0</v>
      </c>
      <c r="FK287" s="239">
        <v>0</v>
      </c>
      <c r="FL287" s="239">
        <v>63934888</v>
      </c>
      <c r="FM287" s="239">
        <v>0</v>
      </c>
      <c r="FN287" s="239">
        <v>63934888</v>
      </c>
      <c r="FO287" s="239">
        <v>290382</v>
      </c>
      <c r="FP287" s="239">
        <v>0</v>
      </c>
      <c r="FQ287" s="239">
        <v>290382</v>
      </c>
      <c r="FR287" s="239">
        <v>-6255552</v>
      </c>
      <c r="FS287" s="239">
        <v>0</v>
      </c>
      <c r="FT287" s="239">
        <v>-6255552</v>
      </c>
      <c r="FU287" s="239">
        <v>-2664984</v>
      </c>
      <c r="FV287" s="239">
        <v>0</v>
      </c>
      <c r="FW287" s="239">
        <v>-2664984</v>
      </c>
      <c r="FX287" s="239">
        <v>-220020</v>
      </c>
      <c r="FY287" s="239">
        <v>0</v>
      </c>
      <c r="FZ287" s="239">
        <v>-220020</v>
      </c>
      <c r="GA287" s="239">
        <v>-385985</v>
      </c>
      <c r="GB287" s="239">
        <v>0</v>
      </c>
      <c r="GC287" s="239">
        <v>-385985</v>
      </c>
      <c r="GD287" s="239">
        <v>0</v>
      </c>
      <c r="GE287" s="239">
        <v>0</v>
      </c>
      <c r="GF287" s="239">
        <v>0</v>
      </c>
      <c r="GG287" s="239">
        <v>-9236159</v>
      </c>
      <c r="GH287" s="239">
        <v>0</v>
      </c>
      <c r="GI287" s="239">
        <v>-9236159</v>
      </c>
      <c r="GJ287" s="239">
        <v>54698729</v>
      </c>
      <c r="GK287" s="239">
        <v>0</v>
      </c>
      <c r="GL287" s="239">
        <v>54698729</v>
      </c>
      <c r="GM287" s="214" t="s">
        <v>1158</v>
      </c>
    </row>
    <row r="288" spans="2:195" s="214" customFormat="1" x14ac:dyDescent="0.2">
      <c r="B288" s="602" t="s">
        <v>659</v>
      </c>
      <c r="C288" s="602" t="s">
        <v>658</v>
      </c>
      <c r="D288" s="239">
        <v>-1092069</v>
      </c>
      <c r="E288" s="239">
        <v>0</v>
      </c>
      <c r="F288" s="239">
        <v>-1092069</v>
      </c>
      <c r="G288" s="239">
        <v>8007</v>
      </c>
      <c r="H288" s="239">
        <v>0</v>
      </c>
      <c r="I288" s="239">
        <v>8007</v>
      </c>
      <c r="J288" s="239">
        <v>4683259</v>
      </c>
      <c r="K288" s="239">
        <v>0</v>
      </c>
      <c r="L288" s="239">
        <v>4683259</v>
      </c>
      <c r="M288" s="239">
        <v>407</v>
      </c>
      <c r="N288" s="239">
        <v>0</v>
      </c>
      <c r="O288" s="239">
        <v>407</v>
      </c>
      <c r="P288" s="239">
        <v>3599604</v>
      </c>
      <c r="Q288" s="239">
        <v>0</v>
      </c>
      <c r="R288" s="239">
        <v>3599604</v>
      </c>
      <c r="S288" s="239">
        <v>-6458399</v>
      </c>
      <c r="T288" s="239">
        <v>0</v>
      </c>
      <c r="U288" s="239">
        <v>-6458399</v>
      </c>
      <c r="V288" s="239">
        <v>0</v>
      </c>
      <c r="W288" s="239">
        <v>0</v>
      </c>
      <c r="X288" s="239">
        <v>0</v>
      </c>
      <c r="Y288" s="239">
        <v>-270829</v>
      </c>
      <c r="Z288" s="239">
        <v>0</v>
      </c>
      <c r="AA288" s="239">
        <v>-270829</v>
      </c>
      <c r="AB288" s="239">
        <v>-265964</v>
      </c>
      <c r="AC288" s="239">
        <v>0</v>
      </c>
      <c r="AD288" s="239">
        <v>-265964</v>
      </c>
      <c r="AE288" s="239">
        <v>0</v>
      </c>
      <c r="AF288" s="239">
        <v>0</v>
      </c>
      <c r="AG288" s="239">
        <v>0</v>
      </c>
      <c r="AH288" s="239">
        <v>710895</v>
      </c>
      <c r="AI288" s="239">
        <v>0</v>
      </c>
      <c r="AJ288" s="239">
        <v>710895</v>
      </c>
      <c r="AK288" s="239">
        <v>-6899</v>
      </c>
      <c r="AL288" s="239">
        <v>0</v>
      </c>
      <c r="AM288" s="239">
        <v>-6899</v>
      </c>
      <c r="AN288" s="239">
        <v>-3843588</v>
      </c>
      <c r="AO288" s="239">
        <v>0</v>
      </c>
      <c r="AP288" s="239">
        <v>-3843588</v>
      </c>
      <c r="AQ288" s="239">
        <v>-13237</v>
      </c>
      <c r="AR288" s="239">
        <v>0</v>
      </c>
      <c r="AS288" s="239">
        <v>-13237</v>
      </c>
      <c r="AT288" s="239">
        <v>-84769</v>
      </c>
      <c r="AU288" s="239">
        <v>0</v>
      </c>
      <c r="AV288" s="239">
        <v>-84769</v>
      </c>
      <c r="AW288" s="239">
        <v>4215</v>
      </c>
      <c r="AX288" s="239">
        <v>0</v>
      </c>
      <c r="AY288" s="239">
        <v>4215</v>
      </c>
      <c r="AZ288" s="239">
        <v>0</v>
      </c>
      <c r="BA288" s="239">
        <v>0</v>
      </c>
      <c r="BB288" s="239">
        <v>0</v>
      </c>
      <c r="BC288" s="239">
        <v>0</v>
      </c>
      <c r="BD288" s="239">
        <v>0</v>
      </c>
      <c r="BE288" s="239">
        <v>0</v>
      </c>
      <c r="BF288" s="239">
        <v>-9962611</v>
      </c>
      <c r="BG288" s="239">
        <v>0</v>
      </c>
      <c r="BH288" s="239">
        <v>-9962611</v>
      </c>
      <c r="BI288" s="239">
        <v>-3737</v>
      </c>
      <c r="BJ288" s="239">
        <v>0</v>
      </c>
      <c r="BK288" s="239">
        <v>-3737</v>
      </c>
      <c r="BL288" s="239">
        <v>4157</v>
      </c>
      <c r="BM288" s="239">
        <v>0</v>
      </c>
      <c r="BN288" s="239">
        <v>4157</v>
      </c>
      <c r="BO288" s="239">
        <v>-1057445</v>
      </c>
      <c r="BP288" s="239">
        <v>0</v>
      </c>
      <c r="BQ288" s="239">
        <v>-1057445</v>
      </c>
      <c r="BR288" s="239">
        <v>-95004</v>
      </c>
      <c r="BS288" s="239">
        <v>0</v>
      </c>
      <c r="BT288" s="239">
        <v>-95004</v>
      </c>
      <c r="BU288" s="239">
        <v>-1152029</v>
      </c>
      <c r="BV288" s="239">
        <v>0</v>
      </c>
      <c r="BW288" s="239">
        <v>-1152029</v>
      </c>
      <c r="BX288" s="239">
        <v>-82814</v>
      </c>
      <c r="BY288" s="239">
        <v>0</v>
      </c>
      <c r="BZ288" s="239">
        <v>-82814</v>
      </c>
      <c r="CA288" s="239">
        <v>-2703</v>
      </c>
      <c r="CB288" s="239">
        <v>0</v>
      </c>
      <c r="CC288" s="239">
        <v>-2703</v>
      </c>
      <c r="CD288" s="239">
        <v>-319880</v>
      </c>
      <c r="CE288" s="239">
        <v>0</v>
      </c>
      <c r="CF288" s="239">
        <v>-319880</v>
      </c>
      <c r="CG288" s="239">
        <v>215</v>
      </c>
      <c r="CH288" s="239">
        <v>0</v>
      </c>
      <c r="CI288" s="239">
        <v>215</v>
      </c>
      <c r="CJ288" s="239">
        <v>-539</v>
      </c>
      <c r="CK288" s="239">
        <v>0</v>
      </c>
      <c r="CL288" s="239">
        <v>-539</v>
      </c>
      <c r="CM288" s="239">
        <v>-363</v>
      </c>
      <c r="CN288" s="239">
        <v>0</v>
      </c>
      <c r="CO288" s="239">
        <v>-363</v>
      </c>
      <c r="CP288" s="239">
        <v>0</v>
      </c>
      <c r="CQ288" s="239">
        <v>0</v>
      </c>
      <c r="CR288" s="239">
        <v>0</v>
      </c>
      <c r="CS288" s="239">
        <v>0</v>
      </c>
      <c r="CT288" s="239">
        <v>0</v>
      </c>
      <c r="CU288" s="239">
        <v>0</v>
      </c>
      <c r="CV288" s="239">
        <v>0</v>
      </c>
      <c r="CW288" s="239">
        <v>0</v>
      </c>
      <c r="CX288" s="239">
        <v>0</v>
      </c>
      <c r="CY288" s="239">
        <v>0</v>
      </c>
      <c r="CZ288" s="239">
        <v>0</v>
      </c>
      <c r="DA288" s="239">
        <v>0</v>
      </c>
      <c r="DB288" s="239">
        <v>0</v>
      </c>
      <c r="DC288" s="239">
        <v>0</v>
      </c>
      <c r="DD288" s="239">
        <v>0</v>
      </c>
      <c r="DE288" s="239">
        <v>0</v>
      </c>
      <c r="DF288" s="239">
        <v>0</v>
      </c>
      <c r="DG288" s="239">
        <v>0</v>
      </c>
      <c r="DH288" s="239">
        <v>0</v>
      </c>
      <c r="DI288" s="239">
        <v>0</v>
      </c>
      <c r="DJ288" s="239">
        <v>-406084</v>
      </c>
      <c r="DK288" s="239">
        <v>0</v>
      </c>
      <c r="DL288" s="239">
        <v>-406084</v>
      </c>
      <c r="DM288" s="239">
        <v>-1774</v>
      </c>
      <c r="DN288" s="239">
        <v>0</v>
      </c>
      <c r="DO288" s="239">
        <v>-1774</v>
      </c>
      <c r="DP288" s="239">
        <v>13842</v>
      </c>
      <c r="DQ288" s="239">
        <v>0</v>
      </c>
      <c r="DR288" s="239">
        <v>13842</v>
      </c>
      <c r="DS288" s="239">
        <v>-9569</v>
      </c>
      <c r="DT288" s="239">
        <v>0</v>
      </c>
      <c r="DU288" s="239">
        <v>-9569</v>
      </c>
      <c r="DV288" s="239">
        <v>-48959</v>
      </c>
      <c r="DW288" s="239">
        <v>0</v>
      </c>
      <c r="DX288" s="239">
        <v>-48959</v>
      </c>
      <c r="DY288" s="239">
        <v>-3205</v>
      </c>
      <c r="DZ288" s="239">
        <v>0</v>
      </c>
      <c r="EA288" s="239">
        <v>-3205</v>
      </c>
      <c r="EB288" s="239">
        <v>0</v>
      </c>
      <c r="EC288" s="239">
        <v>0</v>
      </c>
      <c r="ED288" s="239">
        <v>0</v>
      </c>
      <c r="EE288" s="239">
        <v>0</v>
      </c>
      <c r="EF288" s="239">
        <v>0</v>
      </c>
      <c r="EG288" s="239">
        <v>0</v>
      </c>
      <c r="EH288" s="239">
        <v>206</v>
      </c>
      <c r="EI288" s="239">
        <v>0</v>
      </c>
      <c r="EJ288" s="239">
        <v>206</v>
      </c>
      <c r="EK288" s="239">
        <v>0</v>
      </c>
      <c r="EL288" s="239">
        <v>0</v>
      </c>
      <c r="EM288" s="239">
        <v>0</v>
      </c>
      <c r="EN288" s="239">
        <v>-1500</v>
      </c>
      <c r="EO288" s="239">
        <v>0</v>
      </c>
      <c r="EP288" s="239">
        <v>-1500</v>
      </c>
      <c r="EQ288" s="239">
        <v>-7592</v>
      </c>
      <c r="ER288" s="239">
        <v>0</v>
      </c>
      <c r="ES288" s="239">
        <v>-7592</v>
      </c>
      <c r="ET288" s="239">
        <v>-181504</v>
      </c>
      <c r="EU288" s="239">
        <v>0</v>
      </c>
      <c r="EV288" s="239">
        <v>-181504</v>
      </c>
      <c r="EW288" s="239">
        <v>-49966</v>
      </c>
      <c r="EX288" s="239">
        <v>0</v>
      </c>
      <c r="EY288" s="239">
        <v>-49966</v>
      </c>
      <c r="EZ288" s="239">
        <v>-290021</v>
      </c>
      <c r="FA288" s="239">
        <v>0</v>
      </c>
      <c r="FB288" s="239">
        <v>-290021</v>
      </c>
      <c r="FC288" s="239">
        <v>0</v>
      </c>
      <c r="FD288" s="239">
        <v>0</v>
      </c>
      <c r="FE288" s="239">
        <v>0</v>
      </c>
      <c r="FF288" s="239">
        <v>0</v>
      </c>
      <c r="FG288" s="239">
        <v>0</v>
      </c>
      <c r="FH288" s="239">
        <v>0</v>
      </c>
      <c r="FI288" s="239">
        <v>0</v>
      </c>
      <c r="FJ288" s="239">
        <v>0</v>
      </c>
      <c r="FK288" s="239">
        <v>0</v>
      </c>
      <c r="FL288" s="239">
        <v>43116086</v>
      </c>
      <c r="FM288" s="239">
        <v>0</v>
      </c>
      <c r="FN288" s="239">
        <v>43116086</v>
      </c>
      <c r="FO288" s="239">
        <v>3599604</v>
      </c>
      <c r="FP288" s="239">
        <v>0</v>
      </c>
      <c r="FQ288" s="239">
        <v>3599604</v>
      </c>
      <c r="FR288" s="239">
        <v>-9962611</v>
      </c>
      <c r="FS288" s="239">
        <v>0</v>
      </c>
      <c r="FT288" s="239">
        <v>-9962611</v>
      </c>
      <c r="FU288" s="239">
        <v>-1152029</v>
      </c>
      <c r="FV288" s="239">
        <v>0</v>
      </c>
      <c r="FW288" s="239">
        <v>-1152029</v>
      </c>
      <c r="FX288" s="239">
        <v>-406084</v>
      </c>
      <c r="FY288" s="239">
        <v>0</v>
      </c>
      <c r="FZ288" s="239">
        <v>-406084</v>
      </c>
      <c r="GA288" s="239">
        <v>-290021</v>
      </c>
      <c r="GB288" s="239">
        <v>0</v>
      </c>
      <c r="GC288" s="239">
        <v>-290021</v>
      </c>
      <c r="GD288" s="239">
        <v>0</v>
      </c>
      <c r="GE288" s="239">
        <v>0</v>
      </c>
      <c r="GF288" s="239">
        <v>0</v>
      </c>
      <c r="GG288" s="239">
        <v>-8211141</v>
      </c>
      <c r="GH288" s="239">
        <v>0</v>
      </c>
      <c r="GI288" s="239">
        <v>-8211141</v>
      </c>
      <c r="GJ288" s="239">
        <v>34904945</v>
      </c>
      <c r="GK288" s="239">
        <v>0</v>
      </c>
      <c r="GL288" s="239">
        <v>34904945</v>
      </c>
      <c r="GM288" s="214" t="s">
        <v>746</v>
      </c>
    </row>
    <row r="289" spans="2:195" s="214" customFormat="1" x14ac:dyDescent="0.2">
      <c r="B289" s="602" t="s">
        <v>661</v>
      </c>
      <c r="C289" s="602" t="s">
        <v>660</v>
      </c>
      <c r="D289" s="239">
        <v>-1318634</v>
      </c>
      <c r="E289" s="239">
        <v>0</v>
      </c>
      <c r="F289" s="239">
        <v>-1318634</v>
      </c>
      <c r="G289" s="239">
        <v>25039</v>
      </c>
      <c r="H289" s="239">
        <v>0</v>
      </c>
      <c r="I289" s="239">
        <v>25039</v>
      </c>
      <c r="J289" s="239">
        <v>671820</v>
      </c>
      <c r="K289" s="239">
        <v>0</v>
      </c>
      <c r="L289" s="239">
        <v>671820</v>
      </c>
      <c r="M289" s="239">
        <v>493</v>
      </c>
      <c r="N289" s="239">
        <v>0</v>
      </c>
      <c r="O289" s="239">
        <v>493</v>
      </c>
      <c r="P289" s="239">
        <v>-621282</v>
      </c>
      <c r="Q289" s="239">
        <v>0</v>
      </c>
      <c r="R289" s="239">
        <v>-621282</v>
      </c>
      <c r="S289" s="239">
        <v>-3891850</v>
      </c>
      <c r="T289" s="239">
        <v>0</v>
      </c>
      <c r="U289" s="239">
        <v>-3891850</v>
      </c>
      <c r="V289" s="239">
        <v>-6990</v>
      </c>
      <c r="W289" s="239">
        <v>0</v>
      </c>
      <c r="X289" s="239">
        <v>-6990</v>
      </c>
      <c r="Y289" s="239">
        <v>-163046</v>
      </c>
      <c r="Z289" s="239">
        <v>0</v>
      </c>
      <c r="AA289" s="239">
        <v>-163046</v>
      </c>
      <c r="AB289" s="239">
        <v>-161333</v>
      </c>
      <c r="AC289" s="239">
        <v>0</v>
      </c>
      <c r="AD289" s="239">
        <v>-161333</v>
      </c>
      <c r="AE289" s="239">
        <v>-1713</v>
      </c>
      <c r="AF289" s="239">
        <v>0</v>
      </c>
      <c r="AG289" s="239">
        <v>-1713</v>
      </c>
      <c r="AH289" s="239">
        <v>218305</v>
      </c>
      <c r="AI289" s="239">
        <v>0</v>
      </c>
      <c r="AJ289" s="239">
        <v>218305</v>
      </c>
      <c r="AK289" s="239">
        <v>-5424</v>
      </c>
      <c r="AL289" s="239">
        <v>0</v>
      </c>
      <c r="AM289" s="239">
        <v>-5424</v>
      </c>
      <c r="AN289" s="239">
        <v>-1358535</v>
      </c>
      <c r="AO289" s="239">
        <v>0</v>
      </c>
      <c r="AP289" s="239">
        <v>-1358535</v>
      </c>
      <c r="AQ289" s="239">
        <v>12286</v>
      </c>
      <c r="AR289" s="239">
        <v>0</v>
      </c>
      <c r="AS289" s="239">
        <v>12286</v>
      </c>
      <c r="AT289" s="239">
        <v>-26568</v>
      </c>
      <c r="AU289" s="239">
        <v>0</v>
      </c>
      <c r="AV289" s="239">
        <v>-26568</v>
      </c>
      <c r="AW289" s="239">
        <v>0</v>
      </c>
      <c r="AX289" s="239">
        <v>0</v>
      </c>
      <c r="AY289" s="239">
        <v>0</v>
      </c>
      <c r="AZ289" s="239">
        <v>-48454</v>
      </c>
      <c r="BA289" s="239">
        <v>0</v>
      </c>
      <c r="BB289" s="239">
        <v>-48454</v>
      </c>
      <c r="BC289" s="239">
        <v>0</v>
      </c>
      <c r="BD289" s="239">
        <v>0</v>
      </c>
      <c r="BE289" s="239">
        <v>0</v>
      </c>
      <c r="BF289" s="239">
        <v>-5263286</v>
      </c>
      <c r="BG289" s="239">
        <v>0</v>
      </c>
      <c r="BH289" s="239">
        <v>-5263286</v>
      </c>
      <c r="BI289" s="239">
        <v>0</v>
      </c>
      <c r="BJ289" s="239">
        <v>0</v>
      </c>
      <c r="BK289" s="239">
        <v>0</v>
      </c>
      <c r="BL289" s="239">
        <v>1091</v>
      </c>
      <c r="BM289" s="239">
        <v>0</v>
      </c>
      <c r="BN289" s="239">
        <v>1091</v>
      </c>
      <c r="BO289" s="239">
        <v>-337458</v>
      </c>
      <c r="BP289" s="239">
        <v>0</v>
      </c>
      <c r="BQ289" s="239">
        <v>-337458</v>
      </c>
      <c r="BR289" s="239">
        <v>822</v>
      </c>
      <c r="BS289" s="239">
        <v>0</v>
      </c>
      <c r="BT289" s="239">
        <v>822</v>
      </c>
      <c r="BU289" s="239">
        <v>-335545</v>
      </c>
      <c r="BV289" s="239">
        <v>0</v>
      </c>
      <c r="BW289" s="239">
        <v>-335545</v>
      </c>
      <c r="BX289" s="239">
        <v>-92249</v>
      </c>
      <c r="BY289" s="239">
        <v>0</v>
      </c>
      <c r="BZ289" s="239">
        <v>-92249</v>
      </c>
      <c r="CA289" s="239">
        <v>-127</v>
      </c>
      <c r="CB289" s="239">
        <v>0</v>
      </c>
      <c r="CC289" s="239">
        <v>-127</v>
      </c>
      <c r="CD289" s="239">
        <v>-5450</v>
      </c>
      <c r="CE289" s="239">
        <v>0</v>
      </c>
      <c r="CF289" s="239">
        <v>-5450</v>
      </c>
      <c r="CG289" s="239">
        <v>0</v>
      </c>
      <c r="CH289" s="239">
        <v>0</v>
      </c>
      <c r="CI289" s="239">
        <v>0</v>
      </c>
      <c r="CJ289" s="239">
        <v>-3369</v>
      </c>
      <c r="CK289" s="239">
        <v>0</v>
      </c>
      <c r="CL289" s="239">
        <v>-3369</v>
      </c>
      <c r="CM289" s="239">
        <v>0</v>
      </c>
      <c r="CN289" s="239">
        <v>0</v>
      </c>
      <c r="CO289" s="239">
        <v>0</v>
      </c>
      <c r="CP289" s="239">
        <v>0</v>
      </c>
      <c r="CQ289" s="239">
        <v>0</v>
      </c>
      <c r="CR289" s="239">
        <v>0</v>
      </c>
      <c r="CS289" s="239">
        <v>0</v>
      </c>
      <c r="CT289" s="239">
        <v>0</v>
      </c>
      <c r="CU289" s="239">
        <v>0</v>
      </c>
      <c r="CV289" s="239">
        <v>-11317</v>
      </c>
      <c r="CW289" s="239">
        <v>0</v>
      </c>
      <c r="CX289" s="239">
        <v>-11317</v>
      </c>
      <c r="CY289" s="239">
        <v>0</v>
      </c>
      <c r="CZ289" s="239">
        <v>0</v>
      </c>
      <c r="DA289" s="239">
        <v>0</v>
      </c>
      <c r="DB289" s="239">
        <v>0</v>
      </c>
      <c r="DC289" s="239">
        <v>0</v>
      </c>
      <c r="DD289" s="239">
        <v>0</v>
      </c>
      <c r="DE289" s="239">
        <v>0</v>
      </c>
      <c r="DF289" s="239">
        <v>0</v>
      </c>
      <c r="DG289" s="239">
        <v>0</v>
      </c>
      <c r="DH289" s="239">
        <v>0</v>
      </c>
      <c r="DI289" s="239">
        <v>0</v>
      </c>
      <c r="DJ289" s="239">
        <v>-112512</v>
      </c>
      <c r="DK289" s="239">
        <v>0</v>
      </c>
      <c r="DL289" s="239">
        <v>-112512</v>
      </c>
      <c r="DM289" s="239">
        <v>0</v>
      </c>
      <c r="DN289" s="239">
        <v>0</v>
      </c>
      <c r="DO289" s="239">
        <v>0</v>
      </c>
      <c r="DP289" s="239">
        <v>0</v>
      </c>
      <c r="DQ289" s="239">
        <v>0</v>
      </c>
      <c r="DR289" s="239">
        <v>0</v>
      </c>
      <c r="DS289" s="239">
        <v>0</v>
      </c>
      <c r="DT289" s="239">
        <v>0</v>
      </c>
      <c r="DU289" s="239">
        <v>0</v>
      </c>
      <c r="DV289" s="239">
        <v>0</v>
      </c>
      <c r="DW289" s="239">
        <v>0</v>
      </c>
      <c r="DX289" s="239">
        <v>0</v>
      </c>
      <c r="DY289" s="239">
        <v>0</v>
      </c>
      <c r="DZ289" s="239">
        <v>0</v>
      </c>
      <c r="EA289" s="239">
        <v>0</v>
      </c>
      <c r="EB289" s="239">
        <v>0</v>
      </c>
      <c r="EC289" s="239">
        <v>0</v>
      </c>
      <c r="ED289" s="239">
        <v>0</v>
      </c>
      <c r="EE289" s="239">
        <v>0</v>
      </c>
      <c r="EF289" s="239">
        <v>0</v>
      </c>
      <c r="EG289" s="239">
        <v>0</v>
      </c>
      <c r="EH289" s="239">
        <v>0</v>
      </c>
      <c r="EI289" s="239">
        <v>0</v>
      </c>
      <c r="EJ289" s="239">
        <v>0</v>
      </c>
      <c r="EK289" s="239">
        <v>-48454</v>
      </c>
      <c r="EL289" s="239">
        <v>0</v>
      </c>
      <c r="EM289" s="239">
        <v>-48454</v>
      </c>
      <c r="EN289" s="239">
        <v>0</v>
      </c>
      <c r="EO289" s="239">
        <v>0</v>
      </c>
      <c r="EP289" s="239">
        <v>0</v>
      </c>
      <c r="EQ289" s="239">
        <v>-26201</v>
      </c>
      <c r="ER289" s="239">
        <v>0</v>
      </c>
      <c r="ES289" s="239">
        <v>-26201</v>
      </c>
      <c r="ET289" s="239">
        <v>-195182</v>
      </c>
      <c r="EU289" s="239">
        <v>0</v>
      </c>
      <c r="EV289" s="239">
        <v>-195182</v>
      </c>
      <c r="EW289" s="239">
        <v>-32760</v>
      </c>
      <c r="EX289" s="239">
        <v>0</v>
      </c>
      <c r="EY289" s="239">
        <v>-32760</v>
      </c>
      <c r="EZ289" s="239">
        <v>-302597</v>
      </c>
      <c r="FA289" s="239">
        <v>0</v>
      </c>
      <c r="FB289" s="239">
        <v>-302597</v>
      </c>
      <c r="FC289" s="239">
        <v>-18058</v>
      </c>
      <c r="FD289" s="239">
        <v>0</v>
      </c>
      <c r="FE289" s="239">
        <v>-18058</v>
      </c>
      <c r="FF289" s="239">
        <v>0</v>
      </c>
      <c r="FG289" s="239">
        <v>0</v>
      </c>
      <c r="FH289" s="239">
        <v>0</v>
      </c>
      <c r="FI289" s="239">
        <v>-18058</v>
      </c>
      <c r="FJ289" s="239">
        <v>0</v>
      </c>
      <c r="FK289" s="239">
        <v>-18058</v>
      </c>
      <c r="FL289" s="239">
        <v>17699278</v>
      </c>
      <c r="FM289" s="239">
        <v>0</v>
      </c>
      <c r="FN289" s="239">
        <v>17699278</v>
      </c>
      <c r="FO289" s="239">
        <v>-621282</v>
      </c>
      <c r="FP289" s="239">
        <v>0</v>
      </c>
      <c r="FQ289" s="239">
        <v>-621282</v>
      </c>
      <c r="FR289" s="239">
        <v>-5263286</v>
      </c>
      <c r="FS289" s="239">
        <v>0</v>
      </c>
      <c r="FT289" s="239">
        <v>-5263286</v>
      </c>
      <c r="FU289" s="239">
        <v>-335545</v>
      </c>
      <c r="FV289" s="239">
        <v>0</v>
      </c>
      <c r="FW289" s="239">
        <v>-335545</v>
      </c>
      <c r="FX289" s="239">
        <v>-112512</v>
      </c>
      <c r="FY289" s="239">
        <v>0</v>
      </c>
      <c r="FZ289" s="239">
        <v>-112512</v>
      </c>
      <c r="GA289" s="239">
        <v>-302597</v>
      </c>
      <c r="GB289" s="239">
        <v>0</v>
      </c>
      <c r="GC289" s="239">
        <v>-302597</v>
      </c>
      <c r="GD289" s="239">
        <v>-18058</v>
      </c>
      <c r="GE289" s="239">
        <v>0</v>
      </c>
      <c r="GF289" s="239">
        <v>-18058</v>
      </c>
      <c r="GG289" s="239">
        <v>-6653280</v>
      </c>
      <c r="GH289" s="239">
        <v>0</v>
      </c>
      <c r="GI289" s="239">
        <v>-6653280</v>
      </c>
      <c r="GJ289" s="239">
        <v>11045998</v>
      </c>
      <c r="GK289" s="239">
        <v>0</v>
      </c>
      <c r="GL289" s="239">
        <v>11045998</v>
      </c>
      <c r="GM289" s="214" t="s">
        <v>1158</v>
      </c>
    </row>
    <row r="290" spans="2:195" s="214" customFormat="1" x14ac:dyDescent="0.2">
      <c r="B290" s="602" t="s">
        <v>663</v>
      </c>
      <c r="C290" s="602" t="s">
        <v>662</v>
      </c>
      <c r="D290" s="239">
        <v>-31741495</v>
      </c>
      <c r="E290" s="239">
        <v>0</v>
      </c>
      <c r="F290" s="239">
        <v>-31741495</v>
      </c>
      <c r="G290" s="239">
        <v>175020</v>
      </c>
      <c r="H290" s="239">
        <v>0</v>
      </c>
      <c r="I290" s="239">
        <v>175020</v>
      </c>
      <c r="J290" s="239">
        <v>8296411</v>
      </c>
      <c r="K290" s="239">
        <v>0</v>
      </c>
      <c r="L290" s="239">
        <v>8296411</v>
      </c>
      <c r="M290" s="239">
        <v>-190514</v>
      </c>
      <c r="N290" s="239">
        <v>0</v>
      </c>
      <c r="O290" s="239">
        <v>-190514</v>
      </c>
      <c r="P290" s="239">
        <v>-23460578</v>
      </c>
      <c r="Q290" s="239">
        <v>0</v>
      </c>
      <c r="R290" s="239">
        <v>-23460578</v>
      </c>
      <c r="S290" s="239">
        <v>-7917159</v>
      </c>
      <c r="T290" s="239">
        <v>0</v>
      </c>
      <c r="U290" s="239">
        <v>-7917159</v>
      </c>
      <c r="V290" s="239">
        <v>0</v>
      </c>
      <c r="W290" s="239">
        <v>0</v>
      </c>
      <c r="X290" s="239">
        <v>0</v>
      </c>
      <c r="Y290" s="239">
        <v>-824233</v>
      </c>
      <c r="Z290" s="239">
        <v>0</v>
      </c>
      <c r="AA290" s="239">
        <v>-824233</v>
      </c>
      <c r="AB290" s="239">
        <v>-766182</v>
      </c>
      <c r="AC290" s="239">
        <v>0</v>
      </c>
      <c r="AD290" s="239">
        <v>-766182</v>
      </c>
      <c r="AE290" s="239">
        <v>0</v>
      </c>
      <c r="AF290" s="239">
        <v>0</v>
      </c>
      <c r="AG290" s="239">
        <v>0</v>
      </c>
      <c r="AH290" s="239">
        <v>11864482</v>
      </c>
      <c r="AI290" s="239">
        <v>0</v>
      </c>
      <c r="AJ290" s="239">
        <v>11864482</v>
      </c>
      <c r="AK290" s="239">
        <v>-500885</v>
      </c>
      <c r="AL290" s="239">
        <v>0</v>
      </c>
      <c r="AM290" s="239">
        <v>-500885</v>
      </c>
      <c r="AN290" s="239">
        <v>-17015944</v>
      </c>
      <c r="AO290" s="239">
        <v>0</v>
      </c>
      <c r="AP290" s="239">
        <v>-17015944</v>
      </c>
      <c r="AQ290" s="239">
        <v>-2509245</v>
      </c>
      <c r="AR290" s="239">
        <v>0</v>
      </c>
      <c r="AS290" s="239">
        <v>-2509245</v>
      </c>
      <c r="AT290" s="239">
        <v>0</v>
      </c>
      <c r="AU290" s="239">
        <v>0</v>
      </c>
      <c r="AV290" s="239">
        <v>0</v>
      </c>
      <c r="AW290" s="239">
        <v>0</v>
      </c>
      <c r="AX290" s="239">
        <v>0</v>
      </c>
      <c r="AY290" s="239">
        <v>0</v>
      </c>
      <c r="AZ290" s="239">
        <v>0</v>
      </c>
      <c r="BA290" s="239">
        <v>0</v>
      </c>
      <c r="BB290" s="239">
        <v>0</v>
      </c>
      <c r="BC290" s="239">
        <v>0</v>
      </c>
      <c r="BD290" s="239">
        <v>0</v>
      </c>
      <c r="BE290" s="239">
        <v>0</v>
      </c>
      <c r="BF290" s="239">
        <v>-16902984</v>
      </c>
      <c r="BG290" s="239">
        <v>0</v>
      </c>
      <c r="BH290" s="239">
        <v>-16902984</v>
      </c>
      <c r="BI290" s="239">
        <v>0</v>
      </c>
      <c r="BJ290" s="239">
        <v>0</v>
      </c>
      <c r="BK290" s="239">
        <v>0</v>
      </c>
      <c r="BL290" s="239">
        <v>0</v>
      </c>
      <c r="BM290" s="239">
        <v>0</v>
      </c>
      <c r="BN290" s="239">
        <v>0</v>
      </c>
      <c r="BO290" s="239">
        <v>-10631683</v>
      </c>
      <c r="BP290" s="239">
        <v>0</v>
      </c>
      <c r="BQ290" s="239">
        <v>-10631683</v>
      </c>
      <c r="BR290" s="239">
        <v>-976244</v>
      </c>
      <c r="BS290" s="239">
        <v>0</v>
      </c>
      <c r="BT290" s="239">
        <v>-976244</v>
      </c>
      <c r="BU290" s="239">
        <v>-11607927</v>
      </c>
      <c r="BV290" s="239">
        <v>0</v>
      </c>
      <c r="BW290" s="239">
        <v>-11607927</v>
      </c>
      <c r="BX290" s="239">
        <v>-586210</v>
      </c>
      <c r="BY290" s="239">
        <v>0</v>
      </c>
      <c r="BZ290" s="239">
        <v>-586210</v>
      </c>
      <c r="CA290" s="239">
        <v>-132229</v>
      </c>
      <c r="CB290" s="239">
        <v>0</v>
      </c>
      <c r="CC290" s="239">
        <v>-132229</v>
      </c>
      <c r="CD290" s="239">
        <v>-150093</v>
      </c>
      <c r="CE290" s="239">
        <v>0</v>
      </c>
      <c r="CF290" s="239">
        <v>-150093</v>
      </c>
      <c r="CG290" s="239">
        <v>-95511</v>
      </c>
      <c r="CH290" s="239">
        <v>0</v>
      </c>
      <c r="CI290" s="239">
        <v>-95511</v>
      </c>
      <c r="CJ290" s="239">
        <v>0</v>
      </c>
      <c r="CK290" s="239">
        <v>0</v>
      </c>
      <c r="CL290" s="239">
        <v>0</v>
      </c>
      <c r="CM290" s="239">
        <v>0</v>
      </c>
      <c r="CN290" s="239">
        <v>0</v>
      </c>
      <c r="CO290" s="239">
        <v>0</v>
      </c>
      <c r="CP290" s="239">
        <v>0</v>
      </c>
      <c r="CQ290" s="239">
        <v>0</v>
      </c>
      <c r="CR290" s="239">
        <v>0</v>
      </c>
      <c r="CS290" s="239">
        <v>0</v>
      </c>
      <c r="CT290" s="239">
        <v>0</v>
      </c>
      <c r="CU290" s="239">
        <v>0</v>
      </c>
      <c r="CV290" s="239">
        <v>0</v>
      </c>
      <c r="CW290" s="239">
        <v>0</v>
      </c>
      <c r="CX290" s="239">
        <v>0</v>
      </c>
      <c r="CY290" s="239">
        <v>0</v>
      </c>
      <c r="CZ290" s="239">
        <v>0</v>
      </c>
      <c r="DA290" s="239">
        <v>0</v>
      </c>
      <c r="DB290" s="239">
        <v>0</v>
      </c>
      <c r="DC290" s="239">
        <v>0</v>
      </c>
      <c r="DD290" s="239">
        <v>0</v>
      </c>
      <c r="DE290" s="239">
        <v>0</v>
      </c>
      <c r="DF290" s="239">
        <v>0</v>
      </c>
      <c r="DG290" s="239">
        <v>0</v>
      </c>
      <c r="DH290" s="239">
        <v>0</v>
      </c>
      <c r="DI290" s="239">
        <v>0</v>
      </c>
      <c r="DJ290" s="239">
        <v>-964043</v>
      </c>
      <c r="DK290" s="239">
        <v>0</v>
      </c>
      <c r="DL290" s="239">
        <v>-964043</v>
      </c>
      <c r="DM290" s="239">
        <v>-333506</v>
      </c>
      <c r="DN290" s="239">
        <v>0</v>
      </c>
      <c r="DO290" s="239">
        <v>-333506</v>
      </c>
      <c r="DP290" s="239">
        <v>15616</v>
      </c>
      <c r="DQ290" s="239">
        <v>0</v>
      </c>
      <c r="DR290" s="239">
        <v>15616</v>
      </c>
      <c r="DS290" s="239">
        <v>0</v>
      </c>
      <c r="DT290" s="239">
        <v>0</v>
      </c>
      <c r="DU290" s="239">
        <v>0</v>
      </c>
      <c r="DV290" s="239">
        <v>0</v>
      </c>
      <c r="DW290" s="239">
        <v>0</v>
      </c>
      <c r="DX290" s="239">
        <v>0</v>
      </c>
      <c r="DY290" s="239">
        <v>20568</v>
      </c>
      <c r="DZ290" s="239">
        <v>0</v>
      </c>
      <c r="EA290" s="239">
        <v>20568</v>
      </c>
      <c r="EB290" s="239">
        <v>0</v>
      </c>
      <c r="EC290" s="239">
        <v>0</v>
      </c>
      <c r="ED290" s="239">
        <v>0</v>
      </c>
      <c r="EE290" s="239">
        <v>0</v>
      </c>
      <c r="EF290" s="239">
        <v>0</v>
      </c>
      <c r="EG290" s="239">
        <v>0</v>
      </c>
      <c r="EH290" s="239">
        <v>19352</v>
      </c>
      <c r="EI290" s="239">
        <v>0</v>
      </c>
      <c r="EJ290" s="239">
        <v>19352</v>
      </c>
      <c r="EK290" s="239">
        <v>0</v>
      </c>
      <c r="EL290" s="239">
        <v>0</v>
      </c>
      <c r="EM290" s="239">
        <v>0</v>
      </c>
      <c r="EN290" s="239">
        <v>0</v>
      </c>
      <c r="EO290" s="239">
        <v>0</v>
      </c>
      <c r="EP290" s="239">
        <v>0</v>
      </c>
      <c r="EQ290" s="239">
        <v>-768201</v>
      </c>
      <c r="ER290" s="239">
        <v>0</v>
      </c>
      <c r="ES290" s="239">
        <v>-768201</v>
      </c>
      <c r="ET290" s="239">
        <v>-4606463</v>
      </c>
      <c r="EU290" s="239">
        <v>0</v>
      </c>
      <c r="EV290" s="239">
        <v>-4606463</v>
      </c>
      <c r="EW290" s="239">
        <v>-85985</v>
      </c>
      <c r="EX290" s="239">
        <v>0</v>
      </c>
      <c r="EY290" s="239">
        <v>-85985</v>
      </c>
      <c r="EZ290" s="239">
        <v>-5738619</v>
      </c>
      <c r="FA290" s="239">
        <v>0</v>
      </c>
      <c r="FB290" s="239">
        <v>-5738619</v>
      </c>
      <c r="FC290" s="239">
        <v>0</v>
      </c>
      <c r="FD290" s="239">
        <v>0</v>
      </c>
      <c r="FE290" s="239">
        <v>0</v>
      </c>
      <c r="FF290" s="239">
        <v>0</v>
      </c>
      <c r="FG290" s="239">
        <v>0</v>
      </c>
      <c r="FH290" s="239">
        <v>0</v>
      </c>
      <c r="FI290" s="239">
        <v>0</v>
      </c>
      <c r="FJ290" s="239">
        <v>0</v>
      </c>
      <c r="FK290" s="239">
        <v>0</v>
      </c>
      <c r="FL290" s="239">
        <v>468328467</v>
      </c>
      <c r="FM290" s="239">
        <v>0</v>
      </c>
      <c r="FN290" s="239">
        <v>468328467</v>
      </c>
      <c r="FO290" s="239">
        <v>-23460578</v>
      </c>
      <c r="FP290" s="239">
        <v>0</v>
      </c>
      <c r="FQ290" s="239">
        <v>-23460578</v>
      </c>
      <c r="FR290" s="239">
        <v>-16902984</v>
      </c>
      <c r="FS290" s="239">
        <v>0</v>
      </c>
      <c r="FT290" s="239">
        <v>-16902984</v>
      </c>
      <c r="FU290" s="239">
        <v>-11607927</v>
      </c>
      <c r="FV290" s="239">
        <v>0</v>
      </c>
      <c r="FW290" s="239">
        <v>-11607927</v>
      </c>
      <c r="FX290" s="239">
        <v>-964043</v>
      </c>
      <c r="FY290" s="239">
        <v>0</v>
      </c>
      <c r="FZ290" s="239">
        <v>-964043</v>
      </c>
      <c r="GA290" s="239">
        <v>-5738619</v>
      </c>
      <c r="GB290" s="239">
        <v>0</v>
      </c>
      <c r="GC290" s="239">
        <v>-5738619</v>
      </c>
      <c r="GD290" s="239">
        <v>0</v>
      </c>
      <c r="GE290" s="239">
        <v>0</v>
      </c>
      <c r="GF290" s="239">
        <v>0</v>
      </c>
      <c r="GG290" s="239">
        <v>-58674151</v>
      </c>
      <c r="GH290" s="239">
        <v>0</v>
      </c>
      <c r="GI290" s="239">
        <v>-58674151</v>
      </c>
      <c r="GJ290" s="239">
        <v>409654316</v>
      </c>
      <c r="GK290" s="239">
        <v>0</v>
      </c>
      <c r="GL290" s="239">
        <v>409654316</v>
      </c>
      <c r="GM290" s="214" t="s">
        <v>1161</v>
      </c>
    </row>
    <row r="291" spans="2:195" s="214" customFormat="1" x14ac:dyDescent="0.2">
      <c r="B291" s="602" t="s">
        <v>665</v>
      </c>
      <c r="C291" s="602" t="s">
        <v>664</v>
      </c>
      <c r="D291" s="239">
        <v>-2419925</v>
      </c>
      <c r="E291" s="239">
        <v>0</v>
      </c>
      <c r="F291" s="239">
        <v>-2419925</v>
      </c>
      <c r="G291" s="239">
        <v>44830</v>
      </c>
      <c r="H291" s="239">
        <v>0</v>
      </c>
      <c r="I291" s="239">
        <v>44830</v>
      </c>
      <c r="J291" s="239">
        <v>11023170</v>
      </c>
      <c r="K291" s="239">
        <v>0</v>
      </c>
      <c r="L291" s="239">
        <v>11023170</v>
      </c>
      <c r="M291" s="239">
        <v>122273</v>
      </c>
      <c r="N291" s="239">
        <v>0</v>
      </c>
      <c r="O291" s="239">
        <v>122273</v>
      </c>
      <c r="P291" s="239">
        <v>8770348</v>
      </c>
      <c r="Q291" s="239">
        <v>0</v>
      </c>
      <c r="R291" s="239">
        <v>8770348</v>
      </c>
      <c r="S291" s="239">
        <v>-7843744</v>
      </c>
      <c r="T291" s="239">
        <v>0</v>
      </c>
      <c r="U291" s="239">
        <v>-7843744</v>
      </c>
      <c r="V291" s="239">
        <v>0</v>
      </c>
      <c r="W291" s="239">
        <v>0</v>
      </c>
      <c r="X291" s="239">
        <v>0</v>
      </c>
      <c r="Y291" s="239">
        <v>-234386</v>
      </c>
      <c r="Z291" s="239">
        <v>0</v>
      </c>
      <c r="AA291" s="239">
        <v>-234386</v>
      </c>
      <c r="AB291" s="239">
        <v>-203828</v>
      </c>
      <c r="AC291" s="239">
        <v>0</v>
      </c>
      <c r="AD291" s="239">
        <v>-203828</v>
      </c>
      <c r="AE291" s="239">
        <v>0</v>
      </c>
      <c r="AF291" s="239">
        <v>0</v>
      </c>
      <c r="AG291" s="239">
        <v>0</v>
      </c>
      <c r="AH291" s="239">
        <v>3975165</v>
      </c>
      <c r="AI291" s="239">
        <v>0</v>
      </c>
      <c r="AJ291" s="239">
        <v>3975165</v>
      </c>
      <c r="AK291" s="239">
        <v>-153636</v>
      </c>
      <c r="AL291" s="239">
        <v>0</v>
      </c>
      <c r="AM291" s="239">
        <v>-153636</v>
      </c>
      <c r="AN291" s="239">
        <v>-4791573</v>
      </c>
      <c r="AO291" s="239">
        <v>0</v>
      </c>
      <c r="AP291" s="239">
        <v>-4791573</v>
      </c>
      <c r="AQ291" s="239">
        <v>7758</v>
      </c>
      <c r="AR291" s="239">
        <v>0</v>
      </c>
      <c r="AS291" s="239">
        <v>7758</v>
      </c>
      <c r="AT291" s="239">
        <v>-64340</v>
      </c>
      <c r="AU291" s="239">
        <v>0</v>
      </c>
      <c r="AV291" s="239">
        <v>-64340</v>
      </c>
      <c r="AW291" s="239">
        <v>0</v>
      </c>
      <c r="AX291" s="239">
        <v>0</v>
      </c>
      <c r="AY291" s="239">
        <v>0</v>
      </c>
      <c r="AZ291" s="239">
        <v>-548</v>
      </c>
      <c r="BA291" s="239">
        <v>0</v>
      </c>
      <c r="BB291" s="239">
        <v>-548</v>
      </c>
      <c r="BC291" s="239">
        <v>0</v>
      </c>
      <c r="BD291" s="239">
        <v>0</v>
      </c>
      <c r="BE291" s="239">
        <v>0</v>
      </c>
      <c r="BF291" s="239">
        <v>-9105304</v>
      </c>
      <c r="BG291" s="239">
        <v>0</v>
      </c>
      <c r="BH291" s="239">
        <v>-9105304</v>
      </c>
      <c r="BI291" s="239">
        <v>0</v>
      </c>
      <c r="BJ291" s="239">
        <v>0</v>
      </c>
      <c r="BK291" s="239">
        <v>0</v>
      </c>
      <c r="BL291" s="239">
        <v>0</v>
      </c>
      <c r="BM291" s="239">
        <v>0</v>
      </c>
      <c r="BN291" s="239">
        <v>0</v>
      </c>
      <c r="BO291" s="239">
        <v>-6715715</v>
      </c>
      <c r="BP291" s="239">
        <v>0</v>
      </c>
      <c r="BQ291" s="239">
        <v>-6715715</v>
      </c>
      <c r="BR291" s="239">
        <v>378273</v>
      </c>
      <c r="BS291" s="239">
        <v>0</v>
      </c>
      <c r="BT291" s="239">
        <v>378273</v>
      </c>
      <c r="BU291" s="239">
        <v>-6337442</v>
      </c>
      <c r="BV291" s="239">
        <v>0</v>
      </c>
      <c r="BW291" s="239">
        <v>-6337442</v>
      </c>
      <c r="BX291" s="239">
        <v>-47694</v>
      </c>
      <c r="BY291" s="239">
        <v>0</v>
      </c>
      <c r="BZ291" s="239">
        <v>-47694</v>
      </c>
      <c r="CA291" s="239">
        <v>-320</v>
      </c>
      <c r="CB291" s="239">
        <v>0</v>
      </c>
      <c r="CC291" s="239">
        <v>-320</v>
      </c>
      <c r="CD291" s="239">
        <v>-803132</v>
      </c>
      <c r="CE291" s="239">
        <v>0</v>
      </c>
      <c r="CF291" s="239">
        <v>-803132</v>
      </c>
      <c r="CG291" s="239">
        <v>-16366</v>
      </c>
      <c r="CH291" s="239">
        <v>0</v>
      </c>
      <c r="CI291" s="239">
        <v>-16366</v>
      </c>
      <c r="CJ291" s="239">
        <v>-12047</v>
      </c>
      <c r="CK291" s="239">
        <v>0</v>
      </c>
      <c r="CL291" s="239">
        <v>-12047</v>
      </c>
      <c r="CM291" s="239">
        <v>0</v>
      </c>
      <c r="CN291" s="239">
        <v>0</v>
      </c>
      <c r="CO291" s="239">
        <v>0</v>
      </c>
      <c r="CP291" s="239">
        <v>-548</v>
      </c>
      <c r="CQ291" s="239">
        <v>0</v>
      </c>
      <c r="CR291" s="239">
        <v>-548</v>
      </c>
      <c r="CS291" s="239">
        <v>0</v>
      </c>
      <c r="CT291" s="239">
        <v>0</v>
      </c>
      <c r="CU291" s="239">
        <v>0</v>
      </c>
      <c r="CV291" s="239">
        <v>0</v>
      </c>
      <c r="CW291" s="239">
        <v>0</v>
      </c>
      <c r="CX291" s="239">
        <v>0</v>
      </c>
      <c r="CY291" s="239">
        <v>0</v>
      </c>
      <c r="CZ291" s="239">
        <v>0</v>
      </c>
      <c r="DA291" s="239">
        <v>0</v>
      </c>
      <c r="DB291" s="239">
        <v>0</v>
      </c>
      <c r="DC291" s="239">
        <v>0</v>
      </c>
      <c r="DD291" s="239">
        <v>0</v>
      </c>
      <c r="DE291" s="239">
        <v>0</v>
      </c>
      <c r="DF291" s="239">
        <v>0</v>
      </c>
      <c r="DG291" s="239">
        <v>0</v>
      </c>
      <c r="DH291" s="239">
        <v>0</v>
      </c>
      <c r="DI291" s="239">
        <v>0</v>
      </c>
      <c r="DJ291" s="239">
        <v>-880107</v>
      </c>
      <c r="DK291" s="239">
        <v>0</v>
      </c>
      <c r="DL291" s="239">
        <v>-880107</v>
      </c>
      <c r="DM291" s="239">
        <v>0</v>
      </c>
      <c r="DN291" s="239">
        <v>0</v>
      </c>
      <c r="DO291" s="239">
        <v>0</v>
      </c>
      <c r="DP291" s="239">
        <v>0</v>
      </c>
      <c r="DQ291" s="239">
        <v>0</v>
      </c>
      <c r="DR291" s="239">
        <v>0</v>
      </c>
      <c r="DS291" s="239">
        <v>-44584</v>
      </c>
      <c r="DT291" s="239">
        <v>0</v>
      </c>
      <c r="DU291" s="239">
        <v>-44584</v>
      </c>
      <c r="DV291" s="239">
        <v>2307</v>
      </c>
      <c r="DW291" s="239">
        <v>0</v>
      </c>
      <c r="DX291" s="239">
        <v>2307</v>
      </c>
      <c r="DY291" s="239">
        <v>3741</v>
      </c>
      <c r="DZ291" s="239">
        <v>0</v>
      </c>
      <c r="EA291" s="239">
        <v>3741</v>
      </c>
      <c r="EB291" s="239">
        <v>0</v>
      </c>
      <c r="EC291" s="239">
        <v>0</v>
      </c>
      <c r="ED291" s="239">
        <v>0</v>
      </c>
      <c r="EE291" s="239">
        <v>0</v>
      </c>
      <c r="EF291" s="239">
        <v>0</v>
      </c>
      <c r="EG291" s="239">
        <v>0</v>
      </c>
      <c r="EH291" s="239">
        <v>0</v>
      </c>
      <c r="EI291" s="239">
        <v>0</v>
      </c>
      <c r="EJ291" s="239">
        <v>0</v>
      </c>
      <c r="EK291" s="239">
        <v>-548</v>
      </c>
      <c r="EL291" s="239">
        <v>0</v>
      </c>
      <c r="EM291" s="239">
        <v>-548</v>
      </c>
      <c r="EN291" s="239">
        <v>0</v>
      </c>
      <c r="EO291" s="239">
        <v>0</v>
      </c>
      <c r="EP291" s="239">
        <v>0</v>
      </c>
      <c r="EQ291" s="239">
        <v>-14803</v>
      </c>
      <c r="ER291" s="239">
        <v>0</v>
      </c>
      <c r="ES291" s="239">
        <v>-14803</v>
      </c>
      <c r="ET291" s="239">
        <v>-48060</v>
      </c>
      <c r="EU291" s="239">
        <v>0</v>
      </c>
      <c r="EV291" s="239">
        <v>-48060</v>
      </c>
      <c r="EW291" s="239">
        <v>-29704</v>
      </c>
      <c r="EX291" s="239">
        <v>0</v>
      </c>
      <c r="EY291" s="239">
        <v>-29704</v>
      </c>
      <c r="EZ291" s="239">
        <v>-131651</v>
      </c>
      <c r="FA291" s="239">
        <v>0</v>
      </c>
      <c r="FB291" s="239">
        <v>-131651</v>
      </c>
      <c r="FC291" s="239">
        <v>0</v>
      </c>
      <c r="FD291" s="239">
        <v>0</v>
      </c>
      <c r="FE291" s="239">
        <v>0</v>
      </c>
      <c r="FF291" s="239">
        <v>0</v>
      </c>
      <c r="FG291" s="239">
        <v>0</v>
      </c>
      <c r="FH291" s="239">
        <v>0</v>
      </c>
      <c r="FI291" s="239">
        <v>0</v>
      </c>
      <c r="FJ291" s="239">
        <v>0</v>
      </c>
      <c r="FK291" s="239">
        <v>0</v>
      </c>
      <c r="FL291" s="239">
        <v>171317160</v>
      </c>
      <c r="FM291" s="239">
        <v>0</v>
      </c>
      <c r="FN291" s="239">
        <v>171317160</v>
      </c>
      <c r="FO291" s="239">
        <v>8770348</v>
      </c>
      <c r="FP291" s="239">
        <v>0</v>
      </c>
      <c r="FQ291" s="239">
        <v>8770348</v>
      </c>
      <c r="FR291" s="239">
        <v>-9105304</v>
      </c>
      <c r="FS291" s="239">
        <v>0</v>
      </c>
      <c r="FT291" s="239">
        <v>-9105304</v>
      </c>
      <c r="FU291" s="239">
        <v>-6337442</v>
      </c>
      <c r="FV291" s="239">
        <v>0</v>
      </c>
      <c r="FW291" s="239">
        <v>-6337442</v>
      </c>
      <c r="FX291" s="239">
        <v>-880107</v>
      </c>
      <c r="FY291" s="239">
        <v>0</v>
      </c>
      <c r="FZ291" s="239">
        <v>-880107</v>
      </c>
      <c r="GA291" s="239">
        <v>-131651</v>
      </c>
      <c r="GB291" s="239">
        <v>0</v>
      </c>
      <c r="GC291" s="239">
        <v>-131651</v>
      </c>
      <c r="GD291" s="239">
        <v>0</v>
      </c>
      <c r="GE291" s="239">
        <v>0</v>
      </c>
      <c r="GF291" s="239">
        <v>0</v>
      </c>
      <c r="GG291" s="239">
        <v>-7684156</v>
      </c>
      <c r="GH291" s="239">
        <v>0</v>
      </c>
      <c r="GI291" s="239">
        <v>-7684156</v>
      </c>
      <c r="GJ291" s="239">
        <v>163633004</v>
      </c>
      <c r="GK291" s="239">
        <v>0</v>
      </c>
      <c r="GL291" s="239">
        <v>163633004</v>
      </c>
      <c r="GM291" s="214" t="s">
        <v>1160</v>
      </c>
    </row>
    <row r="292" spans="2:195" s="214" customFormat="1" x14ac:dyDescent="0.2">
      <c r="B292" s="602" t="s">
        <v>667</v>
      </c>
      <c r="C292" s="602" t="s">
        <v>666</v>
      </c>
      <c r="D292" s="239">
        <v>-1345956</v>
      </c>
      <c r="E292" s="239">
        <v>0</v>
      </c>
      <c r="F292" s="239">
        <v>-1345956</v>
      </c>
      <c r="G292" s="239">
        <v>130656</v>
      </c>
      <c r="H292" s="239">
        <v>0</v>
      </c>
      <c r="I292" s="239">
        <v>130656</v>
      </c>
      <c r="J292" s="239">
        <v>2026080</v>
      </c>
      <c r="K292" s="239">
        <v>0</v>
      </c>
      <c r="L292" s="239">
        <v>2026080</v>
      </c>
      <c r="M292" s="239">
        <v>13848</v>
      </c>
      <c r="N292" s="239">
        <v>0</v>
      </c>
      <c r="O292" s="239">
        <v>13848</v>
      </c>
      <c r="P292" s="239">
        <v>824628</v>
      </c>
      <c r="Q292" s="239">
        <v>0</v>
      </c>
      <c r="R292" s="239">
        <v>824628</v>
      </c>
      <c r="S292" s="239">
        <v>-3583724</v>
      </c>
      <c r="T292" s="239">
        <v>0</v>
      </c>
      <c r="U292" s="239">
        <v>-3583724</v>
      </c>
      <c r="V292" s="239">
        <v>-6574</v>
      </c>
      <c r="W292" s="239">
        <v>0</v>
      </c>
      <c r="X292" s="239">
        <v>-6574</v>
      </c>
      <c r="Y292" s="239">
        <v>-303070</v>
      </c>
      <c r="Z292" s="239">
        <v>0</v>
      </c>
      <c r="AA292" s="239">
        <v>-303070</v>
      </c>
      <c r="AB292" s="239">
        <v>-303070</v>
      </c>
      <c r="AC292" s="239">
        <v>0</v>
      </c>
      <c r="AD292" s="239">
        <v>-303070</v>
      </c>
      <c r="AE292" s="239">
        <v>0</v>
      </c>
      <c r="AF292" s="239">
        <v>0</v>
      </c>
      <c r="AG292" s="239">
        <v>0</v>
      </c>
      <c r="AH292" s="239">
        <v>1275283</v>
      </c>
      <c r="AI292" s="239">
        <v>0</v>
      </c>
      <c r="AJ292" s="239">
        <v>1275283</v>
      </c>
      <c r="AK292" s="239">
        <v>10206</v>
      </c>
      <c r="AL292" s="239">
        <v>0</v>
      </c>
      <c r="AM292" s="239">
        <v>10206</v>
      </c>
      <c r="AN292" s="239">
        <v>-4687423</v>
      </c>
      <c r="AO292" s="239">
        <v>0</v>
      </c>
      <c r="AP292" s="239">
        <v>-4687423</v>
      </c>
      <c r="AQ292" s="239">
        <v>-86343</v>
      </c>
      <c r="AR292" s="239">
        <v>0</v>
      </c>
      <c r="AS292" s="239">
        <v>-86343</v>
      </c>
      <c r="AT292" s="239">
        <v>-24481</v>
      </c>
      <c r="AU292" s="239">
        <v>0</v>
      </c>
      <c r="AV292" s="239">
        <v>-24481</v>
      </c>
      <c r="AW292" s="239">
        <v>0</v>
      </c>
      <c r="AX292" s="239">
        <v>0</v>
      </c>
      <c r="AY292" s="239">
        <v>0</v>
      </c>
      <c r="AZ292" s="239">
        <v>-6439</v>
      </c>
      <c r="BA292" s="239">
        <v>0</v>
      </c>
      <c r="BB292" s="239">
        <v>-6439</v>
      </c>
      <c r="BC292" s="239">
        <v>0</v>
      </c>
      <c r="BD292" s="239">
        <v>0</v>
      </c>
      <c r="BE292" s="239">
        <v>0</v>
      </c>
      <c r="BF292" s="239">
        <v>-7405991</v>
      </c>
      <c r="BG292" s="239">
        <v>0</v>
      </c>
      <c r="BH292" s="239">
        <v>-7405991</v>
      </c>
      <c r="BI292" s="239">
        <v>-14821</v>
      </c>
      <c r="BJ292" s="239">
        <v>0</v>
      </c>
      <c r="BK292" s="239">
        <v>-14821</v>
      </c>
      <c r="BL292" s="239">
        <v>0</v>
      </c>
      <c r="BM292" s="239">
        <v>0</v>
      </c>
      <c r="BN292" s="239">
        <v>0</v>
      </c>
      <c r="BO292" s="239">
        <v>-1501665</v>
      </c>
      <c r="BP292" s="239">
        <v>0</v>
      </c>
      <c r="BQ292" s="239">
        <v>-1501665</v>
      </c>
      <c r="BR292" s="239">
        <v>-161390</v>
      </c>
      <c r="BS292" s="239">
        <v>0</v>
      </c>
      <c r="BT292" s="239">
        <v>-161390</v>
      </c>
      <c r="BU292" s="239">
        <v>-1677876</v>
      </c>
      <c r="BV292" s="239">
        <v>0</v>
      </c>
      <c r="BW292" s="239">
        <v>-1677876</v>
      </c>
      <c r="BX292" s="239">
        <v>-24427</v>
      </c>
      <c r="BY292" s="239">
        <v>0</v>
      </c>
      <c r="BZ292" s="239">
        <v>-24427</v>
      </c>
      <c r="CA292" s="239">
        <v>-1452</v>
      </c>
      <c r="CB292" s="239">
        <v>0</v>
      </c>
      <c r="CC292" s="239">
        <v>-1452</v>
      </c>
      <c r="CD292" s="239">
        <v>-15298</v>
      </c>
      <c r="CE292" s="239">
        <v>0</v>
      </c>
      <c r="CF292" s="239">
        <v>-15298</v>
      </c>
      <c r="CG292" s="239">
        <v>0</v>
      </c>
      <c r="CH292" s="239">
        <v>0</v>
      </c>
      <c r="CI292" s="239">
        <v>0</v>
      </c>
      <c r="CJ292" s="239">
        <v>-1053</v>
      </c>
      <c r="CK292" s="239">
        <v>0</v>
      </c>
      <c r="CL292" s="239">
        <v>-1053</v>
      </c>
      <c r="CM292" s="239">
        <v>0</v>
      </c>
      <c r="CN292" s="239">
        <v>0</v>
      </c>
      <c r="CO292" s="239">
        <v>0</v>
      </c>
      <c r="CP292" s="239">
        <v>-6439</v>
      </c>
      <c r="CQ292" s="239">
        <v>0</v>
      </c>
      <c r="CR292" s="239">
        <v>-6439</v>
      </c>
      <c r="CS292" s="239">
        <v>0</v>
      </c>
      <c r="CT292" s="239">
        <v>0</v>
      </c>
      <c r="CU292" s="239">
        <v>0</v>
      </c>
      <c r="CV292" s="239">
        <v>-23324</v>
      </c>
      <c r="CW292" s="239">
        <v>0</v>
      </c>
      <c r="CX292" s="239">
        <v>-23324</v>
      </c>
      <c r="CY292" s="239">
        <v>0</v>
      </c>
      <c r="CZ292" s="239">
        <v>0</v>
      </c>
      <c r="DA292" s="239">
        <v>0</v>
      </c>
      <c r="DB292" s="239">
        <v>-8473</v>
      </c>
      <c r="DC292" s="239">
        <v>0</v>
      </c>
      <c r="DD292" s="239">
        <v>-8473</v>
      </c>
      <c r="DE292" s="239">
        <v>0</v>
      </c>
      <c r="DF292" s="239">
        <v>0</v>
      </c>
      <c r="DG292" s="239">
        <v>0</v>
      </c>
      <c r="DH292" s="239">
        <v>0</v>
      </c>
      <c r="DI292" s="239">
        <v>0</v>
      </c>
      <c r="DJ292" s="239">
        <v>-80466</v>
      </c>
      <c r="DK292" s="239">
        <v>0</v>
      </c>
      <c r="DL292" s="239">
        <v>-80466</v>
      </c>
      <c r="DM292" s="239">
        <v>0</v>
      </c>
      <c r="DN292" s="239">
        <v>0</v>
      </c>
      <c r="DO292" s="239">
        <v>0</v>
      </c>
      <c r="DP292" s="239">
        <v>0</v>
      </c>
      <c r="DQ292" s="239">
        <v>0</v>
      </c>
      <c r="DR292" s="239">
        <v>0</v>
      </c>
      <c r="DS292" s="239">
        <v>-3613</v>
      </c>
      <c r="DT292" s="239">
        <v>0</v>
      </c>
      <c r="DU292" s="239">
        <v>-3613</v>
      </c>
      <c r="DV292" s="239">
        <v>0</v>
      </c>
      <c r="DW292" s="239">
        <v>0</v>
      </c>
      <c r="DX292" s="239">
        <v>0</v>
      </c>
      <c r="DY292" s="239">
        <v>12619</v>
      </c>
      <c r="DZ292" s="239">
        <v>0</v>
      </c>
      <c r="EA292" s="239">
        <v>12619</v>
      </c>
      <c r="EB292" s="239">
        <v>0</v>
      </c>
      <c r="EC292" s="239">
        <v>0</v>
      </c>
      <c r="ED292" s="239">
        <v>0</v>
      </c>
      <c r="EE292" s="239">
        <v>0</v>
      </c>
      <c r="EF292" s="239">
        <v>0</v>
      </c>
      <c r="EG292" s="239">
        <v>0</v>
      </c>
      <c r="EH292" s="239">
        <v>0</v>
      </c>
      <c r="EI292" s="239">
        <v>0</v>
      </c>
      <c r="EJ292" s="239">
        <v>0</v>
      </c>
      <c r="EK292" s="239">
        <v>0</v>
      </c>
      <c r="EL292" s="239">
        <v>0</v>
      </c>
      <c r="EM292" s="239">
        <v>0</v>
      </c>
      <c r="EN292" s="239">
        <v>-1500</v>
      </c>
      <c r="EO292" s="239">
        <v>0</v>
      </c>
      <c r="EP292" s="239">
        <v>-1500</v>
      </c>
      <c r="EQ292" s="239">
        <v>-20849</v>
      </c>
      <c r="ER292" s="239">
        <v>0</v>
      </c>
      <c r="ES292" s="239">
        <v>-20849</v>
      </c>
      <c r="ET292" s="239">
        <v>-240038</v>
      </c>
      <c r="EU292" s="239">
        <v>0</v>
      </c>
      <c r="EV292" s="239">
        <v>-240038</v>
      </c>
      <c r="EW292" s="239">
        <v>-56430</v>
      </c>
      <c r="EX292" s="239">
        <v>0</v>
      </c>
      <c r="EY292" s="239">
        <v>-56430</v>
      </c>
      <c r="EZ292" s="239">
        <v>-309811</v>
      </c>
      <c r="FA292" s="239">
        <v>0</v>
      </c>
      <c r="FB292" s="239">
        <v>-309811</v>
      </c>
      <c r="FC292" s="239">
        <v>0</v>
      </c>
      <c r="FD292" s="239">
        <v>0</v>
      </c>
      <c r="FE292" s="239">
        <v>0</v>
      </c>
      <c r="FF292" s="239">
        <v>0</v>
      </c>
      <c r="FG292" s="239">
        <v>0</v>
      </c>
      <c r="FH292" s="239">
        <v>0</v>
      </c>
      <c r="FI292" s="239">
        <v>0</v>
      </c>
      <c r="FJ292" s="239">
        <v>0</v>
      </c>
      <c r="FK292" s="239">
        <v>0</v>
      </c>
      <c r="FL292" s="239">
        <v>64304484</v>
      </c>
      <c r="FM292" s="239">
        <v>0</v>
      </c>
      <c r="FN292" s="239">
        <v>64304484</v>
      </c>
      <c r="FO292" s="239">
        <v>824628</v>
      </c>
      <c r="FP292" s="239">
        <v>0</v>
      </c>
      <c r="FQ292" s="239">
        <v>824628</v>
      </c>
      <c r="FR292" s="239">
        <v>-7405991</v>
      </c>
      <c r="FS292" s="239">
        <v>0</v>
      </c>
      <c r="FT292" s="239">
        <v>-7405991</v>
      </c>
      <c r="FU292" s="239">
        <v>-1677876</v>
      </c>
      <c r="FV292" s="239">
        <v>0</v>
      </c>
      <c r="FW292" s="239">
        <v>-1677876</v>
      </c>
      <c r="FX292" s="239">
        <v>-80466</v>
      </c>
      <c r="FY292" s="239">
        <v>0</v>
      </c>
      <c r="FZ292" s="239">
        <v>-80466</v>
      </c>
      <c r="GA292" s="239">
        <v>-309811</v>
      </c>
      <c r="GB292" s="239">
        <v>0</v>
      </c>
      <c r="GC292" s="239">
        <v>-309811</v>
      </c>
      <c r="GD292" s="239">
        <v>0</v>
      </c>
      <c r="GE292" s="239">
        <v>0</v>
      </c>
      <c r="GF292" s="239">
        <v>0</v>
      </c>
      <c r="GG292" s="239">
        <v>-8649516</v>
      </c>
      <c r="GH292" s="239">
        <v>0</v>
      </c>
      <c r="GI292" s="239">
        <v>-8649516</v>
      </c>
      <c r="GJ292" s="239">
        <v>55654968</v>
      </c>
      <c r="GK292" s="239">
        <v>0</v>
      </c>
      <c r="GL292" s="239">
        <v>55654968</v>
      </c>
      <c r="GM292" s="214" t="s">
        <v>1158</v>
      </c>
    </row>
    <row r="293" spans="2:195" s="214" customFormat="1" x14ac:dyDescent="0.2">
      <c r="B293" s="602" t="s">
        <v>669</v>
      </c>
      <c r="C293" s="602" t="s">
        <v>668</v>
      </c>
      <c r="D293" s="239">
        <v>-1735846</v>
      </c>
      <c r="E293" s="239">
        <v>0</v>
      </c>
      <c r="F293" s="239">
        <v>-1735846</v>
      </c>
      <c r="G293" s="239">
        <v>772.2</v>
      </c>
      <c r="H293" s="239">
        <v>0</v>
      </c>
      <c r="I293" s="239">
        <v>772.2</v>
      </c>
      <c r="J293" s="239">
        <v>2550699</v>
      </c>
      <c r="K293" s="239">
        <v>0</v>
      </c>
      <c r="L293" s="239">
        <v>2550699</v>
      </c>
      <c r="M293" s="239">
        <v>34962</v>
      </c>
      <c r="N293" s="239">
        <v>0</v>
      </c>
      <c r="O293" s="239">
        <v>34962</v>
      </c>
      <c r="P293" s="239">
        <v>850587</v>
      </c>
      <c r="Q293" s="239">
        <v>0</v>
      </c>
      <c r="R293" s="239">
        <v>850587</v>
      </c>
      <c r="S293" s="239">
        <v>-3041506</v>
      </c>
      <c r="T293" s="239">
        <v>0</v>
      </c>
      <c r="U293" s="239">
        <v>-3041506</v>
      </c>
      <c r="V293" s="239">
        <v>-12146</v>
      </c>
      <c r="W293" s="239">
        <v>0</v>
      </c>
      <c r="X293" s="239">
        <v>-12146</v>
      </c>
      <c r="Y293" s="239">
        <v>-130702.31</v>
      </c>
      <c r="Z293" s="239">
        <v>0</v>
      </c>
      <c r="AA293" s="239">
        <v>-130702.31</v>
      </c>
      <c r="AB293" s="239">
        <v>-127533</v>
      </c>
      <c r="AC293" s="239">
        <v>0</v>
      </c>
      <c r="AD293" s="239">
        <v>-127533</v>
      </c>
      <c r="AE293" s="239">
        <v>-758</v>
      </c>
      <c r="AF293" s="239">
        <v>0</v>
      </c>
      <c r="AG293" s="239">
        <v>-758</v>
      </c>
      <c r="AH293" s="239">
        <v>1004754</v>
      </c>
      <c r="AI293" s="239">
        <v>0</v>
      </c>
      <c r="AJ293" s="239">
        <v>1004754</v>
      </c>
      <c r="AK293" s="239">
        <v>-6687</v>
      </c>
      <c r="AL293" s="239">
        <v>0</v>
      </c>
      <c r="AM293" s="239">
        <v>-6687</v>
      </c>
      <c r="AN293" s="239">
        <v>-1979403</v>
      </c>
      <c r="AO293" s="239">
        <v>0</v>
      </c>
      <c r="AP293" s="239">
        <v>-1979403</v>
      </c>
      <c r="AQ293" s="239">
        <v>34240</v>
      </c>
      <c r="AR293" s="239">
        <v>0</v>
      </c>
      <c r="AS293" s="239">
        <v>34240</v>
      </c>
      <c r="AT293" s="239">
        <v>-15654</v>
      </c>
      <c r="AU293" s="239">
        <v>0</v>
      </c>
      <c r="AV293" s="239">
        <v>-15654</v>
      </c>
      <c r="AW293" s="239">
        <v>23095.3</v>
      </c>
      <c r="AX293" s="239">
        <v>0</v>
      </c>
      <c r="AY293" s="239">
        <v>23095.3</v>
      </c>
      <c r="AZ293" s="239">
        <v>-32639</v>
      </c>
      <c r="BA293" s="239">
        <v>0</v>
      </c>
      <c r="BB293" s="239">
        <v>-32639</v>
      </c>
      <c r="BC293" s="239">
        <v>95.59</v>
      </c>
      <c r="BD293" s="239">
        <v>0</v>
      </c>
      <c r="BE293" s="239">
        <v>95.59</v>
      </c>
      <c r="BF293" s="239">
        <v>-4144406</v>
      </c>
      <c r="BG293" s="239">
        <v>0</v>
      </c>
      <c r="BH293" s="239">
        <v>-4144406</v>
      </c>
      <c r="BI293" s="239">
        <v>-68894</v>
      </c>
      <c r="BJ293" s="239">
        <v>0</v>
      </c>
      <c r="BK293" s="239">
        <v>-68894</v>
      </c>
      <c r="BL293" s="239">
        <v>-9531</v>
      </c>
      <c r="BM293" s="239">
        <v>0</v>
      </c>
      <c r="BN293" s="239">
        <v>-9531</v>
      </c>
      <c r="BO293" s="239">
        <v>-1126143</v>
      </c>
      <c r="BP293" s="239">
        <v>0</v>
      </c>
      <c r="BQ293" s="239">
        <v>-1126143</v>
      </c>
      <c r="BR293" s="239">
        <v>81206</v>
      </c>
      <c r="BS293" s="239">
        <v>0</v>
      </c>
      <c r="BT293" s="239">
        <v>81206</v>
      </c>
      <c r="BU293" s="239">
        <v>-1123362</v>
      </c>
      <c r="BV293" s="239">
        <v>0</v>
      </c>
      <c r="BW293" s="239">
        <v>-1123362</v>
      </c>
      <c r="BX293" s="239">
        <v>-48154</v>
      </c>
      <c r="BY293" s="239">
        <v>0</v>
      </c>
      <c r="BZ293" s="239">
        <v>-48154</v>
      </c>
      <c r="CA293" s="239">
        <v>175</v>
      </c>
      <c r="CB293" s="239">
        <v>0</v>
      </c>
      <c r="CC293" s="239">
        <v>175</v>
      </c>
      <c r="CD293" s="239">
        <v>-121407</v>
      </c>
      <c r="CE293" s="239">
        <v>0</v>
      </c>
      <c r="CF293" s="239">
        <v>-121407</v>
      </c>
      <c r="CG293" s="239">
        <v>-3759</v>
      </c>
      <c r="CH293" s="239">
        <v>0</v>
      </c>
      <c r="CI293" s="239">
        <v>-3759</v>
      </c>
      <c r="CJ293" s="239">
        <v>-163</v>
      </c>
      <c r="CK293" s="239">
        <v>0</v>
      </c>
      <c r="CL293" s="239">
        <v>-163</v>
      </c>
      <c r="CM293" s="239">
        <v>0</v>
      </c>
      <c r="CN293" s="239">
        <v>0</v>
      </c>
      <c r="CO293" s="239">
        <v>0</v>
      </c>
      <c r="CP293" s="239">
        <v>0</v>
      </c>
      <c r="CQ293" s="239">
        <v>0</v>
      </c>
      <c r="CR293" s="239">
        <v>0</v>
      </c>
      <c r="CS293" s="239">
        <v>96</v>
      </c>
      <c r="CT293" s="239">
        <v>0</v>
      </c>
      <c r="CU293" s="239">
        <v>96</v>
      </c>
      <c r="CV293" s="239">
        <v>-62875</v>
      </c>
      <c r="CW293" s="239">
        <v>0</v>
      </c>
      <c r="CX293" s="239">
        <v>-62875</v>
      </c>
      <c r="CY293" s="239">
        <v>19</v>
      </c>
      <c r="CZ293" s="239">
        <v>0</v>
      </c>
      <c r="DA293" s="239">
        <v>19</v>
      </c>
      <c r="DB293" s="239">
        <v>-37954</v>
      </c>
      <c r="DC293" s="239">
        <v>0</v>
      </c>
      <c r="DD293" s="239">
        <v>-37954</v>
      </c>
      <c r="DE293" s="239">
        <v>0</v>
      </c>
      <c r="DF293" s="239">
        <v>0</v>
      </c>
      <c r="DG293" s="239">
        <v>0</v>
      </c>
      <c r="DH293" s="239">
        <v>0</v>
      </c>
      <c r="DI293" s="239">
        <v>0</v>
      </c>
      <c r="DJ293" s="239">
        <v>-274022</v>
      </c>
      <c r="DK293" s="239">
        <v>0</v>
      </c>
      <c r="DL293" s="239">
        <v>-274022</v>
      </c>
      <c r="DM293" s="239">
        <v>0</v>
      </c>
      <c r="DN293" s="239">
        <v>0</v>
      </c>
      <c r="DO293" s="239">
        <v>0</v>
      </c>
      <c r="DP293" s="239">
        <v>10935</v>
      </c>
      <c r="DQ293" s="239">
        <v>0</v>
      </c>
      <c r="DR293" s="239">
        <v>10935</v>
      </c>
      <c r="DS293" s="239">
        <v>-1583</v>
      </c>
      <c r="DT293" s="239">
        <v>0</v>
      </c>
      <c r="DU293" s="239">
        <v>-1583</v>
      </c>
      <c r="DV293" s="239">
        <v>0</v>
      </c>
      <c r="DW293" s="239">
        <v>0</v>
      </c>
      <c r="DX293" s="239">
        <v>0</v>
      </c>
      <c r="DY293" s="239">
        <v>1979.75</v>
      </c>
      <c r="DZ293" s="239">
        <v>0</v>
      </c>
      <c r="EA293" s="239">
        <v>1979.75</v>
      </c>
      <c r="EB293" s="239">
        <v>0</v>
      </c>
      <c r="EC293" s="239">
        <v>0</v>
      </c>
      <c r="ED293" s="239">
        <v>0</v>
      </c>
      <c r="EE293" s="239">
        <v>0</v>
      </c>
      <c r="EF293" s="239">
        <v>0</v>
      </c>
      <c r="EG293" s="239">
        <v>0</v>
      </c>
      <c r="EH293" s="239">
        <v>0</v>
      </c>
      <c r="EI293" s="239">
        <v>0</v>
      </c>
      <c r="EJ293" s="239">
        <v>0</v>
      </c>
      <c r="EK293" s="239">
        <v>-32639</v>
      </c>
      <c r="EL293" s="239">
        <v>0</v>
      </c>
      <c r="EM293" s="239">
        <v>-32639</v>
      </c>
      <c r="EN293" s="239">
        <v>-1500</v>
      </c>
      <c r="EO293" s="239">
        <v>0</v>
      </c>
      <c r="EP293" s="239">
        <v>-1500</v>
      </c>
      <c r="EQ293" s="239">
        <v>-126317</v>
      </c>
      <c r="ER293" s="239">
        <v>0</v>
      </c>
      <c r="ES293" s="239">
        <v>-126317</v>
      </c>
      <c r="ET293" s="239">
        <v>-158766</v>
      </c>
      <c r="EU293" s="239">
        <v>0</v>
      </c>
      <c r="EV293" s="239">
        <v>-158766</v>
      </c>
      <c r="EW293" s="239">
        <v>-42307</v>
      </c>
      <c r="EX293" s="239">
        <v>0</v>
      </c>
      <c r="EY293" s="239">
        <v>-42307</v>
      </c>
      <c r="EZ293" s="239">
        <v>-350197</v>
      </c>
      <c r="FA293" s="239">
        <v>0</v>
      </c>
      <c r="FB293" s="239">
        <v>-350197</v>
      </c>
      <c r="FC293" s="239">
        <v>0</v>
      </c>
      <c r="FD293" s="239">
        <v>0</v>
      </c>
      <c r="FE293" s="239">
        <v>0</v>
      </c>
      <c r="FF293" s="239">
        <v>-288</v>
      </c>
      <c r="FG293" s="239">
        <v>0</v>
      </c>
      <c r="FH293" s="239">
        <v>-288</v>
      </c>
      <c r="FI293" s="239">
        <v>-288</v>
      </c>
      <c r="FJ293" s="239">
        <v>0</v>
      </c>
      <c r="FK293" s="239">
        <v>-288</v>
      </c>
      <c r="FL293" s="239">
        <v>48183626</v>
      </c>
      <c r="FM293" s="239">
        <v>0</v>
      </c>
      <c r="FN293" s="239">
        <v>48183626</v>
      </c>
      <c r="FO293" s="239">
        <v>850587</v>
      </c>
      <c r="FP293" s="239">
        <v>0</v>
      </c>
      <c r="FQ293" s="239">
        <v>850587</v>
      </c>
      <c r="FR293" s="239">
        <v>-4144406</v>
      </c>
      <c r="FS293" s="239">
        <v>0</v>
      </c>
      <c r="FT293" s="239">
        <v>-4144406</v>
      </c>
      <c r="FU293" s="239">
        <v>-1123362</v>
      </c>
      <c r="FV293" s="239">
        <v>0</v>
      </c>
      <c r="FW293" s="239">
        <v>-1123362</v>
      </c>
      <c r="FX293" s="239">
        <v>-274022</v>
      </c>
      <c r="FY293" s="239">
        <v>0</v>
      </c>
      <c r="FZ293" s="239">
        <v>-274022</v>
      </c>
      <c r="GA293" s="239">
        <v>-350197</v>
      </c>
      <c r="GB293" s="239">
        <v>0</v>
      </c>
      <c r="GC293" s="239">
        <v>-350197</v>
      </c>
      <c r="GD293" s="239">
        <v>-288</v>
      </c>
      <c r="GE293" s="239">
        <v>0</v>
      </c>
      <c r="GF293" s="239">
        <v>-288</v>
      </c>
      <c r="GG293" s="239">
        <v>-5041688</v>
      </c>
      <c r="GH293" s="239">
        <v>0</v>
      </c>
      <c r="GI293" s="239">
        <v>-5041688</v>
      </c>
      <c r="GJ293" s="239">
        <v>43141938</v>
      </c>
      <c r="GK293" s="239">
        <v>0</v>
      </c>
      <c r="GL293" s="239">
        <v>43141938</v>
      </c>
      <c r="GM293" s="214" t="s">
        <v>1158</v>
      </c>
    </row>
    <row r="294" spans="2:195" s="214" customFormat="1" x14ac:dyDescent="0.2">
      <c r="B294" s="602" t="s">
        <v>671</v>
      </c>
      <c r="C294" s="602" t="s">
        <v>670</v>
      </c>
      <c r="D294" s="239">
        <v>-1358429</v>
      </c>
      <c r="E294" s="239">
        <v>-43032</v>
      </c>
      <c r="F294" s="239">
        <v>-1401461</v>
      </c>
      <c r="G294" s="239">
        <v>28635</v>
      </c>
      <c r="H294" s="239">
        <v>0</v>
      </c>
      <c r="I294" s="239">
        <v>28635</v>
      </c>
      <c r="J294" s="239">
        <v>5450146</v>
      </c>
      <c r="K294" s="239">
        <v>37086</v>
      </c>
      <c r="L294" s="239">
        <v>5487232</v>
      </c>
      <c r="M294" s="239">
        <v>20100</v>
      </c>
      <c r="N294" s="239">
        <v>-2477</v>
      </c>
      <c r="O294" s="239">
        <v>17623</v>
      </c>
      <c r="P294" s="239">
        <v>4140452</v>
      </c>
      <c r="Q294" s="239">
        <v>-8423</v>
      </c>
      <c r="R294" s="239">
        <v>4132029</v>
      </c>
      <c r="S294" s="239">
        <v>-2458615</v>
      </c>
      <c r="T294" s="239">
        <v>-30129</v>
      </c>
      <c r="U294" s="239">
        <v>-2488744</v>
      </c>
      <c r="V294" s="239">
        <v>0</v>
      </c>
      <c r="W294" s="239">
        <v>0</v>
      </c>
      <c r="X294" s="239">
        <v>0</v>
      </c>
      <c r="Y294" s="239">
        <v>-76773</v>
      </c>
      <c r="Z294" s="239">
        <v>4906</v>
      </c>
      <c r="AA294" s="239">
        <v>-71867</v>
      </c>
      <c r="AB294" s="239">
        <v>-58376</v>
      </c>
      <c r="AC294" s="239">
        <v>4906</v>
      </c>
      <c r="AD294" s="239">
        <v>-53470</v>
      </c>
      <c r="AE294" s="239">
        <v>0</v>
      </c>
      <c r="AF294" s="239">
        <v>0</v>
      </c>
      <c r="AG294" s="239">
        <v>0</v>
      </c>
      <c r="AH294" s="239">
        <v>1375680</v>
      </c>
      <c r="AI294" s="239">
        <v>93052</v>
      </c>
      <c r="AJ294" s="239">
        <v>1468732</v>
      </c>
      <c r="AK294" s="239">
        <v>-11947</v>
      </c>
      <c r="AL294" s="239">
        <v>-11303</v>
      </c>
      <c r="AM294" s="239">
        <v>-23250</v>
      </c>
      <c r="AN294" s="239">
        <v>-7746139</v>
      </c>
      <c r="AO294" s="239">
        <v>-204036</v>
      </c>
      <c r="AP294" s="239">
        <v>-7950175</v>
      </c>
      <c r="AQ294" s="239">
        <v>-400409</v>
      </c>
      <c r="AR294" s="239">
        <v>0</v>
      </c>
      <c r="AS294" s="239">
        <v>-400409</v>
      </c>
      <c r="AT294" s="239">
        <v>-96609</v>
      </c>
      <c r="AU294" s="239">
        <v>0</v>
      </c>
      <c r="AV294" s="239">
        <v>-96609</v>
      </c>
      <c r="AW294" s="239">
        <v>0</v>
      </c>
      <c r="AX294" s="239">
        <v>0</v>
      </c>
      <c r="AY294" s="239">
        <v>0</v>
      </c>
      <c r="AZ294" s="239">
        <v>-23247</v>
      </c>
      <c r="BA294" s="239">
        <v>0</v>
      </c>
      <c r="BB294" s="239">
        <v>-23247</v>
      </c>
      <c r="BC294" s="239">
        <v>0</v>
      </c>
      <c r="BD294" s="239">
        <v>0</v>
      </c>
      <c r="BE294" s="239">
        <v>0</v>
      </c>
      <c r="BF294" s="239">
        <v>-9438059</v>
      </c>
      <c r="BG294" s="239">
        <v>-147510</v>
      </c>
      <c r="BH294" s="239">
        <v>-9585569</v>
      </c>
      <c r="BI294" s="239">
        <v>0</v>
      </c>
      <c r="BJ294" s="239">
        <v>0</v>
      </c>
      <c r="BK294" s="239">
        <v>0</v>
      </c>
      <c r="BL294" s="239">
        <v>0</v>
      </c>
      <c r="BM294" s="239">
        <v>0</v>
      </c>
      <c r="BN294" s="239">
        <v>0</v>
      </c>
      <c r="BO294" s="239">
        <v>-1550241</v>
      </c>
      <c r="BP294" s="239">
        <v>-53125</v>
      </c>
      <c r="BQ294" s="239">
        <v>-1603366</v>
      </c>
      <c r="BR294" s="239">
        <v>-190272</v>
      </c>
      <c r="BS294" s="239">
        <v>15572</v>
      </c>
      <c r="BT294" s="239">
        <v>-174700</v>
      </c>
      <c r="BU294" s="239">
        <v>-1740513</v>
      </c>
      <c r="BV294" s="239">
        <v>-37553</v>
      </c>
      <c r="BW294" s="239">
        <v>-1778066</v>
      </c>
      <c r="BX294" s="239">
        <v>-159354</v>
      </c>
      <c r="BY294" s="239">
        <v>-304</v>
      </c>
      <c r="BZ294" s="239">
        <v>-159658</v>
      </c>
      <c r="CA294" s="239">
        <v>1063</v>
      </c>
      <c r="CB294" s="239">
        <v>0</v>
      </c>
      <c r="CC294" s="239">
        <v>1063</v>
      </c>
      <c r="CD294" s="239">
        <v>-5874</v>
      </c>
      <c r="CE294" s="239">
        <v>0</v>
      </c>
      <c r="CF294" s="239">
        <v>-5874</v>
      </c>
      <c r="CG294" s="239">
        <v>0</v>
      </c>
      <c r="CH294" s="239">
        <v>0</v>
      </c>
      <c r="CI294" s="239">
        <v>0</v>
      </c>
      <c r="CJ294" s="239">
        <v>-6038</v>
      </c>
      <c r="CK294" s="239">
        <v>0</v>
      </c>
      <c r="CL294" s="239">
        <v>-6038</v>
      </c>
      <c r="CM294" s="239">
        <v>0</v>
      </c>
      <c r="CN294" s="239">
        <v>0</v>
      </c>
      <c r="CO294" s="239">
        <v>0</v>
      </c>
      <c r="CP294" s="239">
        <v>0</v>
      </c>
      <c r="CQ294" s="239">
        <v>0</v>
      </c>
      <c r="CR294" s="239">
        <v>0</v>
      </c>
      <c r="CS294" s="239">
        <v>0</v>
      </c>
      <c r="CT294" s="239">
        <v>0</v>
      </c>
      <c r="CU294" s="239">
        <v>0</v>
      </c>
      <c r="CV294" s="239">
        <v>0</v>
      </c>
      <c r="CW294" s="239">
        <v>0</v>
      </c>
      <c r="CX294" s="239">
        <v>0</v>
      </c>
      <c r="CY294" s="239">
        <v>0</v>
      </c>
      <c r="CZ294" s="239">
        <v>0</v>
      </c>
      <c r="DA294" s="239">
        <v>0</v>
      </c>
      <c r="DB294" s="239">
        <v>0</v>
      </c>
      <c r="DC294" s="239">
        <v>-590986</v>
      </c>
      <c r="DD294" s="239">
        <v>-590986</v>
      </c>
      <c r="DE294" s="239">
        <v>0</v>
      </c>
      <c r="DF294" s="239">
        <v>374331</v>
      </c>
      <c r="DG294" s="239">
        <v>374331</v>
      </c>
      <c r="DH294" s="239">
        <v>-216655</v>
      </c>
      <c r="DI294" s="239">
        <v>0</v>
      </c>
      <c r="DJ294" s="239">
        <v>-170203</v>
      </c>
      <c r="DK294" s="239">
        <v>-216959</v>
      </c>
      <c r="DL294" s="239">
        <v>-387162</v>
      </c>
      <c r="DM294" s="239">
        <v>0</v>
      </c>
      <c r="DN294" s="239">
        <v>0</v>
      </c>
      <c r="DO294" s="239">
        <v>0</v>
      </c>
      <c r="DP294" s="239">
        <v>0</v>
      </c>
      <c r="DQ294" s="239">
        <v>0</v>
      </c>
      <c r="DR294" s="239">
        <v>0</v>
      </c>
      <c r="DS294" s="239">
        <v>-5972</v>
      </c>
      <c r="DT294" s="239">
        <v>0</v>
      </c>
      <c r="DU294" s="239">
        <v>-5972</v>
      </c>
      <c r="DV294" s="239">
        <v>-14218</v>
      </c>
      <c r="DW294" s="239">
        <v>0</v>
      </c>
      <c r="DX294" s="239">
        <v>-14218</v>
      </c>
      <c r="DY294" s="239">
        <v>6226</v>
      </c>
      <c r="DZ294" s="239">
        <v>0</v>
      </c>
      <c r="EA294" s="239">
        <v>6226</v>
      </c>
      <c r="EB294" s="239">
        <v>0</v>
      </c>
      <c r="EC294" s="239">
        <v>0</v>
      </c>
      <c r="ED294" s="239">
        <v>0</v>
      </c>
      <c r="EE294" s="239">
        <v>0</v>
      </c>
      <c r="EF294" s="239">
        <v>0</v>
      </c>
      <c r="EG294" s="239">
        <v>0</v>
      </c>
      <c r="EH294" s="239">
        <v>0</v>
      </c>
      <c r="EI294" s="239">
        <v>0</v>
      </c>
      <c r="EJ294" s="239">
        <v>0</v>
      </c>
      <c r="EK294" s="239">
        <v>-23247</v>
      </c>
      <c r="EL294" s="239">
        <v>0</v>
      </c>
      <c r="EM294" s="239">
        <v>-23247</v>
      </c>
      <c r="EN294" s="239">
        <v>0</v>
      </c>
      <c r="EO294" s="239">
        <v>0</v>
      </c>
      <c r="EP294" s="239">
        <v>0</v>
      </c>
      <c r="EQ294" s="239">
        <v>-27346</v>
      </c>
      <c r="ER294" s="239">
        <v>0</v>
      </c>
      <c r="ES294" s="239">
        <v>-27346</v>
      </c>
      <c r="ET294" s="239">
        <v>-320142</v>
      </c>
      <c r="EU294" s="239">
        <v>-8113</v>
      </c>
      <c r="EV294" s="239">
        <v>-328255</v>
      </c>
      <c r="EW294" s="239">
        <v>-44907</v>
      </c>
      <c r="EX294" s="239">
        <v>0</v>
      </c>
      <c r="EY294" s="239">
        <v>-44907</v>
      </c>
      <c r="EZ294" s="239">
        <v>-429606</v>
      </c>
      <c r="FA294" s="239">
        <v>-8113</v>
      </c>
      <c r="FB294" s="239">
        <v>-437719</v>
      </c>
      <c r="FC294" s="239">
        <v>0</v>
      </c>
      <c r="FD294" s="239">
        <v>0</v>
      </c>
      <c r="FE294" s="239">
        <v>0</v>
      </c>
      <c r="FF294" s="239">
        <v>0</v>
      </c>
      <c r="FG294" s="239">
        <v>0</v>
      </c>
      <c r="FH294" s="239">
        <v>0</v>
      </c>
      <c r="FI294" s="239">
        <v>0</v>
      </c>
      <c r="FJ294" s="239">
        <v>0</v>
      </c>
      <c r="FK294" s="239">
        <v>0</v>
      </c>
      <c r="FL294" s="239">
        <v>62664708</v>
      </c>
      <c r="FM294" s="239">
        <v>3720155</v>
      </c>
      <c r="FN294" s="239">
        <v>66384863</v>
      </c>
      <c r="FO294" s="239">
        <v>4140452</v>
      </c>
      <c r="FP294" s="239">
        <v>-8423</v>
      </c>
      <c r="FQ294" s="239">
        <v>4132029</v>
      </c>
      <c r="FR294" s="239">
        <v>-9438059</v>
      </c>
      <c r="FS294" s="239">
        <v>-147510</v>
      </c>
      <c r="FT294" s="239">
        <v>-9585569</v>
      </c>
      <c r="FU294" s="239">
        <v>-1740513</v>
      </c>
      <c r="FV294" s="239">
        <v>-37553</v>
      </c>
      <c r="FW294" s="239">
        <v>-1778066</v>
      </c>
      <c r="FX294" s="239">
        <v>-170203</v>
      </c>
      <c r="FY294" s="239">
        <v>-216959</v>
      </c>
      <c r="FZ294" s="239">
        <v>-387162</v>
      </c>
      <c r="GA294" s="239">
        <v>-429606</v>
      </c>
      <c r="GB294" s="239">
        <v>-8113</v>
      </c>
      <c r="GC294" s="239">
        <v>-437719</v>
      </c>
      <c r="GD294" s="239">
        <v>0</v>
      </c>
      <c r="GE294" s="239">
        <v>0</v>
      </c>
      <c r="GF294" s="239">
        <v>0</v>
      </c>
      <c r="GG294" s="239">
        <v>-7637929</v>
      </c>
      <c r="GH294" s="239">
        <v>-418558</v>
      </c>
      <c r="GI294" s="239">
        <v>-8056487</v>
      </c>
      <c r="GJ294" s="239">
        <v>55026779</v>
      </c>
      <c r="GK294" s="239">
        <v>3301597</v>
      </c>
      <c r="GL294" s="239">
        <v>58328376</v>
      </c>
      <c r="GM294" s="214" t="s">
        <v>1158</v>
      </c>
    </row>
    <row r="295" spans="2:195" s="214" customFormat="1" x14ac:dyDescent="0.2">
      <c r="B295" s="602" t="s">
        <v>673</v>
      </c>
      <c r="C295" s="602" t="s">
        <v>672</v>
      </c>
      <c r="D295" s="239">
        <v>-5473900</v>
      </c>
      <c r="E295" s="239">
        <v>0</v>
      </c>
      <c r="F295" s="239">
        <v>-5473900</v>
      </c>
      <c r="G295" s="239">
        <v>188194</v>
      </c>
      <c r="H295" s="239">
        <v>0</v>
      </c>
      <c r="I295" s="239">
        <v>188194</v>
      </c>
      <c r="J295" s="239">
        <v>10498864</v>
      </c>
      <c r="K295" s="239">
        <v>0</v>
      </c>
      <c r="L295" s="239">
        <v>10498864</v>
      </c>
      <c r="M295" s="239">
        <v>49180</v>
      </c>
      <c r="N295" s="239">
        <v>0</v>
      </c>
      <c r="O295" s="239">
        <v>49180</v>
      </c>
      <c r="P295" s="239">
        <v>5262338</v>
      </c>
      <c r="Q295" s="239">
        <v>0</v>
      </c>
      <c r="R295" s="239">
        <v>5262338</v>
      </c>
      <c r="S295" s="239">
        <v>-11425196</v>
      </c>
      <c r="T295" s="239">
        <v>0</v>
      </c>
      <c r="U295" s="239">
        <v>-11425196</v>
      </c>
      <c r="V295" s="239">
        <v>-7000</v>
      </c>
      <c r="W295" s="239">
        <v>0</v>
      </c>
      <c r="X295" s="239">
        <v>-7000</v>
      </c>
      <c r="Y295" s="239">
        <v>-184684</v>
      </c>
      <c r="Z295" s="239">
        <v>0</v>
      </c>
      <c r="AA295" s="239">
        <v>-184684</v>
      </c>
      <c r="AB295" s="239">
        <v>-142202</v>
      </c>
      <c r="AC295" s="239">
        <v>0</v>
      </c>
      <c r="AD295" s="239">
        <v>-142202</v>
      </c>
      <c r="AE295" s="239">
        <v>-500</v>
      </c>
      <c r="AF295" s="239">
        <v>0</v>
      </c>
      <c r="AG295" s="239">
        <v>-500</v>
      </c>
      <c r="AH295" s="239">
        <v>2920619</v>
      </c>
      <c r="AI295" s="239">
        <v>0</v>
      </c>
      <c r="AJ295" s="239">
        <v>2920619</v>
      </c>
      <c r="AK295" s="239">
        <v>-103127</v>
      </c>
      <c r="AL295" s="239">
        <v>0</v>
      </c>
      <c r="AM295" s="239">
        <v>-103127</v>
      </c>
      <c r="AN295" s="239">
        <v>-7774588</v>
      </c>
      <c r="AO295" s="239">
        <v>0</v>
      </c>
      <c r="AP295" s="239">
        <v>-7774588</v>
      </c>
      <c r="AQ295" s="239">
        <v>-77528</v>
      </c>
      <c r="AR295" s="239">
        <v>0</v>
      </c>
      <c r="AS295" s="239">
        <v>-77528</v>
      </c>
      <c r="AT295" s="239">
        <v>-88873</v>
      </c>
      <c r="AU295" s="239">
        <v>0</v>
      </c>
      <c r="AV295" s="239">
        <v>-88873</v>
      </c>
      <c r="AW295" s="239">
        <v>0</v>
      </c>
      <c r="AX295" s="239">
        <v>0</v>
      </c>
      <c r="AY295" s="239">
        <v>0</v>
      </c>
      <c r="AZ295" s="239">
        <v>-13068</v>
      </c>
      <c r="BA295" s="239">
        <v>0</v>
      </c>
      <c r="BB295" s="239">
        <v>-13068</v>
      </c>
      <c r="BC295" s="239">
        <v>0</v>
      </c>
      <c r="BD295" s="239">
        <v>0</v>
      </c>
      <c r="BE295" s="239">
        <v>0</v>
      </c>
      <c r="BF295" s="239">
        <v>-16746445</v>
      </c>
      <c r="BG295" s="239">
        <v>0</v>
      </c>
      <c r="BH295" s="239">
        <v>-16746445</v>
      </c>
      <c r="BI295" s="239">
        <v>-138696</v>
      </c>
      <c r="BJ295" s="239">
        <v>0</v>
      </c>
      <c r="BK295" s="239">
        <v>-138696</v>
      </c>
      <c r="BL295" s="239">
        <v>-49755</v>
      </c>
      <c r="BM295" s="239">
        <v>0</v>
      </c>
      <c r="BN295" s="239">
        <v>-49755</v>
      </c>
      <c r="BO295" s="239">
        <v>-4456329</v>
      </c>
      <c r="BP295" s="239">
        <v>0</v>
      </c>
      <c r="BQ295" s="239">
        <v>-4456329</v>
      </c>
      <c r="BR295" s="239">
        <v>219318</v>
      </c>
      <c r="BS295" s="239">
        <v>0</v>
      </c>
      <c r="BT295" s="239">
        <v>219318</v>
      </c>
      <c r="BU295" s="239">
        <v>-4425462</v>
      </c>
      <c r="BV295" s="239">
        <v>0</v>
      </c>
      <c r="BW295" s="239">
        <v>-4425462</v>
      </c>
      <c r="BX295" s="239">
        <v>-685432</v>
      </c>
      <c r="BY295" s="239">
        <v>0</v>
      </c>
      <c r="BZ295" s="239">
        <v>-685432</v>
      </c>
      <c r="CA295" s="239">
        <v>-12149</v>
      </c>
      <c r="CB295" s="239">
        <v>0</v>
      </c>
      <c r="CC295" s="239">
        <v>-12149</v>
      </c>
      <c r="CD295" s="239">
        <v>-430825</v>
      </c>
      <c r="CE295" s="239">
        <v>0</v>
      </c>
      <c r="CF295" s="239">
        <v>-430825</v>
      </c>
      <c r="CG295" s="239">
        <v>-817</v>
      </c>
      <c r="CH295" s="239">
        <v>0</v>
      </c>
      <c r="CI295" s="239">
        <v>-817</v>
      </c>
      <c r="CJ295" s="239">
        <v>-11201</v>
      </c>
      <c r="CK295" s="239">
        <v>0</v>
      </c>
      <c r="CL295" s="239">
        <v>-11201</v>
      </c>
      <c r="CM295" s="239">
        <v>0</v>
      </c>
      <c r="CN295" s="239">
        <v>0</v>
      </c>
      <c r="CO295" s="239">
        <v>0</v>
      </c>
      <c r="CP295" s="239">
        <v>-3849</v>
      </c>
      <c r="CQ295" s="239">
        <v>0</v>
      </c>
      <c r="CR295" s="239">
        <v>-3849</v>
      </c>
      <c r="CS295" s="239">
        <v>0</v>
      </c>
      <c r="CT295" s="239">
        <v>0</v>
      </c>
      <c r="CU295" s="239">
        <v>0</v>
      </c>
      <c r="CV295" s="239">
        <v>0</v>
      </c>
      <c r="CW295" s="239">
        <v>0</v>
      </c>
      <c r="CX295" s="239">
        <v>0</v>
      </c>
      <c r="CY295" s="239">
        <v>0</v>
      </c>
      <c r="CZ295" s="239">
        <v>0</v>
      </c>
      <c r="DA295" s="239">
        <v>0</v>
      </c>
      <c r="DB295" s="239">
        <v>0</v>
      </c>
      <c r="DC295" s="239">
        <v>-37020</v>
      </c>
      <c r="DD295" s="239">
        <v>-37020</v>
      </c>
      <c r="DE295" s="239">
        <v>0</v>
      </c>
      <c r="DF295" s="239">
        <v>0</v>
      </c>
      <c r="DG295" s="239">
        <v>0</v>
      </c>
      <c r="DH295" s="239">
        <v>-37020</v>
      </c>
      <c r="DI295" s="239">
        <v>0</v>
      </c>
      <c r="DJ295" s="239">
        <v>-1144273</v>
      </c>
      <c r="DK295" s="239">
        <v>-37020</v>
      </c>
      <c r="DL295" s="239">
        <v>-1181293</v>
      </c>
      <c r="DM295" s="239">
        <v>0</v>
      </c>
      <c r="DN295" s="239">
        <v>0</v>
      </c>
      <c r="DO295" s="239">
        <v>0</v>
      </c>
      <c r="DP295" s="239">
        <v>0</v>
      </c>
      <c r="DQ295" s="239">
        <v>0</v>
      </c>
      <c r="DR295" s="239">
        <v>0</v>
      </c>
      <c r="DS295" s="239">
        <v>-3849</v>
      </c>
      <c r="DT295" s="239">
        <v>0</v>
      </c>
      <c r="DU295" s="239">
        <v>-3849</v>
      </c>
      <c r="DV295" s="239">
        <v>-42728</v>
      </c>
      <c r="DW295" s="239">
        <v>0</v>
      </c>
      <c r="DX295" s="239">
        <v>-42728</v>
      </c>
      <c r="DY295" s="239">
        <v>0</v>
      </c>
      <c r="DZ295" s="239">
        <v>0</v>
      </c>
      <c r="EA295" s="239">
        <v>0</v>
      </c>
      <c r="EB295" s="239">
        <v>0</v>
      </c>
      <c r="EC295" s="239">
        <v>0</v>
      </c>
      <c r="ED295" s="239">
        <v>0</v>
      </c>
      <c r="EE295" s="239">
        <v>0</v>
      </c>
      <c r="EF295" s="239">
        <v>0</v>
      </c>
      <c r="EG295" s="239">
        <v>0</v>
      </c>
      <c r="EH295" s="239">
        <v>0</v>
      </c>
      <c r="EI295" s="239">
        <v>0</v>
      </c>
      <c r="EJ295" s="239">
        <v>0</v>
      </c>
      <c r="EK295" s="239">
        <v>0</v>
      </c>
      <c r="EL295" s="239">
        <v>0</v>
      </c>
      <c r="EM295" s="239">
        <v>0</v>
      </c>
      <c r="EN295" s="239">
        <v>0</v>
      </c>
      <c r="EO295" s="239">
        <v>0</v>
      </c>
      <c r="EP295" s="239">
        <v>0</v>
      </c>
      <c r="EQ295" s="239">
        <v>-72602</v>
      </c>
      <c r="ER295" s="239">
        <v>0</v>
      </c>
      <c r="ES295" s="239">
        <v>-72602</v>
      </c>
      <c r="ET295" s="239">
        <v>-794921</v>
      </c>
      <c r="EU295" s="239">
        <v>0</v>
      </c>
      <c r="EV295" s="239">
        <v>-794921</v>
      </c>
      <c r="EW295" s="239">
        <v>-120764</v>
      </c>
      <c r="EX295" s="239">
        <v>0</v>
      </c>
      <c r="EY295" s="239">
        <v>-120764</v>
      </c>
      <c r="EZ295" s="239">
        <v>-1034864</v>
      </c>
      <c r="FA295" s="239">
        <v>0</v>
      </c>
      <c r="FB295" s="239">
        <v>-1034864</v>
      </c>
      <c r="FC295" s="239">
        <v>0</v>
      </c>
      <c r="FD295" s="239">
        <v>0</v>
      </c>
      <c r="FE295" s="239">
        <v>0</v>
      </c>
      <c r="FF295" s="239">
        <v>0</v>
      </c>
      <c r="FG295" s="239">
        <v>0</v>
      </c>
      <c r="FH295" s="239">
        <v>0</v>
      </c>
      <c r="FI295" s="239">
        <v>0</v>
      </c>
      <c r="FJ295" s="239">
        <v>0</v>
      </c>
      <c r="FK295" s="239">
        <v>0</v>
      </c>
      <c r="FL295" s="239">
        <v>143943628</v>
      </c>
      <c r="FM295" s="239">
        <v>45006</v>
      </c>
      <c r="FN295" s="239">
        <v>143988634</v>
      </c>
      <c r="FO295" s="239">
        <v>5262338</v>
      </c>
      <c r="FP295" s="239">
        <v>0</v>
      </c>
      <c r="FQ295" s="239">
        <v>5262338</v>
      </c>
      <c r="FR295" s="239">
        <v>-16746445</v>
      </c>
      <c r="FS295" s="239">
        <v>0</v>
      </c>
      <c r="FT295" s="239">
        <v>-16746445</v>
      </c>
      <c r="FU295" s="239">
        <v>-4425462</v>
      </c>
      <c r="FV295" s="239">
        <v>0</v>
      </c>
      <c r="FW295" s="239">
        <v>-4425462</v>
      </c>
      <c r="FX295" s="239">
        <v>-1144273</v>
      </c>
      <c r="FY295" s="239">
        <v>-37020</v>
      </c>
      <c r="FZ295" s="239">
        <v>-1181293</v>
      </c>
      <c r="GA295" s="239">
        <v>-1034864</v>
      </c>
      <c r="GB295" s="239">
        <v>0</v>
      </c>
      <c r="GC295" s="239">
        <v>-1034864</v>
      </c>
      <c r="GD295" s="239">
        <v>0</v>
      </c>
      <c r="GE295" s="239">
        <v>0</v>
      </c>
      <c r="GF295" s="239">
        <v>0</v>
      </c>
      <c r="GG295" s="239">
        <v>-18088706</v>
      </c>
      <c r="GH295" s="239">
        <v>-37020</v>
      </c>
      <c r="GI295" s="239">
        <v>-18125726</v>
      </c>
      <c r="GJ295" s="239">
        <v>125854922</v>
      </c>
      <c r="GK295" s="239">
        <v>7986</v>
      </c>
      <c r="GL295" s="239">
        <v>125862908</v>
      </c>
      <c r="GM295" s="214" t="s">
        <v>1160</v>
      </c>
    </row>
    <row r="296" spans="2:195" s="214" customFormat="1" x14ac:dyDescent="0.2">
      <c r="B296" s="602" t="s">
        <v>675</v>
      </c>
      <c r="C296" s="602" t="s">
        <v>674</v>
      </c>
      <c r="D296" s="239">
        <v>-4571682</v>
      </c>
      <c r="E296" s="239">
        <v>-1998</v>
      </c>
      <c r="F296" s="239">
        <v>-4573680</v>
      </c>
      <c r="G296" s="239">
        <v>9931</v>
      </c>
      <c r="H296" s="239">
        <v>0</v>
      </c>
      <c r="I296" s="239">
        <v>9931</v>
      </c>
      <c r="J296" s="239">
        <v>3097530</v>
      </c>
      <c r="K296" s="239">
        <v>7747</v>
      </c>
      <c r="L296" s="239">
        <v>3105277</v>
      </c>
      <c r="M296" s="239">
        <v>4081</v>
      </c>
      <c r="N296" s="239">
        <v>0</v>
      </c>
      <c r="O296" s="239">
        <v>4081</v>
      </c>
      <c r="P296" s="239">
        <v>-1460140</v>
      </c>
      <c r="Q296" s="239">
        <v>5749</v>
      </c>
      <c r="R296" s="239">
        <v>-1454391</v>
      </c>
      <c r="S296" s="239">
        <v>-8931837</v>
      </c>
      <c r="T296" s="239">
        <v>-971</v>
      </c>
      <c r="U296" s="239">
        <v>-8932808</v>
      </c>
      <c r="V296" s="239">
        <v>-34788</v>
      </c>
      <c r="W296" s="239">
        <v>0</v>
      </c>
      <c r="X296" s="239">
        <v>-34788</v>
      </c>
      <c r="Y296" s="239">
        <v>-341275</v>
      </c>
      <c r="Z296" s="239">
        <v>0</v>
      </c>
      <c r="AA296" s="239">
        <v>-341275</v>
      </c>
      <c r="AB296" s="239">
        <v>-291894</v>
      </c>
      <c r="AC296" s="239">
        <v>0</v>
      </c>
      <c r="AD296" s="239">
        <v>-291894</v>
      </c>
      <c r="AE296" s="239">
        <v>-83</v>
      </c>
      <c r="AF296" s="239">
        <v>0</v>
      </c>
      <c r="AG296" s="239">
        <v>-83</v>
      </c>
      <c r="AH296" s="239">
        <v>1690067</v>
      </c>
      <c r="AI296" s="239">
        <v>5686</v>
      </c>
      <c r="AJ296" s="239">
        <v>1695753</v>
      </c>
      <c r="AK296" s="239">
        <v>592921</v>
      </c>
      <c r="AL296" s="239">
        <v>5578</v>
      </c>
      <c r="AM296" s="239">
        <v>598499</v>
      </c>
      <c r="AN296" s="239">
        <v>-5366654</v>
      </c>
      <c r="AO296" s="239">
        <v>0</v>
      </c>
      <c r="AP296" s="239">
        <v>-5366654</v>
      </c>
      <c r="AQ296" s="239">
        <v>-132640</v>
      </c>
      <c r="AR296" s="239">
        <v>0</v>
      </c>
      <c r="AS296" s="239">
        <v>-132640</v>
      </c>
      <c r="AT296" s="239">
        <v>-43697</v>
      </c>
      <c r="AU296" s="239">
        <v>0</v>
      </c>
      <c r="AV296" s="239">
        <v>-43697</v>
      </c>
      <c r="AW296" s="239">
        <v>0</v>
      </c>
      <c r="AX296" s="239">
        <v>0</v>
      </c>
      <c r="AY296" s="239">
        <v>0</v>
      </c>
      <c r="AZ296" s="239">
        <v>0</v>
      </c>
      <c r="BA296" s="239">
        <v>0</v>
      </c>
      <c r="BB296" s="239">
        <v>0</v>
      </c>
      <c r="BC296" s="239">
        <v>0</v>
      </c>
      <c r="BD296" s="239">
        <v>0</v>
      </c>
      <c r="BE296" s="239">
        <v>0</v>
      </c>
      <c r="BF296" s="239">
        <v>-12533115</v>
      </c>
      <c r="BG296" s="239">
        <v>10293</v>
      </c>
      <c r="BH296" s="239">
        <v>-12522822</v>
      </c>
      <c r="BI296" s="239">
        <v>-8464</v>
      </c>
      <c r="BJ296" s="239">
        <v>0</v>
      </c>
      <c r="BK296" s="239">
        <v>-8464</v>
      </c>
      <c r="BL296" s="239">
        <v>-21456</v>
      </c>
      <c r="BM296" s="239">
        <v>0</v>
      </c>
      <c r="BN296" s="239">
        <v>-21456</v>
      </c>
      <c r="BO296" s="239">
        <v>-2518708</v>
      </c>
      <c r="BP296" s="239">
        <v>0</v>
      </c>
      <c r="BQ296" s="239">
        <v>-2518708</v>
      </c>
      <c r="BR296" s="239">
        <v>6996</v>
      </c>
      <c r="BS296" s="239">
        <v>0</v>
      </c>
      <c r="BT296" s="239">
        <v>6996</v>
      </c>
      <c r="BU296" s="239">
        <v>-2541632</v>
      </c>
      <c r="BV296" s="239">
        <v>0</v>
      </c>
      <c r="BW296" s="239">
        <v>-2541632</v>
      </c>
      <c r="BX296" s="239">
        <v>-142294</v>
      </c>
      <c r="BY296" s="239">
        <v>0</v>
      </c>
      <c r="BZ296" s="239">
        <v>-142294</v>
      </c>
      <c r="CA296" s="239">
        <v>-13643</v>
      </c>
      <c r="CB296" s="239">
        <v>0</v>
      </c>
      <c r="CC296" s="239">
        <v>-13643</v>
      </c>
      <c r="CD296" s="239">
        <v>-30596</v>
      </c>
      <c r="CE296" s="239">
        <v>0</v>
      </c>
      <c r="CF296" s="239">
        <v>-30596</v>
      </c>
      <c r="CG296" s="239">
        <v>0</v>
      </c>
      <c r="CH296" s="239">
        <v>0</v>
      </c>
      <c r="CI296" s="239">
        <v>0</v>
      </c>
      <c r="CJ296" s="239">
        <v>-3364</v>
      </c>
      <c r="CK296" s="239">
        <v>0</v>
      </c>
      <c r="CL296" s="239">
        <v>-3364</v>
      </c>
      <c r="CM296" s="239">
        <v>0</v>
      </c>
      <c r="CN296" s="239">
        <v>0</v>
      </c>
      <c r="CO296" s="239">
        <v>0</v>
      </c>
      <c r="CP296" s="239">
        <v>0</v>
      </c>
      <c r="CQ296" s="239">
        <v>0</v>
      </c>
      <c r="CR296" s="239">
        <v>0</v>
      </c>
      <c r="CS296" s="239">
        <v>0</v>
      </c>
      <c r="CT296" s="239">
        <v>0</v>
      </c>
      <c r="CU296" s="239">
        <v>0</v>
      </c>
      <c r="CV296" s="239">
        <v>0</v>
      </c>
      <c r="CW296" s="239">
        <v>0</v>
      </c>
      <c r="CX296" s="239">
        <v>0</v>
      </c>
      <c r="CY296" s="239">
        <v>0</v>
      </c>
      <c r="CZ296" s="239">
        <v>0</v>
      </c>
      <c r="DA296" s="239">
        <v>0</v>
      </c>
      <c r="DB296" s="239">
        <v>0</v>
      </c>
      <c r="DC296" s="239">
        <v>-17125</v>
      </c>
      <c r="DD296" s="239">
        <v>-17125</v>
      </c>
      <c r="DE296" s="239">
        <v>0</v>
      </c>
      <c r="DF296" s="239">
        <v>-148</v>
      </c>
      <c r="DG296" s="239">
        <v>-148</v>
      </c>
      <c r="DH296" s="239">
        <v>-17273</v>
      </c>
      <c r="DI296" s="239">
        <v>0</v>
      </c>
      <c r="DJ296" s="239">
        <v>-189897</v>
      </c>
      <c r="DK296" s="239">
        <v>-17273</v>
      </c>
      <c r="DL296" s="239">
        <v>-207170</v>
      </c>
      <c r="DM296" s="239">
        <v>0</v>
      </c>
      <c r="DN296" s="239">
        <v>0</v>
      </c>
      <c r="DO296" s="239">
        <v>0</v>
      </c>
      <c r="DP296" s="239">
        <v>0</v>
      </c>
      <c r="DQ296" s="239">
        <v>0</v>
      </c>
      <c r="DR296" s="239">
        <v>0</v>
      </c>
      <c r="DS296" s="239">
        <v>-968</v>
      </c>
      <c r="DT296" s="239">
        <v>0</v>
      </c>
      <c r="DU296" s="239">
        <v>-968</v>
      </c>
      <c r="DV296" s="239">
        <v>0</v>
      </c>
      <c r="DW296" s="239">
        <v>0</v>
      </c>
      <c r="DX296" s="239">
        <v>0</v>
      </c>
      <c r="DY296" s="239">
        <v>8005</v>
      </c>
      <c r="DZ296" s="239">
        <v>0</v>
      </c>
      <c r="EA296" s="239">
        <v>8005</v>
      </c>
      <c r="EB296" s="239">
        <v>0</v>
      </c>
      <c r="EC296" s="239">
        <v>0</v>
      </c>
      <c r="ED296" s="239">
        <v>0</v>
      </c>
      <c r="EE296" s="239">
        <v>0</v>
      </c>
      <c r="EF296" s="239">
        <v>0</v>
      </c>
      <c r="EG296" s="239">
        <v>0</v>
      </c>
      <c r="EH296" s="239">
        <v>0</v>
      </c>
      <c r="EI296" s="239">
        <v>0</v>
      </c>
      <c r="EJ296" s="239">
        <v>0</v>
      </c>
      <c r="EK296" s="239">
        <v>0</v>
      </c>
      <c r="EL296" s="239">
        <v>0</v>
      </c>
      <c r="EM296" s="239">
        <v>0</v>
      </c>
      <c r="EN296" s="239">
        <v>0</v>
      </c>
      <c r="EO296" s="239">
        <v>0</v>
      </c>
      <c r="EP296" s="239">
        <v>0</v>
      </c>
      <c r="EQ296" s="239">
        <v>-29528</v>
      </c>
      <c r="ER296" s="239">
        <v>0</v>
      </c>
      <c r="ES296" s="239">
        <v>-29528</v>
      </c>
      <c r="ET296" s="239">
        <v>-337732</v>
      </c>
      <c r="EU296" s="239">
        <v>0</v>
      </c>
      <c r="EV296" s="239">
        <v>-337732</v>
      </c>
      <c r="EW296" s="239">
        <v>-40063</v>
      </c>
      <c r="EX296" s="239">
        <v>0</v>
      </c>
      <c r="EY296" s="239">
        <v>-40063</v>
      </c>
      <c r="EZ296" s="239">
        <v>-400286</v>
      </c>
      <c r="FA296" s="239">
        <v>0</v>
      </c>
      <c r="FB296" s="239">
        <v>-400286</v>
      </c>
      <c r="FC296" s="239">
        <v>0</v>
      </c>
      <c r="FD296" s="239">
        <v>0</v>
      </c>
      <c r="FE296" s="239">
        <v>0</v>
      </c>
      <c r="FF296" s="239">
        <v>0</v>
      </c>
      <c r="FG296" s="239">
        <v>0</v>
      </c>
      <c r="FH296" s="239">
        <v>0</v>
      </c>
      <c r="FI296" s="239">
        <v>0</v>
      </c>
      <c r="FJ296" s="239">
        <v>0</v>
      </c>
      <c r="FK296" s="239">
        <v>0</v>
      </c>
      <c r="FL296" s="239">
        <v>86693712</v>
      </c>
      <c r="FM296" s="239">
        <v>203646</v>
      </c>
      <c r="FN296" s="239">
        <v>86897358</v>
      </c>
      <c r="FO296" s="239">
        <v>-1460140</v>
      </c>
      <c r="FP296" s="239">
        <v>5749</v>
      </c>
      <c r="FQ296" s="239">
        <v>-1454391</v>
      </c>
      <c r="FR296" s="239">
        <v>-12533115</v>
      </c>
      <c r="FS296" s="239">
        <v>10293</v>
      </c>
      <c r="FT296" s="239">
        <v>-12522822</v>
      </c>
      <c r="FU296" s="239">
        <v>-2541632</v>
      </c>
      <c r="FV296" s="239">
        <v>0</v>
      </c>
      <c r="FW296" s="239">
        <v>-2541632</v>
      </c>
      <c r="FX296" s="239">
        <v>-189897</v>
      </c>
      <c r="FY296" s="239">
        <v>-17273</v>
      </c>
      <c r="FZ296" s="239">
        <v>-207170</v>
      </c>
      <c r="GA296" s="239">
        <v>-400286</v>
      </c>
      <c r="GB296" s="239">
        <v>0</v>
      </c>
      <c r="GC296" s="239">
        <v>-400286</v>
      </c>
      <c r="GD296" s="239">
        <v>0</v>
      </c>
      <c r="GE296" s="239">
        <v>0</v>
      </c>
      <c r="GF296" s="239">
        <v>0</v>
      </c>
      <c r="GG296" s="239">
        <v>-17125070</v>
      </c>
      <c r="GH296" s="239">
        <v>-1231</v>
      </c>
      <c r="GI296" s="239">
        <v>-17126301</v>
      </c>
      <c r="GJ296" s="239">
        <v>69568642</v>
      </c>
      <c r="GK296" s="239">
        <v>202415</v>
      </c>
      <c r="GL296" s="239">
        <v>69771057</v>
      </c>
      <c r="GM296" s="214" t="s">
        <v>1160</v>
      </c>
    </row>
    <row r="297" spans="2:195" s="214" customFormat="1" x14ac:dyDescent="0.2">
      <c r="B297" s="602" t="s">
        <v>677</v>
      </c>
      <c r="C297" s="602" t="s">
        <v>676</v>
      </c>
      <c r="D297" s="239">
        <v>-9694929</v>
      </c>
      <c r="E297" s="239">
        <v>0</v>
      </c>
      <c r="F297" s="239">
        <v>-9694929</v>
      </c>
      <c r="G297" s="239">
        <v>13113</v>
      </c>
      <c r="H297" s="239">
        <v>0</v>
      </c>
      <c r="I297" s="239">
        <v>13113</v>
      </c>
      <c r="J297" s="239">
        <v>1666290</v>
      </c>
      <c r="K297" s="239">
        <v>0</v>
      </c>
      <c r="L297" s="239">
        <v>1666290</v>
      </c>
      <c r="M297" s="239">
        <v>16850</v>
      </c>
      <c r="N297" s="239">
        <v>0</v>
      </c>
      <c r="O297" s="239">
        <v>16850</v>
      </c>
      <c r="P297" s="239">
        <v>-7998676</v>
      </c>
      <c r="Q297" s="239">
        <v>0</v>
      </c>
      <c r="R297" s="239">
        <v>-7998676</v>
      </c>
      <c r="S297" s="239">
        <v>-7534501</v>
      </c>
      <c r="T297" s="239">
        <v>0</v>
      </c>
      <c r="U297" s="239">
        <v>-7534501</v>
      </c>
      <c r="V297" s="239">
        <v>0</v>
      </c>
      <c r="W297" s="239">
        <v>0</v>
      </c>
      <c r="X297" s="239">
        <v>0</v>
      </c>
      <c r="Y297" s="239">
        <v>-33324</v>
      </c>
      <c r="Z297" s="239">
        <v>0</v>
      </c>
      <c r="AA297" s="239">
        <v>-33324</v>
      </c>
      <c r="AB297" s="239">
        <v>-26586</v>
      </c>
      <c r="AC297" s="239">
        <v>0</v>
      </c>
      <c r="AD297" s="239">
        <v>-26586</v>
      </c>
      <c r="AE297" s="239">
        <v>0</v>
      </c>
      <c r="AF297" s="239">
        <v>0</v>
      </c>
      <c r="AG297" s="239">
        <v>0</v>
      </c>
      <c r="AH297" s="239">
        <v>1473047</v>
      </c>
      <c r="AI297" s="239">
        <v>0</v>
      </c>
      <c r="AJ297" s="239">
        <v>1473047</v>
      </c>
      <c r="AK297" s="239">
        <v>4679</v>
      </c>
      <c r="AL297" s="239">
        <v>0</v>
      </c>
      <c r="AM297" s="239">
        <v>4679</v>
      </c>
      <c r="AN297" s="239">
        <v>-5818367</v>
      </c>
      <c r="AO297" s="239">
        <v>0</v>
      </c>
      <c r="AP297" s="239">
        <v>-5818367</v>
      </c>
      <c r="AQ297" s="239">
        <v>-257000</v>
      </c>
      <c r="AR297" s="239">
        <v>0</v>
      </c>
      <c r="AS297" s="239">
        <v>-257000</v>
      </c>
      <c r="AT297" s="239">
        <v>-62381</v>
      </c>
      <c r="AU297" s="239">
        <v>0</v>
      </c>
      <c r="AV297" s="239">
        <v>-62381</v>
      </c>
      <c r="AW297" s="239">
        <v>0</v>
      </c>
      <c r="AX297" s="239">
        <v>0</v>
      </c>
      <c r="AY297" s="239">
        <v>0</v>
      </c>
      <c r="AZ297" s="239">
        <v>0</v>
      </c>
      <c r="BA297" s="239">
        <v>0</v>
      </c>
      <c r="BB297" s="239">
        <v>0</v>
      </c>
      <c r="BC297" s="239">
        <v>0</v>
      </c>
      <c r="BD297" s="239">
        <v>0</v>
      </c>
      <c r="BE297" s="239">
        <v>0</v>
      </c>
      <c r="BF297" s="239">
        <v>-12227847</v>
      </c>
      <c r="BG297" s="239">
        <v>0</v>
      </c>
      <c r="BH297" s="239">
        <v>-12227847</v>
      </c>
      <c r="BI297" s="239">
        <v>-17658</v>
      </c>
      <c r="BJ297" s="239">
        <v>0</v>
      </c>
      <c r="BK297" s="239">
        <v>-17658</v>
      </c>
      <c r="BL297" s="239">
        <v>-22526</v>
      </c>
      <c r="BM297" s="239">
        <v>0</v>
      </c>
      <c r="BN297" s="239">
        <v>-22526</v>
      </c>
      <c r="BO297" s="239">
        <v>-1359175</v>
      </c>
      <c r="BP297" s="239">
        <v>0</v>
      </c>
      <c r="BQ297" s="239">
        <v>-1359175</v>
      </c>
      <c r="BR297" s="239">
        <v>-218710</v>
      </c>
      <c r="BS297" s="239">
        <v>0</v>
      </c>
      <c r="BT297" s="239">
        <v>-218710</v>
      </c>
      <c r="BU297" s="239">
        <v>-1618069</v>
      </c>
      <c r="BV297" s="239">
        <v>0</v>
      </c>
      <c r="BW297" s="239">
        <v>-1618069</v>
      </c>
      <c r="BX297" s="239">
        <v>-227006</v>
      </c>
      <c r="BY297" s="239">
        <v>0</v>
      </c>
      <c r="BZ297" s="239">
        <v>-227006</v>
      </c>
      <c r="CA297" s="239">
        <v>-40286</v>
      </c>
      <c r="CB297" s="239">
        <v>0</v>
      </c>
      <c r="CC297" s="239">
        <v>-40286</v>
      </c>
      <c r="CD297" s="239">
        <v>-173717</v>
      </c>
      <c r="CE297" s="239">
        <v>0</v>
      </c>
      <c r="CF297" s="239">
        <v>-173717</v>
      </c>
      <c r="CG297" s="239">
        <v>-9180</v>
      </c>
      <c r="CH297" s="239">
        <v>0</v>
      </c>
      <c r="CI297" s="239">
        <v>-9180</v>
      </c>
      <c r="CJ297" s="239">
        <v>-5541</v>
      </c>
      <c r="CK297" s="239">
        <v>0</v>
      </c>
      <c r="CL297" s="239">
        <v>-5541</v>
      </c>
      <c r="CM297" s="239">
        <v>0</v>
      </c>
      <c r="CN297" s="239">
        <v>0</v>
      </c>
      <c r="CO297" s="239">
        <v>0</v>
      </c>
      <c r="CP297" s="239">
        <v>0</v>
      </c>
      <c r="CQ297" s="239">
        <v>0</v>
      </c>
      <c r="CR297" s="239">
        <v>0</v>
      </c>
      <c r="CS297" s="239">
        <v>0</v>
      </c>
      <c r="CT297" s="239">
        <v>0</v>
      </c>
      <c r="CU297" s="239">
        <v>0</v>
      </c>
      <c r="CV297" s="239">
        <v>0</v>
      </c>
      <c r="CW297" s="239">
        <v>0</v>
      </c>
      <c r="CX297" s="239">
        <v>0</v>
      </c>
      <c r="CY297" s="239">
        <v>0</v>
      </c>
      <c r="CZ297" s="239">
        <v>0</v>
      </c>
      <c r="DA297" s="239">
        <v>0</v>
      </c>
      <c r="DB297" s="239">
        <v>0</v>
      </c>
      <c r="DC297" s="239">
        <v>0</v>
      </c>
      <c r="DD297" s="239">
        <v>0</v>
      </c>
      <c r="DE297" s="239">
        <v>0</v>
      </c>
      <c r="DF297" s="239">
        <v>0</v>
      </c>
      <c r="DG297" s="239">
        <v>0</v>
      </c>
      <c r="DH297" s="239">
        <v>0</v>
      </c>
      <c r="DI297" s="239">
        <v>0</v>
      </c>
      <c r="DJ297" s="239">
        <v>-455730</v>
      </c>
      <c r="DK297" s="239">
        <v>0</v>
      </c>
      <c r="DL297" s="239">
        <v>-455730</v>
      </c>
      <c r="DM297" s="239">
        <v>-33106</v>
      </c>
      <c r="DN297" s="239">
        <v>0</v>
      </c>
      <c r="DO297" s="239">
        <v>-33106</v>
      </c>
      <c r="DP297" s="239">
        <v>4755</v>
      </c>
      <c r="DQ297" s="239">
        <v>0</v>
      </c>
      <c r="DR297" s="239">
        <v>4755</v>
      </c>
      <c r="DS297" s="239">
        <v>-840</v>
      </c>
      <c r="DT297" s="239">
        <v>0</v>
      </c>
      <c r="DU297" s="239">
        <v>-840</v>
      </c>
      <c r="DV297" s="239">
        <v>0</v>
      </c>
      <c r="DW297" s="239">
        <v>0</v>
      </c>
      <c r="DX297" s="239">
        <v>0</v>
      </c>
      <c r="DY297" s="239">
        <v>-235</v>
      </c>
      <c r="DZ297" s="239">
        <v>0</v>
      </c>
      <c r="EA297" s="239">
        <v>-235</v>
      </c>
      <c r="EB297" s="239">
        <v>0</v>
      </c>
      <c r="EC297" s="239">
        <v>0</v>
      </c>
      <c r="ED297" s="239">
        <v>0</v>
      </c>
      <c r="EE297" s="239">
        <v>0</v>
      </c>
      <c r="EF297" s="239">
        <v>0</v>
      </c>
      <c r="EG297" s="239">
        <v>0</v>
      </c>
      <c r="EH297" s="239">
        <v>0</v>
      </c>
      <c r="EI297" s="239">
        <v>0</v>
      </c>
      <c r="EJ297" s="239">
        <v>0</v>
      </c>
      <c r="EK297" s="239">
        <v>0</v>
      </c>
      <c r="EL297" s="239">
        <v>0</v>
      </c>
      <c r="EM297" s="239">
        <v>0</v>
      </c>
      <c r="EN297" s="239">
        <v>0</v>
      </c>
      <c r="EO297" s="239">
        <v>0</v>
      </c>
      <c r="EP297" s="239">
        <v>0</v>
      </c>
      <c r="EQ297" s="239">
        <v>-260529</v>
      </c>
      <c r="ER297" s="239">
        <v>0</v>
      </c>
      <c r="ES297" s="239">
        <v>-260529</v>
      </c>
      <c r="ET297" s="239">
        <v>-694767</v>
      </c>
      <c r="EU297" s="239">
        <v>0</v>
      </c>
      <c r="EV297" s="239">
        <v>-694767</v>
      </c>
      <c r="EW297" s="239">
        <v>-37322</v>
      </c>
      <c r="EX297" s="239">
        <v>0</v>
      </c>
      <c r="EY297" s="239">
        <v>-37322</v>
      </c>
      <c r="EZ297" s="239">
        <v>-1022044</v>
      </c>
      <c r="FA297" s="239">
        <v>0</v>
      </c>
      <c r="FB297" s="239">
        <v>-1022044</v>
      </c>
      <c r="FC297" s="239">
        <v>0</v>
      </c>
      <c r="FD297" s="239">
        <v>0</v>
      </c>
      <c r="FE297" s="239">
        <v>0</v>
      </c>
      <c r="FF297" s="239">
        <v>0</v>
      </c>
      <c r="FG297" s="239">
        <v>0</v>
      </c>
      <c r="FH297" s="239">
        <v>0</v>
      </c>
      <c r="FI297" s="239">
        <v>0</v>
      </c>
      <c r="FJ297" s="239">
        <v>0</v>
      </c>
      <c r="FK297" s="239">
        <v>0</v>
      </c>
      <c r="FL297" s="239">
        <v>84059300</v>
      </c>
      <c r="FM297" s="239">
        <v>0</v>
      </c>
      <c r="FN297" s="239">
        <v>84059300</v>
      </c>
      <c r="FO297" s="239">
        <v>-7998676</v>
      </c>
      <c r="FP297" s="239">
        <v>0</v>
      </c>
      <c r="FQ297" s="239">
        <v>-7998676</v>
      </c>
      <c r="FR297" s="239">
        <v>-12227847</v>
      </c>
      <c r="FS297" s="239">
        <v>0</v>
      </c>
      <c r="FT297" s="239">
        <v>-12227847</v>
      </c>
      <c r="FU297" s="239">
        <v>-1618069</v>
      </c>
      <c r="FV297" s="239">
        <v>0</v>
      </c>
      <c r="FW297" s="239">
        <v>-1618069</v>
      </c>
      <c r="FX297" s="239">
        <v>-455730</v>
      </c>
      <c r="FY297" s="239">
        <v>0</v>
      </c>
      <c r="FZ297" s="239">
        <v>-455730</v>
      </c>
      <c r="GA297" s="239">
        <v>-1022044</v>
      </c>
      <c r="GB297" s="239">
        <v>0</v>
      </c>
      <c r="GC297" s="239">
        <v>-1022044</v>
      </c>
      <c r="GD297" s="239">
        <v>0</v>
      </c>
      <c r="GE297" s="239">
        <v>0</v>
      </c>
      <c r="GF297" s="239">
        <v>0</v>
      </c>
      <c r="GG297" s="239">
        <v>-23322366</v>
      </c>
      <c r="GH297" s="239">
        <v>0</v>
      </c>
      <c r="GI297" s="239">
        <v>-23322366</v>
      </c>
      <c r="GJ297" s="239">
        <v>60736934</v>
      </c>
      <c r="GK297" s="239">
        <v>0</v>
      </c>
      <c r="GL297" s="239">
        <v>60736934</v>
      </c>
      <c r="GM297" s="214" t="s">
        <v>1159</v>
      </c>
    </row>
    <row r="298" spans="2:195" s="214" customFormat="1" x14ac:dyDescent="0.2">
      <c r="B298" s="602" t="s">
        <v>679</v>
      </c>
      <c r="C298" s="602" t="s">
        <v>678</v>
      </c>
      <c r="D298" s="239">
        <v>-8221418</v>
      </c>
      <c r="E298" s="239">
        <v>-449799</v>
      </c>
      <c r="F298" s="239">
        <v>-8671217</v>
      </c>
      <c r="G298" s="239">
        <v>213001</v>
      </c>
      <c r="H298" s="239">
        <v>0</v>
      </c>
      <c r="I298" s="239">
        <v>213001</v>
      </c>
      <c r="J298" s="239">
        <v>1222069</v>
      </c>
      <c r="K298" s="239">
        <v>24498</v>
      </c>
      <c r="L298" s="239">
        <v>1246567</v>
      </c>
      <c r="M298" s="239">
        <v>176272</v>
      </c>
      <c r="N298" s="239">
        <v>0</v>
      </c>
      <c r="O298" s="239">
        <v>176272</v>
      </c>
      <c r="P298" s="239">
        <v>-6610076</v>
      </c>
      <c r="Q298" s="239">
        <v>-425301</v>
      </c>
      <c r="R298" s="239">
        <v>-7035377</v>
      </c>
      <c r="S298" s="239">
        <v>-6369423</v>
      </c>
      <c r="T298" s="239">
        <v>-188865</v>
      </c>
      <c r="U298" s="239">
        <v>-6558288</v>
      </c>
      <c r="V298" s="239">
        <v>-20317</v>
      </c>
      <c r="W298" s="239">
        <v>0</v>
      </c>
      <c r="X298" s="239">
        <v>-20317</v>
      </c>
      <c r="Y298" s="239">
        <v>-130406</v>
      </c>
      <c r="Z298" s="239">
        <v>-6635</v>
      </c>
      <c r="AA298" s="239">
        <v>-137041</v>
      </c>
      <c r="AB298" s="239">
        <v>-112340</v>
      </c>
      <c r="AC298" s="239">
        <v>-6635</v>
      </c>
      <c r="AD298" s="239">
        <v>-118975</v>
      </c>
      <c r="AE298" s="239">
        <v>-1656</v>
      </c>
      <c r="AF298" s="239">
        <v>-83</v>
      </c>
      <c r="AG298" s="239">
        <v>-1739</v>
      </c>
      <c r="AH298" s="239">
        <v>2593264</v>
      </c>
      <c r="AI298" s="239">
        <v>32775</v>
      </c>
      <c r="AJ298" s="239">
        <v>2626039</v>
      </c>
      <c r="AK298" s="239">
        <v>148157</v>
      </c>
      <c r="AL298" s="239">
        <v>8421</v>
      </c>
      <c r="AM298" s="239">
        <v>156578</v>
      </c>
      <c r="AN298" s="239">
        <v>-11500331</v>
      </c>
      <c r="AO298" s="239">
        <v>-1551</v>
      </c>
      <c r="AP298" s="239">
        <v>-11501882</v>
      </c>
      <c r="AQ298" s="239">
        <v>-738365</v>
      </c>
      <c r="AR298" s="239">
        <v>0</v>
      </c>
      <c r="AS298" s="239">
        <v>-738365</v>
      </c>
      <c r="AT298" s="239">
        <v>-26858</v>
      </c>
      <c r="AU298" s="239">
        <v>0</v>
      </c>
      <c r="AV298" s="239">
        <v>-26858</v>
      </c>
      <c r="AW298" s="239">
        <v>0</v>
      </c>
      <c r="AX298" s="239">
        <v>0</v>
      </c>
      <c r="AY298" s="239">
        <v>0</v>
      </c>
      <c r="AZ298" s="239">
        <v>0</v>
      </c>
      <c r="BA298" s="239">
        <v>0</v>
      </c>
      <c r="BB298" s="239">
        <v>0</v>
      </c>
      <c r="BC298" s="239">
        <v>0</v>
      </c>
      <c r="BD298" s="239">
        <v>0</v>
      </c>
      <c r="BE298" s="239">
        <v>0</v>
      </c>
      <c r="BF298" s="239">
        <v>-16023962</v>
      </c>
      <c r="BG298" s="239">
        <v>-155855</v>
      </c>
      <c r="BH298" s="239">
        <v>-16179817</v>
      </c>
      <c r="BI298" s="239">
        <v>0</v>
      </c>
      <c r="BJ298" s="239">
        <v>0</v>
      </c>
      <c r="BK298" s="239">
        <v>0</v>
      </c>
      <c r="BL298" s="239">
        <v>4311</v>
      </c>
      <c r="BM298" s="239">
        <v>0</v>
      </c>
      <c r="BN298" s="239">
        <v>4311</v>
      </c>
      <c r="BO298" s="239">
        <v>-2495505</v>
      </c>
      <c r="BP298" s="239">
        <v>-1360</v>
      </c>
      <c r="BQ298" s="239">
        <v>-2496865</v>
      </c>
      <c r="BR298" s="239">
        <v>636436</v>
      </c>
      <c r="BS298" s="239">
        <v>-2111</v>
      </c>
      <c r="BT298" s="239">
        <v>634325</v>
      </c>
      <c r="BU298" s="239">
        <v>-1854758</v>
      </c>
      <c r="BV298" s="239">
        <v>-3471</v>
      </c>
      <c r="BW298" s="239">
        <v>-1858229</v>
      </c>
      <c r="BX298" s="239">
        <v>-222239</v>
      </c>
      <c r="BY298" s="239">
        <v>0</v>
      </c>
      <c r="BZ298" s="239">
        <v>-222239</v>
      </c>
      <c r="CA298" s="239">
        <v>-4582</v>
      </c>
      <c r="CB298" s="239">
        <v>0</v>
      </c>
      <c r="CC298" s="239">
        <v>-4582</v>
      </c>
      <c r="CD298" s="239">
        <v>-1133788</v>
      </c>
      <c r="CE298" s="239">
        <v>0</v>
      </c>
      <c r="CF298" s="239">
        <v>-1133788</v>
      </c>
      <c r="CG298" s="239">
        <v>32060</v>
      </c>
      <c r="CH298" s="239">
        <v>0</v>
      </c>
      <c r="CI298" s="239">
        <v>32060</v>
      </c>
      <c r="CJ298" s="239">
        <v>-1418</v>
      </c>
      <c r="CK298" s="239">
        <v>0</v>
      </c>
      <c r="CL298" s="239">
        <v>-1418</v>
      </c>
      <c r="CM298" s="239">
        <v>0</v>
      </c>
      <c r="CN298" s="239">
        <v>0</v>
      </c>
      <c r="CO298" s="239">
        <v>0</v>
      </c>
      <c r="CP298" s="239">
        <v>0</v>
      </c>
      <c r="CQ298" s="239">
        <v>0</v>
      </c>
      <c r="CR298" s="239">
        <v>0</v>
      </c>
      <c r="CS298" s="239">
        <v>0</v>
      </c>
      <c r="CT298" s="239">
        <v>0</v>
      </c>
      <c r="CU298" s="239">
        <v>0</v>
      </c>
      <c r="CV298" s="239">
        <v>0</v>
      </c>
      <c r="CW298" s="239">
        <v>0</v>
      </c>
      <c r="CX298" s="239">
        <v>0</v>
      </c>
      <c r="CY298" s="239">
        <v>0</v>
      </c>
      <c r="CZ298" s="239">
        <v>0</v>
      </c>
      <c r="DA298" s="239">
        <v>0</v>
      </c>
      <c r="DB298" s="239">
        <v>0</v>
      </c>
      <c r="DC298" s="239">
        <v>0</v>
      </c>
      <c r="DD298" s="239">
        <v>0</v>
      </c>
      <c r="DE298" s="239">
        <v>0</v>
      </c>
      <c r="DF298" s="239">
        <v>0</v>
      </c>
      <c r="DG298" s="239">
        <v>0</v>
      </c>
      <c r="DH298" s="239">
        <v>0</v>
      </c>
      <c r="DI298" s="239">
        <v>0</v>
      </c>
      <c r="DJ298" s="239">
        <v>-1329967</v>
      </c>
      <c r="DK298" s="239">
        <v>0</v>
      </c>
      <c r="DL298" s="239">
        <v>-1329967</v>
      </c>
      <c r="DM298" s="239">
        <v>0</v>
      </c>
      <c r="DN298" s="239">
        <v>0</v>
      </c>
      <c r="DO298" s="239">
        <v>0</v>
      </c>
      <c r="DP298" s="239">
        <v>0</v>
      </c>
      <c r="DQ298" s="239">
        <v>0</v>
      </c>
      <c r="DR298" s="239">
        <v>0</v>
      </c>
      <c r="DS298" s="239">
        <v>-8974</v>
      </c>
      <c r="DT298" s="239">
        <v>0</v>
      </c>
      <c r="DU298" s="239">
        <v>-8974</v>
      </c>
      <c r="DV298" s="239">
        <v>-17855</v>
      </c>
      <c r="DW298" s="239">
        <v>0</v>
      </c>
      <c r="DX298" s="239">
        <v>-17855</v>
      </c>
      <c r="DY298" s="239">
        <v>0</v>
      </c>
      <c r="DZ298" s="239">
        <v>0</v>
      </c>
      <c r="EA298" s="239">
        <v>0</v>
      </c>
      <c r="EB298" s="239">
        <v>0</v>
      </c>
      <c r="EC298" s="239">
        <v>0</v>
      </c>
      <c r="ED298" s="239">
        <v>0</v>
      </c>
      <c r="EE298" s="239">
        <v>0</v>
      </c>
      <c r="EF298" s="239">
        <v>0</v>
      </c>
      <c r="EG298" s="239">
        <v>0</v>
      </c>
      <c r="EH298" s="239">
        <v>315</v>
      </c>
      <c r="EI298" s="239">
        <v>0</v>
      </c>
      <c r="EJ298" s="239">
        <v>315</v>
      </c>
      <c r="EK298" s="239">
        <v>0</v>
      </c>
      <c r="EL298" s="239">
        <v>0</v>
      </c>
      <c r="EM298" s="239">
        <v>0</v>
      </c>
      <c r="EN298" s="239">
        <v>0</v>
      </c>
      <c r="EO298" s="239">
        <v>0</v>
      </c>
      <c r="EP298" s="239">
        <v>0</v>
      </c>
      <c r="EQ298" s="239">
        <v>-112881</v>
      </c>
      <c r="ER298" s="239">
        <v>-2572</v>
      </c>
      <c r="ES298" s="239">
        <v>-115453</v>
      </c>
      <c r="ET298" s="239">
        <v>-1464847</v>
      </c>
      <c r="EU298" s="239">
        <v>-36046</v>
      </c>
      <c r="EV298" s="239">
        <v>-1500893</v>
      </c>
      <c r="EW298" s="239">
        <v>-36962</v>
      </c>
      <c r="EX298" s="239">
        <v>0</v>
      </c>
      <c r="EY298" s="239">
        <v>-36962</v>
      </c>
      <c r="EZ298" s="239">
        <v>-1641204</v>
      </c>
      <c r="FA298" s="239">
        <v>-38618</v>
      </c>
      <c r="FB298" s="239">
        <v>-1679822</v>
      </c>
      <c r="FC298" s="239">
        <v>0</v>
      </c>
      <c r="FD298" s="239">
        <v>0</v>
      </c>
      <c r="FE298" s="239">
        <v>0</v>
      </c>
      <c r="FF298" s="239">
        <v>0</v>
      </c>
      <c r="FG298" s="239">
        <v>0</v>
      </c>
      <c r="FH298" s="239">
        <v>0</v>
      </c>
      <c r="FI298" s="239">
        <v>0</v>
      </c>
      <c r="FJ298" s="239">
        <v>0</v>
      </c>
      <c r="FK298" s="239">
        <v>0</v>
      </c>
      <c r="FL298" s="239">
        <v>130124239</v>
      </c>
      <c r="FM298" s="239">
        <v>2312369</v>
      </c>
      <c r="FN298" s="239">
        <v>132436608</v>
      </c>
      <c r="FO298" s="239">
        <v>-6610076</v>
      </c>
      <c r="FP298" s="239">
        <v>-425301</v>
      </c>
      <c r="FQ298" s="239">
        <v>-7035377</v>
      </c>
      <c r="FR298" s="239">
        <v>-16023962</v>
      </c>
      <c r="FS298" s="239">
        <v>-155855</v>
      </c>
      <c r="FT298" s="239">
        <v>-16179817</v>
      </c>
      <c r="FU298" s="239">
        <v>-1854758</v>
      </c>
      <c r="FV298" s="239">
        <v>-3471</v>
      </c>
      <c r="FW298" s="239">
        <v>-1858229</v>
      </c>
      <c r="FX298" s="239">
        <v>-1329967</v>
      </c>
      <c r="FY298" s="239">
        <v>0</v>
      </c>
      <c r="FZ298" s="239">
        <v>-1329967</v>
      </c>
      <c r="GA298" s="239">
        <v>-1641204</v>
      </c>
      <c r="GB298" s="239">
        <v>-38618</v>
      </c>
      <c r="GC298" s="239">
        <v>-1679822</v>
      </c>
      <c r="GD298" s="239">
        <v>0</v>
      </c>
      <c r="GE298" s="239">
        <v>0</v>
      </c>
      <c r="GF298" s="239">
        <v>0</v>
      </c>
      <c r="GG298" s="239">
        <v>-27459967</v>
      </c>
      <c r="GH298" s="239">
        <v>-623245</v>
      </c>
      <c r="GI298" s="239">
        <v>-28083212</v>
      </c>
      <c r="GJ298" s="239">
        <v>102664272</v>
      </c>
      <c r="GK298" s="239">
        <v>1689124</v>
      </c>
      <c r="GL298" s="239">
        <v>104353396</v>
      </c>
      <c r="GM298" s="214" t="s">
        <v>1161</v>
      </c>
    </row>
    <row r="299" spans="2:195" s="214" customFormat="1" x14ac:dyDescent="0.2">
      <c r="B299" s="602" t="s">
        <v>681</v>
      </c>
      <c r="C299" s="602" t="s">
        <v>680</v>
      </c>
      <c r="D299" s="239">
        <v>-2653851</v>
      </c>
      <c r="E299" s="239">
        <v>-149</v>
      </c>
      <c r="F299" s="239">
        <v>-2654000</v>
      </c>
      <c r="G299" s="239">
        <v>-6681</v>
      </c>
      <c r="H299" s="239">
        <v>0</v>
      </c>
      <c r="I299" s="239">
        <v>-6681</v>
      </c>
      <c r="J299" s="239">
        <v>12264371</v>
      </c>
      <c r="K299" s="239">
        <v>162671</v>
      </c>
      <c r="L299" s="239">
        <v>12427042</v>
      </c>
      <c r="M299" s="239">
        <v>132841</v>
      </c>
      <c r="N299" s="239">
        <v>0</v>
      </c>
      <c r="O299" s="239">
        <v>132841</v>
      </c>
      <c r="P299" s="239">
        <v>9736680</v>
      </c>
      <c r="Q299" s="239">
        <v>162522</v>
      </c>
      <c r="R299" s="239">
        <v>9899202</v>
      </c>
      <c r="S299" s="239">
        <v>-5148981</v>
      </c>
      <c r="T299" s="239">
        <v>-5486</v>
      </c>
      <c r="U299" s="239">
        <v>-5154467</v>
      </c>
      <c r="V299" s="239">
        <v>0</v>
      </c>
      <c r="W299" s="239">
        <v>0</v>
      </c>
      <c r="X299" s="239">
        <v>0</v>
      </c>
      <c r="Y299" s="239">
        <v>-384525</v>
      </c>
      <c r="Z299" s="239">
        <v>684</v>
      </c>
      <c r="AA299" s="239">
        <v>-383841</v>
      </c>
      <c r="AB299" s="239">
        <v>0</v>
      </c>
      <c r="AC299" s="239">
        <v>0</v>
      </c>
      <c r="AD299" s="239">
        <v>0</v>
      </c>
      <c r="AE299" s="239">
        <v>0</v>
      </c>
      <c r="AF299" s="239">
        <v>0</v>
      </c>
      <c r="AG299" s="239">
        <v>0</v>
      </c>
      <c r="AH299" s="239">
        <v>2385884</v>
      </c>
      <c r="AI299" s="239">
        <v>24132</v>
      </c>
      <c r="AJ299" s="239">
        <v>2410016</v>
      </c>
      <c r="AK299" s="239">
        <v>-83620</v>
      </c>
      <c r="AL299" s="239">
        <v>-6792</v>
      </c>
      <c r="AM299" s="239">
        <v>-90412</v>
      </c>
      <c r="AN299" s="239">
        <v>-4306496</v>
      </c>
      <c r="AO299" s="239">
        <v>0</v>
      </c>
      <c r="AP299" s="239">
        <v>-4306496</v>
      </c>
      <c r="AQ299" s="239">
        <v>257560</v>
      </c>
      <c r="AR299" s="239">
        <v>0</v>
      </c>
      <c r="AS299" s="239">
        <v>257560</v>
      </c>
      <c r="AT299" s="239">
        <v>-50576</v>
      </c>
      <c r="AU299" s="239">
        <v>0</v>
      </c>
      <c r="AV299" s="239">
        <v>-50576</v>
      </c>
      <c r="AW299" s="239">
        <v>0</v>
      </c>
      <c r="AX299" s="239">
        <v>0</v>
      </c>
      <c r="AY299" s="239">
        <v>0</v>
      </c>
      <c r="AZ299" s="239">
        <v>0</v>
      </c>
      <c r="BA299" s="239">
        <v>0</v>
      </c>
      <c r="BB299" s="239">
        <v>0</v>
      </c>
      <c r="BC299" s="239">
        <v>0</v>
      </c>
      <c r="BD299" s="239">
        <v>0</v>
      </c>
      <c r="BE299" s="239">
        <v>0</v>
      </c>
      <c r="BF299" s="239">
        <v>-7330754</v>
      </c>
      <c r="BG299" s="239">
        <v>12538</v>
      </c>
      <c r="BH299" s="239">
        <v>-7318216</v>
      </c>
      <c r="BI299" s="239">
        <v>-124476</v>
      </c>
      <c r="BJ299" s="239">
        <v>0</v>
      </c>
      <c r="BK299" s="239">
        <v>-124476</v>
      </c>
      <c r="BL299" s="239">
        <v>-27757</v>
      </c>
      <c r="BM299" s="239">
        <v>0</v>
      </c>
      <c r="BN299" s="239">
        <v>-27757</v>
      </c>
      <c r="BO299" s="239">
        <v>-3903376</v>
      </c>
      <c r="BP299" s="239">
        <v>-157220</v>
      </c>
      <c r="BQ299" s="239">
        <v>-4060596</v>
      </c>
      <c r="BR299" s="239">
        <v>-25000</v>
      </c>
      <c r="BS299" s="239">
        <v>10041</v>
      </c>
      <c r="BT299" s="239">
        <v>-14959</v>
      </c>
      <c r="BU299" s="239">
        <v>-4080609</v>
      </c>
      <c r="BV299" s="239">
        <v>-147179</v>
      </c>
      <c r="BW299" s="239">
        <v>-4227788</v>
      </c>
      <c r="BX299" s="239">
        <v>-152496</v>
      </c>
      <c r="BY299" s="239">
        <v>0</v>
      </c>
      <c r="BZ299" s="239">
        <v>-152496</v>
      </c>
      <c r="CA299" s="239">
        <v>3288</v>
      </c>
      <c r="CB299" s="239">
        <v>0</v>
      </c>
      <c r="CC299" s="239">
        <v>3288</v>
      </c>
      <c r="CD299" s="239">
        <v>-772820</v>
      </c>
      <c r="CE299" s="239">
        <v>0</v>
      </c>
      <c r="CF299" s="239">
        <v>-772820</v>
      </c>
      <c r="CG299" s="239">
        <v>-5772</v>
      </c>
      <c r="CH299" s="239">
        <v>0</v>
      </c>
      <c r="CI299" s="239">
        <v>-5772</v>
      </c>
      <c r="CJ299" s="239">
        <v>-5561</v>
      </c>
      <c r="CK299" s="239">
        <v>0</v>
      </c>
      <c r="CL299" s="239">
        <v>-5561</v>
      </c>
      <c r="CM299" s="239">
        <v>-874</v>
      </c>
      <c r="CN299" s="239">
        <v>0</v>
      </c>
      <c r="CO299" s="239">
        <v>-874</v>
      </c>
      <c r="CP299" s="239">
        <v>0</v>
      </c>
      <c r="CQ299" s="239">
        <v>0</v>
      </c>
      <c r="CR299" s="239">
        <v>0</v>
      </c>
      <c r="CS299" s="239">
        <v>0</v>
      </c>
      <c r="CT299" s="239">
        <v>0</v>
      </c>
      <c r="CU299" s="239">
        <v>0</v>
      </c>
      <c r="CV299" s="239">
        <v>-3809</v>
      </c>
      <c r="CW299" s="239">
        <v>0</v>
      </c>
      <c r="CX299" s="239">
        <v>-3809</v>
      </c>
      <c r="CY299" s="239">
        <v>0</v>
      </c>
      <c r="CZ299" s="239">
        <v>0</v>
      </c>
      <c r="DA299" s="239">
        <v>0</v>
      </c>
      <c r="DB299" s="239">
        <v>-1942</v>
      </c>
      <c r="DC299" s="239">
        <v>-111980</v>
      </c>
      <c r="DD299" s="239">
        <v>-113922</v>
      </c>
      <c r="DE299" s="239">
        <v>0</v>
      </c>
      <c r="DF299" s="239">
        <v>-41268</v>
      </c>
      <c r="DG299" s="239">
        <v>-41268</v>
      </c>
      <c r="DH299" s="239">
        <v>-153248</v>
      </c>
      <c r="DI299" s="239">
        <v>0</v>
      </c>
      <c r="DJ299" s="239">
        <v>-939986</v>
      </c>
      <c r="DK299" s="239">
        <v>-153248</v>
      </c>
      <c r="DL299" s="239">
        <v>-1093234</v>
      </c>
      <c r="DM299" s="239">
        <v>0</v>
      </c>
      <c r="DN299" s="239">
        <v>-37348</v>
      </c>
      <c r="DO299" s="239">
        <v>-37348</v>
      </c>
      <c r="DP299" s="239">
        <v>0</v>
      </c>
      <c r="DQ299" s="239">
        <v>-16209</v>
      </c>
      <c r="DR299" s="239">
        <v>-16209</v>
      </c>
      <c r="DS299" s="239">
        <v>0</v>
      </c>
      <c r="DT299" s="239">
        <v>0</v>
      </c>
      <c r="DU299" s="239">
        <v>0</v>
      </c>
      <c r="DV299" s="239">
        <v>0</v>
      </c>
      <c r="DW299" s="239">
        <v>0</v>
      </c>
      <c r="DX299" s="239">
        <v>0</v>
      </c>
      <c r="DY299" s="239">
        <v>0</v>
      </c>
      <c r="DZ299" s="239">
        <v>0</v>
      </c>
      <c r="EA299" s="239">
        <v>0</v>
      </c>
      <c r="EB299" s="239">
        <v>0</v>
      </c>
      <c r="EC299" s="239">
        <v>0</v>
      </c>
      <c r="ED299" s="239">
        <v>0</v>
      </c>
      <c r="EE299" s="239">
        <v>0</v>
      </c>
      <c r="EF299" s="239">
        <v>0</v>
      </c>
      <c r="EG299" s="239">
        <v>0</v>
      </c>
      <c r="EH299" s="239">
        <v>0</v>
      </c>
      <c r="EI299" s="239">
        <v>0</v>
      </c>
      <c r="EJ299" s="239">
        <v>0</v>
      </c>
      <c r="EK299" s="239">
        <v>-3316</v>
      </c>
      <c r="EL299" s="239">
        <v>0</v>
      </c>
      <c r="EM299" s="239">
        <v>-3316</v>
      </c>
      <c r="EN299" s="239">
        <v>0</v>
      </c>
      <c r="EO299" s="239">
        <v>0</v>
      </c>
      <c r="EP299" s="239">
        <v>0</v>
      </c>
      <c r="EQ299" s="239">
        <v>-41419</v>
      </c>
      <c r="ER299" s="239">
        <v>0</v>
      </c>
      <c r="ES299" s="239">
        <v>-41419</v>
      </c>
      <c r="ET299" s="239">
        <v>-333815</v>
      </c>
      <c r="EU299" s="239">
        <v>-4449</v>
      </c>
      <c r="EV299" s="239">
        <v>-338264</v>
      </c>
      <c r="EW299" s="239">
        <v>-101695</v>
      </c>
      <c r="EX299" s="239">
        <v>0</v>
      </c>
      <c r="EY299" s="239">
        <v>-101695</v>
      </c>
      <c r="EZ299" s="239">
        <v>-480245</v>
      </c>
      <c r="FA299" s="239">
        <v>-58006</v>
      </c>
      <c r="FB299" s="239">
        <v>-538251</v>
      </c>
      <c r="FC299" s="239">
        <v>0</v>
      </c>
      <c r="FD299" s="239">
        <v>0</v>
      </c>
      <c r="FE299" s="239">
        <v>0</v>
      </c>
      <c r="FF299" s="239">
        <v>-1433</v>
      </c>
      <c r="FG299" s="239">
        <v>0</v>
      </c>
      <c r="FH299" s="239">
        <v>-1433</v>
      </c>
      <c r="FI299" s="239">
        <v>-1433</v>
      </c>
      <c r="FJ299" s="239">
        <v>0</v>
      </c>
      <c r="FK299" s="239">
        <v>-1433</v>
      </c>
      <c r="FL299" s="239">
        <v>109558267</v>
      </c>
      <c r="FM299" s="239">
        <v>826481</v>
      </c>
      <c r="FN299" s="239">
        <v>110384748</v>
      </c>
      <c r="FO299" s="239">
        <v>9736680</v>
      </c>
      <c r="FP299" s="239">
        <v>162522</v>
      </c>
      <c r="FQ299" s="239">
        <v>9899202</v>
      </c>
      <c r="FR299" s="239">
        <v>-7330754</v>
      </c>
      <c r="FS299" s="239">
        <v>12538</v>
      </c>
      <c r="FT299" s="239">
        <v>-7318216</v>
      </c>
      <c r="FU299" s="239">
        <v>-4080609</v>
      </c>
      <c r="FV299" s="239">
        <v>-147179</v>
      </c>
      <c r="FW299" s="239">
        <v>-4227788</v>
      </c>
      <c r="FX299" s="239">
        <v>-939986</v>
      </c>
      <c r="FY299" s="239">
        <v>-153248</v>
      </c>
      <c r="FZ299" s="239">
        <v>-1093234</v>
      </c>
      <c r="GA299" s="239">
        <v>-480245</v>
      </c>
      <c r="GB299" s="239">
        <v>-58006</v>
      </c>
      <c r="GC299" s="239">
        <v>-538251</v>
      </c>
      <c r="GD299" s="239">
        <v>-1433</v>
      </c>
      <c r="GE299" s="239">
        <v>0</v>
      </c>
      <c r="GF299" s="239">
        <v>-1433</v>
      </c>
      <c r="GG299" s="239">
        <v>-3096347</v>
      </c>
      <c r="GH299" s="239">
        <v>-183373</v>
      </c>
      <c r="GI299" s="239">
        <v>-3279720</v>
      </c>
      <c r="GJ299" s="239">
        <v>106461920</v>
      </c>
      <c r="GK299" s="239">
        <v>643108</v>
      </c>
      <c r="GL299" s="239">
        <v>107105028</v>
      </c>
      <c r="GM299" s="214" t="s">
        <v>746</v>
      </c>
    </row>
    <row r="300" spans="2:195" s="214" customFormat="1" x14ac:dyDescent="0.2">
      <c r="B300" s="602" t="s">
        <v>683</v>
      </c>
      <c r="C300" s="602" t="s">
        <v>682</v>
      </c>
      <c r="D300" s="239">
        <v>-2151304</v>
      </c>
      <c r="E300" s="239">
        <v>0</v>
      </c>
      <c r="F300" s="239">
        <v>-2151304</v>
      </c>
      <c r="G300" s="239">
        <v>14085</v>
      </c>
      <c r="H300" s="239">
        <v>0</v>
      </c>
      <c r="I300" s="239">
        <v>14085</v>
      </c>
      <c r="J300" s="239">
        <v>3259867</v>
      </c>
      <c r="K300" s="239">
        <v>0</v>
      </c>
      <c r="L300" s="239">
        <v>3259867</v>
      </c>
      <c r="M300" s="239">
        <v>124896</v>
      </c>
      <c r="N300" s="239">
        <v>0</v>
      </c>
      <c r="O300" s="239">
        <v>124896</v>
      </c>
      <c r="P300" s="239">
        <v>1247544</v>
      </c>
      <c r="Q300" s="239">
        <v>0</v>
      </c>
      <c r="R300" s="239">
        <v>1247544</v>
      </c>
      <c r="S300" s="239">
        <v>-4886173</v>
      </c>
      <c r="T300" s="239">
        <v>0</v>
      </c>
      <c r="U300" s="239">
        <v>-4886173</v>
      </c>
      <c r="V300" s="239">
        <v>0</v>
      </c>
      <c r="W300" s="239">
        <v>0</v>
      </c>
      <c r="X300" s="239">
        <v>0</v>
      </c>
      <c r="Y300" s="239">
        <v>-120290</v>
      </c>
      <c r="Z300" s="239">
        <v>0</v>
      </c>
      <c r="AA300" s="239">
        <v>-120290</v>
      </c>
      <c r="AB300" s="239">
        <v>-120290</v>
      </c>
      <c r="AC300" s="239">
        <v>0</v>
      </c>
      <c r="AD300" s="239">
        <v>-120290</v>
      </c>
      <c r="AE300" s="239">
        <v>0</v>
      </c>
      <c r="AF300" s="239">
        <v>0</v>
      </c>
      <c r="AG300" s="239">
        <v>0</v>
      </c>
      <c r="AH300" s="239">
        <v>1635120</v>
      </c>
      <c r="AI300" s="239">
        <v>0</v>
      </c>
      <c r="AJ300" s="239">
        <v>1635120</v>
      </c>
      <c r="AK300" s="239">
        <v>-23397</v>
      </c>
      <c r="AL300" s="239">
        <v>0</v>
      </c>
      <c r="AM300" s="239">
        <v>-23397</v>
      </c>
      <c r="AN300" s="239">
        <v>-4481460</v>
      </c>
      <c r="AO300" s="239">
        <v>0</v>
      </c>
      <c r="AP300" s="239">
        <v>-4481460</v>
      </c>
      <c r="AQ300" s="239">
        <v>-30687</v>
      </c>
      <c r="AR300" s="239">
        <v>0</v>
      </c>
      <c r="AS300" s="239">
        <v>-30687</v>
      </c>
      <c r="AT300" s="239">
        <v>-59855</v>
      </c>
      <c r="AU300" s="239">
        <v>0</v>
      </c>
      <c r="AV300" s="239">
        <v>-59855</v>
      </c>
      <c r="AW300" s="239">
        <v>-442</v>
      </c>
      <c r="AX300" s="239">
        <v>0</v>
      </c>
      <c r="AY300" s="239">
        <v>-442</v>
      </c>
      <c r="AZ300" s="239">
        <v>-7592</v>
      </c>
      <c r="BA300" s="239">
        <v>0</v>
      </c>
      <c r="BB300" s="239">
        <v>-7592</v>
      </c>
      <c r="BC300" s="239">
        <v>0</v>
      </c>
      <c r="BD300" s="239">
        <v>0</v>
      </c>
      <c r="BE300" s="239">
        <v>0</v>
      </c>
      <c r="BF300" s="239">
        <v>-7974776</v>
      </c>
      <c r="BG300" s="239">
        <v>0</v>
      </c>
      <c r="BH300" s="239">
        <v>-7974776</v>
      </c>
      <c r="BI300" s="239">
        <v>-1258</v>
      </c>
      <c r="BJ300" s="239">
        <v>0</v>
      </c>
      <c r="BK300" s="239">
        <v>-1258</v>
      </c>
      <c r="BL300" s="239">
        <v>0</v>
      </c>
      <c r="BM300" s="239">
        <v>0</v>
      </c>
      <c r="BN300" s="239">
        <v>0</v>
      </c>
      <c r="BO300" s="239">
        <v>-2363427</v>
      </c>
      <c r="BP300" s="239">
        <v>0</v>
      </c>
      <c r="BQ300" s="239">
        <v>-2363427</v>
      </c>
      <c r="BR300" s="239">
        <v>-347622</v>
      </c>
      <c r="BS300" s="239">
        <v>0</v>
      </c>
      <c r="BT300" s="239">
        <v>-347622</v>
      </c>
      <c r="BU300" s="239">
        <v>-2712307</v>
      </c>
      <c r="BV300" s="239">
        <v>0</v>
      </c>
      <c r="BW300" s="239">
        <v>-2712307</v>
      </c>
      <c r="BX300" s="239">
        <v>-7443</v>
      </c>
      <c r="BY300" s="239">
        <v>0</v>
      </c>
      <c r="BZ300" s="239">
        <v>-7443</v>
      </c>
      <c r="CA300" s="239">
        <v>122</v>
      </c>
      <c r="CB300" s="239">
        <v>0</v>
      </c>
      <c r="CC300" s="239">
        <v>122</v>
      </c>
      <c r="CD300" s="239">
        <v>-65262</v>
      </c>
      <c r="CE300" s="239">
        <v>0</v>
      </c>
      <c r="CF300" s="239">
        <v>-65262</v>
      </c>
      <c r="CG300" s="239">
        <v>0</v>
      </c>
      <c r="CH300" s="239">
        <v>0</v>
      </c>
      <c r="CI300" s="239">
        <v>0</v>
      </c>
      <c r="CJ300" s="239">
        <v>0</v>
      </c>
      <c r="CK300" s="239">
        <v>0</v>
      </c>
      <c r="CL300" s="239">
        <v>0</v>
      </c>
      <c r="CM300" s="239">
        <v>0</v>
      </c>
      <c r="CN300" s="239">
        <v>0</v>
      </c>
      <c r="CO300" s="239">
        <v>0</v>
      </c>
      <c r="CP300" s="239">
        <v>-3369</v>
      </c>
      <c r="CQ300" s="239">
        <v>0</v>
      </c>
      <c r="CR300" s="239">
        <v>-3369</v>
      </c>
      <c r="CS300" s="239">
        <v>0</v>
      </c>
      <c r="CT300" s="239">
        <v>0</v>
      </c>
      <c r="CU300" s="239">
        <v>0</v>
      </c>
      <c r="CV300" s="239">
        <v>0</v>
      </c>
      <c r="CW300" s="239">
        <v>0</v>
      </c>
      <c r="CX300" s="239">
        <v>0</v>
      </c>
      <c r="CY300" s="239">
        <v>0</v>
      </c>
      <c r="CZ300" s="239">
        <v>0</v>
      </c>
      <c r="DA300" s="239">
        <v>0</v>
      </c>
      <c r="DB300" s="239">
        <v>0</v>
      </c>
      <c r="DC300" s="239">
        <v>0</v>
      </c>
      <c r="DD300" s="239">
        <v>0</v>
      </c>
      <c r="DE300" s="239">
        <v>0</v>
      </c>
      <c r="DF300" s="239">
        <v>0</v>
      </c>
      <c r="DG300" s="239">
        <v>0</v>
      </c>
      <c r="DH300" s="239">
        <v>0</v>
      </c>
      <c r="DI300" s="239">
        <v>0</v>
      </c>
      <c r="DJ300" s="239">
        <v>-75952</v>
      </c>
      <c r="DK300" s="239">
        <v>0</v>
      </c>
      <c r="DL300" s="239">
        <v>-75952</v>
      </c>
      <c r="DM300" s="239">
        <v>0</v>
      </c>
      <c r="DN300" s="239">
        <v>0</v>
      </c>
      <c r="DO300" s="239">
        <v>0</v>
      </c>
      <c r="DP300" s="239">
        <v>0</v>
      </c>
      <c r="DQ300" s="239">
        <v>0</v>
      </c>
      <c r="DR300" s="239">
        <v>0</v>
      </c>
      <c r="DS300" s="239">
        <v>-7090</v>
      </c>
      <c r="DT300" s="239">
        <v>0</v>
      </c>
      <c r="DU300" s="239">
        <v>-7090</v>
      </c>
      <c r="DV300" s="239">
        <v>0</v>
      </c>
      <c r="DW300" s="239">
        <v>0</v>
      </c>
      <c r="DX300" s="239">
        <v>0</v>
      </c>
      <c r="DY300" s="239">
        <v>4071</v>
      </c>
      <c r="DZ300" s="239">
        <v>0</v>
      </c>
      <c r="EA300" s="239">
        <v>4071</v>
      </c>
      <c r="EB300" s="239">
        <v>0</v>
      </c>
      <c r="EC300" s="239">
        <v>0</v>
      </c>
      <c r="ED300" s="239">
        <v>0</v>
      </c>
      <c r="EE300" s="239">
        <v>0</v>
      </c>
      <c r="EF300" s="239">
        <v>0</v>
      </c>
      <c r="EG300" s="239">
        <v>0</v>
      </c>
      <c r="EH300" s="239">
        <v>1555</v>
      </c>
      <c r="EI300" s="239">
        <v>0</v>
      </c>
      <c r="EJ300" s="239">
        <v>1555</v>
      </c>
      <c r="EK300" s="239">
        <v>-7592</v>
      </c>
      <c r="EL300" s="239">
        <v>0</v>
      </c>
      <c r="EM300" s="239">
        <v>-7592</v>
      </c>
      <c r="EN300" s="239">
        <v>-1500</v>
      </c>
      <c r="EO300" s="239">
        <v>0</v>
      </c>
      <c r="EP300" s="239">
        <v>-1500</v>
      </c>
      <c r="EQ300" s="239">
        <v>-17778</v>
      </c>
      <c r="ER300" s="239">
        <v>0</v>
      </c>
      <c r="ES300" s="239">
        <v>-17778</v>
      </c>
      <c r="ET300" s="239">
        <v>-261338</v>
      </c>
      <c r="EU300" s="239">
        <v>0</v>
      </c>
      <c r="EV300" s="239">
        <v>-261338</v>
      </c>
      <c r="EW300" s="239">
        <v>-73958</v>
      </c>
      <c r="EX300" s="239">
        <v>0</v>
      </c>
      <c r="EY300" s="239">
        <v>-73958</v>
      </c>
      <c r="EZ300" s="239">
        <v>-363630</v>
      </c>
      <c r="FA300" s="239">
        <v>0</v>
      </c>
      <c r="FB300" s="239">
        <v>-363630</v>
      </c>
      <c r="FC300" s="239">
        <v>0</v>
      </c>
      <c r="FD300" s="239">
        <v>0</v>
      </c>
      <c r="FE300" s="239">
        <v>0</v>
      </c>
      <c r="FF300" s="239">
        <v>0</v>
      </c>
      <c r="FG300" s="239">
        <v>0</v>
      </c>
      <c r="FH300" s="239">
        <v>0</v>
      </c>
      <c r="FI300" s="239">
        <v>0</v>
      </c>
      <c r="FJ300" s="239">
        <v>0</v>
      </c>
      <c r="FK300" s="239">
        <v>0</v>
      </c>
      <c r="FL300" s="239">
        <v>78772264</v>
      </c>
      <c r="FM300" s="239">
        <v>0</v>
      </c>
      <c r="FN300" s="239">
        <v>78772264</v>
      </c>
      <c r="FO300" s="239">
        <v>1247544</v>
      </c>
      <c r="FP300" s="239">
        <v>0</v>
      </c>
      <c r="FQ300" s="239">
        <v>1247544</v>
      </c>
      <c r="FR300" s="239">
        <v>-7974776</v>
      </c>
      <c r="FS300" s="239">
        <v>0</v>
      </c>
      <c r="FT300" s="239">
        <v>-7974776</v>
      </c>
      <c r="FU300" s="239">
        <v>-2712307</v>
      </c>
      <c r="FV300" s="239">
        <v>0</v>
      </c>
      <c r="FW300" s="239">
        <v>-2712307</v>
      </c>
      <c r="FX300" s="239">
        <v>-75952</v>
      </c>
      <c r="FY300" s="239">
        <v>0</v>
      </c>
      <c r="FZ300" s="239">
        <v>-75952</v>
      </c>
      <c r="GA300" s="239">
        <v>-363630</v>
      </c>
      <c r="GB300" s="239">
        <v>0</v>
      </c>
      <c r="GC300" s="239">
        <v>-363630</v>
      </c>
      <c r="GD300" s="239">
        <v>0</v>
      </c>
      <c r="GE300" s="239">
        <v>0</v>
      </c>
      <c r="GF300" s="239">
        <v>0</v>
      </c>
      <c r="GG300" s="239">
        <v>-9879121</v>
      </c>
      <c r="GH300" s="239">
        <v>0</v>
      </c>
      <c r="GI300" s="239">
        <v>-9879121</v>
      </c>
      <c r="GJ300" s="239">
        <v>68893143</v>
      </c>
      <c r="GK300" s="239">
        <v>0</v>
      </c>
      <c r="GL300" s="239">
        <v>68893143</v>
      </c>
      <c r="GM300" s="214" t="s">
        <v>1158</v>
      </c>
    </row>
    <row r="301" spans="2:195" s="214" customFormat="1" x14ac:dyDescent="0.2">
      <c r="B301" s="602" t="s">
        <v>685</v>
      </c>
      <c r="C301" s="602" t="s">
        <v>684</v>
      </c>
      <c r="D301" s="239">
        <v>-1831869</v>
      </c>
      <c r="E301" s="239">
        <v>0</v>
      </c>
      <c r="F301" s="239">
        <v>-1831869</v>
      </c>
      <c r="G301" s="239">
        <v>675</v>
      </c>
      <c r="H301" s="239">
        <v>0</v>
      </c>
      <c r="I301" s="239">
        <v>675</v>
      </c>
      <c r="J301" s="239">
        <v>6657212</v>
      </c>
      <c r="K301" s="239">
        <v>0</v>
      </c>
      <c r="L301" s="239">
        <v>6657212</v>
      </c>
      <c r="M301" s="239">
        <v>0</v>
      </c>
      <c r="N301" s="239">
        <v>0</v>
      </c>
      <c r="O301" s="239">
        <v>0</v>
      </c>
      <c r="P301" s="239">
        <v>4826018</v>
      </c>
      <c r="Q301" s="239">
        <v>0</v>
      </c>
      <c r="R301" s="239">
        <v>4826018</v>
      </c>
      <c r="S301" s="239">
        <v>-2466810</v>
      </c>
      <c r="T301" s="239">
        <v>0</v>
      </c>
      <c r="U301" s="239">
        <v>-2466810</v>
      </c>
      <c r="V301" s="239">
        <v>-10856</v>
      </c>
      <c r="W301" s="239">
        <v>0</v>
      </c>
      <c r="X301" s="239">
        <v>-10856</v>
      </c>
      <c r="Y301" s="239">
        <v>-114807</v>
      </c>
      <c r="Z301" s="239">
        <v>0</v>
      </c>
      <c r="AA301" s="239">
        <v>-114807</v>
      </c>
      <c r="AB301" s="239">
        <v>-100859</v>
      </c>
      <c r="AC301" s="239">
        <v>0</v>
      </c>
      <c r="AD301" s="239">
        <v>-100859</v>
      </c>
      <c r="AE301" s="239">
        <v>859</v>
      </c>
      <c r="AF301" s="239">
        <v>0</v>
      </c>
      <c r="AG301" s="239">
        <v>859</v>
      </c>
      <c r="AH301" s="239">
        <v>1523727</v>
      </c>
      <c r="AI301" s="239">
        <v>0</v>
      </c>
      <c r="AJ301" s="239">
        <v>1523727</v>
      </c>
      <c r="AK301" s="239">
        <v>-44205</v>
      </c>
      <c r="AL301" s="239">
        <v>0</v>
      </c>
      <c r="AM301" s="239">
        <v>-44205</v>
      </c>
      <c r="AN301" s="239">
        <v>-3458708</v>
      </c>
      <c r="AO301" s="239">
        <v>0</v>
      </c>
      <c r="AP301" s="239">
        <v>-3458708</v>
      </c>
      <c r="AQ301" s="239">
        <v>-225937</v>
      </c>
      <c r="AR301" s="239">
        <v>0</v>
      </c>
      <c r="AS301" s="239">
        <v>-225937</v>
      </c>
      <c r="AT301" s="239">
        <v>0</v>
      </c>
      <c r="AU301" s="239">
        <v>0</v>
      </c>
      <c r="AV301" s="239">
        <v>0</v>
      </c>
      <c r="AW301" s="239">
        <v>0</v>
      </c>
      <c r="AX301" s="239">
        <v>0</v>
      </c>
      <c r="AY301" s="239">
        <v>0</v>
      </c>
      <c r="AZ301" s="239">
        <v>0</v>
      </c>
      <c r="BA301" s="239">
        <v>0</v>
      </c>
      <c r="BB301" s="239">
        <v>0</v>
      </c>
      <c r="BC301" s="239">
        <v>0</v>
      </c>
      <c r="BD301" s="239">
        <v>0</v>
      </c>
      <c r="BE301" s="239">
        <v>0</v>
      </c>
      <c r="BF301" s="239">
        <v>-4786740</v>
      </c>
      <c r="BG301" s="239">
        <v>0</v>
      </c>
      <c r="BH301" s="239">
        <v>-4786740</v>
      </c>
      <c r="BI301" s="239">
        <v>-7149</v>
      </c>
      <c r="BJ301" s="239">
        <v>0</v>
      </c>
      <c r="BK301" s="239">
        <v>-7149</v>
      </c>
      <c r="BL301" s="239">
        <v>-102152</v>
      </c>
      <c r="BM301" s="239">
        <v>0</v>
      </c>
      <c r="BN301" s="239">
        <v>-102152</v>
      </c>
      <c r="BO301" s="239">
        <v>-1918029</v>
      </c>
      <c r="BP301" s="239">
        <v>0</v>
      </c>
      <c r="BQ301" s="239">
        <v>-1918029</v>
      </c>
      <c r="BR301" s="239">
        <v>450797</v>
      </c>
      <c r="BS301" s="239">
        <v>0</v>
      </c>
      <c r="BT301" s="239">
        <v>450797</v>
      </c>
      <c r="BU301" s="239">
        <v>-1576533</v>
      </c>
      <c r="BV301" s="239">
        <v>0</v>
      </c>
      <c r="BW301" s="239">
        <v>-1576533</v>
      </c>
      <c r="BX301" s="239">
        <v>-164635</v>
      </c>
      <c r="BY301" s="239">
        <v>0</v>
      </c>
      <c r="BZ301" s="239">
        <v>-164635</v>
      </c>
      <c r="CA301" s="239">
        <v>-8795</v>
      </c>
      <c r="CB301" s="239">
        <v>0</v>
      </c>
      <c r="CC301" s="239">
        <v>-8795</v>
      </c>
      <c r="CD301" s="239">
        <v>0</v>
      </c>
      <c r="CE301" s="239">
        <v>0</v>
      </c>
      <c r="CF301" s="239">
        <v>0</v>
      </c>
      <c r="CG301" s="239">
        <v>-6361</v>
      </c>
      <c r="CH301" s="239">
        <v>0</v>
      </c>
      <c r="CI301" s="239">
        <v>-6361</v>
      </c>
      <c r="CJ301" s="239">
        <v>0</v>
      </c>
      <c r="CK301" s="239">
        <v>0</v>
      </c>
      <c r="CL301" s="239">
        <v>0</v>
      </c>
      <c r="CM301" s="239">
        <v>0</v>
      </c>
      <c r="CN301" s="239">
        <v>0</v>
      </c>
      <c r="CO301" s="239">
        <v>0</v>
      </c>
      <c r="CP301" s="239">
        <v>0</v>
      </c>
      <c r="CQ301" s="239">
        <v>0</v>
      </c>
      <c r="CR301" s="239">
        <v>0</v>
      </c>
      <c r="CS301" s="239">
        <v>0</v>
      </c>
      <c r="CT301" s="239">
        <v>0</v>
      </c>
      <c r="CU301" s="239">
        <v>0</v>
      </c>
      <c r="CV301" s="239">
        <v>0</v>
      </c>
      <c r="CW301" s="239">
        <v>0</v>
      </c>
      <c r="CX301" s="239">
        <v>0</v>
      </c>
      <c r="CY301" s="239">
        <v>0</v>
      </c>
      <c r="CZ301" s="239">
        <v>0</v>
      </c>
      <c r="DA301" s="239">
        <v>0</v>
      </c>
      <c r="DB301" s="239">
        <v>0</v>
      </c>
      <c r="DC301" s="239">
        <v>0</v>
      </c>
      <c r="DD301" s="239">
        <v>0</v>
      </c>
      <c r="DE301" s="239">
        <v>0</v>
      </c>
      <c r="DF301" s="239">
        <v>0</v>
      </c>
      <c r="DG301" s="239">
        <v>0</v>
      </c>
      <c r="DH301" s="239">
        <v>0</v>
      </c>
      <c r="DI301" s="239">
        <v>0</v>
      </c>
      <c r="DJ301" s="239">
        <v>-179791</v>
      </c>
      <c r="DK301" s="239">
        <v>0</v>
      </c>
      <c r="DL301" s="239">
        <v>-179791</v>
      </c>
      <c r="DM301" s="239">
        <v>0</v>
      </c>
      <c r="DN301" s="239">
        <v>0</v>
      </c>
      <c r="DO301" s="239">
        <v>0</v>
      </c>
      <c r="DP301" s="239">
        <v>0</v>
      </c>
      <c r="DQ301" s="239">
        <v>0</v>
      </c>
      <c r="DR301" s="239">
        <v>0</v>
      </c>
      <c r="DS301" s="239">
        <v>-11265</v>
      </c>
      <c r="DT301" s="239">
        <v>0</v>
      </c>
      <c r="DU301" s="239">
        <v>-11265</v>
      </c>
      <c r="DV301" s="239">
        <v>-101860</v>
      </c>
      <c r="DW301" s="239">
        <v>0</v>
      </c>
      <c r="DX301" s="239">
        <v>-101860</v>
      </c>
      <c r="DY301" s="239">
        <v>2889</v>
      </c>
      <c r="DZ301" s="239">
        <v>0</v>
      </c>
      <c r="EA301" s="239">
        <v>2889</v>
      </c>
      <c r="EB301" s="239">
        <v>0</v>
      </c>
      <c r="EC301" s="239">
        <v>0</v>
      </c>
      <c r="ED301" s="239">
        <v>0</v>
      </c>
      <c r="EE301" s="239">
        <v>0</v>
      </c>
      <c r="EF301" s="239">
        <v>0</v>
      </c>
      <c r="EG301" s="239">
        <v>0</v>
      </c>
      <c r="EH301" s="239">
        <v>0</v>
      </c>
      <c r="EI301" s="239">
        <v>0</v>
      </c>
      <c r="EJ301" s="239">
        <v>0</v>
      </c>
      <c r="EK301" s="239">
        <v>0</v>
      </c>
      <c r="EL301" s="239">
        <v>0</v>
      </c>
      <c r="EM301" s="239">
        <v>0</v>
      </c>
      <c r="EN301" s="239">
        <v>-1500</v>
      </c>
      <c r="EO301" s="239">
        <v>0</v>
      </c>
      <c r="EP301" s="239">
        <v>-1500</v>
      </c>
      <c r="EQ301" s="239">
        <v>-20566</v>
      </c>
      <c r="ER301" s="239">
        <v>0</v>
      </c>
      <c r="ES301" s="239">
        <v>-20566</v>
      </c>
      <c r="ET301" s="239">
        <v>-217000</v>
      </c>
      <c r="EU301" s="239">
        <v>0</v>
      </c>
      <c r="EV301" s="239">
        <v>-217000</v>
      </c>
      <c r="EW301" s="239">
        <v>-30564</v>
      </c>
      <c r="EX301" s="239">
        <v>0</v>
      </c>
      <c r="EY301" s="239">
        <v>-30564</v>
      </c>
      <c r="EZ301" s="239">
        <v>-379866</v>
      </c>
      <c r="FA301" s="239">
        <v>0</v>
      </c>
      <c r="FB301" s="239">
        <v>-379866</v>
      </c>
      <c r="FC301" s="239">
        <v>0</v>
      </c>
      <c r="FD301" s="239">
        <v>0</v>
      </c>
      <c r="FE301" s="239">
        <v>0</v>
      </c>
      <c r="FF301" s="239">
        <v>0</v>
      </c>
      <c r="FG301" s="239">
        <v>0</v>
      </c>
      <c r="FH301" s="239">
        <v>0</v>
      </c>
      <c r="FI301" s="239">
        <v>0</v>
      </c>
      <c r="FJ301" s="239">
        <v>0</v>
      </c>
      <c r="FK301" s="239">
        <v>0</v>
      </c>
      <c r="FL301" s="239">
        <v>66812752</v>
      </c>
      <c r="FM301" s="239">
        <v>0</v>
      </c>
      <c r="FN301" s="239">
        <v>66812752</v>
      </c>
      <c r="FO301" s="239">
        <v>4826018</v>
      </c>
      <c r="FP301" s="239">
        <v>0</v>
      </c>
      <c r="FQ301" s="239">
        <v>4826018</v>
      </c>
      <c r="FR301" s="239">
        <v>-4786740</v>
      </c>
      <c r="FS301" s="239">
        <v>0</v>
      </c>
      <c r="FT301" s="239">
        <v>-4786740</v>
      </c>
      <c r="FU301" s="239">
        <v>-1576533</v>
      </c>
      <c r="FV301" s="239">
        <v>0</v>
      </c>
      <c r="FW301" s="239">
        <v>-1576533</v>
      </c>
      <c r="FX301" s="239">
        <v>-179791</v>
      </c>
      <c r="FY301" s="239">
        <v>0</v>
      </c>
      <c r="FZ301" s="239">
        <v>-179791</v>
      </c>
      <c r="GA301" s="239">
        <v>-379866</v>
      </c>
      <c r="GB301" s="239">
        <v>0</v>
      </c>
      <c r="GC301" s="239">
        <v>-379866</v>
      </c>
      <c r="GD301" s="239">
        <v>0</v>
      </c>
      <c r="GE301" s="239">
        <v>0</v>
      </c>
      <c r="GF301" s="239">
        <v>0</v>
      </c>
      <c r="GG301" s="239">
        <v>-2096912</v>
      </c>
      <c r="GH301" s="239">
        <v>0</v>
      </c>
      <c r="GI301" s="239">
        <v>-2096912</v>
      </c>
      <c r="GJ301" s="239">
        <v>64715840</v>
      </c>
      <c r="GK301" s="239">
        <v>0</v>
      </c>
      <c r="GL301" s="239">
        <v>64715840</v>
      </c>
      <c r="GM301" s="214" t="s">
        <v>1158</v>
      </c>
    </row>
    <row r="302" spans="2:195" s="214" customFormat="1" x14ac:dyDescent="0.2">
      <c r="B302" s="602" t="s">
        <v>687</v>
      </c>
      <c r="C302" s="602" t="s">
        <v>686</v>
      </c>
      <c r="D302" s="239">
        <v>-2486330</v>
      </c>
      <c r="E302" s="239">
        <v>-15626</v>
      </c>
      <c r="F302" s="239">
        <v>-2501956</v>
      </c>
      <c r="G302" s="239">
        <v>80492</v>
      </c>
      <c r="H302" s="239">
        <v>0</v>
      </c>
      <c r="I302" s="239">
        <v>80492</v>
      </c>
      <c r="J302" s="239">
        <v>1833639</v>
      </c>
      <c r="K302" s="239">
        <v>24443</v>
      </c>
      <c r="L302" s="239">
        <v>1858082</v>
      </c>
      <c r="M302" s="239">
        <v>27314</v>
      </c>
      <c r="N302" s="239">
        <v>0</v>
      </c>
      <c r="O302" s="239">
        <v>27314</v>
      </c>
      <c r="P302" s="239">
        <v>-544885</v>
      </c>
      <c r="Q302" s="239">
        <v>8817</v>
      </c>
      <c r="R302" s="239">
        <v>-536068</v>
      </c>
      <c r="S302" s="239">
        <v>-4302769</v>
      </c>
      <c r="T302" s="239">
        <v>-8260</v>
      </c>
      <c r="U302" s="239">
        <v>-4311029</v>
      </c>
      <c r="V302" s="239">
        <v>0</v>
      </c>
      <c r="W302" s="239">
        <v>0</v>
      </c>
      <c r="X302" s="239">
        <v>0</v>
      </c>
      <c r="Y302" s="239">
        <v>-198924</v>
      </c>
      <c r="Z302" s="239">
        <v>0</v>
      </c>
      <c r="AA302" s="239">
        <v>-198924</v>
      </c>
      <c r="AB302" s="239">
        <v>-198924</v>
      </c>
      <c r="AC302" s="239">
        <v>0</v>
      </c>
      <c r="AD302" s="239">
        <v>-198924</v>
      </c>
      <c r="AE302" s="239">
        <v>0</v>
      </c>
      <c r="AF302" s="239">
        <v>0</v>
      </c>
      <c r="AG302" s="239">
        <v>0</v>
      </c>
      <c r="AH302" s="239">
        <v>611786</v>
      </c>
      <c r="AI302" s="239">
        <v>8795</v>
      </c>
      <c r="AJ302" s="239">
        <v>620581</v>
      </c>
      <c r="AK302" s="239">
        <v>-41058</v>
      </c>
      <c r="AL302" s="239">
        <v>-22</v>
      </c>
      <c r="AM302" s="239">
        <v>-41080</v>
      </c>
      <c r="AN302" s="239">
        <v>-2879633</v>
      </c>
      <c r="AO302" s="239">
        <v>0</v>
      </c>
      <c r="AP302" s="239">
        <v>-2879633</v>
      </c>
      <c r="AQ302" s="239">
        <v>-509251</v>
      </c>
      <c r="AR302" s="239">
        <v>0</v>
      </c>
      <c r="AS302" s="239">
        <v>-509251</v>
      </c>
      <c r="AT302" s="239">
        <v>-36742</v>
      </c>
      <c r="AU302" s="239">
        <v>0</v>
      </c>
      <c r="AV302" s="239">
        <v>-36742</v>
      </c>
      <c r="AW302" s="239">
        <v>0</v>
      </c>
      <c r="AX302" s="239">
        <v>0</v>
      </c>
      <c r="AY302" s="239">
        <v>0</v>
      </c>
      <c r="AZ302" s="239">
        <v>-12011</v>
      </c>
      <c r="BA302" s="239">
        <v>0</v>
      </c>
      <c r="BB302" s="239">
        <v>-12011</v>
      </c>
      <c r="BC302" s="239">
        <v>239</v>
      </c>
      <c r="BD302" s="239">
        <v>0</v>
      </c>
      <c r="BE302" s="239">
        <v>239</v>
      </c>
      <c r="BF302" s="239">
        <v>-7368363</v>
      </c>
      <c r="BG302" s="239">
        <v>513</v>
      </c>
      <c r="BH302" s="239">
        <v>-7367850</v>
      </c>
      <c r="BI302" s="239">
        <v>-5882</v>
      </c>
      <c r="BJ302" s="239">
        <v>0</v>
      </c>
      <c r="BK302" s="239">
        <v>-5882</v>
      </c>
      <c r="BL302" s="239">
        <v>2028</v>
      </c>
      <c r="BM302" s="239">
        <v>0</v>
      </c>
      <c r="BN302" s="239">
        <v>2028</v>
      </c>
      <c r="BO302" s="239">
        <v>-657358</v>
      </c>
      <c r="BP302" s="239">
        <v>0</v>
      </c>
      <c r="BQ302" s="239">
        <v>-657358</v>
      </c>
      <c r="BR302" s="239">
        <v>-47716</v>
      </c>
      <c r="BS302" s="239">
        <v>0</v>
      </c>
      <c r="BT302" s="239">
        <v>-47716</v>
      </c>
      <c r="BU302" s="239">
        <v>-708928</v>
      </c>
      <c r="BV302" s="239">
        <v>0</v>
      </c>
      <c r="BW302" s="239">
        <v>-708928</v>
      </c>
      <c r="BX302" s="239">
        <v>-79886</v>
      </c>
      <c r="BY302" s="239">
        <v>0</v>
      </c>
      <c r="BZ302" s="239">
        <v>-79886</v>
      </c>
      <c r="CA302" s="239">
        <v>-1825</v>
      </c>
      <c r="CB302" s="239">
        <v>0</v>
      </c>
      <c r="CC302" s="239">
        <v>-1825</v>
      </c>
      <c r="CD302" s="239">
        <v>-5000</v>
      </c>
      <c r="CE302" s="239">
        <v>0</v>
      </c>
      <c r="CF302" s="239">
        <v>-5000</v>
      </c>
      <c r="CG302" s="239">
        <v>0</v>
      </c>
      <c r="CH302" s="239">
        <v>0</v>
      </c>
      <c r="CI302" s="239">
        <v>0</v>
      </c>
      <c r="CJ302" s="239">
        <v>-206</v>
      </c>
      <c r="CK302" s="239">
        <v>0</v>
      </c>
      <c r="CL302" s="239">
        <v>-206</v>
      </c>
      <c r="CM302" s="239">
        <v>0</v>
      </c>
      <c r="CN302" s="239">
        <v>0</v>
      </c>
      <c r="CO302" s="239">
        <v>0</v>
      </c>
      <c r="CP302" s="239">
        <v>-175</v>
      </c>
      <c r="CQ302" s="239">
        <v>0</v>
      </c>
      <c r="CR302" s="239">
        <v>-175</v>
      </c>
      <c r="CS302" s="239">
        <v>0</v>
      </c>
      <c r="CT302" s="239">
        <v>0</v>
      </c>
      <c r="CU302" s="239">
        <v>0</v>
      </c>
      <c r="CV302" s="239">
        <v>0</v>
      </c>
      <c r="CW302" s="239">
        <v>0</v>
      </c>
      <c r="CX302" s="239">
        <v>0</v>
      </c>
      <c r="CY302" s="239">
        <v>0</v>
      </c>
      <c r="CZ302" s="239">
        <v>0</v>
      </c>
      <c r="DA302" s="239">
        <v>0</v>
      </c>
      <c r="DB302" s="239">
        <v>-33537</v>
      </c>
      <c r="DC302" s="239">
        <v>-165644</v>
      </c>
      <c r="DD302" s="239">
        <v>-199181</v>
      </c>
      <c r="DE302" s="239">
        <v>-732</v>
      </c>
      <c r="DF302" s="239">
        <v>-198</v>
      </c>
      <c r="DG302" s="239">
        <v>-930</v>
      </c>
      <c r="DH302" s="239">
        <v>-165842</v>
      </c>
      <c r="DI302" s="239">
        <v>0</v>
      </c>
      <c r="DJ302" s="239">
        <v>-121361</v>
      </c>
      <c r="DK302" s="239">
        <v>-165842</v>
      </c>
      <c r="DL302" s="239">
        <v>-287203</v>
      </c>
      <c r="DM302" s="239">
        <v>0</v>
      </c>
      <c r="DN302" s="239">
        <v>0</v>
      </c>
      <c r="DO302" s="239">
        <v>0</v>
      </c>
      <c r="DP302" s="239">
        <v>0</v>
      </c>
      <c r="DQ302" s="239">
        <v>0</v>
      </c>
      <c r="DR302" s="239">
        <v>0</v>
      </c>
      <c r="DS302" s="239">
        <v>-1105</v>
      </c>
      <c r="DT302" s="239">
        <v>0</v>
      </c>
      <c r="DU302" s="239">
        <v>-1105</v>
      </c>
      <c r="DV302" s="239">
        <v>670</v>
      </c>
      <c r="DW302" s="239">
        <v>0</v>
      </c>
      <c r="DX302" s="239">
        <v>670</v>
      </c>
      <c r="DY302" s="239">
        <v>10303</v>
      </c>
      <c r="DZ302" s="239">
        <v>0</v>
      </c>
      <c r="EA302" s="239">
        <v>10303</v>
      </c>
      <c r="EB302" s="239">
        <v>0</v>
      </c>
      <c r="EC302" s="239">
        <v>0</v>
      </c>
      <c r="ED302" s="239">
        <v>0</v>
      </c>
      <c r="EE302" s="239">
        <v>0</v>
      </c>
      <c r="EF302" s="239">
        <v>0</v>
      </c>
      <c r="EG302" s="239">
        <v>0</v>
      </c>
      <c r="EH302" s="239">
        <v>77</v>
      </c>
      <c r="EI302" s="239">
        <v>0</v>
      </c>
      <c r="EJ302" s="239">
        <v>77</v>
      </c>
      <c r="EK302" s="239">
        <v>-13163</v>
      </c>
      <c r="EL302" s="239">
        <v>0</v>
      </c>
      <c r="EM302" s="239">
        <v>-13163</v>
      </c>
      <c r="EN302" s="239">
        <v>-3000</v>
      </c>
      <c r="EO302" s="239">
        <v>0</v>
      </c>
      <c r="EP302" s="239">
        <v>-3000</v>
      </c>
      <c r="EQ302" s="239">
        <v>-81901</v>
      </c>
      <c r="ER302" s="239">
        <v>0</v>
      </c>
      <c r="ES302" s="239">
        <v>-81901</v>
      </c>
      <c r="ET302" s="239">
        <v>-204318</v>
      </c>
      <c r="EU302" s="239">
        <v>0</v>
      </c>
      <c r="EV302" s="239">
        <v>-204318</v>
      </c>
      <c r="EW302" s="239">
        <v>-41109</v>
      </c>
      <c r="EX302" s="239">
        <v>0</v>
      </c>
      <c r="EY302" s="239">
        <v>-41109</v>
      </c>
      <c r="EZ302" s="239">
        <v>-333546</v>
      </c>
      <c r="FA302" s="239">
        <v>0</v>
      </c>
      <c r="FB302" s="239">
        <v>-333546</v>
      </c>
      <c r="FC302" s="239">
        <v>0</v>
      </c>
      <c r="FD302" s="239">
        <v>0</v>
      </c>
      <c r="FE302" s="239">
        <v>0</v>
      </c>
      <c r="FF302" s="239">
        <v>0</v>
      </c>
      <c r="FG302" s="239">
        <v>0</v>
      </c>
      <c r="FH302" s="239">
        <v>0</v>
      </c>
      <c r="FI302" s="239">
        <v>0</v>
      </c>
      <c r="FJ302" s="239">
        <v>0</v>
      </c>
      <c r="FK302" s="239">
        <v>0</v>
      </c>
      <c r="FL302" s="239">
        <v>34009937</v>
      </c>
      <c r="FM302" s="239">
        <v>428764</v>
      </c>
      <c r="FN302" s="239">
        <v>34438701</v>
      </c>
      <c r="FO302" s="239">
        <v>-544885</v>
      </c>
      <c r="FP302" s="239">
        <v>8817</v>
      </c>
      <c r="FQ302" s="239">
        <v>-536068</v>
      </c>
      <c r="FR302" s="239">
        <v>-7368363</v>
      </c>
      <c r="FS302" s="239">
        <v>513</v>
      </c>
      <c r="FT302" s="239">
        <v>-7367850</v>
      </c>
      <c r="FU302" s="239">
        <v>-708928</v>
      </c>
      <c r="FV302" s="239">
        <v>0</v>
      </c>
      <c r="FW302" s="239">
        <v>-708928</v>
      </c>
      <c r="FX302" s="239">
        <v>-121361</v>
      </c>
      <c r="FY302" s="239">
        <v>-165842</v>
      </c>
      <c r="FZ302" s="239">
        <v>-287203</v>
      </c>
      <c r="GA302" s="239">
        <v>-333546</v>
      </c>
      <c r="GB302" s="239">
        <v>0</v>
      </c>
      <c r="GC302" s="239">
        <v>-333546</v>
      </c>
      <c r="GD302" s="239">
        <v>0</v>
      </c>
      <c r="GE302" s="239">
        <v>0</v>
      </c>
      <c r="GF302" s="239">
        <v>0</v>
      </c>
      <c r="GG302" s="239">
        <v>-9077083</v>
      </c>
      <c r="GH302" s="239">
        <v>-156512</v>
      </c>
      <c r="GI302" s="239">
        <v>-9233595</v>
      </c>
      <c r="GJ302" s="239">
        <v>24932854</v>
      </c>
      <c r="GK302" s="239">
        <v>272252</v>
      </c>
      <c r="GL302" s="239">
        <v>25205106</v>
      </c>
      <c r="GM302" s="214" t="s">
        <v>1158</v>
      </c>
    </row>
    <row r="303" spans="2:195" s="214" customFormat="1" x14ac:dyDescent="0.2">
      <c r="B303" s="602" t="s">
        <v>689</v>
      </c>
      <c r="C303" s="602" t="s">
        <v>688</v>
      </c>
      <c r="D303" s="239">
        <v>-2471056</v>
      </c>
      <c r="E303" s="239">
        <v>0</v>
      </c>
      <c r="F303" s="239">
        <v>-2471056</v>
      </c>
      <c r="G303" s="239">
        <v>-8602</v>
      </c>
      <c r="H303" s="239">
        <v>0</v>
      </c>
      <c r="I303" s="239">
        <v>-8602</v>
      </c>
      <c r="J303" s="239">
        <v>634348</v>
      </c>
      <c r="K303" s="239">
        <v>0</v>
      </c>
      <c r="L303" s="239">
        <v>634348</v>
      </c>
      <c r="M303" s="239">
        <v>-1779</v>
      </c>
      <c r="N303" s="239">
        <v>0</v>
      </c>
      <c r="O303" s="239">
        <v>-1779</v>
      </c>
      <c r="P303" s="239">
        <v>-1847089</v>
      </c>
      <c r="Q303" s="239">
        <v>0</v>
      </c>
      <c r="R303" s="239">
        <v>-1847089</v>
      </c>
      <c r="S303" s="239">
        <v>-3606304</v>
      </c>
      <c r="T303" s="239">
        <v>0</v>
      </c>
      <c r="U303" s="239">
        <v>-3606304</v>
      </c>
      <c r="V303" s="239">
        <v>0</v>
      </c>
      <c r="W303" s="239">
        <v>0</v>
      </c>
      <c r="X303" s="239">
        <v>0</v>
      </c>
      <c r="Y303" s="239">
        <v>-44454</v>
      </c>
      <c r="Z303" s="239">
        <v>0</v>
      </c>
      <c r="AA303" s="239">
        <v>-44454</v>
      </c>
      <c r="AB303" s="239">
        <v>-41335</v>
      </c>
      <c r="AC303" s="239">
        <v>0</v>
      </c>
      <c r="AD303" s="239">
        <v>-41335</v>
      </c>
      <c r="AE303" s="239">
        <v>-72</v>
      </c>
      <c r="AF303" s="239">
        <v>0</v>
      </c>
      <c r="AG303" s="239">
        <v>-72</v>
      </c>
      <c r="AH303" s="239">
        <v>921838</v>
      </c>
      <c r="AI303" s="239">
        <v>0</v>
      </c>
      <c r="AJ303" s="239">
        <v>921838</v>
      </c>
      <c r="AK303" s="239">
        <v>-20189</v>
      </c>
      <c r="AL303" s="239">
        <v>0</v>
      </c>
      <c r="AM303" s="239">
        <v>-20189</v>
      </c>
      <c r="AN303" s="239">
        <v>-5971772</v>
      </c>
      <c r="AO303" s="239">
        <v>0</v>
      </c>
      <c r="AP303" s="239">
        <v>-5971772</v>
      </c>
      <c r="AQ303" s="239">
        <v>-94</v>
      </c>
      <c r="AR303" s="239">
        <v>0</v>
      </c>
      <c r="AS303" s="239">
        <v>-94</v>
      </c>
      <c r="AT303" s="239">
        <v>-38940</v>
      </c>
      <c r="AU303" s="239">
        <v>0</v>
      </c>
      <c r="AV303" s="239">
        <v>-38940</v>
      </c>
      <c r="AW303" s="239">
        <v>0</v>
      </c>
      <c r="AX303" s="239">
        <v>0</v>
      </c>
      <c r="AY303" s="239">
        <v>0</v>
      </c>
      <c r="AZ303" s="239">
        <v>-5590</v>
      </c>
      <c r="BA303" s="239">
        <v>0</v>
      </c>
      <c r="BB303" s="239">
        <v>-5590</v>
      </c>
      <c r="BC303" s="239">
        <v>0</v>
      </c>
      <c r="BD303" s="239">
        <v>0</v>
      </c>
      <c r="BE303" s="239">
        <v>0</v>
      </c>
      <c r="BF303" s="239">
        <v>-8765505</v>
      </c>
      <c r="BG303" s="239">
        <v>0</v>
      </c>
      <c r="BH303" s="239">
        <v>-8765505</v>
      </c>
      <c r="BI303" s="239">
        <v>-3150</v>
      </c>
      <c r="BJ303" s="239">
        <v>0</v>
      </c>
      <c r="BK303" s="239">
        <v>-3150</v>
      </c>
      <c r="BL303" s="239">
        <v>0</v>
      </c>
      <c r="BM303" s="239">
        <v>0</v>
      </c>
      <c r="BN303" s="239">
        <v>0</v>
      </c>
      <c r="BO303" s="239">
        <v>-1445149</v>
      </c>
      <c r="BP303" s="239">
        <v>0</v>
      </c>
      <c r="BQ303" s="239">
        <v>-1445149</v>
      </c>
      <c r="BR303" s="239">
        <v>-26862</v>
      </c>
      <c r="BS303" s="239">
        <v>0</v>
      </c>
      <c r="BT303" s="239">
        <v>-26862</v>
      </c>
      <c r="BU303" s="239">
        <v>-1475161</v>
      </c>
      <c r="BV303" s="239">
        <v>0</v>
      </c>
      <c r="BW303" s="239">
        <v>-1475161</v>
      </c>
      <c r="BX303" s="239">
        <v>-81407</v>
      </c>
      <c r="BY303" s="239">
        <v>0</v>
      </c>
      <c r="BZ303" s="239">
        <v>-81407</v>
      </c>
      <c r="CA303" s="239">
        <v>-1118</v>
      </c>
      <c r="CB303" s="239">
        <v>0</v>
      </c>
      <c r="CC303" s="239">
        <v>-1118</v>
      </c>
      <c r="CD303" s="239">
        <v>-503986</v>
      </c>
      <c r="CE303" s="239">
        <v>0</v>
      </c>
      <c r="CF303" s="239">
        <v>-503986</v>
      </c>
      <c r="CG303" s="239">
        <v>-17820</v>
      </c>
      <c r="CH303" s="239">
        <v>0</v>
      </c>
      <c r="CI303" s="239">
        <v>-17820</v>
      </c>
      <c r="CJ303" s="239">
        <v>0</v>
      </c>
      <c r="CK303" s="239">
        <v>0</v>
      </c>
      <c r="CL303" s="239">
        <v>0</v>
      </c>
      <c r="CM303" s="239">
        <v>0</v>
      </c>
      <c r="CN303" s="239">
        <v>0</v>
      </c>
      <c r="CO303" s="239">
        <v>0</v>
      </c>
      <c r="CP303" s="239">
        <v>0</v>
      </c>
      <c r="CQ303" s="239">
        <v>0</v>
      </c>
      <c r="CR303" s="239">
        <v>0</v>
      </c>
      <c r="CS303" s="239">
        <v>0</v>
      </c>
      <c r="CT303" s="239">
        <v>0</v>
      </c>
      <c r="CU303" s="239">
        <v>0</v>
      </c>
      <c r="CV303" s="239">
        <v>-7027</v>
      </c>
      <c r="CW303" s="239">
        <v>0</v>
      </c>
      <c r="CX303" s="239">
        <v>-7027</v>
      </c>
      <c r="CY303" s="239">
        <v>0</v>
      </c>
      <c r="CZ303" s="239">
        <v>0</v>
      </c>
      <c r="DA303" s="239">
        <v>0</v>
      </c>
      <c r="DB303" s="239">
        <v>0</v>
      </c>
      <c r="DC303" s="239">
        <v>0</v>
      </c>
      <c r="DD303" s="239">
        <v>0</v>
      </c>
      <c r="DE303" s="239">
        <v>0</v>
      </c>
      <c r="DF303" s="239">
        <v>0</v>
      </c>
      <c r="DG303" s="239">
        <v>0</v>
      </c>
      <c r="DH303" s="239">
        <v>0</v>
      </c>
      <c r="DI303" s="239">
        <v>0</v>
      </c>
      <c r="DJ303" s="239">
        <v>-611358</v>
      </c>
      <c r="DK303" s="239">
        <v>0</v>
      </c>
      <c r="DL303" s="239">
        <v>-611358</v>
      </c>
      <c r="DM303" s="239">
        <v>0</v>
      </c>
      <c r="DN303" s="239">
        <v>0</v>
      </c>
      <c r="DO303" s="239">
        <v>0</v>
      </c>
      <c r="DP303" s="239">
        <v>0</v>
      </c>
      <c r="DQ303" s="239">
        <v>0</v>
      </c>
      <c r="DR303" s="239">
        <v>0</v>
      </c>
      <c r="DS303" s="239">
        <v>-1017</v>
      </c>
      <c r="DT303" s="239">
        <v>0</v>
      </c>
      <c r="DU303" s="239">
        <v>-1017</v>
      </c>
      <c r="DV303" s="239">
        <v>-4907</v>
      </c>
      <c r="DW303" s="239">
        <v>0</v>
      </c>
      <c r="DX303" s="239">
        <v>-4907</v>
      </c>
      <c r="DY303" s="239">
        <v>7280</v>
      </c>
      <c r="DZ303" s="239">
        <v>0</v>
      </c>
      <c r="EA303" s="239">
        <v>7280</v>
      </c>
      <c r="EB303" s="239">
        <v>0</v>
      </c>
      <c r="EC303" s="239">
        <v>0</v>
      </c>
      <c r="ED303" s="239">
        <v>0</v>
      </c>
      <c r="EE303" s="239">
        <v>0</v>
      </c>
      <c r="EF303" s="239">
        <v>0</v>
      </c>
      <c r="EG303" s="239">
        <v>0</v>
      </c>
      <c r="EH303" s="239">
        <v>2</v>
      </c>
      <c r="EI303" s="239">
        <v>0</v>
      </c>
      <c r="EJ303" s="239">
        <v>2</v>
      </c>
      <c r="EK303" s="239">
        <v>-5590</v>
      </c>
      <c r="EL303" s="239">
        <v>0</v>
      </c>
      <c r="EM303" s="239">
        <v>-5590</v>
      </c>
      <c r="EN303" s="239">
        <v>-1500</v>
      </c>
      <c r="EO303" s="239">
        <v>0</v>
      </c>
      <c r="EP303" s="239">
        <v>-1500</v>
      </c>
      <c r="EQ303" s="239">
        <v>-45599</v>
      </c>
      <c r="ER303" s="239">
        <v>0</v>
      </c>
      <c r="ES303" s="239">
        <v>-45599</v>
      </c>
      <c r="ET303" s="239">
        <v>-476777</v>
      </c>
      <c r="EU303" s="239">
        <v>0</v>
      </c>
      <c r="EV303" s="239">
        <v>-476777</v>
      </c>
      <c r="EW303" s="239">
        <v>-60941</v>
      </c>
      <c r="EX303" s="239">
        <v>0</v>
      </c>
      <c r="EY303" s="239">
        <v>-60941</v>
      </c>
      <c r="EZ303" s="239">
        <v>-589049</v>
      </c>
      <c r="FA303" s="239">
        <v>0</v>
      </c>
      <c r="FB303" s="239">
        <v>-589049</v>
      </c>
      <c r="FC303" s="239">
        <v>0</v>
      </c>
      <c r="FD303" s="239">
        <v>0</v>
      </c>
      <c r="FE303" s="239">
        <v>0</v>
      </c>
      <c r="FF303" s="239">
        <v>0</v>
      </c>
      <c r="FG303" s="239">
        <v>0</v>
      </c>
      <c r="FH303" s="239">
        <v>0</v>
      </c>
      <c r="FI303" s="239">
        <v>0</v>
      </c>
      <c r="FJ303" s="239">
        <v>0</v>
      </c>
      <c r="FK303" s="239">
        <v>0</v>
      </c>
      <c r="FL303" s="239">
        <v>50091606</v>
      </c>
      <c r="FM303" s="239">
        <v>0</v>
      </c>
      <c r="FN303" s="239">
        <v>50091606</v>
      </c>
      <c r="FO303" s="239">
        <v>-1847089</v>
      </c>
      <c r="FP303" s="239">
        <v>0</v>
      </c>
      <c r="FQ303" s="239">
        <v>-1847089</v>
      </c>
      <c r="FR303" s="239">
        <v>-8765505</v>
      </c>
      <c r="FS303" s="239">
        <v>0</v>
      </c>
      <c r="FT303" s="239">
        <v>-8765505</v>
      </c>
      <c r="FU303" s="239">
        <v>-1475161</v>
      </c>
      <c r="FV303" s="239">
        <v>0</v>
      </c>
      <c r="FW303" s="239">
        <v>-1475161</v>
      </c>
      <c r="FX303" s="239">
        <v>-611358</v>
      </c>
      <c r="FY303" s="239">
        <v>0</v>
      </c>
      <c r="FZ303" s="239">
        <v>-611358</v>
      </c>
      <c r="GA303" s="239">
        <v>-589049</v>
      </c>
      <c r="GB303" s="239">
        <v>0</v>
      </c>
      <c r="GC303" s="239">
        <v>-589049</v>
      </c>
      <c r="GD303" s="239">
        <v>0</v>
      </c>
      <c r="GE303" s="239">
        <v>0</v>
      </c>
      <c r="GF303" s="239">
        <v>0</v>
      </c>
      <c r="GG303" s="239">
        <v>-13288162</v>
      </c>
      <c r="GH303" s="239">
        <v>0</v>
      </c>
      <c r="GI303" s="239">
        <v>-13288162</v>
      </c>
      <c r="GJ303" s="239">
        <v>36803444</v>
      </c>
      <c r="GK303" s="239">
        <v>0</v>
      </c>
      <c r="GL303" s="239">
        <v>36803444</v>
      </c>
      <c r="GM303" s="214" t="s">
        <v>1158</v>
      </c>
    </row>
    <row r="304" spans="2:195" s="214" customFormat="1" x14ac:dyDescent="0.2">
      <c r="B304" s="602" t="s">
        <v>691</v>
      </c>
      <c r="C304" s="602" t="s">
        <v>690</v>
      </c>
      <c r="D304" s="239">
        <v>-1914540</v>
      </c>
      <c r="E304" s="239">
        <v>0</v>
      </c>
      <c r="F304" s="239">
        <v>-1914540</v>
      </c>
      <c r="G304" s="239">
        <v>18038</v>
      </c>
      <c r="H304" s="239">
        <v>0</v>
      </c>
      <c r="I304" s="239">
        <v>18038</v>
      </c>
      <c r="J304" s="239">
        <v>658552</v>
      </c>
      <c r="K304" s="239">
        <v>0</v>
      </c>
      <c r="L304" s="239">
        <v>658552</v>
      </c>
      <c r="M304" s="239">
        <v>-27846</v>
      </c>
      <c r="N304" s="239">
        <v>0</v>
      </c>
      <c r="O304" s="239">
        <v>-27846</v>
      </c>
      <c r="P304" s="239">
        <v>-1265796</v>
      </c>
      <c r="Q304" s="239">
        <v>0</v>
      </c>
      <c r="R304" s="239">
        <v>-1265796</v>
      </c>
      <c r="S304" s="239">
        <v>-7670401</v>
      </c>
      <c r="T304" s="239">
        <v>0</v>
      </c>
      <c r="U304" s="239">
        <v>-7670401</v>
      </c>
      <c r="V304" s="239">
        <v>-26237</v>
      </c>
      <c r="W304" s="239">
        <v>0</v>
      </c>
      <c r="X304" s="239">
        <v>-26237</v>
      </c>
      <c r="Y304" s="239">
        <v>-432910</v>
      </c>
      <c r="Z304" s="239">
        <v>0</v>
      </c>
      <c r="AA304" s="239">
        <v>-432910</v>
      </c>
      <c r="AB304" s="239">
        <v>-417531</v>
      </c>
      <c r="AC304" s="239">
        <v>0</v>
      </c>
      <c r="AD304" s="239">
        <v>-417531</v>
      </c>
      <c r="AE304" s="239">
        <v>1197</v>
      </c>
      <c r="AF304" s="239">
        <v>0</v>
      </c>
      <c r="AG304" s="239">
        <v>1197</v>
      </c>
      <c r="AH304" s="239">
        <v>585184</v>
      </c>
      <c r="AI304" s="239">
        <v>0</v>
      </c>
      <c r="AJ304" s="239">
        <v>585184</v>
      </c>
      <c r="AK304" s="239">
        <v>-31466</v>
      </c>
      <c r="AL304" s="239">
        <v>0</v>
      </c>
      <c r="AM304" s="239">
        <v>-31466</v>
      </c>
      <c r="AN304" s="239">
        <v>-3090576</v>
      </c>
      <c r="AO304" s="239">
        <v>0</v>
      </c>
      <c r="AP304" s="239">
        <v>-3090576</v>
      </c>
      <c r="AQ304" s="239">
        <v>-80369</v>
      </c>
      <c r="AR304" s="239">
        <v>0</v>
      </c>
      <c r="AS304" s="239">
        <v>-80369</v>
      </c>
      <c r="AT304" s="239">
        <v>-91587</v>
      </c>
      <c r="AU304" s="239">
        <v>0</v>
      </c>
      <c r="AV304" s="239">
        <v>-91587</v>
      </c>
      <c r="AW304" s="239">
        <v>0</v>
      </c>
      <c r="AX304" s="239">
        <v>0</v>
      </c>
      <c r="AY304" s="239">
        <v>0</v>
      </c>
      <c r="AZ304" s="239">
        <v>-35226</v>
      </c>
      <c r="BA304" s="239">
        <v>0</v>
      </c>
      <c r="BB304" s="239">
        <v>-35226</v>
      </c>
      <c r="BC304" s="239">
        <v>0</v>
      </c>
      <c r="BD304" s="239">
        <v>0</v>
      </c>
      <c r="BE304" s="239">
        <v>0</v>
      </c>
      <c r="BF304" s="239">
        <v>-10847351</v>
      </c>
      <c r="BG304" s="239">
        <v>0</v>
      </c>
      <c r="BH304" s="239">
        <v>-10847351</v>
      </c>
      <c r="BI304" s="239">
        <v>-1438</v>
      </c>
      <c r="BJ304" s="239">
        <v>0</v>
      </c>
      <c r="BK304" s="239">
        <v>-1438</v>
      </c>
      <c r="BL304" s="239">
        <v>-5836</v>
      </c>
      <c r="BM304" s="239">
        <v>0</v>
      </c>
      <c r="BN304" s="239">
        <v>-5836</v>
      </c>
      <c r="BO304" s="239">
        <v>-604811</v>
      </c>
      <c r="BP304" s="239">
        <v>0</v>
      </c>
      <c r="BQ304" s="239">
        <v>-604811</v>
      </c>
      <c r="BR304" s="239">
        <v>-4509</v>
      </c>
      <c r="BS304" s="239">
        <v>0</v>
      </c>
      <c r="BT304" s="239">
        <v>-4509</v>
      </c>
      <c r="BU304" s="239">
        <v>-616594</v>
      </c>
      <c r="BV304" s="239">
        <v>0</v>
      </c>
      <c r="BW304" s="239">
        <v>-616594</v>
      </c>
      <c r="BX304" s="239">
        <v>-92703</v>
      </c>
      <c r="BY304" s="239">
        <v>0</v>
      </c>
      <c r="BZ304" s="239">
        <v>-92703</v>
      </c>
      <c r="CA304" s="239">
        <v>1415</v>
      </c>
      <c r="CB304" s="239">
        <v>0</v>
      </c>
      <c r="CC304" s="239">
        <v>1415</v>
      </c>
      <c r="CD304" s="239">
        <v>-5965</v>
      </c>
      <c r="CE304" s="239">
        <v>0</v>
      </c>
      <c r="CF304" s="239">
        <v>-5965</v>
      </c>
      <c r="CG304" s="239">
        <v>11078</v>
      </c>
      <c r="CH304" s="239">
        <v>0</v>
      </c>
      <c r="CI304" s="239">
        <v>11078</v>
      </c>
      <c r="CJ304" s="239">
        <v>0</v>
      </c>
      <c r="CK304" s="239">
        <v>0</v>
      </c>
      <c r="CL304" s="239">
        <v>0</v>
      </c>
      <c r="CM304" s="239">
        <v>0</v>
      </c>
      <c r="CN304" s="239">
        <v>0</v>
      </c>
      <c r="CO304" s="239">
        <v>0</v>
      </c>
      <c r="CP304" s="239">
        <v>0</v>
      </c>
      <c r="CQ304" s="239">
        <v>0</v>
      </c>
      <c r="CR304" s="239">
        <v>0</v>
      </c>
      <c r="CS304" s="239">
        <v>0</v>
      </c>
      <c r="CT304" s="239">
        <v>0</v>
      </c>
      <c r="CU304" s="239">
        <v>0</v>
      </c>
      <c r="CV304" s="239">
        <v>0</v>
      </c>
      <c r="CW304" s="239">
        <v>0</v>
      </c>
      <c r="CX304" s="239">
        <v>0</v>
      </c>
      <c r="CY304" s="239">
        <v>0</v>
      </c>
      <c r="CZ304" s="239">
        <v>0</v>
      </c>
      <c r="DA304" s="239">
        <v>0</v>
      </c>
      <c r="DB304" s="239">
        <v>0</v>
      </c>
      <c r="DC304" s="239">
        <v>0</v>
      </c>
      <c r="DD304" s="239">
        <v>0</v>
      </c>
      <c r="DE304" s="239">
        <v>0</v>
      </c>
      <c r="DF304" s="239">
        <v>0</v>
      </c>
      <c r="DG304" s="239">
        <v>0</v>
      </c>
      <c r="DH304" s="239">
        <v>0</v>
      </c>
      <c r="DI304" s="239">
        <v>0</v>
      </c>
      <c r="DJ304" s="239">
        <v>-86175</v>
      </c>
      <c r="DK304" s="239">
        <v>0</v>
      </c>
      <c r="DL304" s="239">
        <v>-86175</v>
      </c>
      <c r="DM304" s="239">
        <v>0</v>
      </c>
      <c r="DN304" s="239">
        <v>0</v>
      </c>
      <c r="DO304" s="239">
        <v>0</v>
      </c>
      <c r="DP304" s="239">
        <v>0</v>
      </c>
      <c r="DQ304" s="239">
        <v>0</v>
      </c>
      <c r="DR304" s="239">
        <v>0</v>
      </c>
      <c r="DS304" s="239">
        <v>-660</v>
      </c>
      <c r="DT304" s="239">
        <v>0</v>
      </c>
      <c r="DU304" s="239">
        <v>-660</v>
      </c>
      <c r="DV304" s="239">
        <v>0</v>
      </c>
      <c r="DW304" s="239">
        <v>0</v>
      </c>
      <c r="DX304" s="239">
        <v>0</v>
      </c>
      <c r="DY304" s="239">
        <v>1373</v>
      </c>
      <c r="DZ304" s="239">
        <v>0</v>
      </c>
      <c r="EA304" s="239">
        <v>1373</v>
      </c>
      <c r="EB304" s="239">
        <v>0</v>
      </c>
      <c r="EC304" s="239">
        <v>0</v>
      </c>
      <c r="ED304" s="239">
        <v>0</v>
      </c>
      <c r="EE304" s="239">
        <v>0</v>
      </c>
      <c r="EF304" s="239">
        <v>0</v>
      </c>
      <c r="EG304" s="239">
        <v>0</v>
      </c>
      <c r="EH304" s="239">
        <v>142</v>
      </c>
      <c r="EI304" s="239">
        <v>0</v>
      </c>
      <c r="EJ304" s="239">
        <v>142</v>
      </c>
      <c r="EK304" s="239">
        <v>-35226</v>
      </c>
      <c r="EL304" s="239">
        <v>0</v>
      </c>
      <c r="EM304" s="239">
        <v>-35226</v>
      </c>
      <c r="EN304" s="239">
        <v>0</v>
      </c>
      <c r="EO304" s="239">
        <v>0</v>
      </c>
      <c r="EP304" s="239">
        <v>0</v>
      </c>
      <c r="EQ304" s="239">
        <v>-63609</v>
      </c>
      <c r="ER304" s="239">
        <v>0</v>
      </c>
      <c r="ES304" s="239">
        <v>-63609</v>
      </c>
      <c r="ET304" s="239">
        <v>-256441</v>
      </c>
      <c r="EU304" s="239">
        <v>0</v>
      </c>
      <c r="EV304" s="239">
        <v>-256441</v>
      </c>
      <c r="EW304" s="239">
        <v>-87063</v>
      </c>
      <c r="EX304" s="239">
        <v>0</v>
      </c>
      <c r="EY304" s="239">
        <v>-87063</v>
      </c>
      <c r="EZ304" s="239">
        <v>-441484</v>
      </c>
      <c r="FA304" s="239">
        <v>0</v>
      </c>
      <c r="FB304" s="239">
        <v>-441484</v>
      </c>
      <c r="FC304" s="239">
        <v>0</v>
      </c>
      <c r="FD304" s="239">
        <v>0</v>
      </c>
      <c r="FE304" s="239">
        <v>0</v>
      </c>
      <c r="FF304" s="239">
        <v>0</v>
      </c>
      <c r="FG304" s="239">
        <v>0</v>
      </c>
      <c r="FH304" s="239">
        <v>0</v>
      </c>
      <c r="FI304" s="239">
        <v>0</v>
      </c>
      <c r="FJ304" s="239">
        <v>0</v>
      </c>
      <c r="FK304" s="239">
        <v>0</v>
      </c>
      <c r="FL304" s="239">
        <v>41830469</v>
      </c>
      <c r="FM304" s="239">
        <v>0</v>
      </c>
      <c r="FN304" s="239">
        <v>41830469</v>
      </c>
      <c r="FO304" s="239">
        <v>-1265796</v>
      </c>
      <c r="FP304" s="239">
        <v>0</v>
      </c>
      <c r="FQ304" s="239">
        <v>-1265796</v>
      </c>
      <c r="FR304" s="239">
        <v>-10847351</v>
      </c>
      <c r="FS304" s="239">
        <v>0</v>
      </c>
      <c r="FT304" s="239">
        <v>-10847351</v>
      </c>
      <c r="FU304" s="239">
        <v>-616594</v>
      </c>
      <c r="FV304" s="239">
        <v>0</v>
      </c>
      <c r="FW304" s="239">
        <v>-616594</v>
      </c>
      <c r="FX304" s="239">
        <v>-86175</v>
      </c>
      <c r="FY304" s="239">
        <v>0</v>
      </c>
      <c r="FZ304" s="239">
        <v>-86175</v>
      </c>
      <c r="GA304" s="239">
        <v>-441484</v>
      </c>
      <c r="GB304" s="239">
        <v>0</v>
      </c>
      <c r="GC304" s="239">
        <v>-441484</v>
      </c>
      <c r="GD304" s="239">
        <v>0</v>
      </c>
      <c r="GE304" s="239">
        <v>0</v>
      </c>
      <c r="GF304" s="239">
        <v>0</v>
      </c>
      <c r="GG304" s="239">
        <v>-13257400</v>
      </c>
      <c r="GH304" s="239">
        <v>0</v>
      </c>
      <c r="GI304" s="239">
        <v>-13257400</v>
      </c>
      <c r="GJ304" s="239">
        <v>28573069</v>
      </c>
      <c r="GK304" s="239">
        <v>0</v>
      </c>
      <c r="GL304" s="239">
        <v>28573069</v>
      </c>
      <c r="GM304" s="214" t="s">
        <v>1158</v>
      </c>
    </row>
    <row r="305" spans="2:195" s="214" customFormat="1" x14ac:dyDescent="0.2">
      <c r="B305" s="602" t="s">
        <v>693</v>
      </c>
      <c r="C305" s="602" t="s">
        <v>692</v>
      </c>
      <c r="D305" s="239">
        <v>-552880</v>
      </c>
      <c r="E305" s="239">
        <v>0</v>
      </c>
      <c r="F305" s="239">
        <v>-552880</v>
      </c>
      <c r="G305" s="239">
        <v>-52147</v>
      </c>
      <c r="H305" s="239">
        <v>0</v>
      </c>
      <c r="I305" s="239">
        <v>-52147</v>
      </c>
      <c r="J305" s="239">
        <v>1806955</v>
      </c>
      <c r="K305" s="239">
        <v>0</v>
      </c>
      <c r="L305" s="239">
        <v>1806955</v>
      </c>
      <c r="M305" s="239">
        <v>232029</v>
      </c>
      <c r="N305" s="239">
        <v>0</v>
      </c>
      <c r="O305" s="239">
        <v>232029</v>
      </c>
      <c r="P305" s="239">
        <v>1433957</v>
      </c>
      <c r="Q305" s="239">
        <v>0</v>
      </c>
      <c r="R305" s="239">
        <v>1433957</v>
      </c>
      <c r="S305" s="239">
        <v>-3229636</v>
      </c>
      <c r="T305" s="239">
        <v>0</v>
      </c>
      <c r="U305" s="239">
        <v>-3229636</v>
      </c>
      <c r="V305" s="239">
        <v>0</v>
      </c>
      <c r="W305" s="239">
        <v>0</v>
      </c>
      <c r="X305" s="239">
        <v>0</v>
      </c>
      <c r="Y305" s="239">
        <v>-110191</v>
      </c>
      <c r="Z305" s="239">
        <v>0</v>
      </c>
      <c r="AA305" s="239">
        <v>-110191</v>
      </c>
      <c r="AB305" s="239">
        <v>-110191</v>
      </c>
      <c r="AC305" s="239">
        <v>0</v>
      </c>
      <c r="AD305" s="239">
        <v>-110191</v>
      </c>
      <c r="AE305" s="239">
        <v>0</v>
      </c>
      <c r="AF305" s="239">
        <v>0</v>
      </c>
      <c r="AG305" s="239">
        <v>0</v>
      </c>
      <c r="AH305" s="239">
        <v>633894</v>
      </c>
      <c r="AI305" s="239">
        <v>0</v>
      </c>
      <c r="AJ305" s="239">
        <v>633894</v>
      </c>
      <c r="AK305" s="239">
        <v>-13827</v>
      </c>
      <c r="AL305" s="239">
        <v>0</v>
      </c>
      <c r="AM305" s="239">
        <v>-13827</v>
      </c>
      <c r="AN305" s="239">
        <v>-1721504</v>
      </c>
      <c r="AO305" s="239">
        <v>0</v>
      </c>
      <c r="AP305" s="239">
        <v>-1721504</v>
      </c>
      <c r="AQ305" s="239">
        <v>98025</v>
      </c>
      <c r="AR305" s="239">
        <v>0</v>
      </c>
      <c r="AS305" s="239">
        <v>98025</v>
      </c>
      <c r="AT305" s="239">
        <v>-1456</v>
      </c>
      <c r="AU305" s="239">
        <v>0</v>
      </c>
      <c r="AV305" s="239">
        <v>-1456</v>
      </c>
      <c r="AW305" s="239">
        <v>0</v>
      </c>
      <c r="AX305" s="239">
        <v>0</v>
      </c>
      <c r="AY305" s="239">
        <v>0</v>
      </c>
      <c r="AZ305" s="239">
        <v>0</v>
      </c>
      <c r="BA305" s="239">
        <v>0</v>
      </c>
      <c r="BB305" s="239">
        <v>0</v>
      </c>
      <c r="BC305" s="239">
        <v>0</v>
      </c>
      <c r="BD305" s="239">
        <v>0</v>
      </c>
      <c r="BE305" s="239">
        <v>0</v>
      </c>
      <c r="BF305" s="239">
        <v>-4344695</v>
      </c>
      <c r="BG305" s="239">
        <v>0</v>
      </c>
      <c r="BH305" s="239">
        <v>-4344695</v>
      </c>
      <c r="BI305" s="239">
        <v>-241886</v>
      </c>
      <c r="BJ305" s="239">
        <v>0</v>
      </c>
      <c r="BK305" s="239">
        <v>-241886</v>
      </c>
      <c r="BL305" s="239">
        <v>-24348</v>
      </c>
      <c r="BM305" s="239">
        <v>0</v>
      </c>
      <c r="BN305" s="239">
        <v>-24348</v>
      </c>
      <c r="BO305" s="239">
        <v>-1128733</v>
      </c>
      <c r="BP305" s="239">
        <v>0</v>
      </c>
      <c r="BQ305" s="239">
        <v>-1128733</v>
      </c>
      <c r="BR305" s="239">
        <v>-199254</v>
      </c>
      <c r="BS305" s="239">
        <v>0</v>
      </c>
      <c r="BT305" s="239">
        <v>-199254</v>
      </c>
      <c r="BU305" s="239">
        <v>-1594221</v>
      </c>
      <c r="BV305" s="239">
        <v>0</v>
      </c>
      <c r="BW305" s="239">
        <v>-1594221</v>
      </c>
      <c r="BX305" s="239">
        <v>-85681</v>
      </c>
      <c r="BY305" s="239">
        <v>0</v>
      </c>
      <c r="BZ305" s="239">
        <v>-85681</v>
      </c>
      <c r="CA305" s="239">
        <v>1444</v>
      </c>
      <c r="CB305" s="239">
        <v>0</v>
      </c>
      <c r="CC305" s="239">
        <v>1444</v>
      </c>
      <c r="CD305" s="239">
        <v>-11102</v>
      </c>
      <c r="CE305" s="239">
        <v>0</v>
      </c>
      <c r="CF305" s="239">
        <v>-11102</v>
      </c>
      <c r="CG305" s="239">
        <v>0</v>
      </c>
      <c r="CH305" s="239">
        <v>0</v>
      </c>
      <c r="CI305" s="239">
        <v>0</v>
      </c>
      <c r="CJ305" s="239">
        <v>-364</v>
      </c>
      <c r="CK305" s="239">
        <v>0</v>
      </c>
      <c r="CL305" s="239">
        <v>-364</v>
      </c>
      <c r="CM305" s="239">
        <v>0</v>
      </c>
      <c r="CN305" s="239">
        <v>0</v>
      </c>
      <c r="CO305" s="239">
        <v>0</v>
      </c>
      <c r="CP305" s="239">
        <v>0</v>
      </c>
      <c r="CQ305" s="239">
        <v>0</v>
      </c>
      <c r="CR305" s="239">
        <v>0</v>
      </c>
      <c r="CS305" s="239">
        <v>0</v>
      </c>
      <c r="CT305" s="239">
        <v>0</v>
      </c>
      <c r="CU305" s="239">
        <v>0</v>
      </c>
      <c r="CV305" s="239">
        <v>0</v>
      </c>
      <c r="CW305" s="239">
        <v>0</v>
      </c>
      <c r="CX305" s="239">
        <v>0</v>
      </c>
      <c r="CY305" s="239">
        <v>0</v>
      </c>
      <c r="CZ305" s="239">
        <v>0</v>
      </c>
      <c r="DA305" s="239">
        <v>0</v>
      </c>
      <c r="DB305" s="239">
        <v>0</v>
      </c>
      <c r="DC305" s="239">
        <v>0</v>
      </c>
      <c r="DD305" s="239">
        <v>0</v>
      </c>
      <c r="DE305" s="239">
        <v>0</v>
      </c>
      <c r="DF305" s="239">
        <v>0</v>
      </c>
      <c r="DG305" s="239">
        <v>0</v>
      </c>
      <c r="DH305" s="239">
        <v>0</v>
      </c>
      <c r="DI305" s="239">
        <v>0</v>
      </c>
      <c r="DJ305" s="239">
        <v>-95703</v>
      </c>
      <c r="DK305" s="239">
        <v>0</v>
      </c>
      <c r="DL305" s="239">
        <v>-95703</v>
      </c>
      <c r="DM305" s="239">
        <v>0</v>
      </c>
      <c r="DN305" s="239">
        <v>0</v>
      </c>
      <c r="DO305" s="239">
        <v>0</v>
      </c>
      <c r="DP305" s="239">
        <v>0</v>
      </c>
      <c r="DQ305" s="239">
        <v>0</v>
      </c>
      <c r="DR305" s="239">
        <v>0</v>
      </c>
      <c r="DS305" s="239">
        <v>-7418</v>
      </c>
      <c r="DT305" s="239">
        <v>0</v>
      </c>
      <c r="DU305" s="239">
        <v>-7418</v>
      </c>
      <c r="DV305" s="239">
        <v>-16773</v>
      </c>
      <c r="DW305" s="239">
        <v>0</v>
      </c>
      <c r="DX305" s="239">
        <v>-16773</v>
      </c>
      <c r="DY305" s="239">
        <v>1498</v>
      </c>
      <c r="DZ305" s="239">
        <v>0</v>
      </c>
      <c r="EA305" s="239">
        <v>1498</v>
      </c>
      <c r="EB305" s="239">
        <v>0</v>
      </c>
      <c r="EC305" s="239">
        <v>0</v>
      </c>
      <c r="ED305" s="239">
        <v>0</v>
      </c>
      <c r="EE305" s="239">
        <v>0</v>
      </c>
      <c r="EF305" s="239">
        <v>0</v>
      </c>
      <c r="EG305" s="239">
        <v>0</v>
      </c>
      <c r="EH305" s="239">
        <v>0</v>
      </c>
      <c r="EI305" s="239">
        <v>0</v>
      </c>
      <c r="EJ305" s="239">
        <v>0</v>
      </c>
      <c r="EK305" s="239">
        <v>0</v>
      </c>
      <c r="EL305" s="239">
        <v>0</v>
      </c>
      <c r="EM305" s="239">
        <v>0</v>
      </c>
      <c r="EN305" s="239">
        <v>0</v>
      </c>
      <c r="EO305" s="239">
        <v>0</v>
      </c>
      <c r="EP305" s="239">
        <v>0</v>
      </c>
      <c r="EQ305" s="239">
        <v>0</v>
      </c>
      <c r="ER305" s="239">
        <v>0</v>
      </c>
      <c r="ES305" s="239">
        <v>0</v>
      </c>
      <c r="ET305" s="239">
        <v>-66568</v>
      </c>
      <c r="EU305" s="239">
        <v>0</v>
      </c>
      <c r="EV305" s="239">
        <v>-66568</v>
      </c>
      <c r="EW305" s="239">
        <v>-18056</v>
      </c>
      <c r="EX305" s="239">
        <v>0</v>
      </c>
      <c r="EY305" s="239">
        <v>-18056</v>
      </c>
      <c r="EZ305" s="239">
        <v>-107317</v>
      </c>
      <c r="FA305" s="239">
        <v>0</v>
      </c>
      <c r="FB305" s="239">
        <v>-107317</v>
      </c>
      <c r="FC305" s="239">
        <v>0</v>
      </c>
      <c r="FD305" s="239">
        <v>0</v>
      </c>
      <c r="FE305" s="239">
        <v>0</v>
      </c>
      <c r="FF305" s="239">
        <v>0</v>
      </c>
      <c r="FG305" s="239">
        <v>0</v>
      </c>
      <c r="FH305" s="239">
        <v>0</v>
      </c>
      <c r="FI305" s="239">
        <v>0</v>
      </c>
      <c r="FJ305" s="239">
        <v>0</v>
      </c>
      <c r="FK305" s="239">
        <v>0</v>
      </c>
      <c r="FL305" s="239">
        <v>32335304</v>
      </c>
      <c r="FM305" s="239">
        <v>0</v>
      </c>
      <c r="FN305" s="239">
        <v>32335304</v>
      </c>
      <c r="FO305" s="239">
        <v>1433957</v>
      </c>
      <c r="FP305" s="239">
        <v>0</v>
      </c>
      <c r="FQ305" s="239">
        <v>1433957</v>
      </c>
      <c r="FR305" s="239">
        <v>-4344695</v>
      </c>
      <c r="FS305" s="239">
        <v>0</v>
      </c>
      <c r="FT305" s="239">
        <v>-4344695</v>
      </c>
      <c r="FU305" s="239">
        <v>-1594221</v>
      </c>
      <c r="FV305" s="239">
        <v>0</v>
      </c>
      <c r="FW305" s="239">
        <v>-1594221</v>
      </c>
      <c r="FX305" s="239">
        <v>-95703</v>
      </c>
      <c r="FY305" s="239">
        <v>0</v>
      </c>
      <c r="FZ305" s="239">
        <v>-95703</v>
      </c>
      <c r="GA305" s="239">
        <v>-107317</v>
      </c>
      <c r="GB305" s="239">
        <v>0</v>
      </c>
      <c r="GC305" s="239">
        <v>-107317</v>
      </c>
      <c r="GD305" s="239">
        <v>0</v>
      </c>
      <c r="GE305" s="239">
        <v>0</v>
      </c>
      <c r="GF305" s="239">
        <v>0</v>
      </c>
      <c r="GG305" s="239">
        <v>-4707979</v>
      </c>
      <c r="GH305" s="239">
        <v>0</v>
      </c>
      <c r="GI305" s="239">
        <v>-4707979</v>
      </c>
      <c r="GJ305" s="239">
        <v>27627325</v>
      </c>
      <c r="GK305" s="239">
        <v>0</v>
      </c>
      <c r="GL305" s="239">
        <v>27627325</v>
      </c>
      <c r="GM305" s="214" t="s">
        <v>1158</v>
      </c>
    </row>
    <row r="306" spans="2:195" s="214" customFormat="1" x14ac:dyDescent="0.2">
      <c r="B306" s="602" t="s">
        <v>695</v>
      </c>
      <c r="C306" s="602" t="s">
        <v>694</v>
      </c>
      <c r="D306" s="239">
        <v>-1619007</v>
      </c>
      <c r="E306" s="239">
        <v>0</v>
      </c>
      <c r="F306" s="239">
        <v>-1619007</v>
      </c>
      <c r="G306" s="239">
        <v>4105</v>
      </c>
      <c r="H306" s="239">
        <v>0</v>
      </c>
      <c r="I306" s="239">
        <v>4105</v>
      </c>
      <c r="J306" s="239">
        <v>2584774</v>
      </c>
      <c r="K306" s="239">
        <v>0</v>
      </c>
      <c r="L306" s="239">
        <v>2584774</v>
      </c>
      <c r="M306" s="239">
        <v>30216</v>
      </c>
      <c r="N306" s="239">
        <v>0</v>
      </c>
      <c r="O306" s="239">
        <v>30216</v>
      </c>
      <c r="P306" s="239">
        <v>1000088</v>
      </c>
      <c r="Q306" s="239">
        <v>0</v>
      </c>
      <c r="R306" s="239">
        <v>1000088</v>
      </c>
      <c r="S306" s="239">
        <v>-1918412</v>
      </c>
      <c r="T306" s="239">
        <v>0</v>
      </c>
      <c r="U306" s="239">
        <v>-1918412</v>
      </c>
      <c r="V306" s="239">
        <v>0</v>
      </c>
      <c r="W306" s="239">
        <v>0</v>
      </c>
      <c r="X306" s="239">
        <v>0</v>
      </c>
      <c r="Y306" s="239">
        <v>-78534</v>
      </c>
      <c r="Z306" s="239">
        <v>0</v>
      </c>
      <c r="AA306" s="239">
        <v>-78534</v>
      </c>
      <c r="AB306" s="239">
        <v>-63172</v>
      </c>
      <c r="AC306" s="239">
        <v>0</v>
      </c>
      <c r="AD306" s="239">
        <v>-63172</v>
      </c>
      <c r="AE306" s="239">
        <v>0</v>
      </c>
      <c r="AF306" s="239">
        <v>0</v>
      </c>
      <c r="AG306" s="239">
        <v>0</v>
      </c>
      <c r="AH306" s="239">
        <v>1546817</v>
      </c>
      <c r="AI306" s="239">
        <v>0</v>
      </c>
      <c r="AJ306" s="239">
        <v>1546817</v>
      </c>
      <c r="AK306" s="239">
        <v>-23863</v>
      </c>
      <c r="AL306" s="239">
        <v>0</v>
      </c>
      <c r="AM306" s="239">
        <v>-23863</v>
      </c>
      <c r="AN306" s="239">
        <v>-6852118</v>
      </c>
      <c r="AO306" s="239">
        <v>0</v>
      </c>
      <c r="AP306" s="239">
        <v>-6852118</v>
      </c>
      <c r="AQ306" s="239">
        <v>-371778</v>
      </c>
      <c r="AR306" s="239">
        <v>0</v>
      </c>
      <c r="AS306" s="239">
        <v>-371778</v>
      </c>
      <c r="AT306" s="239">
        <v>-48789</v>
      </c>
      <c r="AU306" s="239">
        <v>0</v>
      </c>
      <c r="AV306" s="239">
        <v>-48789</v>
      </c>
      <c r="AW306" s="239">
        <v>362</v>
      </c>
      <c r="AX306" s="239">
        <v>0</v>
      </c>
      <c r="AY306" s="239">
        <v>362</v>
      </c>
      <c r="AZ306" s="239">
        <v>0</v>
      </c>
      <c r="BA306" s="239">
        <v>0</v>
      </c>
      <c r="BB306" s="239">
        <v>0</v>
      </c>
      <c r="BC306" s="239">
        <v>0</v>
      </c>
      <c r="BD306" s="239">
        <v>0</v>
      </c>
      <c r="BE306" s="239">
        <v>0</v>
      </c>
      <c r="BF306" s="239">
        <v>-7746315</v>
      </c>
      <c r="BG306" s="239">
        <v>0</v>
      </c>
      <c r="BH306" s="239">
        <v>-7746315</v>
      </c>
      <c r="BI306" s="239">
        <v>-256201</v>
      </c>
      <c r="BJ306" s="239">
        <v>0</v>
      </c>
      <c r="BK306" s="239">
        <v>-256201</v>
      </c>
      <c r="BL306" s="239">
        <v>-9655</v>
      </c>
      <c r="BM306" s="239">
        <v>0</v>
      </c>
      <c r="BN306" s="239">
        <v>-9655</v>
      </c>
      <c r="BO306" s="239">
        <v>-2234939</v>
      </c>
      <c r="BP306" s="239">
        <v>0</v>
      </c>
      <c r="BQ306" s="239">
        <v>-2234939</v>
      </c>
      <c r="BR306" s="239">
        <v>-281516</v>
      </c>
      <c r="BS306" s="239">
        <v>0</v>
      </c>
      <c r="BT306" s="239">
        <v>-281516</v>
      </c>
      <c r="BU306" s="239">
        <v>-2782311</v>
      </c>
      <c r="BV306" s="239">
        <v>0</v>
      </c>
      <c r="BW306" s="239">
        <v>-2782311</v>
      </c>
      <c r="BX306" s="239">
        <v>-213943</v>
      </c>
      <c r="BY306" s="239">
        <v>0</v>
      </c>
      <c r="BZ306" s="239">
        <v>-213943</v>
      </c>
      <c r="CA306" s="239">
        <v>-4312</v>
      </c>
      <c r="CB306" s="239">
        <v>0</v>
      </c>
      <c r="CC306" s="239">
        <v>-4312</v>
      </c>
      <c r="CD306" s="239">
        <v>-30149</v>
      </c>
      <c r="CE306" s="239">
        <v>0</v>
      </c>
      <c r="CF306" s="239">
        <v>-30149</v>
      </c>
      <c r="CG306" s="239">
        <v>9277</v>
      </c>
      <c r="CH306" s="239">
        <v>0</v>
      </c>
      <c r="CI306" s="239">
        <v>9277</v>
      </c>
      <c r="CJ306" s="239">
        <v>-6047</v>
      </c>
      <c r="CK306" s="239">
        <v>0</v>
      </c>
      <c r="CL306" s="239">
        <v>-6047</v>
      </c>
      <c r="CM306" s="239">
        <v>45</v>
      </c>
      <c r="CN306" s="239">
        <v>0</v>
      </c>
      <c r="CO306" s="239">
        <v>45</v>
      </c>
      <c r="CP306" s="239">
        <v>0</v>
      </c>
      <c r="CQ306" s="239">
        <v>0</v>
      </c>
      <c r="CR306" s="239">
        <v>0</v>
      </c>
      <c r="CS306" s="239">
        <v>0</v>
      </c>
      <c r="CT306" s="239">
        <v>0</v>
      </c>
      <c r="CU306" s="239">
        <v>0</v>
      </c>
      <c r="CV306" s="239">
        <v>0</v>
      </c>
      <c r="CW306" s="239">
        <v>0</v>
      </c>
      <c r="CX306" s="239">
        <v>0</v>
      </c>
      <c r="CY306" s="239">
        <v>0</v>
      </c>
      <c r="CZ306" s="239">
        <v>0</v>
      </c>
      <c r="DA306" s="239">
        <v>0</v>
      </c>
      <c r="DB306" s="239">
        <v>0</v>
      </c>
      <c r="DC306" s="239">
        <v>0</v>
      </c>
      <c r="DD306" s="239">
        <v>0</v>
      </c>
      <c r="DE306" s="239">
        <v>0</v>
      </c>
      <c r="DF306" s="239">
        <v>0</v>
      </c>
      <c r="DG306" s="239">
        <v>0</v>
      </c>
      <c r="DH306" s="239">
        <v>0</v>
      </c>
      <c r="DI306" s="239">
        <v>0</v>
      </c>
      <c r="DJ306" s="239">
        <v>-245129</v>
      </c>
      <c r="DK306" s="239">
        <v>0</v>
      </c>
      <c r="DL306" s="239">
        <v>-245129</v>
      </c>
      <c r="DM306" s="239">
        <v>0</v>
      </c>
      <c r="DN306" s="239">
        <v>0</v>
      </c>
      <c r="DO306" s="239">
        <v>0</v>
      </c>
      <c r="DP306" s="239">
        <v>0</v>
      </c>
      <c r="DQ306" s="239">
        <v>0</v>
      </c>
      <c r="DR306" s="239">
        <v>0</v>
      </c>
      <c r="DS306" s="239">
        <v>-8457</v>
      </c>
      <c r="DT306" s="239">
        <v>0</v>
      </c>
      <c r="DU306" s="239">
        <v>-8457</v>
      </c>
      <c r="DV306" s="239">
        <v>-15675</v>
      </c>
      <c r="DW306" s="239">
        <v>0</v>
      </c>
      <c r="DX306" s="239">
        <v>-15675</v>
      </c>
      <c r="DY306" s="239">
        <v>0</v>
      </c>
      <c r="DZ306" s="239">
        <v>0</v>
      </c>
      <c r="EA306" s="239">
        <v>0</v>
      </c>
      <c r="EB306" s="239">
        <v>0</v>
      </c>
      <c r="EC306" s="239">
        <v>0</v>
      </c>
      <c r="ED306" s="239">
        <v>0</v>
      </c>
      <c r="EE306" s="239">
        <v>0</v>
      </c>
      <c r="EF306" s="239">
        <v>0</v>
      </c>
      <c r="EG306" s="239">
        <v>0</v>
      </c>
      <c r="EH306" s="239">
        <v>0</v>
      </c>
      <c r="EI306" s="239">
        <v>0</v>
      </c>
      <c r="EJ306" s="239">
        <v>0</v>
      </c>
      <c r="EK306" s="239">
        <v>0</v>
      </c>
      <c r="EL306" s="239">
        <v>0</v>
      </c>
      <c r="EM306" s="239">
        <v>0</v>
      </c>
      <c r="EN306" s="239">
        <v>-1500</v>
      </c>
      <c r="EO306" s="239">
        <v>0</v>
      </c>
      <c r="EP306" s="239">
        <v>-1500</v>
      </c>
      <c r="EQ306" s="239">
        <v>-57664</v>
      </c>
      <c r="ER306" s="239">
        <v>0</v>
      </c>
      <c r="ES306" s="239">
        <v>-57664</v>
      </c>
      <c r="ET306" s="239">
        <v>-127331</v>
      </c>
      <c r="EU306" s="239">
        <v>0</v>
      </c>
      <c r="EV306" s="239">
        <v>-127331</v>
      </c>
      <c r="EW306" s="239">
        <v>-38285</v>
      </c>
      <c r="EX306" s="239">
        <v>0</v>
      </c>
      <c r="EY306" s="239">
        <v>-38285</v>
      </c>
      <c r="EZ306" s="239">
        <v>-248912</v>
      </c>
      <c r="FA306" s="239">
        <v>0</v>
      </c>
      <c r="FB306" s="239">
        <v>-248912</v>
      </c>
      <c r="FC306" s="239">
        <v>0</v>
      </c>
      <c r="FD306" s="239">
        <v>0</v>
      </c>
      <c r="FE306" s="239">
        <v>0</v>
      </c>
      <c r="FF306" s="239">
        <v>0</v>
      </c>
      <c r="FG306" s="239">
        <v>0</v>
      </c>
      <c r="FH306" s="239">
        <v>0</v>
      </c>
      <c r="FI306" s="239">
        <v>0</v>
      </c>
      <c r="FJ306" s="239">
        <v>0</v>
      </c>
      <c r="FK306" s="239">
        <v>0</v>
      </c>
      <c r="FL306" s="239">
        <v>67611277</v>
      </c>
      <c r="FM306" s="239">
        <v>0</v>
      </c>
      <c r="FN306" s="239">
        <v>67611277</v>
      </c>
      <c r="FO306" s="239">
        <v>1000088</v>
      </c>
      <c r="FP306" s="239">
        <v>0</v>
      </c>
      <c r="FQ306" s="239">
        <v>1000088</v>
      </c>
      <c r="FR306" s="239">
        <v>-7746315</v>
      </c>
      <c r="FS306" s="239">
        <v>0</v>
      </c>
      <c r="FT306" s="239">
        <v>-7746315</v>
      </c>
      <c r="FU306" s="239">
        <v>-2782311</v>
      </c>
      <c r="FV306" s="239">
        <v>0</v>
      </c>
      <c r="FW306" s="239">
        <v>-2782311</v>
      </c>
      <c r="FX306" s="239">
        <v>-245129</v>
      </c>
      <c r="FY306" s="239">
        <v>0</v>
      </c>
      <c r="FZ306" s="239">
        <v>-245129</v>
      </c>
      <c r="GA306" s="239">
        <v>-248912</v>
      </c>
      <c r="GB306" s="239">
        <v>0</v>
      </c>
      <c r="GC306" s="239">
        <v>-248912</v>
      </c>
      <c r="GD306" s="239">
        <v>0</v>
      </c>
      <c r="GE306" s="239">
        <v>0</v>
      </c>
      <c r="GF306" s="239">
        <v>0</v>
      </c>
      <c r="GG306" s="239">
        <v>-10022579</v>
      </c>
      <c r="GH306" s="239">
        <v>0</v>
      </c>
      <c r="GI306" s="239">
        <v>-10022579</v>
      </c>
      <c r="GJ306" s="239">
        <v>57588698</v>
      </c>
      <c r="GK306" s="239">
        <v>0</v>
      </c>
      <c r="GL306" s="239">
        <v>57588698</v>
      </c>
      <c r="GM306" s="214" t="s">
        <v>1158</v>
      </c>
    </row>
    <row r="307" spans="2:195" s="214" customFormat="1" x14ac:dyDescent="0.2">
      <c r="B307" s="602" t="s">
        <v>697</v>
      </c>
      <c r="C307" s="602" t="s">
        <v>696</v>
      </c>
      <c r="D307" s="239">
        <v>-3761629</v>
      </c>
      <c r="E307" s="239">
        <v>0</v>
      </c>
      <c r="F307" s="239">
        <v>-3761629</v>
      </c>
      <c r="G307" s="239">
        <v>49611</v>
      </c>
      <c r="H307" s="239">
        <v>0</v>
      </c>
      <c r="I307" s="239">
        <v>49611</v>
      </c>
      <c r="J307" s="239">
        <v>5752551</v>
      </c>
      <c r="K307" s="239">
        <v>0</v>
      </c>
      <c r="L307" s="239">
        <v>5752551</v>
      </c>
      <c r="M307" s="239">
        <v>55936</v>
      </c>
      <c r="N307" s="239">
        <v>0</v>
      </c>
      <c r="O307" s="239">
        <v>55936</v>
      </c>
      <c r="P307" s="239">
        <v>2096469</v>
      </c>
      <c r="Q307" s="239">
        <v>0</v>
      </c>
      <c r="R307" s="239">
        <v>2096469</v>
      </c>
      <c r="S307" s="239">
        <v>-4210583</v>
      </c>
      <c r="T307" s="239">
        <v>0</v>
      </c>
      <c r="U307" s="239">
        <v>-4210583</v>
      </c>
      <c r="V307" s="239">
        <v>-24897</v>
      </c>
      <c r="W307" s="239">
        <v>0</v>
      </c>
      <c r="X307" s="239">
        <v>-24897</v>
      </c>
      <c r="Y307" s="239">
        <v>-286136</v>
      </c>
      <c r="Z307" s="239">
        <v>0</v>
      </c>
      <c r="AA307" s="239">
        <v>-286136</v>
      </c>
      <c r="AB307" s="239">
        <v>-252844</v>
      </c>
      <c r="AC307" s="239">
        <v>0</v>
      </c>
      <c r="AD307" s="239">
        <v>-252844</v>
      </c>
      <c r="AE307" s="239">
        <v>7739</v>
      </c>
      <c r="AF307" s="239">
        <v>0</v>
      </c>
      <c r="AG307" s="239">
        <v>7739</v>
      </c>
      <c r="AH307" s="239">
        <v>1986807</v>
      </c>
      <c r="AI307" s="239">
        <v>0</v>
      </c>
      <c r="AJ307" s="239">
        <v>1986807</v>
      </c>
      <c r="AK307" s="239">
        <v>989301</v>
      </c>
      <c r="AL307" s="239">
        <v>0</v>
      </c>
      <c r="AM307" s="239">
        <v>989301</v>
      </c>
      <c r="AN307" s="239">
        <v>-4888801</v>
      </c>
      <c r="AO307" s="239">
        <v>0</v>
      </c>
      <c r="AP307" s="239">
        <v>-4888801</v>
      </c>
      <c r="AQ307" s="239">
        <v>74969</v>
      </c>
      <c r="AR307" s="239">
        <v>0</v>
      </c>
      <c r="AS307" s="239">
        <v>74969</v>
      </c>
      <c r="AT307" s="239">
        <v>-70355</v>
      </c>
      <c r="AU307" s="239">
        <v>0</v>
      </c>
      <c r="AV307" s="239">
        <v>-70355</v>
      </c>
      <c r="AW307" s="239">
        <v>0</v>
      </c>
      <c r="AX307" s="239">
        <v>0</v>
      </c>
      <c r="AY307" s="239">
        <v>0</v>
      </c>
      <c r="AZ307" s="239">
        <v>-10836</v>
      </c>
      <c r="BA307" s="239">
        <v>0</v>
      </c>
      <c r="BB307" s="239">
        <v>-10836</v>
      </c>
      <c r="BC307" s="239">
        <v>436</v>
      </c>
      <c r="BD307" s="239">
        <v>0</v>
      </c>
      <c r="BE307" s="239">
        <v>436</v>
      </c>
      <c r="BF307" s="239">
        <v>-6415198</v>
      </c>
      <c r="BG307" s="239">
        <v>0</v>
      </c>
      <c r="BH307" s="239">
        <v>-6415198</v>
      </c>
      <c r="BI307" s="239">
        <v>-6190</v>
      </c>
      <c r="BJ307" s="239">
        <v>0</v>
      </c>
      <c r="BK307" s="239">
        <v>-6190</v>
      </c>
      <c r="BL307" s="239">
        <v>3136</v>
      </c>
      <c r="BM307" s="239">
        <v>0</v>
      </c>
      <c r="BN307" s="239">
        <v>3136</v>
      </c>
      <c r="BO307" s="239">
        <v>-2757788</v>
      </c>
      <c r="BP307" s="239">
        <v>0</v>
      </c>
      <c r="BQ307" s="239">
        <v>-2757788</v>
      </c>
      <c r="BR307" s="239">
        <v>-502243</v>
      </c>
      <c r="BS307" s="239">
        <v>0</v>
      </c>
      <c r="BT307" s="239">
        <v>-502243</v>
      </c>
      <c r="BU307" s="239">
        <v>-3263085</v>
      </c>
      <c r="BV307" s="239">
        <v>0</v>
      </c>
      <c r="BW307" s="239">
        <v>-3263085</v>
      </c>
      <c r="BX307" s="239">
        <v>-60955</v>
      </c>
      <c r="BY307" s="239">
        <v>0</v>
      </c>
      <c r="BZ307" s="239">
        <v>-60955</v>
      </c>
      <c r="CA307" s="239">
        <v>-691</v>
      </c>
      <c r="CB307" s="239">
        <v>0</v>
      </c>
      <c r="CC307" s="239">
        <v>-691</v>
      </c>
      <c r="CD307" s="239">
        <v>-12767</v>
      </c>
      <c r="CE307" s="239">
        <v>0</v>
      </c>
      <c r="CF307" s="239">
        <v>-12767</v>
      </c>
      <c r="CG307" s="239">
        <v>10746</v>
      </c>
      <c r="CH307" s="239">
        <v>0</v>
      </c>
      <c r="CI307" s="239">
        <v>10746</v>
      </c>
      <c r="CJ307" s="239">
        <v>-8125</v>
      </c>
      <c r="CK307" s="239">
        <v>0</v>
      </c>
      <c r="CL307" s="239">
        <v>-8125</v>
      </c>
      <c r="CM307" s="239">
        <v>0</v>
      </c>
      <c r="CN307" s="239">
        <v>0</v>
      </c>
      <c r="CO307" s="239">
        <v>0</v>
      </c>
      <c r="CP307" s="239">
        <v>0</v>
      </c>
      <c r="CQ307" s="239">
        <v>0</v>
      </c>
      <c r="CR307" s="239">
        <v>0</v>
      </c>
      <c r="CS307" s="239">
        <v>0</v>
      </c>
      <c r="CT307" s="239">
        <v>0</v>
      </c>
      <c r="CU307" s="239">
        <v>0</v>
      </c>
      <c r="CV307" s="239">
        <v>-10434</v>
      </c>
      <c r="CW307" s="239">
        <v>0</v>
      </c>
      <c r="CX307" s="239">
        <v>-10434</v>
      </c>
      <c r="CY307" s="239">
        <v>683</v>
      </c>
      <c r="CZ307" s="239">
        <v>0</v>
      </c>
      <c r="DA307" s="239">
        <v>683</v>
      </c>
      <c r="DB307" s="239">
        <v>0</v>
      </c>
      <c r="DC307" s="239">
        <v>0</v>
      </c>
      <c r="DD307" s="239">
        <v>0</v>
      </c>
      <c r="DE307" s="239">
        <v>0</v>
      </c>
      <c r="DF307" s="239">
        <v>0</v>
      </c>
      <c r="DG307" s="239">
        <v>0</v>
      </c>
      <c r="DH307" s="239">
        <v>0</v>
      </c>
      <c r="DI307" s="239">
        <v>0</v>
      </c>
      <c r="DJ307" s="239">
        <v>-81543</v>
      </c>
      <c r="DK307" s="239">
        <v>0</v>
      </c>
      <c r="DL307" s="239">
        <v>-81543</v>
      </c>
      <c r="DM307" s="239">
        <v>0</v>
      </c>
      <c r="DN307" s="239">
        <v>0</v>
      </c>
      <c r="DO307" s="239">
        <v>0</v>
      </c>
      <c r="DP307" s="239">
        <v>0</v>
      </c>
      <c r="DQ307" s="239">
        <v>0</v>
      </c>
      <c r="DR307" s="239">
        <v>0</v>
      </c>
      <c r="DS307" s="239">
        <v>-2565</v>
      </c>
      <c r="DT307" s="239">
        <v>0</v>
      </c>
      <c r="DU307" s="239">
        <v>-2565</v>
      </c>
      <c r="DV307" s="239">
        <v>0</v>
      </c>
      <c r="DW307" s="239">
        <v>0</v>
      </c>
      <c r="DX307" s="239">
        <v>0</v>
      </c>
      <c r="DY307" s="239">
        <v>1224</v>
      </c>
      <c r="DZ307" s="239">
        <v>0</v>
      </c>
      <c r="EA307" s="239">
        <v>1224</v>
      </c>
      <c r="EB307" s="239">
        <v>0</v>
      </c>
      <c r="EC307" s="239">
        <v>0</v>
      </c>
      <c r="ED307" s="239">
        <v>0</v>
      </c>
      <c r="EE307" s="239">
        <v>10496</v>
      </c>
      <c r="EF307" s="239">
        <v>0</v>
      </c>
      <c r="EG307" s="239">
        <v>10496</v>
      </c>
      <c r="EH307" s="239">
        <v>0</v>
      </c>
      <c r="EI307" s="239">
        <v>0</v>
      </c>
      <c r="EJ307" s="239">
        <v>0</v>
      </c>
      <c r="EK307" s="239">
        <v>-3852</v>
      </c>
      <c r="EL307" s="239">
        <v>0</v>
      </c>
      <c r="EM307" s="239">
        <v>-3852</v>
      </c>
      <c r="EN307" s="239">
        <v>0</v>
      </c>
      <c r="EO307" s="239">
        <v>0</v>
      </c>
      <c r="EP307" s="239">
        <v>0</v>
      </c>
      <c r="EQ307" s="239">
        <v>-61416</v>
      </c>
      <c r="ER307" s="239">
        <v>0</v>
      </c>
      <c r="ES307" s="239">
        <v>-61416</v>
      </c>
      <c r="ET307" s="239">
        <v>-430841</v>
      </c>
      <c r="EU307" s="239">
        <v>0</v>
      </c>
      <c r="EV307" s="239">
        <v>-430841</v>
      </c>
      <c r="EW307" s="239">
        <v>-94174</v>
      </c>
      <c r="EX307" s="239">
        <v>0</v>
      </c>
      <c r="EY307" s="239">
        <v>-94174</v>
      </c>
      <c r="EZ307" s="239">
        <v>-581128</v>
      </c>
      <c r="FA307" s="239">
        <v>0</v>
      </c>
      <c r="FB307" s="239">
        <v>-581128</v>
      </c>
      <c r="FC307" s="239">
        <v>0</v>
      </c>
      <c r="FD307" s="239">
        <v>0</v>
      </c>
      <c r="FE307" s="239">
        <v>0</v>
      </c>
      <c r="FF307" s="239">
        <v>0</v>
      </c>
      <c r="FG307" s="239">
        <v>0</v>
      </c>
      <c r="FH307" s="239">
        <v>0</v>
      </c>
      <c r="FI307" s="239">
        <v>0</v>
      </c>
      <c r="FJ307" s="239">
        <v>0</v>
      </c>
      <c r="FK307" s="239">
        <v>0</v>
      </c>
      <c r="FL307" s="239">
        <v>95537778</v>
      </c>
      <c r="FM307" s="239">
        <v>0</v>
      </c>
      <c r="FN307" s="239">
        <v>95537778</v>
      </c>
      <c r="FO307" s="239">
        <v>2096469</v>
      </c>
      <c r="FP307" s="239">
        <v>0</v>
      </c>
      <c r="FQ307" s="239">
        <v>2096469</v>
      </c>
      <c r="FR307" s="239">
        <v>-6415198</v>
      </c>
      <c r="FS307" s="239">
        <v>0</v>
      </c>
      <c r="FT307" s="239">
        <v>-6415198</v>
      </c>
      <c r="FU307" s="239">
        <v>-3263085</v>
      </c>
      <c r="FV307" s="239">
        <v>0</v>
      </c>
      <c r="FW307" s="239">
        <v>-3263085</v>
      </c>
      <c r="FX307" s="239">
        <v>-81543</v>
      </c>
      <c r="FY307" s="239">
        <v>0</v>
      </c>
      <c r="FZ307" s="239">
        <v>-81543</v>
      </c>
      <c r="GA307" s="239">
        <v>-581128</v>
      </c>
      <c r="GB307" s="239">
        <v>0</v>
      </c>
      <c r="GC307" s="239">
        <v>-581128</v>
      </c>
      <c r="GD307" s="239">
        <v>0</v>
      </c>
      <c r="GE307" s="239">
        <v>0</v>
      </c>
      <c r="GF307" s="239">
        <v>0</v>
      </c>
      <c r="GG307" s="239">
        <v>-8244485</v>
      </c>
      <c r="GH307" s="239">
        <v>0</v>
      </c>
      <c r="GI307" s="239">
        <v>-8244485</v>
      </c>
      <c r="GJ307" s="239">
        <v>87293293</v>
      </c>
      <c r="GK307" s="239">
        <v>0</v>
      </c>
      <c r="GL307" s="239">
        <v>87293293</v>
      </c>
      <c r="GM307" s="214" t="s">
        <v>746</v>
      </c>
    </row>
    <row r="308" spans="2:195" s="214" customFormat="1" x14ac:dyDescent="0.2">
      <c r="B308" s="602" t="s">
        <v>699</v>
      </c>
      <c r="C308" s="602" t="s">
        <v>698</v>
      </c>
      <c r="D308" s="239">
        <v>-710690</v>
      </c>
      <c r="E308" s="239">
        <v>0</v>
      </c>
      <c r="F308" s="239">
        <v>-710690</v>
      </c>
      <c r="G308" s="239">
        <v>-3752</v>
      </c>
      <c r="H308" s="239">
        <v>0</v>
      </c>
      <c r="I308" s="239">
        <v>-3752</v>
      </c>
      <c r="J308" s="239">
        <v>295204</v>
      </c>
      <c r="K308" s="239">
        <v>0</v>
      </c>
      <c r="L308" s="239">
        <v>295204</v>
      </c>
      <c r="M308" s="239">
        <v>2934</v>
      </c>
      <c r="N308" s="239">
        <v>0</v>
      </c>
      <c r="O308" s="239">
        <v>2934</v>
      </c>
      <c r="P308" s="239">
        <v>-416304</v>
      </c>
      <c r="Q308" s="239">
        <v>0</v>
      </c>
      <c r="R308" s="239">
        <v>-416304</v>
      </c>
      <c r="S308" s="239">
        <v>-2212770</v>
      </c>
      <c r="T308" s="239">
        <v>0</v>
      </c>
      <c r="U308" s="239">
        <v>-2212770</v>
      </c>
      <c r="V308" s="239">
        <v>0</v>
      </c>
      <c r="W308" s="239">
        <v>0</v>
      </c>
      <c r="X308" s="239">
        <v>0</v>
      </c>
      <c r="Y308" s="239">
        <v>-178560</v>
      </c>
      <c r="Z308" s="239">
        <v>0</v>
      </c>
      <c r="AA308" s="239">
        <v>-178560</v>
      </c>
      <c r="AB308" s="239">
        <v>-142125</v>
      </c>
      <c r="AC308" s="239">
        <v>0</v>
      </c>
      <c r="AD308" s="239">
        <v>-142125</v>
      </c>
      <c r="AE308" s="239">
        <v>0</v>
      </c>
      <c r="AF308" s="239">
        <v>0</v>
      </c>
      <c r="AG308" s="239">
        <v>0</v>
      </c>
      <c r="AH308" s="239">
        <v>206416</v>
      </c>
      <c r="AI308" s="239">
        <v>0</v>
      </c>
      <c r="AJ308" s="239">
        <v>206416</v>
      </c>
      <c r="AK308" s="239">
        <v>-1244</v>
      </c>
      <c r="AL308" s="239">
        <v>0</v>
      </c>
      <c r="AM308" s="239">
        <v>-1244</v>
      </c>
      <c r="AN308" s="239">
        <v>-1241986</v>
      </c>
      <c r="AO308" s="239">
        <v>0</v>
      </c>
      <c r="AP308" s="239">
        <v>-1241986</v>
      </c>
      <c r="AQ308" s="239">
        <v>-30046</v>
      </c>
      <c r="AR308" s="239">
        <v>0</v>
      </c>
      <c r="AS308" s="239">
        <v>-30046</v>
      </c>
      <c r="AT308" s="239">
        <v>-69446</v>
      </c>
      <c r="AU308" s="239">
        <v>0</v>
      </c>
      <c r="AV308" s="239">
        <v>-69446</v>
      </c>
      <c r="AW308" s="239">
        <v>0</v>
      </c>
      <c r="AX308" s="239">
        <v>0</v>
      </c>
      <c r="AY308" s="239">
        <v>0</v>
      </c>
      <c r="AZ308" s="239">
        <v>-39093</v>
      </c>
      <c r="BA308" s="239">
        <v>0</v>
      </c>
      <c r="BB308" s="239">
        <v>-39093</v>
      </c>
      <c r="BC308" s="239">
        <v>-79</v>
      </c>
      <c r="BD308" s="239">
        <v>0</v>
      </c>
      <c r="BE308" s="239">
        <v>-79</v>
      </c>
      <c r="BF308" s="239">
        <v>-3566808</v>
      </c>
      <c r="BG308" s="239">
        <v>0</v>
      </c>
      <c r="BH308" s="239">
        <v>-3566808</v>
      </c>
      <c r="BI308" s="239">
        <v>0</v>
      </c>
      <c r="BJ308" s="239">
        <v>0</v>
      </c>
      <c r="BK308" s="239">
        <v>0</v>
      </c>
      <c r="BL308" s="239">
        <v>0</v>
      </c>
      <c r="BM308" s="239">
        <v>0</v>
      </c>
      <c r="BN308" s="239">
        <v>0</v>
      </c>
      <c r="BO308" s="239">
        <v>-340173</v>
      </c>
      <c r="BP308" s="239">
        <v>0</v>
      </c>
      <c r="BQ308" s="239">
        <v>-340173</v>
      </c>
      <c r="BR308" s="239">
        <v>-18734</v>
      </c>
      <c r="BS308" s="239">
        <v>0</v>
      </c>
      <c r="BT308" s="239">
        <v>-18734</v>
      </c>
      <c r="BU308" s="239">
        <v>-358907</v>
      </c>
      <c r="BV308" s="239">
        <v>0</v>
      </c>
      <c r="BW308" s="239">
        <v>-358907</v>
      </c>
      <c r="BX308" s="239">
        <v>-59864</v>
      </c>
      <c r="BY308" s="239">
        <v>0</v>
      </c>
      <c r="BZ308" s="239">
        <v>-59864</v>
      </c>
      <c r="CA308" s="239">
        <v>-23322</v>
      </c>
      <c r="CB308" s="239">
        <v>0</v>
      </c>
      <c r="CC308" s="239">
        <v>-23322</v>
      </c>
      <c r="CD308" s="239">
        <v>-11027</v>
      </c>
      <c r="CE308" s="239">
        <v>0</v>
      </c>
      <c r="CF308" s="239">
        <v>-11027</v>
      </c>
      <c r="CG308" s="239">
        <v>-141</v>
      </c>
      <c r="CH308" s="239">
        <v>0</v>
      </c>
      <c r="CI308" s="239">
        <v>-141</v>
      </c>
      <c r="CJ308" s="239">
        <v>-2229</v>
      </c>
      <c r="CK308" s="239">
        <v>0</v>
      </c>
      <c r="CL308" s="239">
        <v>-2229</v>
      </c>
      <c r="CM308" s="239">
        <v>-2059</v>
      </c>
      <c r="CN308" s="239">
        <v>0</v>
      </c>
      <c r="CO308" s="239">
        <v>-2059</v>
      </c>
      <c r="CP308" s="239">
        <v>0</v>
      </c>
      <c r="CQ308" s="239">
        <v>0</v>
      </c>
      <c r="CR308" s="239">
        <v>0</v>
      </c>
      <c r="CS308" s="239">
        <v>0</v>
      </c>
      <c r="CT308" s="239">
        <v>0</v>
      </c>
      <c r="CU308" s="239">
        <v>0</v>
      </c>
      <c r="CV308" s="239">
        <v>0</v>
      </c>
      <c r="CW308" s="239">
        <v>0</v>
      </c>
      <c r="CX308" s="239">
        <v>0</v>
      </c>
      <c r="CY308" s="239">
        <v>0</v>
      </c>
      <c r="CZ308" s="239">
        <v>0</v>
      </c>
      <c r="DA308" s="239">
        <v>0</v>
      </c>
      <c r="DB308" s="239">
        <v>0</v>
      </c>
      <c r="DC308" s="239">
        <v>0</v>
      </c>
      <c r="DD308" s="239">
        <v>0</v>
      </c>
      <c r="DE308" s="239">
        <v>0</v>
      </c>
      <c r="DF308" s="239">
        <v>0</v>
      </c>
      <c r="DG308" s="239">
        <v>0</v>
      </c>
      <c r="DH308" s="239">
        <v>0</v>
      </c>
      <c r="DI308" s="239">
        <v>0</v>
      </c>
      <c r="DJ308" s="239">
        <v>-98642</v>
      </c>
      <c r="DK308" s="239">
        <v>0</v>
      </c>
      <c r="DL308" s="239">
        <v>-98642</v>
      </c>
      <c r="DM308" s="239">
        <v>0</v>
      </c>
      <c r="DN308" s="239">
        <v>0</v>
      </c>
      <c r="DO308" s="239">
        <v>0</v>
      </c>
      <c r="DP308" s="239">
        <v>0</v>
      </c>
      <c r="DQ308" s="239">
        <v>0</v>
      </c>
      <c r="DR308" s="239">
        <v>0</v>
      </c>
      <c r="DS308" s="239">
        <v>0</v>
      </c>
      <c r="DT308" s="239">
        <v>0</v>
      </c>
      <c r="DU308" s="239">
        <v>0</v>
      </c>
      <c r="DV308" s="239">
        <v>0</v>
      </c>
      <c r="DW308" s="239">
        <v>0</v>
      </c>
      <c r="DX308" s="239">
        <v>0</v>
      </c>
      <c r="DY308" s="239">
        <v>3337</v>
      </c>
      <c r="DZ308" s="239">
        <v>0</v>
      </c>
      <c r="EA308" s="239">
        <v>3337</v>
      </c>
      <c r="EB308" s="239">
        <v>0</v>
      </c>
      <c r="EC308" s="239">
        <v>0</v>
      </c>
      <c r="ED308" s="239">
        <v>0</v>
      </c>
      <c r="EE308" s="239">
        <v>0</v>
      </c>
      <c r="EF308" s="239">
        <v>0</v>
      </c>
      <c r="EG308" s="239">
        <v>0</v>
      </c>
      <c r="EH308" s="239">
        <v>0</v>
      </c>
      <c r="EI308" s="239">
        <v>0</v>
      </c>
      <c r="EJ308" s="239">
        <v>0</v>
      </c>
      <c r="EK308" s="239">
        <v>-39093</v>
      </c>
      <c r="EL308" s="239">
        <v>0</v>
      </c>
      <c r="EM308" s="239">
        <v>-39093</v>
      </c>
      <c r="EN308" s="239">
        <v>-1500</v>
      </c>
      <c r="EO308" s="239">
        <v>0</v>
      </c>
      <c r="EP308" s="239">
        <v>-1500</v>
      </c>
      <c r="EQ308" s="239">
        <v>-19539</v>
      </c>
      <c r="ER308" s="239">
        <v>0</v>
      </c>
      <c r="ES308" s="239">
        <v>-19539</v>
      </c>
      <c r="ET308" s="239">
        <v>-111400</v>
      </c>
      <c r="EU308" s="239">
        <v>0</v>
      </c>
      <c r="EV308" s="239">
        <v>-111400</v>
      </c>
      <c r="EW308" s="239">
        <v>-39081</v>
      </c>
      <c r="EX308" s="239">
        <v>0</v>
      </c>
      <c r="EY308" s="239">
        <v>-39081</v>
      </c>
      <c r="EZ308" s="239">
        <v>-207276</v>
      </c>
      <c r="FA308" s="239">
        <v>0</v>
      </c>
      <c r="FB308" s="239">
        <v>-207276</v>
      </c>
      <c r="FC308" s="239">
        <v>-17840</v>
      </c>
      <c r="FD308" s="239">
        <v>0</v>
      </c>
      <c r="FE308" s="239">
        <v>-17840</v>
      </c>
      <c r="FF308" s="239">
        <v>33</v>
      </c>
      <c r="FG308" s="239">
        <v>0</v>
      </c>
      <c r="FH308" s="239">
        <v>33</v>
      </c>
      <c r="FI308" s="239">
        <v>-17807</v>
      </c>
      <c r="FJ308" s="239">
        <v>0</v>
      </c>
      <c r="FK308" s="239">
        <v>-17807</v>
      </c>
      <c r="FL308" s="239">
        <v>14635287</v>
      </c>
      <c r="FM308" s="239">
        <v>0</v>
      </c>
      <c r="FN308" s="239">
        <v>14635287</v>
      </c>
      <c r="FO308" s="239">
        <v>-416304</v>
      </c>
      <c r="FP308" s="239">
        <v>0</v>
      </c>
      <c r="FQ308" s="239">
        <v>-416304</v>
      </c>
      <c r="FR308" s="239">
        <v>-3566808</v>
      </c>
      <c r="FS308" s="239">
        <v>0</v>
      </c>
      <c r="FT308" s="239">
        <v>-3566808</v>
      </c>
      <c r="FU308" s="239">
        <v>-358907</v>
      </c>
      <c r="FV308" s="239">
        <v>0</v>
      </c>
      <c r="FW308" s="239">
        <v>-358907</v>
      </c>
      <c r="FX308" s="239">
        <v>-98642</v>
      </c>
      <c r="FY308" s="239">
        <v>0</v>
      </c>
      <c r="FZ308" s="239">
        <v>-98642</v>
      </c>
      <c r="GA308" s="239">
        <v>-207276</v>
      </c>
      <c r="GB308" s="239">
        <v>0</v>
      </c>
      <c r="GC308" s="239">
        <v>-207276</v>
      </c>
      <c r="GD308" s="239">
        <v>-17807</v>
      </c>
      <c r="GE308" s="239">
        <v>0</v>
      </c>
      <c r="GF308" s="239">
        <v>-17807</v>
      </c>
      <c r="GG308" s="239">
        <v>-4665744</v>
      </c>
      <c r="GH308" s="239">
        <v>0</v>
      </c>
      <c r="GI308" s="239">
        <v>-4665744</v>
      </c>
      <c r="GJ308" s="239">
        <v>9969543</v>
      </c>
      <c r="GK308" s="239">
        <v>0</v>
      </c>
      <c r="GL308" s="239">
        <v>9969543</v>
      </c>
      <c r="GM308" s="214" t="s">
        <v>1158</v>
      </c>
    </row>
    <row r="309" spans="2:195" s="214" customFormat="1" x14ac:dyDescent="0.2">
      <c r="B309" s="602" t="s">
        <v>701</v>
      </c>
      <c r="C309" s="602" t="s">
        <v>700</v>
      </c>
      <c r="D309" s="239">
        <v>-2561083</v>
      </c>
      <c r="E309" s="239">
        <v>0</v>
      </c>
      <c r="F309" s="239">
        <v>-2561083</v>
      </c>
      <c r="G309" s="239">
        <v>99297</v>
      </c>
      <c r="H309" s="239">
        <v>0</v>
      </c>
      <c r="I309" s="239">
        <v>99297</v>
      </c>
      <c r="J309" s="239">
        <v>817242</v>
      </c>
      <c r="K309" s="239">
        <v>0</v>
      </c>
      <c r="L309" s="239">
        <v>817242</v>
      </c>
      <c r="M309" s="239">
        <v>-8588</v>
      </c>
      <c r="N309" s="239">
        <v>0</v>
      </c>
      <c r="O309" s="239">
        <v>-8588</v>
      </c>
      <c r="P309" s="239">
        <v>-1653132</v>
      </c>
      <c r="Q309" s="239">
        <v>0</v>
      </c>
      <c r="R309" s="239">
        <v>-1653132</v>
      </c>
      <c r="S309" s="239">
        <v>-5739873</v>
      </c>
      <c r="T309" s="239">
        <v>0</v>
      </c>
      <c r="U309" s="239">
        <v>-5739873</v>
      </c>
      <c r="V309" s="239">
        <v>-10319</v>
      </c>
      <c r="W309" s="239">
        <v>0</v>
      </c>
      <c r="X309" s="239">
        <v>-10319</v>
      </c>
      <c r="Y309" s="239">
        <v>-275960</v>
      </c>
      <c r="Z309" s="239">
        <v>0</v>
      </c>
      <c r="AA309" s="239">
        <v>-275960</v>
      </c>
      <c r="AB309" s="239">
        <v>-246449</v>
      </c>
      <c r="AC309" s="239">
        <v>0</v>
      </c>
      <c r="AD309" s="239">
        <v>-246449</v>
      </c>
      <c r="AE309" s="239">
        <v>-9361</v>
      </c>
      <c r="AF309" s="239">
        <v>0</v>
      </c>
      <c r="AG309" s="239">
        <v>-9361</v>
      </c>
      <c r="AH309" s="239">
        <v>643352</v>
      </c>
      <c r="AI309" s="239">
        <v>0</v>
      </c>
      <c r="AJ309" s="239">
        <v>643352</v>
      </c>
      <c r="AK309" s="239">
        <v>-17925</v>
      </c>
      <c r="AL309" s="239">
        <v>0</v>
      </c>
      <c r="AM309" s="239">
        <v>-17925</v>
      </c>
      <c r="AN309" s="239">
        <v>-3577655</v>
      </c>
      <c r="AO309" s="239">
        <v>0</v>
      </c>
      <c r="AP309" s="239">
        <v>-3577655</v>
      </c>
      <c r="AQ309" s="239">
        <v>-33976</v>
      </c>
      <c r="AR309" s="239">
        <v>0</v>
      </c>
      <c r="AS309" s="239">
        <v>-33976</v>
      </c>
      <c r="AT309" s="239">
        <v>-104476</v>
      </c>
      <c r="AU309" s="239">
        <v>0</v>
      </c>
      <c r="AV309" s="239">
        <v>-104476</v>
      </c>
      <c r="AW309" s="239">
        <v>-5603</v>
      </c>
      <c r="AX309" s="239">
        <v>0</v>
      </c>
      <c r="AY309" s="239">
        <v>-5603</v>
      </c>
      <c r="AZ309" s="239">
        <v>-59968</v>
      </c>
      <c r="BA309" s="239">
        <v>0</v>
      </c>
      <c r="BB309" s="239">
        <v>-59968</v>
      </c>
      <c r="BC309" s="239">
        <v>-731</v>
      </c>
      <c r="BD309" s="239">
        <v>0</v>
      </c>
      <c r="BE309" s="239">
        <v>-731</v>
      </c>
      <c r="BF309" s="239">
        <v>-9172815</v>
      </c>
      <c r="BG309" s="239">
        <v>0</v>
      </c>
      <c r="BH309" s="239">
        <v>-9172815</v>
      </c>
      <c r="BI309" s="239">
        <v>-18247</v>
      </c>
      <c r="BJ309" s="239">
        <v>0</v>
      </c>
      <c r="BK309" s="239">
        <v>-18247</v>
      </c>
      <c r="BL309" s="239">
        <v>0</v>
      </c>
      <c r="BM309" s="239">
        <v>0</v>
      </c>
      <c r="BN309" s="239">
        <v>0</v>
      </c>
      <c r="BO309" s="239">
        <v>-857606</v>
      </c>
      <c r="BP309" s="239">
        <v>0</v>
      </c>
      <c r="BQ309" s="239">
        <v>-857606</v>
      </c>
      <c r="BR309" s="239">
        <v>47872</v>
      </c>
      <c r="BS309" s="239">
        <v>0</v>
      </c>
      <c r="BT309" s="239">
        <v>47872</v>
      </c>
      <c r="BU309" s="239">
        <v>-827981</v>
      </c>
      <c r="BV309" s="239">
        <v>0</v>
      </c>
      <c r="BW309" s="239">
        <v>-827981</v>
      </c>
      <c r="BX309" s="239">
        <v>-162794</v>
      </c>
      <c r="BY309" s="239">
        <v>0</v>
      </c>
      <c r="BZ309" s="239">
        <v>-162794</v>
      </c>
      <c r="CA309" s="239">
        <v>-400</v>
      </c>
      <c r="CB309" s="239">
        <v>0</v>
      </c>
      <c r="CC309" s="239">
        <v>-400</v>
      </c>
      <c r="CD309" s="239">
        <v>0</v>
      </c>
      <c r="CE309" s="239">
        <v>0</v>
      </c>
      <c r="CF309" s="239">
        <v>0</v>
      </c>
      <c r="CG309" s="239">
        <v>-4646</v>
      </c>
      <c r="CH309" s="239">
        <v>0</v>
      </c>
      <c r="CI309" s="239">
        <v>-4646</v>
      </c>
      <c r="CJ309" s="239">
        <v>-1344</v>
      </c>
      <c r="CK309" s="239">
        <v>0</v>
      </c>
      <c r="CL309" s="239">
        <v>-1344</v>
      </c>
      <c r="CM309" s="239">
        <v>0</v>
      </c>
      <c r="CN309" s="239">
        <v>0</v>
      </c>
      <c r="CO309" s="239">
        <v>0</v>
      </c>
      <c r="CP309" s="239">
        <v>0</v>
      </c>
      <c r="CQ309" s="239">
        <v>0</v>
      </c>
      <c r="CR309" s="239">
        <v>0</v>
      </c>
      <c r="CS309" s="239">
        <v>-1072</v>
      </c>
      <c r="CT309" s="239">
        <v>0</v>
      </c>
      <c r="CU309" s="239">
        <v>-1072</v>
      </c>
      <c r="CV309" s="239">
        <v>0</v>
      </c>
      <c r="CW309" s="239">
        <v>0</v>
      </c>
      <c r="CX309" s="239">
        <v>0</v>
      </c>
      <c r="CY309" s="239">
        <v>0</v>
      </c>
      <c r="CZ309" s="239">
        <v>0</v>
      </c>
      <c r="DA309" s="239">
        <v>0</v>
      </c>
      <c r="DB309" s="239">
        <v>0</v>
      </c>
      <c r="DC309" s="239">
        <v>0</v>
      </c>
      <c r="DD309" s="239">
        <v>0</v>
      </c>
      <c r="DE309" s="239">
        <v>0</v>
      </c>
      <c r="DF309" s="239">
        <v>0</v>
      </c>
      <c r="DG309" s="239">
        <v>0</v>
      </c>
      <c r="DH309" s="239">
        <v>0</v>
      </c>
      <c r="DI309" s="239">
        <v>0</v>
      </c>
      <c r="DJ309" s="239">
        <v>-170256</v>
      </c>
      <c r="DK309" s="239">
        <v>0</v>
      </c>
      <c r="DL309" s="239">
        <v>-170256</v>
      </c>
      <c r="DM309" s="239">
        <v>-130281</v>
      </c>
      <c r="DN309" s="239">
        <v>0</v>
      </c>
      <c r="DO309" s="239">
        <v>-130281</v>
      </c>
      <c r="DP309" s="239">
        <v>21595</v>
      </c>
      <c r="DQ309" s="239">
        <v>0</v>
      </c>
      <c r="DR309" s="239">
        <v>21595</v>
      </c>
      <c r="DS309" s="239">
        <v>-2837</v>
      </c>
      <c r="DT309" s="239">
        <v>0</v>
      </c>
      <c r="DU309" s="239">
        <v>-2837</v>
      </c>
      <c r="DV309" s="239">
        <v>642</v>
      </c>
      <c r="DW309" s="239">
        <v>0</v>
      </c>
      <c r="DX309" s="239">
        <v>642</v>
      </c>
      <c r="DY309" s="239">
        <v>8360</v>
      </c>
      <c r="DZ309" s="239">
        <v>0</v>
      </c>
      <c r="EA309" s="239">
        <v>8360</v>
      </c>
      <c r="EB309" s="239">
        <v>0</v>
      </c>
      <c r="EC309" s="239">
        <v>0</v>
      </c>
      <c r="ED309" s="239">
        <v>0</v>
      </c>
      <c r="EE309" s="239">
        <v>0</v>
      </c>
      <c r="EF309" s="239">
        <v>0</v>
      </c>
      <c r="EG309" s="239">
        <v>0</v>
      </c>
      <c r="EH309" s="239">
        <v>226</v>
      </c>
      <c r="EI309" s="239">
        <v>0</v>
      </c>
      <c r="EJ309" s="239">
        <v>226</v>
      </c>
      <c r="EK309" s="239">
        <v>-59968</v>
      </c>
      <c r="EL309" s="239">
        <v>0</v>
      </c>
      <c r="EM309" s="239">
        <v>-59968</v>
      </c>
      <c r="EN309" s="239">
        <v>0</v>
      </c>
      <c r="EO309" s="239">
        <v>0</v>
      </c>
      <c r="EP309" s="239">
        <v>0</v>
      </c>
      <c r="EQ309" s="239">
        <v>-59002</v>
      </c>
      <c r="ER309" s="239">
        <v>0</v>
      </c>
      <c r="ES309" s="239">
        <v>-59002</v>
      </c>
      <c r="ET309" s="239">
        <v>-435715</v>
      </c>
      <c r="EU309" s="239">
        <v>0</v>
      </c>
      <c r="EV309" s="239">
        <v>-435715</v>
      </c>
      <c r="EW309" s="239">
        <v>-82893</v>
      </c>
      <c r="EX309" s="239">
        <v>0</v>
      </c>
      <c r="EY309" s="239">
        <v>-82893</v>
      </c>
      <c r="EZ309" s="239">
        <v>-739873</v>
      </c>
      <c r="FA309" s="239">
        <v>0</v>
      </c>
      <c r="FB309" s="239">
        <v>-739873</v>
      </c>
      <c r="FC309" s="239">
        <v>-4502</v>
      </c>
      <c r="FD309" s="239">
        <v>0</v>
      </c>
      <c r="FE309" s="239">
        <v>-4502</v>
      </c>
      <c r="FF309" s="239">
        <v>0</v>
      </c>
      <c r="FG309" s="239">
        <v>0</v>
      </c>
      <c r="FH309" s="239">
        <v>0</v>
      </c>
      <c r="FI309" s="239">
        <v>-4502</v>
      </c>
      <c r="FJ309" s="239">
        <v>0</v>
      </c>
      <c r="FK309" s="239">
        <v>-4502</v>
      </c>
      <c r="FL309" s="239">
        <v>43088717</v>
      </c>
      <c r="FM309" s="239">
        <v>0</v>
      </c>
      <c r="FN309" s="239">
        <v>43088717</v>
      </c>
      <c r="FO309" s="239">
        <v>-1653132</v>
      </c>
      <c r="FP309" s="239">
        <v>0</v>
      </c>
      <c r="FQ309" s="239">
        <v>-1653132</v>
      </c>
      <c r="FR309" s="239">
        <v>-9172815</v>
      </c>
      <c r="FS309" s="239">
        <v>0</v>
      </c>
      <c r="FT309" s="239">
        <v>-9172815</v>
      </c>
      <c r="FU309" s="239">
        <v>-827981</v>
      </c>
      <c r="FV309" s="239">
        <v>0</v>
      </c>
      <c r="FW309" s="239">
        <v>-827981</v>
      </c>
      <c r="FX309" s="239">
        <v>-170256</v>
      </c>
      <c r="FY309" s="239">
        <v>0</v>
      </c>
      <c r="FZ309" s="239">
        <v>-170256</v>
      </c>
      <c r="GA309" s="239">
        <v>-739873</v>
      </c>
      <c r="GB309" s="239">
        <v>0</v>
      </c>
      <c r="GC309" s="239">
        <v>-739873</v>
      </c>
      <c r="GD309" s="239">
        <v>-4502</v>
      </c>
      <c r="GE309" s="239">
        <v>0</v>
      </c>
      <c r="GF309" s="239">
        <v>-4502</v>
      </c>
      <c r="GG309" s="239">
        <v>-12568559</v>
      </c>
      <c r="GH309" s="239">
        <v>0</v>
      </c>
      <c r="GI309" s="239">
        <v>-12568559</v>
      </c>
      <c r="GJ309" s="239">
        <v>30520158</v>
      </c>
      <c r="GK309" s="239">
        <v>0</v>
      </c>
      <c r="GL309" s="239">
        <v>30520158</v>
      </c>
      <c r="GM309" s="214" t="s">
        <v>1158</v>
      </c>
    </row>
    <row r="310" spans="2:195" s="214" customFormat="1" x14ac:dyDescent="0.2">
      <c r="B310" s="602" t="s">
        <v>703</v>
      </c>
      <c r="C310" s="602" t="s">
        <v>702</v>
      </c>
      <c r="D310" s="239">
        <v>-862437</v>
      </c>
      <c r="E310" s="239">
        <v>0</v>
      </c>
      <c r="F310" s="239">
        <v>-862437</v>
      </c>
      <c r="G310" s="239">
        <v>30579</v>
      </c>
      <c r="H310" s="239">
        <v>0</v>
      </c>
      <c r="I310" s="239">
        <v>30579</v>
      </c>
      <c r="J310" s="239">
        <v>2800960</v>
      </c>
      <c r="K310" s="239">
        <v>0</v>
      </c>
      <c r="L310" s="239">
        <v>2800960</v>
      </c>
      <c r="M310" s="239">
        <v>166563</v>
      </c>
      <c r="N310" s="239">
        <v>0</v>
      </c>
      <c r="O310" s="239">
        <v>166563</v>
      </c>
      <c r="P310" s="239">
        <v>2135665</v>
      </c>
      <c r="Q310" s="239">
        <v>0</v>
      </c>
      <c r="R310" s="239">
        <v>2135665</v>
      </c>
      <c r="S310" s="239">
        <v>-3347038</v>
      </c>
      <c r="T310" s="239">
        <v>0</v>
      </c>
      <c r="U310" s="239">
        <v>-3347038</v>
      </c>
      <c r="V310" s="239">
        <v>-20052</v>
      </c>
      <c r="W310" s="239">
        <v>0</v>
      </c>
      <c r="X310" s="239">
        <v>-20052</v>
      </c>
      <c r="Y310" s="239">
        <v>-172623</v>
      </c>
      <c r="Z310" s="239">
        <v>0</v>
      </c>
      <c r="AA310" s="239">
        <v>-172623</v>
      </c>
      <c r="AB310" s="239">
        <v>-119971</v>
      </c>
      <c r="AC310" s="239">
        <v>0</v>
      </c>
      <c r="AD310" s="239">
        <v>-119971</v>
      </c>
      <c r="AE310" s="239">
        <v>-5248</v>
      </c>
      <c r="AF310" s="239">
        <v>0</v>
      </c>
      <c r="AG310" s="239">
        <v>-5248</v>
      </c>
      <c r="AH310" s="239">
        <v>693940</v>
      </c>
      <c r="AI310" s="239">
        <v>0</v>
      </c>
      <c r="AJ310" s="239">
        <v>693940</v>
      </c>
      <c r="AK310" s="239">
        <v>-1725</v>
      </c>
      <c r="AL310" s="239">
        <v>0</v>
      </c>
      <c r="AM310" s="239">
        <v>-1725</v>
      </c>
      <c r="AN310" s="239">
        <v>-2662602</v>
      </c>
      <c r="AO310" s="239">
        <v>0</v>
      </c>
      <c r="AP310" s="239">
        <v>-2662602</v>
      </c>
      <c r="AQ310" s="239">
        <v>399421</v>
      </c>
      <c r="AR310" s="239">
        <v>0</v>
      </c>
      <c r="AS310" s="239">
        <v>399421</v>
      </c>
      <c r="AT310" s="239">
        <v>0</v>
      </c>
      <c r="AU310" s="239">
        <v>0</v>
      </c>
      <c r="AV310" s="239">
        <v>0</v>
      </c>
      <c r="AW310" s="239">
        <v>0</v>
      </c>
      <c r="AX310" s="239">
        <v>0</v>
      </c>
      <c r="AY310" s="239">
        <v>0</v>
      </c>
      <c r="AZ310" s="239">
        <v>-1986</v>
      </c>
      <c r="BA310" s="239">
        <v>0</v>
      </c>
      <c r="BB310" s="239">
        <v>-1986</v>
      </c>
      <c r="BC310" s="239">
        <v>0</v>
      </c>
      <c r="BD310" s="239">
        <v>0</v>
      </c>
      <c r="BE310" s="239">
        <v>0</v>
      </c>
      <c r="BF310" s="239">
        <v>-5092613</v>
      </c>
      <c r="BG310" s="239">
        <v>0</v>
      </c>
      <c r="BH310" s="239">
        <v>-5092613</v>
      </c>
      <c r="BI310" s="239">
        <v>0</v>
      </c>
      <c r="BJ310" s="239">
        <v>0</v>
      </c>
      <c r="BK310" s="239">
        <v>0</v>
      </c>
      <c r="BL310" s="239">
        <v>13033</v>
      </c>
      <c r="BM310" s="239">
        <v>0</v>
      </c>
      <c r="BN310" s="239">
        <v>13033</v>
      </c>
      <c r="BO310" s="239">
        <v>-1087833</v>
      </c>
      <c r="BP310" s="239">
        <v>0</v>
      </c>
      <c r="BQ310" s="239">
        <v>-1087833</v>
      </c>
      <c r="BR310" s="239">
        <v>343246</v>
      </c>
      <c r="BS310" s="239">
        <v>0</v>
      </c>
      <c r="BT310" s="239">
        <v>343246</v>
      </c>
      <c r="BU310" s="239">
        <v>-731554</v>
      </c>
      <c r="BV310" s="239">
        <v>0</v>
      </c>
      <c r="BW310" s="239">
        <v>-731554</v>
      </c>
      <c r="BX310" s="239">
        <v>-16663</v>
      </c>
      <c r="BY310" s="239">
        <v>0</v>
      </c>
      <c r="BZ310" s="239">
        <v>-16663</v>
      </c>
      <c r="CA310" s="239">
        <v>0</v>
      </c>
      <c r="CB310" s="239">
        <v>0</v>
      </c>
      <c r="CC310" s="239">
        <v>0</v>
      </c>
      <c r="CD310" s="239">
        <v>-22340</v>
      </c>
      <c r="CE310" s="239">
        <v>0</v>
      </c>
      <c r="CF310" s="239">
        <v>-22340</v>
      </c>
      <c r="CG310" s="239">
        <v>-6513</v>
      </c>
      <c r="CH310" s="239">
        <v>0</v>
      </c>
      <c r="CI310" s="239">
        <v>-6513</v>
      </c>
      <c r="CJ310" s="239">
        <v>0</v>
      </c>
      <c r="CK310" s="239">
        <v>0</v>
      </c>
      <c r="CL310" s="239">
        <v>0</v>
      </c>
      <c r="CM310" s="239">
        <v>0</v>
      </c>
      <c r="CN310" s="239">
        <v>0</v>
      </c>
      <c r="CO310" s="239">
        <v>0</v>
      </c>
      <c r="CP310" s="239">
        <v>0</v>
      </c>
      <c r="CQ310" s="239">
        <v>0</v>
      </c>
      <c r="CR310" s="239">
        <v>0</v>
      </c>
      <c r="CS310" s="239">
        <v>0</v>
      </c>
      <c r="CT310" s="239">
        <v>0</v>
      </c>
      <c r="CU310" s="239">
        <v>0</v>
      </c>
      <c r="CV310" s="239">
        <v>0</v>
      </c>
      <c r="CW310" s="239">
        <v>0</v>
      </c>
      <c r="CX310" s="239">
        <v>0</v>
      </c>
      <c r="CY310" s="239">
        <v>0</v>
      </c>
      <c r="CZ310" s="239">
        <v>0</v>
      </c>
      <c r="DA310" s="239">
        <v>0</v>
      </c>
      <c r="DB310" s="239">
        <v>0</v>
      </c>
      <c r="DC310" s="239">
        <v>0</v>
      </c>
      <c r="DD310" s="239">
        <v>0</v>
      </c>
      <c r="DE310" s="239">
        <v>0</v>
      </c>
      <c r="DF310" s="239">
        <v>0</v>
      </c>
      <c r="DG310" s="239">
        <v>0</v>
      </c>
      <c r="DH310" s="239">
        <v>0</v>
      </c>
      <c r="DI310" s="239">
        <v>0</v>
      </c>
      <c r="DJ310" s="239">
        <v>-45516</v>
      </c>
      <c r="DK310" s="239">
        <v>0</v>
      </c>
      <c r="DL310" s="239">
        <v>-45516</v>
      </c>
      <c r="DM310" s="239">
        <v>0</v>
      </c>
      <c r="DN310" s="239">
        <v>0</v>
      </c>
      <c r="DO310" s="239">
        <v>0</v>
      </c>
      <c r="DP310" s="239">
        <v>0</v>
      </c>
      <c r="DQ310" s="239">
        <v>0</v>
      </c>
      <c r="DR310" s="239">
        <v>0</v>
      </c>
      <c r="DS310" s="239">
        <v>0</v>
      </c>
      <c r="DT310" s="239">
        <v>0</v>
      </c>
      <c r="DU310" s="239">
        <v>0</v>
      </c>
      <c r="DV310" s="239">
        <v>0</v>
      </c>
      <c r="DW310" s="239">
        <v>0</v>
      </c>
      <c r="DX310" s="239">
        <v>0</v>
      </c>
      <c r="DY310" s="239">
        <v>0</v>
      </c>
      <c r="DZ310" s="239">
        <v>0</v>
      </c>
      <c r="EA310" s="239">
        <v>0</v>
      </c>
      <c r="EB310" s="239">
        <v>0</v>
      </c>
      <c r="EC310" s="239">
        <v>0</v>
      </c>
      <c r="ED310" s="239">
        <v>0</v>
      </c>
      <c r="EE310" s="239">
        <v>0</v>
      </c>
      <c r="EF310" s="239">
        <v>0</v>
      </c>
      <c r="EG310" s="239">
        <v>0</v>
      </c>
      <c r="EH310" s="239">
        <v>0</v>
      </c>
      <c r="EI310" s="239">
        <v>0</v>
      </c>
      <c r="EJ310" s="239">
        <v>0</v>
      </c>
      <c r="EK310" s="239">
        <v>0</v>
      </c>
      <c r="EL310" s="239">
        <v>0</v>
      </c>
      <c r="EM310" s="239">
        <v>0</v>
      </c>
      <c r="EN310" s="239">
        <v>0</v>
      </c>
      <c r="EO310" s="239">
        <v>0</v>
      </c>
      <c r="EP310" s="239">
        <v>0</v>
      </c>
      <c r="EQ310" s="239">
        <v>-13626</v>
      </c>
      <c r="ER310" s="239">
        <v>0</v>
      </c>
      <c r="ES310" s="239">
        <v>-13626</v>
      </c>
      <c r="ET310" s="239">
        <v>-149698</v>
      </c>
      <c r="EU310" s="239">
        <v>0</v>
      </c>
      <c r="EV310" s="239">
        <v>-149698</v>
      </c>
      <c r="EW310" s="239">
        <v>-31677</v>
      </c>
      <c r="EX310" s="239">
        <v>0</v>
      </c>
      <c r="EY310" s="239">
        <v>-31677</v>
      </c>
      <c r="EZ310" s="239">
        <v>-195001</v>
      </c>
      <c r="FA310" s="239">
        <v>0</v>
      </c>
      <c r="FB310" s="239">
        <v>-195001</v>
      </c>
      <c r="FC310" s="239">
        <v>0</v>
      </c>
      <c r="FD310" s="239">
        <v>0</v>
      </c>
      <c r="FE310" s="239">
        <v>0</v>
      </c>
      <c r="FF310" s="239">
        <v>0</v>
      </c>
      <c r="FG310" s="239">
        <v>0</v>
      </c>
      <c r="FH310" s="239">
        <v>0</v>
      </c>
      <c r="FI310" s="239">
        <v>0</v>
      </c>
      <c r="FJ310" s="239">
        <v>0</v>
      </c>
      <c r="FK310" s="239">
        <v>0</v>
      </c>
      <c r="FL310" s="239">
        <v>35917791</v>
      </c>
      <c r="FM310" s="239">
        <v>0</v>
      </c>
      <c r="FN310" s="239">
        <v>35917791</v>
      </c>
      <c r="FO310" s="239">
        <v>2135665</v>
      </c>
      <c r="FP310" s="239">
        <v>0</v>
      </c>
      <c r="FQ310" s="239">
        <v>2135665</v>
      </c>
      <c r="FR310" s="239">
        <v>-5092613</v>
      </c>
      <c r="FS310" s="239">
        <v>0</v>
      </c>
      <c r="FT310" s="239">
        <v>-5092613</v>
      </c>
      <c r="FU310" s="239">
        <v>-731554</v>
      </c>
      <c r="FV310" s="239">
        <v>0</v>
      </c>
      <c r="FW310" s="239">
        <v>-731554</v>
      </c>
      <c r="FX310" s="239">
        <v>-45516</v>
      </c>
      <c r="FY310" s="239">
        <v>0</v>
      </c>
      <c r="FZ310" s="239">
        <v>-45516</v>
      </c>
      <c r="GA310" s="239">
        <v>-195001</v>
      </c>
      <c r="GB310" s="239">
        <v>0</v>
      </c>
      <c r="GC310" s="239">
        <v>-195001</v>
      </c>
      <c r="GD310" s="239">
        <v>0</v>
      </c>
      <c r="GE310" s="239">
        <v>0</v>
      </c>
      <c r="GF310" s="239">
        <v>0</v>
      </c>
      <c r="GG310" s="239">
        <v>-3929019</v>
      </c>
      <c r="GH310" s="239">
        <v>0</v>
      </c>
      <c r="GI310" s="239">
        <v>-3929019</v>
      </c>
      <c r="GJ310" s="239">
        <v>31988772</v>
      </c>
      <c r="GK310" s="239">
        <v>0</v>
      </c>
      <c r="GL310" s="239">
        <v>31988772</v>
      </c>
      <c r="GM310" s="214" t="s">
        <v>1158</v>
      </c>
    </row>
    <row r="311" spans="2:195" s="214" customFormat="1" x14ac:dyDescent="0.2">
      <c r="B311" s="602" t="s">
        <v>705</v>
      </c>
      <c r="C311" s="602" t="s">
        <v>704</v>
      </c>
      <c r="D311" s="239">
        <v>-1006759</v>
      </c>
      <c r="E311" s="239">
        <v>0</v>
      </c>
      <c r="F311" s="239">
        <v>-1006759</v>
      </c>
      <c r="G311" s="239">
        <v>136</v>
      </c>
      <c r="H311" s="239">
        <v>0</v>
      </c>
      <c r="I311" s="239">
        <v>136</v>
      </c>
      <c r="J311" s="239">
        <v>397628</v>
      </c>
      <c r="K311" s="239">
        <v>0</v>
      </c>
      <c r="L311" s="239">
        <v>397628</v>
      </c>
      <c r="M311" s="239">
        <v>1310</v>
      </c>
      <c r="N311" s="239">
        <v>0</v>
      </c>
      <c r="O311" s="239">
        <v>1310</v>
      </c>
      <c r="P311" s="239">
        <v>-607685</v>
      </c>
      <c r="Q311" s="239">
        <v>0</v>
      </c>
      <c r="R311" s="239">
        <v>-607685</v>
      </c>
      <c r="S311" s="239">
        <v>-2608627</v>
      </c>
      <c r="T311" s="239">
        <v>0</v>
      </c>
      <c r="U311" s="239">
        <v>-2608627</v>
      </c>
      <c r="V311" s="239">
        <v>-11452</v>
      </c>
      <c r="W311" s="239">
        <v>0</v>
      </c>
      <c r="X311" s="239">
        <v>-11452</v>
      </c>
      <c r="Y311" s="239">
        <v>-127593</v>
      </c>
      <c r="Z311" s="239">
        <v>0</v>
      </c>
      <c r="AA311" s="239">
        <v>-127593</v>
      </c>
      <c r="AB311" s="239">
        <v>-127044</v>
      </c>
      <c r="AC311" s="239">
        <v>0</v>
      </c>
      <c r="AD311" s="239">
        <v>-127044</v>
      </c>
      <c r="AE311" s="239">
        <v>-549</v>
      </c>
      <c r="AF311" s="239">
        <v>0</v>
      </c>
      <c r="AG311" s="239">
        <v>-549</v>
      </c>
      <c r="AH311" s="239">
        <v>338381</v>
      </c>
      <c r="AI311" s="239">
        <v>0</v>
      </c>
      <c r="AJ311" s="239">
        <v>338381</v>
      </c>
      <c r="AK311" s="239">
        <v>-2320</v>
      </c>
      <c r="AL311" s="239">
        <v>0</v>
      </c>
      <c r="AM311" s="239">
        <v>-2320</v>
      </c>
      <c r="AN311" s="239">
        <v>-1686104</v>
      </c>
      <c r="AO311" s="239">
        <v>0</v>
      </c>
      <c r="AP311" s="239">
        <v>-1686104</v>
      </c>
      <c r="AQ311" s="239">
        <v>-19409</v>
      </c>
      <c r="AR311" s="239">
        <v>0</v>
      </c>
      <c r="AS311" s="239">
        <v>-19409</v>
      </c>
      <c r="AT311" s="239">
        <v>-28259</v>
      </c>
      <c r="AU311" s="239">
        <v>0</v>
      </c>
      <c r="AV311" s="239">
        <v>-28259</v>
      </c>
      <c r="AW311" s="239">
        <v>-467</v>
      </c>
      <c r="AX311" s="239">
        <v>0</v>
      </c>
      <c r="AY311" s="239">
        <v>-467</v>
      </c>
      <c r="AZ311" s="239">
        <v>-29846</v>
      </c>
      <c r="BA311" s="239">
        <v>0</v>
      </c>
      <c r="BB311" s="239">
        <v>-29846</v>
      </c>
      <c r="BC311" s="239">
        <v>0</v>
      </c>
      <c r="BD311" s="239">
        <v>0</v>
      </c>
      <c r="BE311" s="239">
        <v>0</v>
      </c>
      <c r="BF311" s="239">
        <v>-4164244</v>
      </c>
      <c r="BG311" s="239">
        <v>0</v>
      </c>
      <c r="BH311" s="239">
        <v>-4164244</v>
      </c>
      <c r="BI311" s="239">
        <v>0</v>
      </c>
      <c r="BJ311" s="239">
        <v>0</v>
      </c>
      <c r="BK311" s="239">
        <v>0</v>
      </c>
      <c r="BL311" s="239">
        <v>0</v>
      </c>
      <c r="BM311" s="239">
        <v>0</v>
      </c>
      <c r="BN311" s="239">
        <v>0</v>
      </c>
      <c r="BO311" s="239">
        <v>-627509</v>
      </c>
      <c r="BP311" s="239">
        <v>0</v>
      </c>
      <c r="BQ311" s="239">
        <v>-627509</v>
      </c>
      <c r="BR311" s="239">
        <v>-2806</v>
      </c>
      <c r="BS311" s="239">
        <v>0</v>
      </c>
      <c r="BT311" s="239">
        <v>-2806</v>
      </c>
      <c r="BU311" s="239">
        <v>-630315</v>
      </c>
      <c r="BV311" s="239">
        <v>0</v>
      </c>
      <c r="BW311" s="239">
        <v>-630315</v>
      </c>
      <c r="BX311" s="239">
        <v>-29256</v>
      </c>
      <c r="BY311" s="239">
        <v>0</v>
      </c>
      <c r="BZ311" s="239">
        <v>-29256</v>
      </c>
      <c r="CA311" s="239">
        <v>-856</v>
      </c>
      <c r="CB311" s="239">
        <v>0</v>
      </c>
      <c r="CC311" s="239">
        <v>-856</v>
      </c>
      <c r="CD311" s="239">
        <v>-11072</v>
      </c>
      <c r="CE311" s="239">
        <v>0</v>
      </c>
      <c r="CF311" s="239">
        <v>-11072</v>
      </c>
      <c r="CG311" s="239">
        <v>2899</v>
      </c>
      <c r="CH311" s="239">
        <v>0</v>
      </c>
      <c r="CI311" s="239">
        <v>2899</v>
      </c>
      <c r="CJ311" s="239">
        <v>-1767</v>
      </c>
      <c r="CK311" s="239">
        <v>0</v>
      </c>
      <c r="CL311" s="239">
        <v>-1767</v>
      </c>
      <c r="CM311" s="239">
        <v>0</v>
      </c>
      <c r="CN311" s="239">
        <v>0</v>
      </c>
      <c r="CO311" s="239">
        <v>0</v>
      </c>
      <c r="CP311" s="239">
        <v>-321</v>
      </c>
      <c r="CQ311" s="239">
        <v>0</v>
      </c>
      <c r="CR311" s="239">
        <v>-321</v>
      </c>
      <c r="CS311" s="239">
        <v>0</v>
      </c>
      <c r="CT311" s="239">
        <v>0</v>
      </c>
      <c r="CU311" s="239">
        <v>0</v>
      </c>
      <c r="CV311" s="239">
        <v>0</v>
      </c>
      <c r="CW311" s="239">
        <v>0</v>
      </c>
      <c r="CX311" s="239">
        <v>0</v>
      </c>
      <c r="CY311" s="239">
        <v>0</v>
      </c>
      <c r="CZ311" s="239">
        <v>0</v>
      </c>
      <c r="DA311" s="239">
        <v>0</v>
      </c>
      <c r="DB311" s="239">
        <v>0</v>
      </c>
      <c r="DC311" s="239">
        <v>0</v>
      </c>
      <c r="DD311" s="239">
        <v>0</v>
      </c>
      <c r="DE311" s="239">
        <v>0</v>
      </c>
      <c r="DF311" s="239">
        <v>0</v>
      </c>
      <c r="DG311" s="239">
        <v>0</v>
      </c>
      <c r="DH311" s="239">
        <v>0</v>
      </c>
      <c r="DI311" s="239">
        <v>0</v>
      </c>
      <c r="DJ311" s="239">
        <v>-40373</v>
      </c>
      <c r="DK311" s="239">
        <v>0</v>
      </c>
      <c r="DL311" s="239">
        <v>-40373</v>
      </c>
      <c r="DM311" s="239">
        <v>0</v>
      </c>
      <c r="DN311" s="239">
        <v>0</v>
      </c>
      <c r="DO311" s="239">
        <v>0</v>
      </c>
      <c r="DP311" s="239">
        <v>0</v>
      </c>
      <c r="DQ311" s="239">
        <v>0</v>
      </c>
      <c r="DR311" s="239">
        <v>0</v>
      </c>
      <c r="DS311" s="239">
        <v>-249</v>
      </c>
      <c r="DT311" s="239">
        <v>0</v>
      </c>
      <c r="DU311" s="239">
        <v>-249</v>
      </c>
      <c r="DV311" s="239">
        <v>0</v>
      </c>
      <c r="DW311" s="239">
        <v>0</v>
      </c>
      <c r="DX311" s="239">
        <v>0</v>
      </c>
      <c r="DY311" s="239">
        <v>373</v>
      </c>
      <c r="DZ311" s="239">
        <v>0</v>
      </c>
      <c r="EA311" s="239">
        <v>373</v>
      </c>
      <c r="EB311" s="239">
        <v>0</v>
      </c>
      <c r="EC311" s="239">
        <v>0</v>
      </c>
      <c r="ED311" s="239">
        <v>0</v>
      </c>
      <c r="EE311" s="239">
        <v>0</v>
      </c>
      <c r="EF311" s="239">
        <v>0</v>
      </c>
      <c r="EG311" s="239">
        <v>0</v>
      </c>
      <c r="EH311" s="239">
        <v>0</v>
      </c>
      <c r="EI311" s="239">
        <v>0</v>
      </c>
      <c r="EJ311" s="239">
        <v>0</v>
      </c>
      <c r="EK311" s="239">
        <v>-29524</v>
      </c>
      <c r="EL311" s="239">
        <v>0</v>
      </c>
      <c r="EM311" s="239">
        <v>-29524</v>
      </c>
      <c r="EN311" s="239">
        <v>-1025</v>
      </c>
      <c r="EO311" s="239">
        <v>0</v>
      </c>
      <c r="EP311" s="239">
        <v>-1025</v>
      </c>
      <c r="EQ311" s="239">
        <v>-22003</v>
      </c>
      <c r="ER311" s="239">
        <v>0</v>
      </c>
      <c r="ES311" s="239">
        <v>-22003</v>
      </c>
      <c r="ET311" s="239">
        <v>-101994</v>
      </c>
      <c r="EU311" s="239">
        <v>0</v>
      </c>
      <c r="EV311" s="239">
        <v>-101994</v>
      </c>
      <c r="EW311" s="239">
        <v>-29675</v>
      </c>
      <c r="EX311" s="239">
        <v>0</v>
      </c>
      <c r="EY311" s="239">
        <v>-29675</v>
      </c>
      <c r="EZ311" s="239">
        <v>-184097</v>
      </c>
      <c r="FA311" s="239">
        <v>0</v>
      </c>
      <c r="FB311" s="239">
        <v>-184097</v>
      </c>
      <c r="FC311" s="239">
        <v>0</v>
      </c>
      <c r="FD311" s="239">
        <v>0</v>
      </c>
      <c r="FE311" s="239">
        <v>0</v>
      </c>
      <c r="FF311" s="239">
        <v>0</v>
      </c>
      <c r="FG311" s="239">
        <v>0</v>
      </c>
      <c r="FH311" s="239">
        <v>0</v>
      </c>
      <c r="FI311" s="239">
        <v>0</v>
      </c>
      <c r="FJ311" s="239">
        <v>0</v>
      </c>
      <c r="FK311" s="239">
        <v>0</v>
      </c>
      <c r="FL311" s="239">
        <v>22344879</v>
      </c>
      <c r="FM311" s="239">
        <v>0</v>
      </c>
      <c r="FN311" s="239">
        <v>22344879</v>
      </c>
      <c r="FO311" s="239">
        <v>-607685</v>
      </c>
      <c r="FP311" s="239">
        <v>0</v>
      </c>
      <c r="FQ311" s="239">
        <v>-607685</v>
      </c>
      <c r="FR311" s="239">
        <v>-4164244</v>
      </c>
      <c r="FS311" s="239">
        <v>0</v>
      </c>
      <c r="FT311" s="239">
        <v>-4164244</v>
      </c>
      <c r="FU311" s="239">
        <v>-630315</v>
      </c>
      <c r="FV311" s="239">
        <v>0</v>
      </c>
      <c r="FW311" s="239">
        <v>-630315</v>
      </c>
      <c r="FX311" s="239">
        <v>-40373</v>
      </c>
      <c r="FY311" s="239">
        <v>0</v>
      </c>
      <c r="FZ311" s="239">
        <v>-40373</v>
      </c>
      <c r="GA311" s="239">
        <v>-184097</v>
      </c>
      <c r="GB311" s="239">
        <v>0</v>
      </c>
      <c r="GC311" s="239">
        <v>-184097</v>
      </c>
      <c r="GD311" s="239">
        <v>0</v>
      </c>
      <c r="GE311" s="239">
        <v>0</v>
      </c>
      <c r="GF311" s="239">
        <v>0</v>
      </c>
      <c r="GG311" s="239">
        <v>-5626714</v>
      </c>
      <c r="GH311" s="239">
        <v>0</v>
      </c>
      <c r="GI311" s="239">
        <v>-5626714</v>
      </c>
      <c r="GJ311" s="239">
        <v>16718165</v>
      </c>
      <c r="GK311" s="239">
        <v>0</v>
      </c>
      <c r="GL311" s="239">
        <v>16718165</v>
      </c>
      <c r="GM311" s="214" t="s">
        <v>1158</v>
      </c>
    </row>
    <row r="312" spans="2:195" s="214" customFormat="1" x14ac:dyDescent="0.2">
      <c r="B312" s="602" t="s">
        <v>707</v>
      </c>
      <c r="C312" s="602" t="s">
        <v>706</v>
      </c>
      <c r="D312" s="239">
        <v>-3075188</v>
      </c>
      <c r="E312" s="239">
        <v>0</v>
      </c>
      <c r="F312" s="239">
        <v>-3075188</v>
      </c>
      <c r="G312" s="239">
        <v>11369</v>
      </c>
      <c r="H312" s="239">
        <v>0</v>
      </c>
      <c r="I312" s="239">
        <v>11369</v>
      </c>
      <c r="J312" s="239">
        <v>1041558</v>
      </c>
      <c r="K312" s="239">
        <v>0</v>
      </c>
      <c r="L312" s="239">
        <v>1041558</v>
      </c>
      <c r="M312" s="239">
        <v>10531</v>
      </c>
      <c r="N312" s="239">
        <v>0</v>
      </c>
      <c r="O312" s="239">
        <v>10531</v>
      </c>
      <c r="P312" s="239">
        <v>-2011730</v>
      </c>
      <c r="Q312" s="239">
        <v>0</v>
      </c>
      <c r="R312" s="239">
        <v>-2011730</v>
      </c>
      <c r="S312" s="239">
        <v>-3268922</v>
      </c>
      <c r="T312" s="239">
        <v>0</v>
      </c>
      <c r="U312" s="239">
        <v>-3268922</v>
      </c>
      <c r="V312" s="239">
        <v>-21219</v>
      </c>
      <c r="W312" s="239">
        <v>0</v>
      </c>
      <c r="X312" s="239">
        <v>-21219</v>
      </c>
      <c r="Y312" s="239">
        <v>-203813</v>
      </c>
      <c r="Z312" s="239">
        <v>0</v>
      </c>
      <c r="AA312" s="239">
        <v>-203813</v>
      </c>
      <c r="AB312" s="239">
        <v>-197380</v>
      </c>
      <c r="AC312" s="239">
        <v>0</v>
      </c>
      <c r="AD312" s="239">
        <v>-197380</v>
      </c>
      <c r="AE312" s="239">
        <v>-57</v>
      </c>
      <c r="AF312" s="239">
        <v>0</v>
      </c>
      <c r="AG312" s="239">
        <v>-57</v>
      </c>
      <c r="AH312" s="239">
        <v>799247</v>
      </c>
      <c r="AI312" s="239">
        <v>0</v>
      </c>
      <c r="AJ312" s="239">
        <v>799247</v>
      </c>
      <c r="AK312" s="239">
        <v>231206</v>
      </c>
      <c r="AL312" s="239">
        <v>0</v>
      </c>
      <c r="AM312" s="239">
        <v>231206</v>
      </c>
      <c r="AN312" s="239">
        <v>-3140169</v>
      </c>
      <c r="AO312" s="239">
        <v>0</v>
      </c>
      <c r="AP312" s="239">
        <v>-3140169</v>
      </c>
      <c r="AQ312" s="239">
        <v>-18806</v>
      </c>
      <c r="AR312" s="239">
        <v>0</v>
      </c>
      <c r="AS312" s="239">
        <v>-18806</v>
      </c>
      <c r="AT312" s="239">
        <v>-51566</v>
      </c>
      <c r="AU312" s="239">
        <v>0</v>
      </c>
      <c r="AV312" s="239">
        <v>-51566</v>
      </c>
      <c r="AW312" s="239">
        <v>1033</v>
      </c>
      <c r="AX312" s="239">
        <v>0</v>
      </c>
      <c r="AY312" s="239">
        <v>1033</v>
      </c>
      <c r="AZ312" s="239">
        <v>-30678</v>
      </c>
      <c r="BA312" s="239">
        <v>0</v>
      </c>
      <c r="BB312" s="239">
        <v>-30678</v>
      </c>
      <c r="BC312" s="239">
        <v>-533</v>
      </c>
      <c r="BD312" s="239">
        <v>0</v>
      </c>
      <c r="BE312" s="239">
        <v>-533</v>
      </c>
      <c r="BF312" s="239">
        <v>-5683001</v>
      </c>
      <c r="BG312" s="239">
        <v>0</v>
      </c>
      <c r="BH312" s="239">
        <v>-5683001</v>
      </c>
      <c r="BI312" s="239">
        <v>0</v>
      </c>
      <c r="BJ312" s="239">
        <v>0</v>
      </c>
      <c r="BK312" s="239">
        <v>0</v>
      </c>
      <c r="BL312" s="239">
        <v>-18981</v>
      </c>
      <c r="BM312" s="239">
        <v>0</v>
      </c>
      <c r="BN312" s="239">
        <v>-18981</v>
      </c>
      <c r="BO312" s="239">
        <v>-710461</v>
      </c>
      <c r="BP312" s="239">
        <v>0</v>
      </c>
      <c r="BQ312" s="239">
        <v>-710461</v>
      </c>
      <c r="BR312" s="239">
        <v>-28382</v>
      </c>
      <c r="BS312" s="239">
        <v>0</v>
      </c>
      <c r="BT312" s="239">
        <v>-28382</v>
      </c>
      <c r="BU312" s="239">
        <v>-757824</v>
      </c>
      <c r="BV312" s="239">
        <v>0</v>
      </c>
      <c r="BW312" s="239">
        <v>-757824</v>
      </c>
      <c r="BX312" s="239">
        <v>-101724</v>
      </c>
      <c r="BY312" s="239">
        <v>0</v>
      </c>
      <c r="BZ312" s="239">
        <v>-101724</v>
      </c>
      <c r="CA312" s="239">
        <v>-4566</v>
      </c>
      <c r="CB312" s="239">
        <v>0</v>
      </c>
      <c r="CC312" s="239">
        <v>-4566</v>
      </c>
      <c r="CD312" s="239">
        <v>-9825</v>
      </c>
      <c r="CE312" s="239">
        <v>0</v>
      </c>
      <c r="CF312" s="239">
        <v>-9825</v>
      </c>
      <c r="CG312" s="239">
        <v>0</v>
      </c>
      <c r="CH312" s="239">
        <v>0</v>
      </c>
      <c r="CI312" s="239">
        <v>0</v>
      </c>
      <c r="CJ312" s="239">
        <v>0</v>
      </c>
      <c r="CK312" s="239">
        <v>0</v>
      </c>
      <c r="CL312" s="239">
        <v>0</v>
      </c>
      <c r="CM312" s="239">
        <v>0</v>
      </c>
      <c r="CN312" s="239">
        <v>0</v>
      </c>
      <c r="CO312" s="239">
        <v>0</v>
      </c>
      <c r="CP312" s="239">
        <v>0</v>
      </c>
      <c r="CQ312" s="239">
        <v>0</v>
      </c>
      <c r="CR312" s="239">
        <v>0</v>
      </c>
      <c r="CS312" s="239">
        <v>0</v>
      </c>
      <c r="CT312" s="239">
        <v>0</v>
      </c>
      <c r="CU312" s="239">
        <v>0</v>
      </c>
      <c r="CV312" s="239">
        <v>0</v>
      </c>
      <c r="CW312" s="239">
        <v>0</v>
      </c>
      <c r="CX312" s="239">
        <v>0</v>
      </c>
      <c r="CY312" s="239">
        <v>0</v>
      </c>
      <c r="CZ312" s="239">
        <v>0</v>
      </c>
      <c r="DA312" s="239">
        <v>0</v>
      </c>
      <c r="DB312" s="239">
        <v>0</v>
      </c>
      <c r="DC312" s="239">
        <v>0</v>
      </c>
      <c r="DD312" s="239">
        <v>0</v>
      </c>
      <c r="DE312" s="239">
        <v>0</v>
      </c>
      <c r="DF312" s="239">
        <v>0</v>
      </c>
      <c r="DG312" s="239">
        <v>0</v>
      </c>
      <c r="DH312" s="239">
        <v>0</v>
      </c>
      <c r="DI312" s="239">
        <v>0</v>
      </c>
      <c r="DJ312" s="239">
        <v>-116115</v>
      </c>
      <c r="DK312" s="239">
        <v>0</v>
      </c>
      <c r="DL312" s="239">
        <v>-116115</v>
      </c>
      <c r="DM312" s="239">
        <v>-697</v>
      </c>
      <c r="DN312" s="239">
        <v>0</v>
      </c>
      <c r="DO312" s="239">
        <v>-697</v>
      </c>
      <c r="DP312" s="239">
        <v>-31376</v>
      </c>
      <c r="DQ312" s="239">
        <v>0</v>
      </c>
      <c r="DR312" s="239">
        <v>-31376</v>
      </c>
      <c r="DS312" s="239">
        <v>-708</v>
      </c>
      <c r="DT312" s="239">
        <v>0</v>
      </c>
      <c r="DU312" s="239">
        <v>-708</v>
      </c>
      <c r="DV312" s="239">
        <v>0</v>
      </c>
      <c r="DW312" s="239">
        <v>0</v>
      </c>
      <c r="DX312" s="239">
        <v>0</v>
      </c>
      <c r="DY312" s="239">
        <v>1523</v>
      </c>
      <c r="DZ312" s="239">
        <v>0</v>
      </c>
      <c r="EA312" s="239">
        <v>1523</v>
      </c>
      <c r="EB312" s="239">
        <v>0</v>
      </c>
      <c r="EC312" s="239">
        <v>0</v>
      </c>
      <c r="ED312" s="239">
        <v>0</v>
      </c>
      <c r="EE312" s="239">
        <v>0</v>
      </c>
      <c r="EF312" s="239">
        <v>0</v>
      </c>
      <c r="EG312" s="239">
        <v>0</v>
      </c>
      <c r="EH312" s="239">
        <v>0</v>
      </c>
      <c r="EI312" s="239">
        <v>0</v>
      </c>
      <c r="EJ312" s="239">
        <v>0</v>
      </c>
      <c r="EK312" s="239">
        <v>-30678</v>
      </c>
      <c r="EL312" s="239">
        <v>0</v>
      </c>
      <c r="EM312" s="239">
        <v>-30678</v>
      </c>
      <c r="EN312" s="239">
        <v>0</v>
      </c>
      <c r="EO312" s="239">
        <v>0</v>
      </c>
      <c r="EP312" s="239">
        <v>0</v>
      </c>
      <c r="EQ312" s="239">
        <v>-70357</v>
      </c>
      <c r="ER312" s="239">
        <v>0</v>
      </c>
      <c r="ES312" s="239">
        <v>-70357</v>
      </c>
      <c r="ET312" s="239">
        <v>-552404</v>
      </c>
      <c r="EU312" s="239">
        <v>0</v>
      </c>
      <c r="EV312" s="239">
        <v>-552404</v>
      </c>
      <c r="EW312" s="239">
        <v>-81348</v>
      </c>
      <c r="EX312" s="239">
        <v>0</v>
      </c>
      <c r="EY312" s="239">
        <v>-81348</v>
      </c>
      <c r="EZ312" s="239">
        <v>-766045</v>
      </c>
      <c r="FA312" s="239">
        <v>0</v>
      </c>
      <c r="FB312" s="239">
        <v>-766045</v>
      </c>
      <c r="FC312" s="239">
        <v>0</v>
      </c>
      <c r="FD312" s="239">
        <v>0</v>
      </c>
      <c r="FE312" s="239">
        <v>0</v>
      </c>
      <c r="FF312" s="239">
        <v>0</v>
      </c>
      <c r="FG312" s="239">
        <v>0</v>
      </c>
      <c r="FH312" s="239">
        <v>0</v>
      </c>
      <c r="FI312" s="239">
        <v>0</v>
      </c>
      <c r="FJ312" s="239">
        <v>0</v>
      </c>
      <c r="FK312" s="239">
        <v>0</v>
      </c>
      <c r="FL312" s="239">
        <v>45450028</v>
      </c>
      <c r="FM312" s="239">
        <v>0</v>
      </c>
      <c r="FN312" s="239">
        <v>45450028</v>
      </c>
      <c r="FO312" s="239">
        <v>-2011730</v>
      </c>
      <c r="FP312" s="239">
        <v>0</v>
      </c>
      <c r="FQ312" s="239">
        <v>-2011730</v>
      </c>
      <c r="FR312" s="239">
        <v>-5683001</v>
      </c>
      <c r="FS312" s="239">
        <v>0</v>
      </c>
      <c r="FT312" s="239">
        <v>-5683001</v>
      </c>
      <c r="FU312" s="239">
        <v>-757824</v>
      </c>
      <c r="FV312" s="239">
        <v>0</v>
      </c>
      <c r="FW312" s="239">
        <v>-757824</v>
      </c>
      <c r="FX312" s="239">
        <v>-116115</v>
      </c>
      <c r="FY312" s="239">
        <v>0</v>
      </c>
      <c r="FZ312" s="239">
        <v>-116115</v>
      </c>
      <c r="GA312" s="239">
        <v>-766045</v>
      </c>
      <c r="GB312" s="239">
        <v>0</v>
      </c>
      <c r="GC312" s="239">
        <v>-766045</v>
      </c>
      <c r="GD312" s="239">
        <v>0</v>
      </c>
      <c r="GE312" s="239">
        <v>0</v>
      </c>
      <c r="GF312" s="239">
        <v>0</v>
      </c>
      <c r="GG312" s="239">
        <v>-9334715</v>
      </c>
      <c r="GH312" s="239">
        <v>0</v>
      </c>
      <c r="GI312" s="239">
        <v>-9334715</v>
      </c>
      <c r="GJ312" s="239">
        <v>36115313</v>
      </c>
      <c r="GK312" s="239">
        <v>0</v>
      </c>
      <c r="GL312" s="239">
        <v>36115313</v>
      </c>
      <c r="GM312" s="214" t="s">
        <v>1158</v>
      </c>
    </row>
    <row r="313" spans="2:195" s="214" customFormat="1" x14ac:dyDescent="0.2">
      <c r="B313" s="602" t="s">
        <v>709</v>
      </c>
      <c r="C313" s="602" t="s">
        <v>708</v>
      </c>
      <c r="D313" s="239">
        <v>-3861932</v>
      </c>
      <c r="E313" s="239">
        <v>0</v>
      </c>
      <c r="F313" s="239">
        <v>-3861932</v>
      </c>
      <c r="G313" s="239">
        <v>7767</v>
      </c>
      <c r="H313" s="239">
        <v>0</v>
      </c>
      <c r="I313" s="239">
        <v>7767</v>
      </c>
      <c r="J313" s="239">
        <v>332985</v>
      </c>
      <c r="K313" s="239">
        <v>0</v>
      </c>
      <c r="L313" s="239">
        <v>332985</v>
      </c>
      <c r="M313" s="239">
        <v>7734</v>
      </c>
      <c r="N313" s="239">
        <v>0</v>
      </c>
      <c r="O313" s="239">
        <v>7734</v>
      </c>
      <c r="P313" s="239">
        <v>-3513446</v>
      </c>
      <c r="Q313" s="239">
        <v>0</v>
      </c>
      <c r="R313" s="239">
        <v>-3513446</v>
      </c>
      <c r="S313" s="239">
        <v>-2061794</v>
      </c>
      <c r="T313" s="239">
        <v>0</v>
      </c>
      <c r="U313" s="239">
        <v>-2061794</v>
      </c>
      <c r="V313" s="239">
        <v>0</v>
      </c>
      <c r="W313" s="239">
        <v>0</v>
      </c>
      <c r="X313" s="239">
        <v>0</v>
      </c>
      <c r="Y313" s="239">
        <v>-217820</v>
      </c>
      <c r="Z313" s="239">
        <v>0</v>
      </c>
      <c r="AA313" s="239">
        <v>-217820</v>
      </c>
      <c r="AB313" s="239">
        <v>-200352</v>
      </c>
      <c r="AC313" s="239">
        <v>0</v>
      </c>
      <c r="AD313" s="239">
        <v>-200352</v>
      </c>
      <c r="AE313" s="239">
        <v>0</v>
      </c>
      <c r="AF313" s="239">
        <v>0</v>
      </c>
      <c r="AG313" s="239">
        <v>0</v>
      </c>
      <c r="AH313" s="239">
        <v>413341</v>
      </c>
      <c r="AI313" s="239">
        <v>0</v>
      </c>
      <c r="AJ313" s="239">
        <v>413341</v>
      </c>
      <c r="AK313" s="239">
        <v>-2567</v>
      </c>
      <c r="AL313" s="239">
        <v>0</v>
      </c>
      <c r="AM313" s="239">
        <v>-2567</v>
      </c>
      <c r="AN313" s="239">
        <v>-688526</v>
      </c>
      <c r="AO313" s="239">
        <v>0</v>
      </c>
      <c r="AP313" s="239">
        <v>-688526</v>
      </c>
      <c r="AQ313" s="239">
        <v>-10531</v>
      </c>
      <c r="AR313" s="239">
        <v>0</v>
      </c>
      <c r="AS313" s="239">
        <v>-10531</v>
      </c>
      <c r="AT313" s="239">
        <v>-15615</v>
      </c>
      <c r="AU313" s="239">
        <v>0</v>
      </c>
      <c r="AV313" s="239">
        <v>-15615</v>
      </c>
      <c r="AW313" s="239">
        <v>0</v>
      </c>
      <c r="AX313" s="239">
        <v>0</v>
      </c>
      <c r="AY313" s="239">
        <v>0</v>
      </c>
      <c r="AZ313" s="239">
        <v>-25160</v>
      </c>
      <c r="BA313" s="239">
        <v>0</v>
      </c>
      <c r="BB313" s="239">
        <v>-25160</v>
      </c>
      <c r="BC313" s="239">
        <v>0</v>
      </c>
      <c r="BD313" s="239">
        <v>0</v>
      </c>
      <c r="BE313" s="239">
        <v>0</v>
      </c>
      <c r="BF313" s="239">
        <v>-2608672</v>
      </c>
      <c r="BG313" s="239">
        <v>0</v>
      </c>
      <c r="BH313" s="239">
        <v>-2608672</v>
      </c>
      <c r="BI313" s="239">
        <v>0</v>
      </c>
      <c r="BJ313" s="239">
        <v>0</v>
      </c>
      <c r="BK313" s="239">
        <v>0</v>
      </c>
      <c r="BL313" s="239">
        <v>166026</v>
      </c>
      <c r="BM313" s="239">
        <v>0</v>
      </c>
      <c r="BN313" s="239">
        <v>166026</v>
      </c>
      <c r="BO313" s="239">
        <v>-111661</v>
      </c>
      <c r="BP313" s="239">
        <v>0</v>
      </c>
      <c r="BQ313" s="239">
        <v>-111661</v>
      </c>
      <c r="BR313" s="239">
        <v>6422</v>
      </c>
      <c r="BS313" s="239">
        <v>0</v>
      </c>
      <c r="BT313" s="239">
        <v>6422</v>
      </c>
      <c r="BU313" s="239">
        <v>60787</v>
      </c>
      <c r="BV313" s="239">
        <v>0</v>
      </c>
      <c r="BW313" s="239">
        <v>60787</v>
      </c>
      <c r="BX313" s="239">
        <v>-41067</v>
      </c>
      <c r="BY313" s="239">
        <v>0</v>
      </c>
      <c r="BZ313" s="239">
        <v>-41067</v>
      </c>
      <c r="CA313" s="239">
        <v>-4526</v>
      </c>
      <c r="CB313" s="239">
        <v>0</v>
      </c>
      <c r="CC313" s="239">
        <v>-4526</v>
      </c>
      <c r="CD313" s="239">
        <v>-14798</v>
      </c>
      <c r="CE313" s="239">
        <v>0</v>
      </c>
      <c r="CF313" s="239">
        <v>-14798</v>
      </c>
      <c r="CG313" s="239">
        <v>0</v>
      </c>
      <c r="CH313" s="239">
        <v>0</v>
      </c>
      <c r="CI313" s="239">
        <v>0</v>
      </c>
      <c r="CJ313" s="239">
        <v>-2594</v>
      </c>
      <c r="CK313" s="239">
        <v>0</v>
      </c>
      <c r="CL313" s="239">
        <v>-2594</v>
      </c>
      <c r="CM313" s="239">
        <v>0</v>
      </c>
      <c r="CN313" s="239">
        <v>0</v>
      </c>
      <c r="CO313" s="239">
        <v>0</v>
      </c>
      <c r="CP313" s="239">
        <v>-13719</v>
      </c>
      <c r="CQ313" s="239">
        <v>0</v>
      </c>
      <c r="CR313" s="239">
        <v>-13719</v>
      </c>
      <c r="CS313" s="239">
        <v>-408</v>
      </c>
      <c r="CT313" s="239">
        <v>0</v>
      </c>
      <c r="CU313" s="239">
        <v>-408</v>
      </c>
      <c r="CV313" s="239">
        <v>-35161</v>
      </c>
      <c r="CW313" s="239">
        <v>0</v>
      </c>
      <c r="CX313" s="239">
        <v>-35161</v>
      </c>
      <c r="CY313" s="239">
        <v>12010</v>
      </c>
      <c r="CZ313" s="239">
        <v>0</v>
      </c>
      <c r="DA313" s="239">
        <v>12010</v>
      </c>
      <c r="DB313" s="239">
        <v>0</v>
      </c>
      <c r="DC313" s="239">
        <v>0</v>
      </c>
      <c r="DD313" s="239">
        <v>0</v>
      </c>
      <c r="DE313" s="239">
        <v>0</v>
      </c>
      <c r="DF313" s="239">
        <v>0</v>
      </c>
      <c r="DG313" s="239">
        <v>0</v>
      </c>
      <c r="DH313" s="239">
        <v>0</v>
      </c>
      <c r="DI313" s="239">
        <v>0</v>
      </c>
      <c r="DJ313" s="239">
        <v>-100263</v>
      </c>
      <c r="DK313" s="239">
        <v>0</v>
      </c>
      <c r="DL313" s="239">
        <v>-100263</v>
      </c>
      <c r="DM313" s="239">
        <v>0</v>
      </c>
      <c r="DN313" s="239">
        <v>0</v>
      </c>
      <c r="DO313" s="239">
        <v>0</v>
      </c>
      <c r="DP313" s="239">
        <v>0</v>
      </c>
      <c r="DQ313" s="239">
        <v>0</v>
      </c>
      <c r="DR313" s="239">
        <v>0</v>
      </c>
      <c r="DS313" s="239">
        <v>0</v>
      </c>
      <c r="DT313" s="239">
        <v>0</v>
      </c>
      <c r="DU313" s="239">
        <v>0</v>
      </c>
      <c r="DV313" s="239">
        <v>0</v>
      </c>
      <c r="DW313" s="239">
        <v>0</v>
      </c>
      <c r="DX313" s="239">
        <v>0</v>
      </c>
      <c r="DY313" s="239">
        <v>1933</v>
      </c>
      <c r="DZ313" s="239">
        <v>0</v>
      </c>
      <c r="EA313" s="239">
        <v>1933</v>
      </c>
      <c r="EB313" s="239">
        <v>0</v>
      </c>
      <c r="EC313" s="239">
        <v>0</v>
      </c>
      <c r="ED313" s="239">
        <v>0</v>
      </c>
      <c r="EE313" s="239">
        <v>0</v>
      </c>
      <c r="EF313" s="239">
        <v>0</v>
      </c>
      <c r="EG313" s="239">
        <v>0</v>
      </c>
      <c r="EH313" s="239">
        <v>51</v>
      </c>
      <c r="EI313" s="239">
        <v>0</v>
      </c>
      <c r="EJ313" s="239">
        <v>51</v>
      </c>
      <c r="EK313" s="239">
        <v>-25160</v>
      </c>
      <c r="EL313" s="239">
        <v>0</v>
      </c>
      <c r="EM313" s="239">
        <v>-25160</v>
      </c>
      <c r="EN313" s="239">
        <v>-3000</v>
      </c>
      <c r="EO313" s="239">
        <v>0</v>
      </c>
      <c r="EP313" s="239">
        <v>-3000</v>
      </c>
      <c r="EQ313" s="239">
        <v>-24498</v>
      </c>
      <c r="ER313" s="239">
        <v>0</v>
      </c>
      <c r="ES313" s="239">
        <v>-24498</v>
      </c>
      <c r="ET313" s="239">
        <v>-147998</v>
      </c>
      <c r="EU313" s="239">
        <v>0</v>
      </c>
      <c r="EV313" s="239">
        <v>-147998</v>
      </c>
      <c r="EW313" s="239">
        <v>-34555</v>
      </c>
      <c r="EX313" s="239">
        <v>0</v>
      </c>
      <c r="EY313" s="239">
        <v>-34555</v>
      </c>
      <c r="EZ313" s="239">
        <v>-233227</v>
      </c>
      <c r="FA313" s="239">
        <v>0</v>
      </c>
      <c r="FB313" s="239">
        <v>-233227</v>
      </c>
      <c r="FC313" s="239">
        <v>0</v>
      </c>
      <c r="FD313" s="239">
        <v>0</v>
      </c>
      <c r="FE313" s="239">
        <v>0</v>
      </c>
      <c r="FF313" s="239">
        <v>0</v>
      </c>
      <c r="FG313" s="239">
        <v>0</v>
      </c>
      <c r="FH313" s="239">
        <v>0</v>
      </c>
      <c r="FI313" s="239">
        <v>0</v>
      </c>
      <c r="FJ313" s="239">
        <v>0</v>
      </c>
      <c r="FK313" s="239">
        <v>0</v>
      </c>
      <c r="FL313" s="239">
        <v>20327824</v>
      </c>
      <c r="FM313" s="239">
        <v>0</v>
      </c>
      <c r="FN313" s="239">
        <v>20327824</v>
      </c>
      <c r="FO313" s="239">
        <v>-3513446</v>
      </c>
      <c r="FP313" s="239">
        <v>0</v>
      </c>
      <c r="FQ313" s="239">
        <v>-3513446</v>
      </c>
      <c r="FR313" s="239">
        <v>-2608672</v>
      </c>
      <c r="FS313" s="239">
        <v>0</v>
      </c>
      <c r="FT313" s="239">
        <v>-2608672</v>
      </c>
      <c r="FU313" s="239">
        <v>60787</v>
      </c>
      <c r="FV313" s="239">
        <v>0</v>
      </c>
      <c r="FW313" s="239">
        <v>60787</v>
      </c>
      <c r="FX313" s="239">
        <v>-100263</v>
      </c>
      <c r="FY313" s="239">
        <v>0</v>
      </c>
      <c r="FZ313" s="239">
        <v>-100263</v>
      </c>
      <c r="GA313" s="239">
        <v>-233227</v>
      </c>
      <c r="GB313" s="239">
        <v>0</v>
      </c>
      <c r="GC313" s="239">
        <v>-233227</v>
      </c>
      <c r="GD313" s="239">
        <v>0</v>
      </c>
      <c r="GE313" s="239">
        <v>0</v>
      </c>
      <c r="GF313" s="239">
        <v>0</v>
      </c>
      <c r="GG313" s="239">
        <v>-6394821</v>
      </c>
      <c r="GH313" s="239">
        <v>0</v>
      </c>
      <c r="GI313" s="239">
        <v>-6394821</v>
      </c>
      <c r="GJ313" s="239">
        <v>13933003</v>
      </c>
      <c r="GK313" s="239">
        <v>0</v>
      </c>
      <c r="GL313" s="239">
        <v>13933003</v>
      </c>
      <c r="GM313" s="214" t="s">
        <v>1158</v>
      </c>
    </row>
    <row r="314" spans="2:195" s="214" customFormat="1" x14ac:dyDescent="0.2">
      <c r="B314" s="602" t="s">
        <v>711</v>
      </c>
      <c r="C314" s="602" t="s">
        <v>710</v>
      </c>
      <c r="D314" s="239">
        <v>-141277879</v>
      </c>
      <c r="E314" s="239">
        <v>0</v>
      </c>
      <c r="F314" s="239">
        <v>-141277879</v>
      </c>
      <c r="G314" s="239">
        <v>2977298</v>
      </c>
      <c r="H314" s="239">
        <v>0</v>
      </c>
      <c r="I314" s="239">
        <v>2977298</v>
      </c>
      <c r="J314" s="239">
        <v>25015205</v>
      </c>
      <c r="K314" s="239">
        <v>0</v>
      </c>
      <c r="L314" s="239">
        <v>25015205</v>
      </c>
      <c r="M314" s="239">
        <v>199155</v>
      </c>
      <c r="N314" s="239">
        <v>0</v>
      </c>
      <c r="O314" s="239">
        <v>199155</v>
      </c>
      <c r="P314" s="239">
        <v>-113086221</v>
      </c>
      <c r="Q314" s="239">
        <v>0</v>
      </c>
      <c r="R314" s="239">
        <v>-113086221</v>
      </c>
      <c r="S314" s="239">
        <v>-3901193</v>
      </c>
      <c r="T314" s="239">
        <v>0</v>
      </c>
      <c r="U314" s="239">
        <v>-3901193</v>
      </c>
      <c r="V314" s="239">
        <v>0</v>
      </c>
      <c r="W314" s="239">
        <v>0</v>
      </c>
      <c r="X314" s="239">
        <v>0</v>
      </c>
      <c r="Y314" s="239">
        <v>-228596</v>
      </c>
      <c r="Z314" s="239">
        <v>0</v>
      </c>
      <c r="AA314" s="239">
        <v>-228596</v>
      </c>
      <c r="AB314" s="239">
        <v>-223450</v>
      </c>
      <c r="AC314" s="239">
        <v>0</v>
      </c>
      <c r="AD314" s="239">
        <v>-223450</v>
      </c>
      <c r="AE314" s="239">
        <v>0</v>
      </c>
      <c r="AF314" s="239">
        <v>0</v>
      </c>
      <c r="AG314" s="239">
        <v>0</v>
      </c>
      <c r="AH314" s="239">
        <v>62849276</v>
      </c>
      <c r="AI314" s="239">
        <v>0</v>
      </c>
      <c r="AJ314" s="239">
        <v>62849276</v>
      </c>
      <c r="AK314" s="239">
        <v>-2534942</v>
      </c>
      <c r="AL314" s="239">
        <v>0</v>
      </c>
      <c r="AM314" s="239">
        <v>-2534942</v>
      </c>
      <c r="AN314" s="239">
        <v>-78342542</v>
      </c>
      <c r="AO314" s="239">
        <v>0</v>
      </c>
      <c r="AP314" s="239">
        <v>-78342542</v>
      </c>
      <c r="AQ314" s="239">
        <v>688320</v>
      </c>
      <c r="AR314" s="239">
        <v>0</v>
      </c>
      <c r="AS314" s="239">
        <v>688320</v>
      </c>
      <c r="AT314" s="239">
        <v>-22609</v>
      </c>
      <c r="AU314" s="239">
        <v>0</v>
      </c>
      <c r="AV314" s="239">
        <v>-22609</v>
      </c>
      <c r="AW314" s="239">
        <v>0</v>
      </c>
      <c r="AX314" s="239">
        <v>0</v>
      </c>
      <c r="AY314" s="239">
        <v>0</v>
      </c>
      <c r="AZ314" s="239">
        <v>0</v>
      </c>
      <c r="BA314" s="239">
        <v>0</v>
      </c>
      <c r="BB314" s="239">
        <v>0</v>
      </c>
      <c r="BC314" s="239">
        <v>0</v>
      </c>
      <c r="BD314" s="239">
        <v>0</v>
      </c>
      <c r="BE314" s="239">
        <v>0</v>
      </c>
      <c r="BF314" s="239">
        <v>-21492286</v>
      </c>
      <c r="BG314" s="239">
        <v>0</v>
      </c>
      <c r="BH314" s="239">
        <v>-21492286</v>
      </c>
      <c r="BI314" s="239">
        <v>-8926356</v>
      </c>
      <c r="BJ314" s="239">
        <v>0</v>
      </c>
      <c r="BK314" s="239">
        <v>-8926356</v>
      </c>
      <c r="BL314" s="239">
        <v>-840293</v>
      </c>
      <c r="BM314" s="239">
        <v>0</v>
      </c>
      <c r="BN314" s="239">
        <v>-840293</v>
      </c>
      <c r="BO314" s="239">
        <v>-135300592</v>
      </c>
      <c r="BP314" s="239">
        <v>0</v>
      </c>
      <c r="BQ314" s="239">
        <v>-135300592</v>
      </c>
      <c r="BR314" s="239">
        <v>7793573</v>
      </c>
      <c r="BS314" s="239">
        <v>0</v>
      </c>
      <c r="BT314" s="239">
        <v>7793573</v>
      </c>
      <c r="BU314" s="239">
        <v>-137273668</v>
      </c>
      <c r="BV314" s="239">
        <v>0</v>
      </c>
      <c r="BW314" s="239">
        <v>-137273668</v>
      </c>
      <c r="BX314" s="239">
        <v>-254069</v>
      </c>
      <c r="BY314" s="239">
        <v>0</v>
      </c>
      <c r="BZ314" s="239">
        <v>-254069</v>
      </c>
      <c r="CA314" s="239">
        <v>-2780</v>
      </c>
      <c r="CB314" s="239">
        <v>0</v>
      </c>
      <c r="CC314" s="239">
        <v>-2780</v>
      </c>
      <c r="CD314" s="239">
        <v>-29253</v>
      </c>
      <c r="CE314" s="239">
        <v>0</v>
      </c>
      <c r="CF314" s="239">
        <v>-29253</v>
      </c>
      <c r="CG314" s="239">
        <v>3034</v>
      </c>
      <c r="CH314" s="239">
        <v>0</v>
      </c>
      <c r="CI314" s="239">
        <v>3034</v>
      </c>
      <c r="CJ314" s="239">
        <v>-1413</v>
      </c>
      <c r="CK314" s="239">
        <v>0</v>
      </c>
      <c r="CL314" s="239">
        <v>-1413</v>
      </c>
      <c r="CM314" s="239">
        <v>0</v>
      </c>
      <c r="CN314" s="239">
        <v>0</v>
      </c>
      <c r="CO314" s="239">
        <v>0</v>
      </c>
      <c r="CP314" s="239">
        <v>0</v>
      </c>
      <c r="CQ314" s="239">
        <v>0</v>
      </c>
      <c r="CR314" s="239">
        <v>0</v>
      </c>
      <c r="CS314" s="239">
        <v>0</v>
      </c>
      <c r="CT314" s="239">
        <v>0</v>
      </c>
      <c r="CU314" s="239">
        <v>0</v>
      </c>
      <c r="CV314" s="239">
        <v>0</v>
      </c>
      <c r="CW314" s="239">
        <v>0</v>
      </c>
      <c r="CX314" s="239">
        <v>0</v>
      </c>
      <c r="CY314" s="239">
        <v>0</v>
      </c>
      <c r="CZ314" s="239">
        <v>0</v>
      </c>
      <c r="DA314" s="239">
        <v>0</v>
      </c>
      <c r="DB314" s="239">
        <v>0</v>
      </c>
      <c r="DC314" s="239">
        <v>0</v>
      </c>
      <c r="DD314" s="239">
        <v>0</v>
      </c>
      <c r="DE314" s="239">
        <v>0</v>
      </c>
      <c r="DF314" s="239">
        <v>0</v>
      </c>
      <c r="DG314" s="239">
        <v>0</v>
      </c>
      <c r="DH314" s="239">
        <v>0</v>
      </c>
      <c r="DI314" s="239">
        <v>0</v>
      </c>
      <c r="DJ314" s="239">
        <v>-284481</v>
      </c>
      <c r="DK314" s="239">
        <v>0</v>
      </c>
      <c r="DL314" s="239">
        <v>-284481</v>
      </c>
      <c r="DM314" s="239">
        <v>-79252</v>
      </c>
      <c r="DN314" s="239">
        <v>0</v>
      </c>
      <c r="DO314" s="239">
        <v>-79252</v>
      </c>
      <c r="DP314" s="239">
        <v>-212377</v>
      </c>
      <c r="DQ314" s="239">
        <v>0</v>
      </c>
      <c r="DR314" s="239">
        <v>-212377</v>
      </c>
      <c r="DS314" s="239">
        <v>-36875</v>
      </c>
      <c r="DT314" s="239">
        <v>0</v>
      </c>
      <c r="DU314" s="239">
        <v>-36875</v>
      </c>
      <c r="DV314" s="239">
        <v>14803</v>
      </c>
      <c r="DW314" s="239">
        <v>0</v>
      </c>
      <c r="DX314" s="239">
        <v>14803</v>
      </c>
      <c r="DY314" s="239">
        <v>13450</v>
      </c>
      <c r="DZ314" s="239">
        <v>0</v>
      </c>
      <c r="EA314" s="239">
        <v>13450</v>
      </c>
      <c r="EB314" s="239">
        <v>0</v>
      </c>
      <c r="EC314" s="239">
        <v>0</v>
      </c>
      <c r="ED314" s="239">
        <v>0</v>
      </c>
      <c r="EE314" s="239">
        <v>0</v>
      </c>
      <c r="EF314" s="239">
        <v>0</v>
      </c>
      <c r="EG314" s="239">
        <v>0</v>
      </c>
      <c r="EH314" s="239">
        <v>0</v>
      </c>
      <c r="EI314" s="239">
        <v>0</v>
      </c>
      <c r="EJ314" s="239">
        <v>0</v>
      </c>
      <c r="EK314" s="239">
        <v>0</v>
      </c>
      <c r="EL314" s="239">
        <v>0</v>
      </c>
      <c r="EM314" s="239">
        <v>0</v>
      </c>
      <c r="EN314" s="239">
        <v>0</v>
      </c>
      <c r="EO314" s="239">
        <v>0</v>
      </c>
      <c r="EP314" s="239">
        <v>0</v>
      </c>
      <c r="EQ314" s="239">
        <v>-89654</v>
      </c>
      <c r="ER314" s="239">
        <v>0</v>
      </c>
      <c r="ES314" s="239">
        <v>-89654</v>
      </c>
      <c r="ET314" s="239">
        <v>-10874147</v>
      </c>
      <c r="EU314" s="239">
        <v>0</v>
      </c>
      <c r="EV314" s="239">
        <v>-10874147</v>
      </c>
      <c r="EW314" s="239">
        <v>-67904</v>
      </c>
      <c r="EX314" s="239">
        <v>0</v>
      </c>
      <c r="EY314" s="239">
        <v>-67904</v>
      </c>
      <c r="EZ314" s="239">
        <v>-11331956</v>
      </c>
      <c r="FA314" s="239">
        <v>0</v>
      </c>
      <c r="FB314" s="239">
        <v>-11331956</v>
      </c>
      <c r="FC314" s="239">
        <v>-50495</v>
      </c>
      <c r="FD314" s="239">
        <v>0</v>
      </c>
      <c r="FE314" s="239">
        <v>-50495</v>
      </c>
      <c r="FF314" s="239">
        <v>-8383</v>
      </c>
      <c r="FG314" s="239">
        <v>0</v>
      </c>
      <c r="FH314" s="239">
        <v>-8383</v>
      </c>
      <c r="FI314" s="239">
        <v>-58878</v>
      </c>
      <c r="FJ314" s="239">
        <v>0</v>
      </c>
      <c r="FK314" s="239">
        <v>-58878</v>
      </c>
      <c r="FL314" s="239">
        <v>2291145230</v>
      </c>
      <c r="FM314" s="239">
        <v>0</v>
      </c>
      <c r="FN314" s="239">
        <v>2291145230</v>
      </c>
      <c r="FO314" s="239">
        <v>-113086221</v>
      </c>
      <c r="FP314" s="239">
        <v>0</v>
      </c>
      <c r="FQ314" s="239">
        <v>-113086221</v>
      </c>
      <c r="FR314" s="239">
        <v>-21492286</v>
      </c>
      <c r="FS314" s="239">
        <v>0</v>
      </c>
      <c r="FT314" s="239">
        <v>-21492286</v>
      </c>
      <c r="FU314" s="239">
        <v>-137273668</v>
      </c>
      <c r="FV314" s="239">
        <v>0</v>
      </c>
      <c r="FW314" s="239">
        <v>-137273668</v>
      </c>
      <c r="FX314" s="239">
        <v>-284481</v>
      </c>
      <c r="FY314" s="239">
        <v>0</v>
      </c>
      <c r="FZ314" s="239">
        <v>-284481</v>
      </c>
      <c r="GA314" s="239">
        <v>-11331956</v>
      </c>
      <c r="GB314" s="239">
        <v>0</v>
      </c>
      <c r="GC314" s="239">
        <v>-11331956</v>
      </c>
      <c r="GD314" s="239">
        <v>-58878</v>
      </c>
      <c r="GE314" s="239">
        <v>0</v>
      </c>
      <c r="GF314" s="239">
        <v>-58878</v>
      </c>
      <c r="GG314" s="239">
        <v>-283527490</v>
      </c>
      <c r="GH314" s="239">
        <v>0</v>
      </c>
      <c r="GI314" s="239">
        <v>-283527490</v>
      </c>
      <c r="GJ314" s="239">
        <v>2007617740</v>
      </c>
      <c r="GK314" s="239">
        <v>0</v>
      </c>
      <c r="GL314" s="239">
        <v>2007617740</v>
      </c>
      <c r="GM314" s="214" t="s">
        <v>1161</v>
      </c>
    </row>
    <row r="315" spans="2:195" s="214" customFormat="1" x14ac:dyDescent="0.2">
      <c r="B315" s="602" t="s">
        <v>713</v>
      </c>
      <c r="C315" s="602" t="s">
        <v>712</v>
      </c>
      <c r="D315" s="239">
        <v>-1025871</v>
      </c>
      <c r="E315" s="239">
        <v>0</v>
      </c>
      <c r="F315" s="239">
        <v>-1025871</v>
      </c>
      <c r="G315" s="239">
        <v>50940</v>
      </c>
      <c r="H315" s="239">
        <v>0</v>
      </c>
      <c r="I315" s="239">
        <v>50940</v>
      </c>
      <c r="J315" s="239">
        <v>1440929</v>
      </c>
      <c r="K315" s="239">
        <v>0</v>
      </c>
      <c r="L315" s="239">
        <v>1440929</v>
      </c>
      <c r="M315" s="239">
        <v>-1841</v>
      </c>
      <c r="N315" s="239">
        <v>0</v>
      </c>
      <c r="O315" s="239">
        <v>-1841</v>
      </c>
      <c r="P315" s="239">
        <v>464157</v>
      </c>
      <c r="Q315" s="239">
        <v>0</v>
      </c>
      <c r="R315" s="239">
        <v>464157</v>
      </c>
      <c r="S315" s="239">
        <v>-2363070</v>
      </c>
      <c r="T315" s="239">
        <v>0</v>
      </c>
      <c r="U315" s="239">
        <v>-2363070</v>
      </c>
      <c r="V315" s="239">
        <v>-1525</v>
      </c>
      <c r="W315" s="239">
        <v>0</v>
      </c>
      <c r="X315" s="239">
        <v>-1525</v>
      </c>
      <c r="Y315" s="239">
        <v>-101394</v>
      </c>
      <c r="Z315" s="239">
        <v>0</v>
      </c>
      <c r="AA315" s="239">
        <v>-101394</v>
      </c>
      <c r="AB315" s="239">
        <v>-95367</v>
      </c>
      <c r="AC315" s="239">
        <v>0</v>
      </c>
      <c r="AD315" s="239">
        <v>-95367</v>
      </c>
      <c r="AE315" s="239">
        <v>3719</v>
      </c>
      <c r="AF315" s="239">
        <v>0</v>
      </c>
      <c r="AG315" s="239">
        <v>3719</v>
      </c>
      <c r="AH315" s="239">
        <v>381052</v>
      </c>
      <c r="AI315" s="239">
        <v>0</v>
      </c>
      <c r="AJ315" s="239">
        <v>381052</v>
      </c>
      <c r="AK315" s="239">
        <v>-9913</v>
      </c>
      <c r="AL315" s="239">
        <v>0</v>
      </c>
      <c r="AM315" s="239">
        <v>-9913</v>
      </c>
      <c r="AN315" s="239">
        <v>-1266788</v>
      </c>
      <c r="AO315" s="239">
        <v>0</v>
      </c>
      <c r="AP315" s="239">
        <v>-1266788</v>
      </c>
      <c r="AQ315" s="239">
        <v>-6646</v>
      </c>
      <c r="AR315" s="239">
        <v>0</v>
      </c>
      <c r="AS315" s="239">
        <v>-6646</v>
      </c>
      <c r="AT315" s="239">
        <v>-49753</v>
      </c>
      <c r="AU315" s="239">
        <v>0</v>
      </c>
      <c r="AV315" s="239">
        <v>-49753</v>
      </c>
      <c r="AW315" s="239">
        <v>0</v>
      </c>
      <c r="AX315" s="239">
        <v>0</v>
      </c>
      <c r="AY315" s="239">
        <v>0</v>
      </c>
      <c r="AZ315" s="239">
        <v>0</v>
      </c>
      <c r="BA315" s="239">
        <v>0</v>
      </c>
      <c r="BB315" s="239">
        <v>0</v>
      </c>
      <c r="BC315" s="239">
        <v>0</v>
      </c>
      <c r="BD315" s="239">
        <v>0</v>
      </c>
      <c r="BE315" s="239">
        <v>0</v>
      </c>
      <c r="BF315" s="239">
        <v>-3416512</v>
      </c>
      <c r="BG315" s="239">
        <v>0</v>
      </c>
      <c r="BH315" s="239">
        <v>-3416512</v>
      </c>
      <c r="BI315" s="239">
        <v>0</v>
      </c>
      <c r="BJ315" s="239">
        <v>0</v>
      </c>
      <c r="BK315" s="239">
        <v>0</v>
      </c>
      <c r="BL315" s="239">
        <v>0</v>
      </c>
      <c r="BM315" s="239">
        <v>0</v>
      </c>
      <c r="BN315" s="239">
        <v>0</v>
      </c>
      <c r="BO315" s="239">
        <v>-789889</v>
      </c>
      <c r="BP315" s="239">
        <v>0</v>
      </c>
      <c r="BQ315" s="239">
        <v>-789889</v>
      </c>
      <c r="BR315" s="239">
        <v>-9223</v>
      </c>
      <c r="BS315" s="239">
        <v>0</v>
      </c>
      <c r="BT315" s="239">
        <v>-9223</v>
      </c>
      <c r="BU315" s="239">
        <v>-799112</v>
      </c>
      <c r="BV315" s="239">
        <v>0</v>
      </c>
      <c r="BW315" s="239">
        <v>-799112</v>
      </c>
      <c r="BX315" s="239">
        <v>-25362</v>
      </c>
      <c r="BY315" s="239">
        <v>0</v>
      </c>
      <c r="BZ315" s="239">
        <v>-25362</v>
      </c>
      <c r="CA315" s="239">
        <v>34</v>
      </c>
      <c r="CB315" s="239">
        <v>0</v>
      </c>
      <c r="CC315" s="239">
        <v>34</v>
      </c>
      <c r="CD315" s="239">
        <v>-94211</v>
      </c>
      <c r="CE315" s="239">
        <v>0</v>
      </c>
      <c r="CF315" s="239">
        <v>-94211</v>
      </c>
      <c r="CG315" s="239">
        <v>0</v>
      </c>
      <c r="CH315" s="239">
        <v>0</v>
      </c>
      <c r="CI315" s="239">
        <v>0</v>
      </c>
      <c r="CJ315" s="239">
        <v>-2524</v>
      </c>
      <c r="CK315" s="239">
        <v>0</v>
      </c>
      <c r="CL315" s="239">
        <v>-2524</v>
      </c>
      <c r="CM315" s="239">
        <v>0</v>
      </c>
      <c r="CN315" s="239">
        <v>0</v>
      </c>
      <c r="CO315" s="239">
        <v>0</v>
      </c>
      <c r="CP315" s="239">
        <v>0</v>
      </c>
      <c r="CQ315" s="239">
        <v>0</v>
      </c>
      <c r="CR315" s="239">
        <v>0</v>
      </c>
      <c r="CS315" s="239">
        <v>0</v>
      </c>
      <c r="CT315" s="239">
        <v>0</v>
      </c>
      <c r="CU315" s="239">
        <v>0</v>
      </c>
      <c r="CV315" s="239">
        <v>0</v>
      </c>
      <c r="CW315" s="239">
        <v>0</v>
      </c>
      <c r="CX315" s="239">
        <v>0</v>
      </c>
      <c r="CY315" s="239">
        <v>0</v>
      </c>
      <c r="CZ315" s="239">
        <v>0</v>
      </c>
      <c r="DA315" s="239">
        <v>0</v>
      </c>
      <c r="DB315" s="239">
        <v>0</v>
      </c>
      <c r="DC315" s="239">
        <v>0</v>
      </c>
      <c r="DD315" s="239">
        <v>0</v>
      </c>
      <c r="DE315" s="239">
        <v>0</v>
      </c>
      <c r="DF315" s="239">
        <v>0</v>
      </c>
      <c r="DG315" s="239">
        <v>0</v>
      </c>
      <c r="DH315" s="239">
        <v>0</v>
      </c>
      <c r="DI315" s="239">
        <v>0</v>
      </c>
      <c r="DJ315" s="239">
        <v>-122063</v>
      </c>
      <c r="DK315" s="239">
        <v>0</v>
      </c>
      <c r="DL315" s="239">
        <v>-122063</v>
      </c>
      <c r="DM315" s="239">
        <v>0</v>
      </c>
      <c r="DN315" s="239">
        <v>0</v>
      </c>
      <c r="DO315" s="239">
        <v>0</v>
      </c>
      <c r="DP315" s="239">
        <v>0</v>
      </c>
      <c r="DQ315" s="239">
        <v>0</v>
      </c>
      <c r="DR315" s="239">
        <v>0</v>
      </c>
      <c r="DS315" s="239">
        <v>0</v>
      </c>
      <c r="DT315" s="239">
        <v>0</v>
      </c>
      <c r="DU315" s="239">
        <v>0</v>
      </c>
      <c r="DV315" s="239">
        <v>15</v>
      </c>
      <c r="DW315" s="239">
        <v>0</v>
      </c>
      <c r="DX315" s="239">
        <v>15</v>
      </c>
      <c r="DY315" s="239">
        <v>-129</v>
      </c>
      <c r="DZ315" s="239">
        <v>0</v>
      </c>
      <c r="EA315" s="239">
        <v>-129</v>
      </c>
      <c r="EB315" s="239">
        <v>0</v>
      </c>
      <c r="EC315" s="239">
        <v>0</v>
      </c>
      <c r="ED315" s="239">
        <v>0</v>
      </c>
      <c r="EE315" s="239">
        <v>0</v>
      </c>
      <c r="EF315" s="239">
        <v>0</v>
      </c>
      <c r="EG315" s="239">
        <v>0</v>
      </c>
      <c r="EH315" s="239">
        <v>0</v>
      </c>
      <c r="EI315" s="239">
        <v>0</v>
      </c>
      <c r="EJ315" s="239">
        <v>0</v>
      </c>
      <c r="EK315" s="239">
        <v>0</v>
      </c>
      <c r="EL315" s="239">
        <v>0</v>
      </c>
      <c r="EM315" s="239">
        <v>0</v>
      </c>
      <c r="EN315" s="239">
        <v>0</v>
      </c>
      <c r="EO315" s="239">
        <v>0</v>
      </c>
      <c r="EP315" s="239">
        <v>0</v>
      </c>
      <c r="EQ315" s="239">
        <v>-25920</v>
      </c>
      <c r="ER315" s="239">
        <v>0</v>
      </c>
      <c r="ES315" s="239">
        <v>-25920</v>
      </c>
      <c r="ET315" s="239">
        <v>-177427</v>
      </c>
      <c r="EU315" s="239">
        <v>0</v>
      </c>
      <c r="EV315" s="239">
        <v>-177427</v>
      </c>
      <c r="EW315" s="239">
        <v>-44147</v>
      </c>
      <c r="EX315" s="239">
        <v>0</v>
      </c>
      <c r="EY315" s="239">
        <v>-44147</v>
      </c>
      <c r="EZ315" s="239">
        <v>-247608</v>
      </c>
      <c r="FA315" s="239">
        <v>0</v>
      </c>
      <c r="FB315" s="239">
        <v>-247608</v>
      </c>
      <c r="FC315" s="239">
        <v>0</v>
      </c>
      <c r="FD315" s="239">
        <v>0</v>
      </c>
      <c r="FE315" s="239">
        <v>0</v>
      </c>
      <c r="FF315" s="239">
        <v>0</v>
      </c>
      <c r="FG315" s="239">
        <v>0</v>
      </c>
      <c r="FH315" s="239">
        <v>0</v>
      </c>
      <c r="FI315" s="239">
        <v>0</v>
      </c>
      <c r="FJ315" s="239">
        <v>0</v>
      </c>
      <c r="FK315" s="239">
        <v>0</v>
      </c>
      <c r="FL315" s="239">
        <v>21139499</v>
      </c>
      <c r="FM315" s="239">
        <v>0</v>
      </c>
      <c r="FN315" s="239">
        <v>21139499</v>
      </c>
      <c r="FO315" s="239">
        <v>464157</v>
      </c>
      <c r="FP315" s="239">
        <v>0</v>
      </c>
      <c r="FQ315" s="239">
        <v>464157</v>
      </c>
      <c r="FR315" s="239">
        <v>-3416512</v>
      </c>
      <c r="FS315" s="239">
        <v>0</v>
      </c>
      <c r="FT315" s="239">
        <v>-3416512</v>
      </c>
      <c r="FU315" s="239">
        <v>-799112</v>
      </c>
      <c r="FV315" s="239">
        <v>0</v>
      </c>
      <c r="FW315" s="239">
        <v>-799112</v>
      </c>
      <c r="FX315" s="239">
        <v>-122063</v>
      </c>
      <c r="FY315" s="239">
        <v>0</v>
      </c>
      <c r="FZ315" s="239">
        <v>-122063</v>
      </c>
      <c r="GA315" s="239">
        <v>-247608</v>
      </c>
      <c r="GB315" s="239">
        <v>0</v>
      </c>
      <c r="GC315" s="239">
        <v>-247608</v>
      </c>
      <c r="GD315" s="239">
        <v>0</v>
      </c>
      <c r="GE315" s="239">
        <v>0</v>
      </c>
      <c r="GF315" s="239">
        <v>0</v>
      </c>
      <c r="GG315" s="239">
        <v>-4121138</v>
      </c>
      <c r="GH315" s="239">
        <v>0</v>
      </c>
      <c r="GI315" s="239">
        <v>-4121138</v>
      </c>
      <c r="GJ315" s="239">
        <v>17018361</v>
      </c>
      <c r="GK315" s="239">
        <v>0</v>
      </c>
      <c r="GL315" s="239">
        <v>17018361</v>
      </c>
      <c r="GM315" s="214" t="s">
        <v>1158</v>
      </c>
    </row>
    <row r="316" spans="2:195" s="214" customFormat="1" x14ac:dyDescent="0.2">
      <c r="B316" s="602" t="s">
        <v>715</v>
      </c>
      <c r="C316" s="602" t="s">
        <v>714</v>
      </c>
      <c r="D316" s="239">
        <v>-3656548</v>
      </c>
      <c r="E316" s="239">
        <v>0</v>
      </c>
      <c r="F316" s="239">
        <v>-3656548</v>
      </c>
      <c r="G316" s="239">
        <v>2440</v>
      </c>
      <c r="H316" s="239">
        <v>0</v>
      </c>
      <c r="I316" s="239">
        <v>2440</v>
      </c>
      <c r="J316" s="239">
        <v>7083394</v>
      </c>
      <c r="K316" s="239">
        <v>0</v>
      </c>
      <c r="L316" s="239">
        <v>7083394</v>
      </c>
      <c r="M316" s="239">
        <v>201910</v>
      </c>
      <c r="N316" s="239">
        <v>0</v>
      </c>
      <c r="O316" s="239">
        <v>201910</v>
      </c>
      <c r="P316" s="239">
        <v>3631196</v>
      </c>
      <c r="Q316" s="239">
        <v>0</v>
      </c>
      <c r="R316" s="239">
        <v>3631196</v>
      </c>
      <c r="S316" s="239">
        <v>-9966392</v>
      </c>
      <c r="T316" s="239">
        <v>0</v>
      </c>
      <c r="U316" s="239">
        <v>-9966392</v>
      </c>
      <c r="V316" s="239">
        <v>-46746</v>
      </c>
      <c r="W316" s="239">
        <v>0</v>
      </c>
      <c r="X316" s="239">
        <v>-46746</v>
      </c>
      <c r="Y316" s="239">
        <v>-244502</v>
      </c>
      <c r="Z316" s="239">
        <v>0</v>
      </c>
      <c r="AA316" s="239">
        <v>-244502</v>
      </c>
      <c r="AB316" s="239">
        <v>-237563</v>
      </c>
      <c r="AC316" s="239">
        <v>0</v>
      </c>
      <c r="AD316" s="239">
        <v>-237563</v>
      </c>
      <c r="AE316" s="239">
        <v>-6939</v>
      </c>
      <c r="AF316" s="239">
        <v>0</v>
      </c>
      <c r="AG316" s="239">
        <v>-6939</v>
      </c>
      <c r="AH316" s="239">
        <v>1840416</v>
      </c>
      <c r="AI316" s="239">
        <v>0</v>
      </c>
      <c r="AJ316" s="239">
        <v>1840416</v>
      </c>
      <c r="AK316" s="239">
        <v>751549</v>
      </c>
      <c r="AL316" s="239">
        <v>0</v>
      </c>
      <c r="AM316" s="239">
        <v>751549</v>
      </c>
      <c r="AN316" s="239">
        <v>-5716707</v>
      </c>
      <c r="AO316" s="239">
        <v>0</v>
      </c>
      <c r="AP316" s="239">
        <v>-5716707</v>
      </c>
      <c r="AQ316" s="239">
        <v>-105890</v>
      </c>
      <c r="AR316" s="239">
        <v>0</v>
      </c>
      <c r="AS316" s="239">
        <v>-105890</v>
      </c>
      <c r="AT316" s="239">
        <v>-143755</v>
      </c>
      <c r="AU316" s="239">
        <v>0</v>
      </c>
      <c r="AV316" s="239">
        <v>-143755</v>
      </c>
      <c r="AW316" s="239">
        <v>0</v>
      </c>
      <c r="AX316" s="239">
        <v>0</v>
      </c>
      <c r="AY316" s="239">
        <v>0</v>
      </c>
      <c r="AZ316" s="239">
        <v>0</v>
      </c>
      <c r="BA316" s="239">
        <v>0</v>
      </c>
      <c r="BB316" s="239">
        <v>0</v>
      </c>
      <c r="BC316" s="239">
        <v>0</v>
      </c>
      <c r="BD316" s="239">
        <v>0</v>
      </c>
      <c r="BE316" s="239">
        <v>0</v>
      </c>
      <c r="BF316" s="239">
        <v>-13585281</v>
      </c>
      <c r="BG316" s="239">
        <v>0</v>
      </c>
      <c r="BH316" s="239">
        <v>-13585281</v>
      </c>
      <c r="BI316" s="239">
        <v>-3628</v>
      </c>
      <c r="BJ316" s="239">
        <v>0</v>
      </c>
      <c r="BK316" s="239">
        <v>-3628</v>
      </c>
      <c r="BL316" s="239">
        <v>-17960</v>
      </c>
      <c r="BM316" s="239">
        <v>0</v>
      </c>
      <c r="BN316" s="239">
        <v>-17960</v>
      </c>
      <c r="BO316" s="239">
        <v>-3666752</v>
      </c>
      <c r="BP316" s="239">
        <v>0</v>
      </c>
      <c r="BQ316" s="239">
        <v>-3666752</v>
      </c>
      <c r="BR316" s="239">
        <v>72940</v>
      </c>
      <c r="BS316" s="239">
        <v>0</v>
      </c>
      <c r="BT316" s="239">
        <v>72940</v>
      </c>
      <c r="BU316" s="239">
        <v>-3615400</v>
      </c>
      <c r="BV316" s="239">
        <v>0</v>
      </c>
      <c r="BW316" s="239">
        <v>-3615400</v>
      </c>
      <c r="BX316" s="239">
        <v>-712568</v>
      </c>
      <c r="BY316" s="239">
        <v>0</v>
      </c>
      <c r="BZ316" s="239">
        <v>-712568</v>
      </c>
      <c r="CA316" s="239">
        <v>-37192</v>
      </c>
      <c r="CB316" s="239">
        <v>0</v>
      </c>
      <c r="CC316" s="239">
        <v>-37192</v>
      </c>
      <c r="CD316" s="239">
        <v>-346458</v>
      </c>
      <c r="CE316" s="239">
        <v>0</v>
      </c>
      <c r="CF316" s="239">
        <v>-346458</v>
      </c>
      <c r="CG316" s="239">
        <v>86258</v>
      </c>
      <c r="CH316" s="239">
        <v>0</v>
      </c>
      <c r="CI316" s="239">
        <v>86258</v>
      </c>
      <c r="CJ316" s="239">
        <v>-28812</v>
      </c>
      <c r="CK316" s="239">
        <v>0</v>
      </c>
      <c r="CL316" s="239">
        <v>-28812</v>
      </c>
      <c r="CM316" s="239">
        <v>0</v>
      </c>
      <c r="CN316" s="239">
        <v>0</v>
      </c>
      <c r="CO316" s="239">
        <v>0</v>
      </c>
      <c r="CP316" s="239">
        <v>0</v>
      </c>
      <c r="CQ316" s="239">
        <v>0</v>
      </c>
      <c r="CR316" s="239">
        <v>0</v>
      </c>
      <c r="CS316" s="239">
        <v>0</v>
      </c>
      <c r="CT316" s="239">
        <v>0</v>
      </c>
      <c r="CU316" s="239">
        <v>0</v>
      </c>
      <c r="CV316" s="239">
        <v>0</v>
      </c>
      <c r="CW316" s="239">
        <v>0</v>
      </c>
      <c r="CX316" s="239">
        <v>0</v>
      </c>
      <c r="CY316" s="239">
        <v>0</v>
      </c>
      <c r="CZ316" s="239">
        <v>0</v>
      </c>
      <c r="DA316" s="239">
        <v>0</v>
      </c>
      <c r="DB316" s="239">
        <v>0</v>
      </c>
      <c r="DC316" s="239">
        <v>0</v>
      </c>
      <c r="DD316" s="239">
        <v>0</v>
      </c>
      <c r="DE316" s="239">
        <v>0</v>
      </c>
      <c r="DF316" s="239">
        <v>0</v>
      </c>
      <c r="DG316" s="239">
        <v>0</v>
      </c>
      <c r="DH316" s="239">
        <v>0</v>
      </c>
      <c r="DI316" s="239">
        <v>0</v>
      </c>
      <c r="DJ316" s="239">
        <v>-1038772</v>
      </c>
      <c r="DK316" s="239">
        <v>0</v>
      </c>
      <c r="DL316" s="239">
        <v>-1038772</v>
      </c>
      <c r="DM316" s="239">
        <v>-38416</v>
      </c>
      <c r="DN316" s="239">
        <v>0</v>
      </c>
      <c r="DO316" s="239">
        <v>-38416</v>
      </c>
      <c r="DP316" s="239">
        <v>13543</v>
      </c>
      <c r="DQ316" s="239">
        <v>0</v>
      </c>
      <c r="DR316" s="239">
        <v>13543</v>
      </c>
      <c r="DS316" s="239">
        <v>-7888</v>
      </c>
      <c r="DT316" s="239">
        <v>0</v>
      </c>
      <c r="DU316" s="239">
        <v>-7888</v>
      </c>
      <c r="DV316" s="239">
        <v>-4561</v>
      </c>
      <c r="DW316" s="239">
        <v>0</v>
      </c>
      <c r="DX316" s="239">
        <v>-4561</v>
      </c>
      <c r="DY316" s="239">
        <v>0</v>
      </c>
      <c r="DZ316" s="239">
        <v>0</v>
      </c>
      <c r="EA316" s="239">
        <v>0</v>
      </c>
      <c r="EB316" s="239">
        <v>0</v>
      </c>
      <c r="EC316" s="239">
        <v>0</v>
      </c>
      <c r="ED316" s="239">
        <v>0</v>
      </c>
      <c r="EE316" s="239">
        <v>0</v>
      </c>
      <c r="EF316" s="239">
        <v>0</v>
      </c>
      <c r="EG316" s="239">
        <v>0</v>
      </c>
      <c r="EH316" s="239">
        <v>0</v>
      </c>
      <c r="EI316" s="239">
        <v>0</v>
      </c>
      <c r="EJ316" s="239">
        <v>0</v>
      </c>
      <c r="EK316" s="239">
        <v>0</v>
      </c>
      <c r="EL316" s="239">
        <v>0</v>
      </c>
      <c r="EM316" s="239">
        <v>0</v>
      </c>
      <c r="EN316" s="239">
        <v>-1500</v>
      </c>
      <c r="EO316" s="239">
        <v>0</v>
      </c>
      <c r="EP316" s="239">
        <v>-1500</v>
      </c>
      <c r="EQ316" s="239">
        <v>-20982</v>
      </c>
      <c r="ER316" s="239">
        <v>0</v>
      </c>
      <c r="ES316" s="239">
        <v>-20982</v>
      </c>
      <c r="ET316" s="239">
        <v>-500667</v>
      </c>
      <c r="EU316" s="239">
        <v>0</v>
      </c>
      <c r="EV316" s="239">
        <v>-500667</v>
      </c>
      <c r="EW316" s="239">
        <v>-127991</v>
      </c>
      <c r="EX316" s="239">
        <v>0</v>
      </c>
      <c r="EY316" s="239">
        <v>-127991</v>
      </c>
      <c r="EZ316" s="239">
        <v>-688462</v>
      </c>
      <c r="FA316" s="239">
        <v>0</v>
      </c>
      <c r="FB316" s="239">
        <v>-688462</v>
      </c>
      <c r="FC316" s="239">
        <v>0</v>
      </c>
      <c r="FD316" s="239">
        <v>0</v>
      </c>
      <c r="FE316" s="239">
        <v>0</v>
      </c>
      <c r="FF316" s="239">
        <v>0</v>
      </c>
      <c r="FG316" s="239">
        <v>0</v>
      </c>
      <c r="FH316" s="239">
        <v>0</v>
      </c>
      <c r="FI316" s="239">
        <v>0</v>
      </c>
      <c r="FJ316" s="239">
        <v>0</v>
      </c>
      <c r="FK316" s="239">
        <v>0</v>
      </c>
      <c r="FL316" s="239">
        <v>98240327</v>
      </c>
      <c r="FM316" s="239">
        <v>0</v>
      </c>
      <c r="FN316" s="239">
        <v>98240327</v>
      </c>
      <c r="FO316" s="239">
        <v>3631196</v>
      </c>
      <c r="FP316" s="239">
        <v>0</v>
      </c>
      <c r="FQ316" s="239">
        <v>3631196</v>
      </c>
      <c r="FR316" s="239">
        <v>-13585281</v>
      </c>
      <c r="FS316" s="239">
        <v>0</v>
      </c>
      <c r="FT316" s="239">
        <v>-13585281</v>
      </c>
      <c r="FU316" s="239">
        <v>-3615400</v>
      </c>
      <c r="FV316" s="239">
        <v>0</v>
      </c>
      <c r="FW316" s="239">
        <v>-3615400</v>
      </c>
      <c r="FX316" s="239">
        <v>-1038772</v>
      </c>
      <c r="FY316" s="239">
        <v>0</v>
      </c>
      <c r="FZ316" s="239">
        <v>-1038772</v>
      </c>
      <c r="GA316" s="239">
        <v>-688462</v>
      </c>
      <c r="GB316" s="239">
        <v>0</v>
      </c>
      <c r="GC316" s="239">
        <v>-688462</v>
      </c>
      <c r="GD316" s="239">
        <v>0</v>
      </c>
      <c r="GE316" s="239">
        <v>0</v>
      </c>
      <c r="GF316" s="239">
        <v>0</v>
      </c>
      <c r="GG316" s="239">
        <v>-15296719</v>
      </c>
      <c r="GH316" s="239">
        <v>0</v>
      </c>
      <c r="GI316" s="239">
        <v>-15296719</v>
      </c>
      <c r="GJ316" s="239">
        <v>82943608</v>
      </c>
      <c r="GK316" s="239">
        <v>0</v>
      </c>
      <c r="GL316" s="239">
        <v>82943608</v>
      </c>
      <c r="GM316" s="214" t="s">
        <v>1160</v>
      </c>
    </row>
    <row r="317" spans="2:195" s="214" customFormat="1" x14ac:dyDescent="0.2">
      <c r="B317" s="602" t="s">
        <v>717</v>
      </c>
      <c r="C317" s="602" t="s">
        <v>716</v>
      </c>
      <c r="D317" s="239">
        <v>-5703353</v>
      </c>
      <c r="E317" s="239">
        <v>0</v>
      </c>
      <c r="F317" s="239">
        <v>-5703353</v>
      </c>
      <c r="G317" s="239">
        <v>63872</v>
      </c>
      <c r="H317" s="239">
        <v>0</v>
      </c>
      <c r="I317" s="239">
        <v>63872</v>
      </c>
      <c r="J317" s="239">
        <v>8840008</v>
      </c>
      <c r="K317" s="239">
        <v>0</v>
      </c>
      <c r="L317" s="239">
        <v>8840008</v>
      </c>
      <c r="M317" s="239">
        <v>33901</v>
      </c>
      <c r="N317" s="239">
        <v>0</v>
      </c>
      <c r="O317" s="239">
        <v>33901</v>
      </c>
      <c r="P317" s="239">
        <v>3234428</v>
      </c>
      <c r="Q317" s="239">
        <v>0</v>
      </c>
      <c r="R317" s="239">
        <v>3234428</v>
      </c>
      <c r="S317" s="239">
        <v>-15670932</v>
      </c>
      <c r="T317" s="239">
        <v>0</v>
      </c>
      <c r="U317" s="239">
        <v>-15670932</v>
      </c>
      <c r="V317" s="239">
        <v>-69688</v>
      </c>
      <c r="W317" s="239">
        <v>0</v>
      </c>
      <c r="X317" s="239">
        <v>-69688</v>
      </c>
      <c r="Y317" s="239">
        <v>-382568</v>
      </c>
      <c r="Z317" s="239">
        <v>0</v>
      </c>
      <c r="AA317" s="239">
        <v>-382568</v>
      </c>
      <c r="AB317" s="239">
        <v>-331670</v>
      </c>
      <c r="AC317" s="239">
        <v>0</v>
      </c>
      <c r="AD317" s="239">
        <v>-331670</v>
      </c>
      <c r="AE317" s="239">
        <v>-7885</v>
      </c>
      <c r="AF317" s="239">
        <v>0</v>
      </c>
      <c r="AG317" s="239">
        <v>-7885</v>
      </c>
      <c r="AH317" s="239">
        <v>3354451</v>
      </c>
      <c r="AI317" s="239">
        <v>0</v>
      </c>
      <c r="AJ317" s="239">
        <v>3354451</v>
      </c>
      <c r="AK317" s="239">
        <v>1248724</v>
      </c>
      <c r="AL317" s="239">
        <v>0</v>
      </c>
      <c r="AM317" s="239">
        <v>1248724</v>
      </c>
      <c r="AN317" s="239">
        <v>-11656541</v>
      </c>
      <c r="AO317" s="239">
        <v>0</v>
      </c>
      <c r="AP317" s="239">
        <v>-11656541</v>
      </c>
      <c r="AQ317" s="239">
        <v>5813</v>
      </c>
      <c r="AR317" s="239">
        <v>0</v>
      </c>
      <c r="AS317" s="239">
        <v>5813</v>
      </c>
      <c r="AT317" s="239">
        <v>-104767</v>
      </c>
      <c r="AU317" s="239">
        <v>0</v>
      </c>
      <c r="AV317" s="239">
        <v>-104767</v>
      </c>
      <c r="AW317" s="239">
        <v>4536</v>
      </c>
      <c r="AX317" s="239">
        <v>0</v>
      </c>
      <c r="AY317" s="239">
        <v>4536</v>
      </c>
      <c r="AZ317" s="239">
        <v>-191227</v>
      </c>
      <c r="BA317" s="239">
        <v>0</v>
      </c>
      <c r="BB317" s="239">
        <v>-191227</v>
      </c>
      <c r="BC317" s="239">
        <v>2882</v>
      </c>
      <c r="BD317" s="239">
        <v>0</v>
      </c>
      <c r="BE317" s="239">
        <v>2882</v>
      </c>
      <c r="BF317" s="239">
        <v>-23389629</v>
      </c>
      <c r="BG317" s="239">
        <v>0</v>
      </c>
      <c r="BH317" s="239">
        <v>-23389629</v>
      </c>
      <c r="BI317" s="239">
        <v>-69777</v>
      </c>
      <c r="BJ317" s="239">
        <v>0</v>
      </c>
      <c r="BK317" s="239">
        <v>-69777</v>
      </c>
      <c r="BL317" s="239">
        <v>-258712</v>
      </c>
      <c r="BM317" s="239">
        <v>0</v>
      </c>
      <c r="BN317" s="239">
        <v>-258712</v>
      </c>
      <c r="BO317" s="239">
        <v>-3815197</v>
      </c>
      <c r="BP317" s="239">
        <v>0</v>
      </c>
      <c r="BQ317" s="239">
        <v>-3815197</v>
      </c>
      <c r="BR317" s="239">
        <v>-26348</v>
      </c>
      <c r="BS317" s="239">
        <v>0</v>
      </c>
      <c r="BT317" s="239">
        <v>-26348</v>
      </c>
      <c r="BU317" s="239">
        <v>-4170034</v>
      </c>
      <c r="BV317" s="239">
        <v>0</v>
      </c>
      <c r="BW317" s="239">
        <v>-4170034</v>
      </c>
      <c r="BX317" s="239">
        <v>-204928</v>
      </c>
      <c r="BY317" s="239">
        <v>0</v>
      </c>
      <c r="BZ317" s="239">
        <v>-204928</v>
      </c>
      <c r="CA317" s="239">
        <v>-5838</v>
      </c>
      <c r="CB317" s="239">
        <v>0</v>
      </c>
      <c r="CC317" s="239">
        <v>-5838</v>
      </c>
      <c r="CD317" s="239">
        <v>-26927</v>
      </c>
      <c r="CE317" s="239">
        <v>0</v>
      </c>
      <c r="CF317" s="239">
        <v>-26927</v>
      </c>
      <c r="CG317" s="239">
        <v>6106</v>
      </c>
      <c r="CH317" s="239">
        <v>0</v>
      </c>
      <c r="CI317" s="239">
        <v>6106</v>
      </c>
      <c r="CJ317" s="239">
        <v>-1045</v>
      </c>
      <c r="CK317" s="239">
        <v>0</v>
      </c>
      <c r="CL317" s="239">
        <v>-1045</v>
      </c>
      <c r="CM317" s="239">
        <v>0</v>
      </c>
      <c r="CN317" s="239">
        <v>0</v>
      </c>
      <c r="CO317" s="239">
        <v>0</v>
      </c>
      <c r="CP317" s="239">
        <v>0</v>
      </c>
      <c r="CQ317" s="239">
        <v>0</v>
      </c>
      <c r="CR317" s="239">
        <v>0</v>
      </c>
      <c r="CS317" s="239">
        <v>-2199</v>
      </c>
      <c r="CT317" s="239">
        <v>0</v>
      </c>
      <c r="CU317" s="239">
        <v>-2199</v>
      </c>
      <c r="CV317" s="239">
        <v>0</v>
      </c>
      <c r="CW317" s="239">
        <v>0</v>
      </c>
      <c r="CX317" s="239">
        <v>0</v>
      </c>
      <c r="CY317" s="239">
        <v>0</v>
      </c>
      <c r="CZ317" s="239">
        <v>0</v>
      </c>
      <c r="DA317" s="239">
        <v>0</v>
      </c>
      <c r="DB317" s="239">
        <v>0</v>
      </c>
      <c r="DC317" s="239">
        <v>0</v>
      </c>
      <c r="DD317" s="239">
        <v>0</v>
      </c>
      <c r="DE317" s="239">
        <v>0</v>
      </c>
      <c r="DF317" s="239">
        <v>0</v>
      </c>
      <c r="DG317" s="239">
        <v>0</v>
      </c>
      <c r="DH317" s="239">
        <v>0</v>
      </c>
      <c r="DI317" s="239">
        <v>0</v>
      </c>
      <c r="DJ317" s="239">
        <v>-234831</v>
      </c>
      <c r="DK317" s="239">
        <v>0</v>
      </c>
      <c r="DL317" s="239">
        <v>-234831</v>
      </c>
      <c r="DM317" s="239">
        <v>-26945</v>
      </c>
      <c r="DN317" s="239">
        <v>0</v>
      </c>
      <c r="DO317" s="239">
        <v>-26945</v>
      </c>
      <c r="DP317" s="239">
        <v>-606</v>
      </c>
      <c r="DQ317" s="239">
        <v>0</v>
      </c>
      <c r="DR317" s="239">
        <v>-606</v>
      </c>
      <c r="DS317" s="239">
        <v>-7326</v>
      </c>
      <c r="DT317" s="239">
        <v>0</v>
      </c>
      <c r="DU317" s="239">
        <v>-7326</v>
      </c>
      <c r="DV317" s="239">
        <v>-45351</v>
      </c>
      <c r="DW317" s="239">
        <v>0</v>
      </c>
      <c r="DX317" s="239">
        <v>-45351</v>
      </c>
      <c r="DY317" s="239">
        <v>5377</v>
      </c>
      <c r="DZ317" s="239">
        <v>0</v>
      </c>
      <c r="EA317" s="239">
        <v>5377</v>
      </c>
      <c r="EB317" s="239">
        <v>0</v>
      </c>
      <c r="EC317" s="239">
        <v>0</v>
      </c>
      <c r="ED317" s="239">
        <v>0</v>
      </c>
      <c r="EE317" s="239">
        <v>0</v>
      </c>
      <c r="EF317" s="239">
        <v>0</v>
      </c>
      <c r="EG317" s="239">
        <v>0</v>
      </c>
      <c r="EH317" s="239">
        <v>0</v>
      </c>
      <c r="EI317" s="239">
        <v>0</v>
      </c>
      <c r="EJ317" s="239">
        <v>0</v>
      </c>
      <c r="EK317" s="239">
        <v>-185303</v>
      </c>
      <c r="EL317" s="239">
        <v>0</v>
      </c>
      <c r="EM317" s="239">
        <v>-185303</v>
      </c>
      <c r="EN317" s="239">
        <v>-6000</v>
      </c>
      <c r="EO317" s="239">
        <v>0</v>
      </c>
      <c r="EP317" s="239">
        <v>-6000</v>
      </c>
      <c r="EQ317" s="239">
        <v>-181247</v>
      </c>
      <c r="ER317" s="239">
        <v>0</v>
      </c>
      <c r="ES317" s="239">
        <v>-181247</v>
      </c>
      <c r="ET317" s="239">
        <v>-936158</v>
      </c>
      <c r="EU317" s="239">
        <v>0</v>
      </c>
      <c r="EV317" s="239">
        <v>-936158</v>
      </c>
      <c r="EW317" s="239">
        <v>-203575</v>
      </c>
      <c r="EX317" s="239">
        <v>0</v>
      </c>
      <c r="EY317" s="239">
        <v>-203575</v>
      </c>
      <c r="EZ317" s="239">
        <v>-1587134</v>
      </c>
      <c r="FA317" s="239">
        <v>0</v>
      </c>
      <c r="FB317" s="239">
        <v>-1587134</v>
      </c>
      <c r="FC317" s="239">
        <v>-29877</v>
      </c>
      <c r="FD317" s="239">
        <v>0</v>
      </c>
      <c r="FE317" s="239">
        <v>-29877</v>
      </c>
      <c r="FF317" s="239">
        <v>0</v>
      </c>
      <c r="FG317" s="239">
        <v>0</v>
      </c>
      <c r="FH317" s="239">
        <v>0</v>
      </c>
      <c r="FI317" s="239">
        <v>-29877</v>
      </c>
      <c r="FJ317" s="239">
        <v>0</v>
      </c>
      <c r="FK317" s="239">
        <v>-29877</v>
      </c>
      <c r="FL317" s="239">
        <v>173433375</v>
      </c>
      <c r="FM317" s="239">
        <v>0</v>
      </c>
      <c r="FN317" s="239">
        <v>173433375</v>
      </c>
      <c r="FO317" s="239">
        <v>3234428</v>
      </c>
      <c r="FP317" s="239">
        <v>0</v>
      </c>
      <c r="FQ317" s="239">
        <v>3234428</v>
      </c>
      <c r="FR317" s="239">
        <v>-23389629</v>
      </c>
      <c r="FS317" s="239">
        <v>0</v>
      </c>
      <c r="FT317" s="239">
        <v>-23389629</v>
      </c>
      <c r="FU317" s="239">
        <v>-4170034</v>
      </c>
      <c r="FV317" s="239">
        <v>0</v>
      </c>
      <c r="FW317" s="239">
        <v>-4170034</v>
      </c>
      <c r="FX317" s="239">
        <v>-234831</v>
      </c>
      <c r="FY317" s="239">
        <v>0</v>
      </c>
      <c r="FZ317" s="239">
        <v>-234831</v>
      </c>
      <c r="GA317" s="239">
        <v>-1587134</v>
      </c>
      <c r="GB317" s="239">
        <v>0</v>
      </c>
      <c r="GC317" s="239">
        <v>-1587134</v>
      </c>
      <c r="GD317" s="239">
        <v>-29877</v>
      </c>
      <c r="GE317" s="239">
        <v>0</v>
      </c>
      <c r="GF317" s="239">
        <v>-29877</v>
      </c>
      <c r="GG317" s="239">
        <v>-26177077</v>
      </c>
      <c r="GH317" s="239">
        <v>0</v>
      </c>
      <c r="GI317" s="239">
        <v>-26177077</v>
      </c>
      <c r="GJ317" s="239">
        <v>147256298</v>
      </c>
      <c r="GK317" s="239">
        <v>0</v>
      </c>
      <c r="GL317" s="239">
        <v>147256298</v>
      </c>
      <c r="GM317" s="214" t="s">
        <v>746</v>
      </c>
    </row>
    <row r="318" spans="2:195" s="214" customFormat="1" x14ac:dyDescent="0.2">
      <c r="B318" s="602" t="s">
        <v>719</v>
      </c>
      <c r="C318" s="602" t="s">
        <v>718</v>
      </c>
      <c r="D318" s="239">
        <v>-3246059</v>
      </c>
      <c r="E318" s="239">
        <v>0</v>
      </c>
      <c r="F318" s="239">
        <v>-3246059</v>
      </c>
      <c r="G318" s="239">
        <v>23340</v>
      </c>
      <c r="H318" s="239">
        <v>0</v>
      </c>
      <c r="I318" s="239">
        <v>23340</v>
      </c>
      <c r="J318" s="239">
        <v>1570329</v>
      </c>
      <c r="K318" s="239">
        <v>0</v>
      </c>
      <c r="L318" s="239">
        <v>1570329</v>
      </c>
      <c r="M318" s="239">
        <v>10091.540000000001</v>
      </c>
      <c r="N318" s="239">
        <v>0</v>
      </c>
      <c r="O318" s="239">
        <v>10091.540000000001</v>
      </c>
      <c r="P318" s="239">
        <v>-1642298</v>
      </c>
      <c r="Q318" s="239">
        <v>0</v>
      </c>
      <c r="R318" s="239">
        <v>-1642298</v>
      </c>
      <c r="S318" s="239">
        <v>-3854441</v>
      </c>
      <c r="T318" s="239">
        <v>0</v>
      </c>
      <c r="U318" s="239">
        <v>-3854441</v>
      </c>
      <c r="V318" s="239">
        <v>-3718</v>
      </c>
      <c r="W318" s="239">
        <v>0</v>
      </c>
      <c r="X318" s="239">
        <v>-3718</v>
      </c>
      <c r="Y318" s="239">
        <v>-149444</v>
      </c>
      <c r="Z318" s="239">
        <v>0</v>
      </c>
      <c r="AA318" s="239">
        <v>-149444</v>
      </c>
      <c r="AB318" s="239">
        <v>-141553.26999999999</v>
      </c>
      <c r="AC318" s="239">
        <v>0</v>
      </c>
      <c r="AD318" s="239">
        <v>-141553.26999999999</v>
      </c>
      <c r="AE318" s="239">
        <v>0</v>
      </c>
      <c r="AF318" s="239">
        <v>0</v>
      </c>
      <c r="AG318" s="239">
        <v>0</v>
      </c>
      <c r="AH318" s="239">
        <v>1393873</v>
      </c>
      <c r="AI318" s="239">
        <v>0</v>
      </c>
      <c r="AJ318" s="239">
        <v>1393873</v>
      </c>
      <c r="AK318" s="239">
        <v>343008</v>
      </c>
      <c r="AL318" s="239">
        <v>0</v>
      </c>
      <c r="AM318" s="239">
        <v>343008</v>
      </c>
      <c r="AN318" s="239">
        <v>-4189054</v>
      </c>
      <c r="AO318" s="239">
        <v>0</v>
      </c>
      <c r="AP318" s="239">
        <v>-4189054</v>
      </c>
      <c r="AQ318" s="239">
        <v>62556</v>
      </c>
      <c r="AR318" s="239">
        <v>0</v>
      </c>
      <c r="AS318" s="239">
        <v>62556</v>
      </c>
      <c r="AT318" s="239">
        <v>-43276</v>
      </c>
      <c r="AU318" s="239">
        <v>0</v>
      </c>
      <c r="AV318" s="239">
        <v>-43276</v>
      </c>
      <c r="AW318" s="239">
        <v>0</v>
      </c>
      <c r="AX318" s="239">
        <v>0</v>
      </c>
      <c r="AY318" s="239">
        <v>0</v>
      </c>
      <c r="AZ318" s="239">
        <v>-10861</v>
      </c>
      <c r="BA318" s="239">
        <v>0</v>
      </c>
      <c r="BB318" s="239">
        <v>-10861</v>
      </c>
      <c r="BC318" s="239">
        <v>0</v>
      </c>
      <c r="BD318" s="239">
        <v>0</v>
      </c>
      <c r="BE318" s="239">
        <v>0</v>
      </c>
      <c r="BF318" s="239">
        <v>-6447639</v>
      </c>
      <c r="BG318" s="239">
        <v>0</v>
      </c>
      <c r="BH318" s="239">
        <v>-6447639</v>
      </c>
      <c r="BI318" s="239">
        <v>0</v>
      </c>
      <c r="BJ318" s="239">
        <v>0</v>
      </c>
      <c r="BK318" s="239">
        <v>0</v>
      </c>
      <c r="BL318" s="239">
        <v>-8065</v>
      </c>
      <c r="BM318" s="239">
        <v>0</v>
      </c>
      <c r="BN318" s="239">
        <v>-8065</v>
      </c>
      <c r="BO318" s="239">
        <v>-1364967</v>
      </c>
      <c r="BP318" s="239">
        <v>0</v>
      </c>
      <c r="BQ318" s="239">
        <v>-1364967</v>
      </c>
      <c r="BR318" s="239">
        <v>-236416</v>
      </c>
      <c r="BS318" s="239">
        <v>0</v>
      </c>
      <c r="BT318" s="239">
        <v>-236416</v>
      </c>
      <c r="BU318" s="239">
        <v>-1609448</v>
      </c>
      <c r="BV318" s="239">
        <v>0</v>
      </c>
      <c r="BW318" s="239">
        <v>-1609448</v>
      </c>
      <c r="BX318" s="239">
        <v>-58577</v>
      </c>
      <c r="BY318" s="239">
        <v>0</v>
      </c>
      <c r="BZ318" s="239">
        <v>-58577</v>
      </c>
      <c r="CA318" s="239">
        <v>6926</v>
      </c>
      <c r="CB318" s="239">
        <v>0</v>
      </c>
      <c r="CC318" s="239">
        <v>6926</v>
      </c>
      <c r="CD318" s="239">
        <v>-215966</v>
      </c>
      <c r="CE318" s="239">
        <v>0</v>
      </c>
      <c r="CF318" s="239">
        <v>-215966</v>
      </c>
      <c r="CG318" s="239">
        <v>0</v>
      </c>
      <c r="CH318" s="239">
        <v>0</v>
      </c>
      <c r="CI318" s="239">
        <v>0</v>
      </c>
      <c r="CJ318" s="239">
        <v>-3971</v>
      </c>
      <c r="CK318" s="239">
        <v>0</v>
      </c>
      <c r="CL318" s="239">
        <v>-3971</v>
      </c>
      <c r="CM318" s="239">
        <v>0</v>
      </c>
      <c r="CN318" s="239">
        <v>0</v>
      </c>
      <c r="CO318" s="239">
        <v>0</v>
      </c>
      <c r="CP318" s="239">
        <v>0</v>
      </c>
      <c r="CQ318" s="239">
        <v>0</v>
      </c>
      <c r="CR318" s="239">
        <v>0</v>
      </c>
      <c r="CS318" s="239">
        <v>0</v>
      </c>
      <c r="CT318" s="239">
        <v>0</v>
      </c>
      <c r="CU318" s="239">
        <v>0</v>
      </c>
      <c r="CV318" s="239">
        <v>0</v>
      </c>
      <c r="CW318" s="239">
        <v>0</v>
      </c>
      <c r="CX318" s="239">
        <v>0</v>
      </c>
      <c r="CY318" s="239">
        <v>0</v>
      </c>
      <c r="CZ318" s="239">
        <v>0</v>
      </c>
      <c r="DA318" s="239">
        <v>0</v>
      </c>
      <c r="DB318" s="239">
        <v>0</v>
      </c>
      <c r="DC318" s="239">
        <v>0</v>
      </c>
      <c r="DD318" s="239">
        <v>0</v>
      </c>
      <c r="DE318" s="239">
        <v>0</v>
      </c>
      <c r="DF318" s="239">
        <v>0</v>
      </c>
      <c r="DG318" s="239">
        <v>0</v>
      </c>
      <c r="DH318" s="239">
        <v>0</v>
      </c>
      <c r="DI318" s="239">
        <v>0</v>
      </c>
      <c r="DJ318" s="239">
        <v>-271588</v>
      </c>
      <c r="DK318" s="239">
        <v>0</v>
      </c>
      <c r="DL318" s="239">
        <v>-271588</v>
      </c>
      <c r="DM318" s="239">
        <v>-115153</v>
      </c>
      <c r="DN318" s="239">
        <v>0</v>
      </c>
      <c r="DO318" s="239">
        <v>-115153</v>
      </c>
      <c r="DP318" s="239">
        <v>-70667.28</v>
      </c>
      <c r="DQ318" s="239">
        <v>0</v>
      </c>
      <c r="DR318" s="239">
        <v>-70667.28</v>
      </c>
      <c r="DS318" s="239">
        <v>0</v>
      </c>
      <c r="DT318" s="239">
        <v>0</v>
      </c>
      <c r="DU318" s="239">
        <v>0</v>
      </c>
      <c r="DV318" s="239">
        <v>0</v>
      </c>
      <c r="DW318" s="239">
        <v>0</v>
      </c>
      <c r="DX318" s="239">
        <v>0</v>
      </c>
      <c r="DY318" s="239">
        <v>4776.1000000000004</v>
      </c>
      <c r="DZ318" s="239">
        <v>0</v>
      </c>
      <c r="EA318" s="239">
        <v>4776.1000000000004</v>
      </c>
      <c r="EB318" s="239">
        <v>0</v>
      </c>
      <c r="EC318" s="239">
        <v>0</v>
      </c>
      <c r="ED318" s="239">
        <v>0</v>
      </c>
      <c r="EE318" s="239">
        <v>0</v>
      </c>
      <c r="EF318" s="239">
        <v>0</v>
      </c>
      <c r="EG318" s="239">
        <v>0</v>
      </c>
      <c r="EH318" s="239">
        <v>0</v>
      </c>
      <c r="EI318" s="239">
        <v>0</v>
      </c>
      <c r="EJ318" s="239">
        <v>0</v>
      </c>
      <c r="EK318" s="239">
        <v>-6013</v>
      </c>
      <c r="EL318" s="239">
        <v>0</v>
      </c>
      <c r="EM318" s="239">
        <v>-6013</v>
      </c>
      <c r="EN318" s="239">
        <v>0</v>
      </c>
      <c r="EO318" s="239">
        <v>0</v>
      </c>
      <c r="EP318" s="239">
        <v>0</v>
      </c>
      <c r="EQ318" s="239">
        <v>-78619</v>
      </c>
      <c r="ER318" s="239">
        <v>0</v>
      </c>
      <c r="ES318" s="239">
        <v>-78619</v>
      </c>
      <c r="ET318" s="239">
        <v>-530653</v>
      </c>
      <c r="EU318" s="239">
        <v>0</v>
      </c>
      <c r="EV318" s="239">
        <v>-530653</v>
      </c>
      <c r="EW318" s="239">
        <v>-92419</v>
      </c>
      <c r="EX318" s="239">
        <v>0</v>
      </c>
      <c r="EY318" s="239">
        <v>-92419</v>
      </c>
      <c r="EZ318" s="239">
        <v>-888748</v>
      </c>
      <c r="FA318" s="239">
        <v>0</v>
      </c>
      <c r="FB318" s="239">
        <v>-888748</v>
      </c>
      <c r="FC318" s="239">
        <v>0</v>
      </c>
      <c r="FD318" s="239">
        <v>0</v>
      </c>
      <c r="FE318" s="239">
        <v>0</v>
      </c>
      <c r="FF318" s="239">
        <v>0</v>
      </c>
      <c r="FG318" s="239">
        <v>0</v>
      </c>
      <c r="FH318" s="239">
        <v>0</v>
      </c>
      <c r="FI318" s="239">
        <v>0</v>
      </c>
      <c r="FJ318" s="239">
        <v>0</v>
      </c>
      <c r="FK318" s="239">
        <v>0</v>
      </c>
      <c r="FL318" s="239">
        <v>68937096</v>
      </c>
      <c r="FM318" s="239">
        <v>0</v>
      </c>
      <c r="FN318" s="239">
        <v>68937096</v>
      </c>
      <c r="FO318" s="239">
        <v>-1642298</v>
      </c>
      <c r="FP318" s="239">
        <v>0</v>
      </c>
      <c r="FQ318" s="239">
        <v>-1642298</v>
      </c>
      <c r="FR318" s="239">
        <v>-6447639</v>
      </c>
      <c r="FS318" s="239">
        <v>0</v>
      </c>
      <c r="FT318" s="239">
        <v>-6447639</v>
      </c>
      <c r="FU318" s="239">
        <v>-1609448</v>
      </c>
      <c r="FV318" s="239">
        <v>0</v>
      </c>
      <c r="FW318" s="239">
        <v>-1609448</v>
      </c>
      <c r="FX318" s="239">
        <v>-271588</v>
      </c>
      <c r="FY318" s="239">
        <v>0</v>
      </c>
      <c r="FZ318" s="239">
        <v>-271588</v>
      </c>
      <c r="GA318" s="239">
        <v>-888748</v>
      </c>
      <c r="GB318" s="239">
        <v>0</v>
      </c>
      <c r="GC318" s="239">
        <v>-888748</v>
      </c>
      <c r="GD318" s="239">
        <v>0</v>
      </c>
      <c r="GE318" s="239">
        <v>0</v>
      </c>
      <c r="GF318" s="239">
        <v>0</v>
      </c>
      <c r="GG318" s="239">
        <v>-10859721</v>
      </c>
      <c r="GH318" s="239">
        <v>0</v>
      </c>
      <c r="GI318" s="239">
        <v>-10859721</v>
      </c>
      <c r="GJ318" s="239">
        <v>58077375</v>
      </c>
      <c r="GK318" s="239">
        <v>0</v>
      </c>
      <c r="GL318" s="239">
        <v>58077375</v>
      </c>
      <c r="GM318" s="214" t="s">
        <v>1158</v>
      </c>
    </row>
    <row r="319" spans="2:195" s="214" customFormat="1" x14ac:dyDescent="0.2">
      <c r="B319" s="602" t="s">
        <v>721</v>
      </c>
      <c r="C319" s="602" t="s">
        <v>720</v>
      </c>
      <c r="D319" s="239">
        <v>-4205977</v>
      </c>
      <c r="E319" s="239">
        <v>0</v>
      </c>
      <c r="F319" s="239">
        <v>-4205977</v>
      </c>
      <c r="G319" s="239">
        <v>186602</v>
      </c>
      <c r="H319" s="239">
        <v>0</v>
      </c>
      <c r="I319" s="239">
        <v>186602</v>
      </c>
      <c r="J319" s="239">
        <v>2593228</v>
      </c>
      <c r="K319" s="239">
        <v>0</v>
      </c>
      <c r="L319" s="239">
        <v>2593228</v>
      </c>
      <c r="M319" s="239">
        <v>140140</v>
      </c>
      <c r="N319" s="239">
        <v>0</v>
      </c>
      <c r="O319" s="239">
        <v>140140</v>
      </c>
      <c r="P319" s="239">
        <v>-1286007</v>
      </c>
      <c r="Q319" s="239">
        <v>0</v>
      </c>
      <c r="R319" s="239">
        <v>-1286007</v>
      </c>
      <c r="S319" s="239">
        <v>-3263027</v>
      </c>
      <c r="T319" s="239">
        <v>0</v>
      </c>
      <c r="U319" s="239">
        <v>-3263027</v>
      </c>
      <c r="V319" s="239">
        <v>0</v>
      </c>
      <c r="W319" s="239">
        <v>0</v>
      </c>
      <c r="X319" s="239">
        <v>0</v>
      </c>
      <c r="Y319" s="239">
        <v>-187923</v>
      </c>
      <c r="Z319" s="239">
        <v>0</v>
      </c>
      <c r="AA319" s="239">
        <v>-187923</v>
      </c>
      <c r="AB319" s="239">
        <v>0</v>
      </c>
      <c r="AC319" s="239">
        <v>0</v>
      </c>
      <c r="AD319" s="239">
        <v>0</v>
      </c>
      <c r="AE319" s="239">
        <v>0</v>
      </c>
      <c r="AF319" s="239">
        <v>0</v>
      </c>
      <c r="AG319" s="239">
        <v>0</v>
      </c>
      <c r="AH319" s="239">
        <v>2225643</v>
      </c>
      <c r="AI319" s="239">
        <v>0</v>
      </c>
      <c r="AJ319" s="239">
        <v>2225643</v>
      </c>
      <c r="AK319" s="239">
        <v>-137570</v>
      </c>
      <c r="AL319" s="239">
        <v>0</v>
      </c>
      <c r="AM319" s="239">
        <v>-137570</v>
      </c>
      <c r="AN319" s="239">
        <v>-7118984</v>
      </c>
      <c r="AO319" s="239">
        <v>0</v>
      </c>
      <c r="AP319" s="239">
        <v>-7118984</v>
      </c>
      <c r="AQ319" s="239">
        <v>-14349</v>
      </c>
      <c r="AR319" s="239">
        <v>0</v>
      </c>
      <c r="AS319" s="239">
        <v>-14349</v>
      </c>
      <c r="AT319" s="239">
        <v>0</v>
      </c>
      <c r="AU319" s="239">
        <v>0</v>
      </c>
      <c r="AV319" s="239">
        <v>0</v>
      </c>
      <c r="AW319" s="239">
        <v>0</v>
      </c>
      <c r="AX319" s="239">
        <v>0</v>
      </c>
      <c r="AY319" s="239">
        <v>0</v>
      </c>
      <c r="AZ319" s="239">
        <v>-6407</v>
      </c>
      <c r="BA319" s="239">
        <v>0</v>
      </c>
      <c r="BB319" s="239">
        <v>-6407</v>
      </c>
      <c r="BC319" s="239">
        <v>0</v>
      </c>
      <c r="BD319" s="239">
        <v>0</v>
      </c>
      <c r="BE319" s="239">
        <v>0</v>
      </c>
      <c r="BF319" s="239">
        <v>-8502617</v>
      </c>
      <c r="BG319" s="239">
        <v>0</v>
      </c>
      <c r="BH319" s="239">
        <v>-8502617</v>
      </c>
      <c r="BI319" s="239">
        <v>-11778</v>
      </c>
      <c r="BJ319" s="239">
        <v>0</v>
      </c>
      <c r="BK319" s="239">
        <v>-11778</v>
      </c>
      <c r="BL319" s="239">
        <v>-121554</v>
      </c>
      <c r="BM319" s="239">
        <v>0</v>
      </c>
      <c r="BN319" s="239">
        <v>-121554</v>
      </c>
      <c r="BO319" s="239">
        <v>-2998150</v>
      </c>
      <c r="BP319" s="239">
        <v>0</v>
      </c>
      <c r="BQ319" s="239">
        <v>-2998150</v>
      </c>
      <c r="BR319" s="239">
        <v>1451295</v>
      </c>
      <c r="BS319" s="239">
        <v>0</v>
      </c>
      <c r="BT319" s="239">
        <v>1451295</v>
      </c>
      <c r="BU319" s="239">
        <v>-1680187</v>
      </c>
      <c r="BV319" s="239">
        <v>0</v>
      </c>
      <c r="BW319" s="239">
        <v>-1680187</v>
      </c>
      <c r="BX319" s="239">
        <v>-406435</v>
      </c>
      <c r="BY319" s="239">
        <v>0</v>
      </c>
      <c r="BZ319" s="239">
        <v>-406435</v>
      </c>
      <c r="CA319" s="239">
        <v>-5791</v>
      </c>
      <c r="CB319" s="239">
        <v>0</v>
      </c>
      <c r="CC319" s="239">
        <v>-5791</v>
      </c>
      <c r="CD319" s="239">
        <v>-169687</v>
      </c>
      <c r="CE319" s="239">
        <v>0</v>
      </c>
      <c r="CF319" s="239">
        <v>-169687</v>
      </c>
      <c r="CG319" s="239">
        <v>1207</v>
      </c>
      <c r="CH319" s="239">
        <v>0</v>
      </c>
      <c r="CI319" s="239">
        <v>1207</v>
      </c>
      <c r="CJ319" s="239">
        <v>0</v>
      </c>
      <c r="CK319" s="239">
        <v>0</v>
      </c>
      <c r="CL319" s="239">
        <v>0</v>
      </c>
      <c r="CM319" s="239">
        <v>0</v>
      </c>
      <c r="CN319" s="239">
        <v>0</v>
      </c>
      <c r="CO319" s="239">
        <v>0</v>
      </c>
      <c r="CP319" s="239">
        <v>0</v>
      </c>
      <c r="CQ319" s="239">
        <v>0</v>
      </c>
      <c r="CR319" s="239">
        <v>0</v>
      </c>
      <c r="CS319" s="239">
        <v>0</v>
      </c>
      <c r="CT319" s="239">
        <v>0</v>
      </c>
      <c r="CU319" s="239">
        <v>0</v>
      </c>
      <c r="CV319" s="239">
        <v>-8586</v>
      </c>
      <c r="CW319" s="239">
        <v>0</v>
      </c>
      <c r="CX319" s="239">
        <v>-8586</v>
      </c>
      <c r="CY319" s="239">
        <v>3</v>
      </c>
      <c r="CZ319" s="239">
        <v>0</v>
      </c>
      <c r="DA319" s="239">
        <v>3</v>
      </c>
      <c r="DB319" s="239">
        <v>-100062</v>
      </c>
      <c r="DC319" s="239">
        <v>0</v>
      </c>
      <c r="DD319" s="239">
        <v>-100062</v>
      </c>
      <c r="DE319" s="239">
        <v>-37371</v>
      </c>
      <c r="DF319" s="239">
        <v>0</v>
      </c>
      <c r="DG319" s="239">
        <v>-37371</v>
      </c>
      <c r="DH319" s="239">
        <v>0</v>
      </c>
      <c r="DI319" s="239">
        <v>0</v>
      </c>
      <c r="DJ319" s="239">
        <v>-726722</v>
      </c>
      <c r="DK319" s="239">
        <v>0</v>
      </c>
      <c r="DL319" s="239">
        <v>-726722</v>
      </c>
      <c r="DM319" s="239">
        <v>0</v>
      </c>
      <c r="DN319" s="239">
        <v>0</v>
      </c>
      <c r="DO319" s="239">
        <v>0</v>
      </c>
      <c r="DP319" s="239">
        <v>0</v>
      </c>
      <c r="DQ319" s="239">
        <v>0</v>
      </c>
      <c r="DR319" s="239">
        <v>0</v>
      </c>
      <c r="DS319" s="239">
        <v>-160134</v>
      </c>
      <c r="DT319" s="239">
        <v>0</v>
      </c>
      <c r="DU319" s="239">
        <v>-160134</v>
      </c>
      <c r="DV319" s="239">
        <v>-61052</v>
      </c>
      <c r="DW319" s="239">
        <v>0</v>
      </c>
      <c r="DX319" s="239">
        <v>-61052</v>
      </c>
      <c r="DY319" s="239">
        <v>0</v>
      </c>
      <c r="DZ319" s="239">
        <v>0</v>
      </c>
      <c r="EA319" s="239">
        <v>0</v>
      </c>
      <c r="EB319" s="239">
        <v>0</v>
      </c>
      <c r="EC319" s="239">
        <v>0</v>
      </c>
      <c r="ED319" s="239">
        <v>0</v>
      </c>
      <c r="EE319" s="239">
        <v>0</v>
      </c>
      <c r="EF319" s="239">
        <v>0</v>
      </c>
      <c r="EG319" s="239">
        <v>0</v>
      </c>
      <c r="EH319" s="239">
        <v>0</v>
      </c>
      <c r="EI319" s="239">
        <v>0</v>
      </c>
      <c r="EJ319" s="239">
        <v>0</v>
      </c>
      <c r="EK319" s="239">
        <v>-6407</v>
      </c>
      <c r="EL319" s="239">
        <v>0</v>
      </c>
      <c r="EM319" s="239">
        <v>-6407</v>
      </c>
      <c r="EN319" s="239">
        <v>-1500</v>
      </c>
      <c r="EO319" s="239">
        <v>0</v>
      </c>
      <c r="EP319" s="239">
        <v>-1500</v>
      </c>
      <c r="EQ319" s="239">
        <v>-12845</v>
      </c>
      <c r="ER319" s="239">
        <v>0</v>
      </c>
      <c r="ES319" s="239">
        <v>-12845</v>
      </c>
      <c r="ET319" s="239">
        <v>-658394</v>
      </c>
      <c r="EU319" s="239">
        <v>0</v>
      </c>
      <c r="EV319" s="239">
        <v>-658394</v>
      </c>
      <c r="EW319" s="239">
        <v>-55102</v>
      </c>
      <c r="EX319" s="239">
        <v>0</v>
      </c>
      <c r="EY319" s="239">
        <v>-55102</v>
      </c>
      <c r="EZ319" s="239">
        <v>-955434</v>
      </c>
      <c r="FA319" s="239">
        <v>0</v>
      </c>
      <c r="FB319" s="239">
        <v>-955434</v>
      </c>
      <c r="FC319" s="239">
        <v>-149472</v>
      </c>
      <c r="FD319" s="239">
        <v>0</v>
      </c>
      <c r="FE319" s="239">
        <v>-149472</v>
      </c>
      <c r="FF319" s="239">
        <v>-8588</v>
      </c>
      <c r="FG319" s="239">
        <v>0</v>
      </c>
      <c r="FH319" s="239">
        <v>-8588</v>
      </c>
      <c r="FI319" s="239">
        <v>-158060</v>
      </c>
      <c r="FJ319" s="239">
        <v>0</v>
      </c>
      <c r="FK319" s="239">
        <v>-158060</v>
      </c>
      <c r="FL319" s="239">
        <v>96419443</v>
      </c>
      <c r="FM319" s="239">
        <v>0</v>
      </c>
      <c r="FN319" s="239">
        <v>96419443</v>
      </c>
      <c r="FO319" s="239">
        <v>-1286007</v>
      </c>
      <c r="FP319" s="239">
        <v>0</v>
      </c>
      <c r="FQ319" s="239">
        <v>-1286007</v>
      </c>
      <c r="FR319" s="239">
        <v>-8502617</v>
      </c>
      <c r="FS319" s="239">
        <v>0</v>
      </c>
      <c r="FT319" s="239">
        <v>-8502617</v>
      </c>
      <c r="FU319" s="239">
        <v>-1680187</v>
      </c>
      <c r="FV319" s="239">
        <v>0</v>
      </c>
      <c r="FW319" s="239">
        <v>-1680187</v>
      </c>
      <c r="FX319" s="239">
        <v>-726722</v>
      </c>
      <c r="FY319" s="239">
        <v>0</v>
      </c>
      <c r="FZ319" s="239">
        <v>-726722</v>
      </c>
      <c r="GA319" s="239">
        <v>-955434</v>
      </c>
      <c r="GB319" s="239">
        <v>0</v>
      </c>
      <c r="GC319" s="239">
        <v>-955434</v>
      </c>
      <c r="GD319" s="239">
        <v>-158060</v>
      </c>
      <c r="GE319" s="239">
        <v>0</v>
      </c>
      <c r="GF319" s="239">
        <v>-158060</v>
      </c>
      <c r="GG319" s="239">
        <v>-13309027</v>
      </c>
      <c r="GH319" s="239">
        <v>0</v>
      </c>
      <c r="GI319" s="239">
        <v>-13309027</v>
      </c>
      <c r="GJ319" s="239">
        <v>83110416</v>
      </c>
      <c r="GK319" s="239">
        <v>0</v>
      </c>
      <c r="GL319" s="239">
        <v>83110416</v>
      </c>
      <c r="GM319" s="214" t="s">
        <v>746</v>
      </c>
    </row>
    <row r="320" spans="2:195" s="214" customFormat="1" x14ac:dyDescent="0.2">
      <c r="B320" s="602" t="s">
        <v>723</v>
      </c>
      <c r="C320" s="602" t="s">
        <v>722</v>
      </c>
      <c r="D320" s="239">
        <v>-3797405</v>
      </c>
      <c r="E320" s="239">
        <v>-650</v>
      </c>
      <c r="F320" s="239">
        <v>-3798055</v>
      </c>
      <c r="G320" s="239">
        <v>102710</v>
      </c>
      <c r="H320" s="239">
        <v>0</v>
      </c>
      <c r="I320" s="239">
        <v>102710</v>
      </c>
      <c r="J320" s="239">
        <v>5557709</v>
      </c>
      <c r="K320" s="239">
        <v>26940</v>
      </c>
      <c r="L320" s="239">
        <v>5584649</v>
      </c>
      <c r="M320" s="239">
        <v>17819</v>
      </c>
      <c r="N320" s="239">
        <v>0</v>
      </c>
      <c r="O320" s="239">
        <v>17819</v>
      </c>
      <c r="P320" s="239">
        <v>1880833</v>
      </c>
      <c r="Q320" s="239">
        <v>26290</v>
      </c>
      <c r="R320" s="239">
        <v>1907123</v>
      </c>
      <c r="S320" s="239">
        <v>-9030620</v>
      </c>
      <c r="T320" s="239">
        <v>-25827</v>
      </c>
      <c r="U320" s="239">
        <v>-9056447</v>
      </c>
      <c r="V320" s="239">
        <v>-19616</v>
      </c>
      <c r="W320" s="239">
        <v>0</v>
      </c>
      <c r="X320" s="239">
        <v>-19616</v>
      </c>
      <c r="Y320" s="239">
        <v>-183507</v>
      </c>
      <c r="Z320" s="239">
        <v>0</v>
      </c>
      <c r="AA320" s="239">
        <v>-183507</v>
      </c>
      <c r="AB320" s="239">
        <v>-181938</v>
      </c>
      <c r="AC320" s="239">
        <v>0</v>
      </c>
      <c r="AD320" s="239">
        <v>-181938</v>
      </c>
      <c r="AE320" s="239">
        <v>-1569</v>
      </c>
      <c r="AF320" s="239">
        <v>0</v>
      </c>
      <c r="AG320" s="239">
        <v>-1569</v>
      </c>
      <c r="AH320" s="239">
        <v>1627884</v>
      </c>
      <c r="AI320" s="239">
        <v>27491</v>
      </c>
      <c r="AJ320" s="239">
        <v>1655375</v>
      </c>
      <c r="AK320" s="239">
        <v>-118986</v>
      </c>
      <c r="AL320" s="239">
        <v>-565</v>
      </c>
      <c r="AM320" s="239">
        <v>-119551</v>
      </c>
      <c r="AN320" s="239">
        <v>-5411064</v>
      </c>
      <c r="AO320" s="239">
        <v>-85201</v>
      </c>
      <c r="AP320" s="239">
        <v>-5496265</v>
      </c>
      <c r="AQ320" s="239">
        <v>-93910</v>
      </c>
      <c r="AR320" s="239">
        <v>8069</v>
      </c>
      <c r="AS320" s="239">
        <v>-85841</v>
      </c>
      <c r="AT320" s="239">
        <v>-27610</v>
      </c>
      <c r="AU320" s="239">
        <v>0</v>
      </c>
      <c r="AV320" s="239">
        <v>-27610</v>
      </c>
      <c r="AW320" s="239">
        <v>0</v>
      </c>
      <c r="AX320" s="239">
        <v>0</v>
      </c>
      <c r="AY320" s="239">
        <v>0</v>
      </c>
      <c r="AZ320" s="239">
        <v>0</v>
      </c>
      <c r="BA320" s="239">
        <v>0</v>
      </c>
      <c r="BB320" s="239">
        <v>0</v>
      </c>
      <c r="BC320" s="239">
        <v>0</v>
      </c>
      <c r="BD320" s="239">
        <v>0</v>
      </c>
      <c r="BE320" s="239">
        <v>0</v>
      </c>
      <c r="BF320" s="239">
        <v>-13237813</v>
      </c>
      <c r="BG320" s="239">
        <v>-76033</v>
      </c>
      <c r="BH320" s="239">
        <v>-13313846</v>
      </c>
      <c r="BI320" s="239">
        <v>-25473</v>
      </c>
      <c r="BJ320" s="239">
        <v>0</v>
      </c>
      <c r="BK320" s="239">
        <v>-25473</v>
      </c>
      <c r="BL320" s="239">
        <v>-21849</v>
      </c>
      <c r="BM320" s="239">
        <v>0</v>
      </c>
      <c r="BN320" s="239">
        <v>-21849</v>
      </c>
      <c r="BO320" s="239">
        <v>-3270540</v>
      </c>
      <c r="BP320" s="239">
        <v>-92945</v>
      </c>
      <c r="BQ320" s="239">
        <v>-3363485</v>
      </c>
      <c r="BR320" s="239">
        <v>-224682</v>
      </c>
      <c r="BS320" s="239">
        <v>-20254</v>
      </c>
      <c r="BT320" s="239">
        <v>-244936</v>
      </c>
      <c r="BU320" s="239">
        <v>-3542544</v>
      </c>
      <c r="BV320" s="239">
        <v>-113199</v>
      </c>
      <c r="BW320" s="239">
        <v>-3655743</v>
      </c>
      <c r="BX320" s="239">
        <v>-639990</v>
      </c>
      <c r="BY320" s="239">
        <v>-1179</v>
      </c>
      <c r="BZ320" s="239">
        <v>-641169</v>
      </c>
      <c r="CA320" s="239">
        <v>-20451</v>
      </c>
      <c r="CB320" s="239">
        <v>0</v>
      </c>
      <c r="CC320" s="239">
        <v>-20451</v>
      </c>
      <c r="CD320" s="239">
        <v>-91504</v>
      </c>
      <c r="CE320" s="239">
        <v>0</v>
      </c>
      <c r="CF320" s="239">
        <v>-91504</v>
      </c>
      <c r="CG320" s="239">
        <v>594</v>
      </c>
      <c r="CH320" s="239">
        <v>0</v>
      </c>
      <c r="CI320" s="239">
        <v>594</v>
      </c>
      <c r="CJ320" s="239">
        <v>-6902</v>
      </c>
      <c r="CK320" s="239">
        <v>0</v>
      </c>
      <c r="CL320" s="239">
        <v>-6902</v>
      </c>
      <c r="CM320" s="239">
        <v>0</v>
      </c>
      <c r="CN320" s="239">
        <v>0</v>
      </c>
      <c r="CO320" s="239">
        <v>0</v>
      </c>
      <c r="CP320" s="239">
        <v>0</v>
      </c>
      <c r="CQ320" s="239">
        <v>0</v>
      </c>
      <c r="CR320" s="239">
        <v>0</v>
      </c>
      <c r="CS320" s="239">
        <v>0</v>
      </c>
      <c r="CT320" s="239">
        <v>0</v>
      </c>
      <c r="CU320" s="239">
        <v>0</v>
      </c>
      <c r="CV320" s="239">
        <v>0</v>
      </c>
      <c r="CW320" s="239">
        <v>0</v>
      </c>
      <c r="CX320" s="239">
        <v>0</v>
      </c>
      <c r="CY320" s="239">
        <v>0</v>
      </c>
      <c r="CZ320" s="239">
        <v>0</v>
      </c>
      <c r="DA320" s="239">
        <v>0</v>
      </c>
      <c r="DB320" s="239">
        <v>0</v>
      </c>
      <c r="DC320" s="239">
        <v>-74250</v>
      </c>
      <c r="DD320" s="239">
        <v>-74250</v>
      </c>
      <c r="DE320" s="239">
        <v>0</v>
      </c>
      <c r="DF320" s="239">
        <v>0</v>
      </c>
      <c r="DG320" s="239">
        <v>0</v>
      </c>
      <c r="DH320" s="239">
        <v>-74250</v>
      </c>
      <c r="DI320" s="239">
        <v>0</v>
      </c>
      <c r="DJ320" s="239">
        <v>-758253</v>
      </c>
      <c r="DK320" s="239">
        <v>-75429</v>
      </c>
      <c r="DL320" s="239">
        <v>-833682</v>
      </c>
      <c r="DM320" s="239">
        <v>0</v>
      </c>
      <c r="DN320" s="239">
        <v>0</v>
      </c>
      <c r="DO320" s="239">
        <v>0</v>
      </c>
      <c r="DP320" s="239">
        <v>0</v>
      </c>
      <c r="DQ320" s="239">
        <v>0</v>
      </c>
      <c r="DR320" s="239">
        <v>0</v>
      </c>
      <c r="DS320" s="239">
        <v>-246</v>
      </c>
      <c r="DT320" s="239">
        <v>0</v>
      </c>
      <c r="DU320" s="239">
        <v>-246</v>
      </c>
      <c r="DV320" s="239">
        <v>1513</v>
      </c>
      <c r="DW320" s="239">
        <v>0</v>
      </c>
      <c r="DX320" s="239">
        <v>1513</v>
      </c>
      <c r="DY320" s="239">
        <v>0</v>
      </c>
      <c r="DZ320" s="239">
        <v>0</v>
      </c>
      <c r="EA320" s="239">
        <v>0</v>
      </c>
      <c r="EB320" s="239">
        <v>0</v>
      </c>
      <c r="EC320" s="239">
        <v>0</v>
      </c>
      <c r="ED320" s="239">
        <v>0</v>
      </c>
      <c r="EE320" s="239">
        <v>0</v>
      </c>
      <c r="EF320" s="239">
        <v>0</v>
      </c>
      <c r="EG320" s="239">
        <v>0</v>
      </c>
      <c r="EH320" s="239">
        <v>0</v>
      </c>
      <c r="EI320" s="239">
        <v>0</v>
      </c>
      <c r="EJ320" s="239">
        <v>0</v>
      </c>
      <c r="EK320" s="239">
        <v>0</v>
      </c>
      <c r="EL320" s="239">
        <v>0</v>
      </c>
      <c r="EM320" s="239">
        <v>0</v>
      </c>
      <c r="EN320" s="239">
        <v>-1500</v>
      </c>
      <c r="EO320" s="239">
        <v>0</v>
      </c>
      <c r="EP320" s="239">
        <v>-1500</v>
      </c>
      <c r="EQ320" s="239">
        <v>-19732</v>
      </c>
      <c r="ER320" s="239">
        <v>0</v>
      </c>
      <c r="ES320" s="239">
        <v>-19732</v>
      </c>
      <c r="ET320" s="239">
        <v>-532000</v>
      </c>
      <c r="EU320" s="239">
        <v>0</v>
      </c>
      <c r="EV320" s="239">
        <v>-532000</v>
      </c>
      <c r="EW320" s="239">
        <v>-77622</v>
      </c>
      <c r="EX320" s="239">
        <v>0</v>
      </c>
      <c r="EY320" s="239">
        <v>-77622</v>
      </c>
      <c r="EZ320" s="239">
        <v>-629587</v>
      </c>
      <c r="FA320" s="239">
        <v>0</v>
      </c>
      <c r="FB320" s="239">
        <v>-629587</v>
      </c>
      <c r="FC320" s="239">
        <v>0</v>
      </c>
      <c r="FD320" s="239">
        <v>0</v>
      </c>
      <c r="FE320" s="239">
        <v>0</v>
      </c>
      <c r="FF320" s="239">
        <v>0</v>
      </c>
      <c r="FG320" s="239">
        <v>0</v>
      </c>
      <c r="FH320" s="239">
        <v>0</v>
      </c>
      <c r="FI320" s="239">
        <v>0</v>
      </c>
      <c r="FJ320" s="239">
        <v>0</v>
      </c>
      <c r="FK320" s="239">
        <v>0</v>
      </c>
      <c r="FL320" s="239">
        <v>82144676</v>
      </c>
      <c r="FM320" s="239">
        <v>1070381</v>
      </c>
      <c r="FN320" s="239">
        <v>83215057</v>
      </c>
      <c r="FO320" s="239">
        <v>1880833</v>
      </c>
      <c r="FP320" s="239">
        <v>26290</v>
      </c>
      <c r="FQ320" s="239">
        <v>1907123</v>
      </c>
      <c r="FR320" s="239">
        <v>-13237813</v>
      </c>
      <c r="FS320" s="239">
        <v>-76033</v>
      </c>
      <c r="FT320" s="239">
        <v>-13313846</v>
      </c>
      <c r="FU320" s="239">
        <v>-3542544</v>
      </c>
      <c r="FV320" s="239">
        <v>-113199</v>
      </c>
      <c r="FW320" s="239">
        <v>-3655743</v>
      </c>
      <c r="FX320" s="239">
        <v>-758253</v>
      </c>
      <c r="FY320" s="239">
        <v>-75429</v>
      </c>
      <c r="FZ320" s="239">
        <v>-833682</v>
      </c>
      <c r="GA320" s="239">
        <v>-629587</v>
      </c>
      <c r="GB320" s="239">
        <v>0</v>
      </c>
      <c r="GC320" s="239">
        <v>-629587</v>
      </c>
      <c r="GD320" s="239">
        <v>0</v>
      </c>
      <c r="GE320" s="239">
        <v>0</v>
      </c>
      <c r="GF320" s="239">
        <v>0</v>
      </c>
      <c r="GG320" s="239">
        <v>-16287364</v>
      </c>
      <c r="GH320" s="239">
        <v>-238371</v>
      </c>
      <c r="GI320" s="239">
        <v>-16525735</v>
      </c>
      <c r="GJ320" s="239">
        <v>65857312</v>
      </c>
      <c r="GK320" s="239">
        <v>832010</v>
      </c>
      <c r="GL320" s="239">
        <v>66689322</v>
      </c>
      <c r="GM320" s="214" t="s">
        <v>1160</v>
      </c>
    </row>
    <row r="321" spans="2:195" s="214" customFormat="1" x14ac:dyDescent="0.2">
      <c r="B321" s="602" t="s">
        <v>725</v>
      </c>
      <c r="C321" s="602" t="s">
        <v>724</v>
      </c>
      <c r="D321" s="239">
        <v>-1181216</v>
      </c>
      <c r="E321" s="239">
        <v>0</v>
      </c>
      <c r="F321" s="239">
        <v>-1181216</v>
      </c>
      <c r="G321" s="239">
        <v>-334</v>
      </c>
      <c r="H321" s="239">
        <v>0</v>
      </c>
      <c r="I321" s="239">
        <v>-334</v>
      </c>
      <c r="J321" s="239">
        <v>1632346</v>
      </c>
      <c r="K321" s="239">
        <v>0</v>
      </c>
      <c r="L321" s="239">
        <v>1632346</v>
      </c>
      <c r="M321" s="239">
        <v>101755</v>
      </c>
      <c r="N321" s="239">
        <v>0</v>
      </c>
      <c r="O321" s="239">
        <v>101755</v>
      </c>
      <c r="P321" s="239">
        <v>552551</v>
      </c>
      <c r="Q321" s="239">
        <v>0</v>
      </c>
      <c r="R321" s="239">
        <v>552551</v>
      </c>
      <c r="S321" s="239">
        <v>-2056392</v>
      </c>
      <c r="T321" s="239">
        <v>0</v>
      </c>
      <c r="U321" s="239">
        <v>-2056392</v>
      </c>
      <c r="V321" s="239">
        <v>0</v>
      </c>
      <c r="W321" s="239">
        <v>0</v>
      </c>
      <c r="X321" s="239">
        <v>0</v>
      </c>
      <c r="Y321" s="239">
        <v>-119486</v>
      </c>
      <c r="Z321" s="239">
        <v>0</v>
      </c>
      <c r="AA321" s="239">
        <v>-119486</v>
      </c>
      <c r="AB321" s="239">
        <v>0</v>
      </c>
      <c r="AC321" s="239">
        <v>0</v>
      </c>
      <c r="AD321" s="239">
        <v>0</v>
      </c>
      <c r="AE321" s="239">
        <v>0</v>
      </c>
      <c r="AF321" s="239">
        <v>0</v>
      </c>
      <c r="AG321" s="239">
        <v>0</v>
      </c>
      <c r="AH321" s="239">
        <v>1155253</v>
      </c>
      <c r="AI321" s="239">
        <v>0</v>
      </c>
      <c r="AJ321" s="239">
        <v>1155253</v>
      </c>
      <c r="AK321" s="239">
        <v>-62698</v>
      </c>
      <c r="AL321" s="239">
        <v>0</v>
      </c>
      <c r="AM321" s="239">
        <v>-62698</v>
      </c>
      <c r="AN321" s="239">
        <v>-3031185</v>
      </c>
      <c r="AO321" s="239">
        <v>0</v>
      </c>
      <c r="AP321" s="239">
        <v>-3031185</v>
      </c>
      <c r="AQ321" s="239">
        <v>-790</v>
      </c>
      <c r="AR321" s="239">
        <v>0</v>
      </c>
      <c r="AS321" s="239">
        <v>-790</v>
      </c>
      <c r="AT321" s="239">
        <v>0</v>
      </c>
      <c r="AU321" s="239">
        <v>0</v>
      </c>
      <c r="AV321" s="239">
        <v>0</v>
      </c>
      <c r="AW321" s="239">
        <v>0</v>
      </c>
      <c r="AX321" s="239">
        <v>0</v>
      </c>
      <c r="AY321" s="239">
        <v>0</v>
      </c>
      <c r="AZ321" s="239">
        <v>-778</v>
      </c>
      <c r="BA321" s="239">
        <v>0</v>
      </c>
      <c r="BB321" s="239">
        <v>-778</v>
      </c>
      <c r="BC321" s="239">
        <v>0</v>
      </c>
      <c r="BD321" s="239">
        <v>0</v>
      </c>
      <c r="BE321" s="239">
        <v>0</v>
      </c>
      <c r="BF321" s="239">
        <v>-4116076</v>
      </c>
      <c r="BG321" s="239">
        <v>0</v>
      </c>
      <c r="BH321" s="239">
        <v>-4116076</v>
      </c>
      <c r="BI321" s="239">
        <v>-31800</v>
      </c>
      <c r="BJ321" s="239">
        <v>0</v>
      </c>
      <c r="BK321" s="239">
        <v>-31800</v>
      </c>
      <c r="BL321" s="239">
        <v>0</v>
      </c>
      <c r="BM321" s="239">
        <v>0</v>
      </c>
      <c r="BN321" s="239">
        <v>0</v>
      </c>
      <c r="BO321" s="239">
        <v>-1791181</v>
      </c>
      <c r="BP321" s="239">
        <v>0</v>
      </c>
      <c r="BQ321" s="239">
        <v>-1791181</v>
      </c>
      <c r="BR321" s="239">
        <v>298223</v>
      </c>
      <c r="BS321" s="239">
        <v>0</v>
      </c>
      <c r="BT321" s="239">
        <v>298223</v>
      </c>
      <c r="BU321" s="239">
        <v>-1524758</v>
      </c>
      <c r="BV321" s="239">
        <v>0</v>
      </c>
      <c r="BW321" s="239">
        <v>-1524758</v>
      </c>
      <c r="BX321" s="239">
        <v>-340464</v>
      </c>
      <c r="BY321" s="239">
        <v>0</v>
      </c>
      <c r="BZ321" s="239">
        <v>-340464</v>
      </c>
      <c r="CA321" s="239">
        <v>3441</v>
      </c>
      <c r="CB321" s="239">
        <v>0</v>
      </c>
      <c r="CC321" s="239">
        <v>3441</v>
      </c>
      <c r="CD321" s="239">
        <v>-72098</v>
      </c>
      <c r="CE321" s="239">
        <v>0</v>
      </c>
      <c r="CF321" s="239">
        <v>-72098</v>
      </c>
      <c r="CG321" s="239">
        <v>2582</v>
      </c>
      <c r="CH321" s="239">
        <v>0</v>
      </c>
      <c r="CI321" s="239">
        <v>2582</v>
      </c>
      <c r="CJ321" s="239">
        <v>0</v>
      </c>
      <c r="CK321" s="239">
        <v>0</v>
      </c>
      <c r="CL321" s="239">
        <v>0</v>
      </c>
      <c r="CM321" s="239">
        <v>0</v>
      </c>
      <c r="CN321" s="239">
        <v>0</v>
      </c>
      <c r="CO321" s="239">
        <v>0</v>
      </c>
      <c r="CP321" s="239">
        <v>0</v>
      </c>
      <c r="CQ321" s="239">
        <v>0</v>
      </c>
      <c r="CR321" s="239">
        <v>0</v>
      </c>
      <c r="CS321" s="239">
        <v>0</v>
      </c>
      <c r="CT321" s="239">
        <v>0</v>
      </c>
      <c r="CU321" s="239">
        <v>0</v>
      </c>
      <c r="CV321" s="239">
        <v>0</v>
      </c>
      <c r="CW321" s="239">
        <v>0</v>
      </c>
      <c r="CX321" s="239">
        <v>0</v>
      </c>
      <c r="CY321" s="239">
        <v>0</v>
      </c>
      <c r="CZ321" s="239">
        <v>0</v>
      </c>
      <c r="DA321" s="239">
        <v>0</v>
      </c>
      <c r="DB321" s="239">
        <v>-191216</v>
      </c>
      <c r="DC321" s="239">
        <v>0</v>
      </c>
      <c r="DD321" s="239">
        <v>-191216</v>
      </c>
      <c r="DE321" s="239">
        <v>-7148</v>
      </c>
      <c r="DF321" s="239">
        <v>0</v>
      </c>
      <c r="DG321" s="239">
        <v>-7148</v>
      </c>
      <c r="DH321" s="239">
        <v>0</v>
      </c>
      <c r="DI321" s="239">
        <v>0</v>
      </c>
      <c r="DJ321" s="239">
        <v>-604903</v>
      </c>
      <c r="DK321" s="239">
        <v>0</v>
      </c>
      <c r="DL321" s="239">
        <v>-604903</v>
      </c>
      <c r="DM321" s="239">
        <v>-2784</v>
      </c>
      <c r="DN321" s="239">
        <v>0</v>
      </c>
      <c r="DO321" s="239">
        <v>-2784</v>
      </c>
      <c r="DP321" s="239">
        <v>0</v>
      </c>
      <c r="DQ321" s="239">
        <v>0</v>
      </c>
      <c r="DR321" s="239">
        <v>0</v>
      </c>
      <c r="DS321" s="239">
        <v>0</v>
      </c>
      <c r="DT321" s="239">
        <v>0</v>
      </c>
      <c r="DU321" s="239">
        <v>0</v>
      </c>
      <c r="DV321" s="239">
        <v>219</v>
      </c>
      <c r="DW321" s="239">
        <v>0</v>
      </c>
      <c r="DX321" s="239">
        <v>219</v>
      </c>
      <c r="DY321" s="239">
        <v>1603</v>
      </c>
      <c r="DZ321" s="239">
        <v>0</v>
      </c>
      <c r="EA321" s="239">
        <v>1603</v>
      </c>
      <c r="EB321" s="239">
        <v>0</v>
      </c>
      <c r="EC321" s="239">
        <v>0</v>
      </c>
      <c r="ED321" s="239">
        <v>0</v>
      </c>
      <c r="EE321" s="239">
        <v>0</v>
      </c>
      <c r="EF321" s="239">
        <v>0</v>
      </c>
      <c r="EG321" s="239">
        <v>0</v>
      </c>
      <c r="EH321" s="239">
        <v>1367</v>
      </c>
      <c r="EI321" s="239">
        <v>0</v>
      </c>
      <c r="EJ321" s="239">
        <v>1367</v>
      </c>
      <c r="EK321" s="239">
        <v>0</v>
      </c>
      <c r="EL321" s="239">
        <v>0</v>
      </c>
      <c r="EM321" s="239">
        <v>0</v>
      </c>
      <c r="EN321" s="239">
        <v>0</v>
      </c>
      <c r="EO321" s="239">
        <v>0</v>
      </c>
      <c r="EP321" s="239">
        <v>0</v>
      </c>
      <c r="EQ321" s="239">
        <v>-16014</v>
      </c>
      <c r="ER321" s="239">
        <v>0</v>
      </c>
      <c r="ES321" s="239">
        <v>-16014</v>
      </c>
      <c r="ET321" s="239">
        <v>-316900</v>
      </c>
      <c r="EU321" s="239">
        <v>0</v>
      </c>
      <c r="EV321" s="239">
        <v>-316900</v>
      </c>
      <c r="EW321" s="239">
        <v>-14923</v>
      </c>
      <c r="EX321" s="239">
        <v>0</v>
      </c>
      <c r="EY321" s="239">
        <v>-14923</v>
      </c>
      <c r="EZ321" s="239">
        <v>-347432</v>
      </c>
      <c r="FA321" s="239">
        <v>0</v>
      </c>
      <c r="FB321" s="239">
        <v>-347432</v>
      </c>
      <c r="FC321" s="239">
        <v>-195019</v>
      </c>
      <c r="FD321" s="239">
        <v>0</v>
      </c>
      <c r="FE321" s="239">
        <v>-195019</v>
      </c>
      <c r="FF321" s="239">
        <v>0</v>
      </c>
      <c r="FG321" s="239">
        <v>0</v>
      </c>
      <c r="FH321" s="239">
        <v>0</v>
      </c>
      <c r="FI321" s="239">
        <v>-195019</v>
      </c>
      <c r="FJ321" s="239">
        <v>0</v>
      </c>
      <c r="FK321" s="239">
        <v>-195019</v>
      </c>
      <c r="FL321" s="239">
        <v>51144073</v>
      </c>
      <c r="FM321" s="239">
        <v>0</v>
      </c>
      <c r="FN321" s="239">
        <v>51144073</v>
      </c>
      <c r="FO321" s="239">
        <v>552551</v>
      </c>
      <c r="FP321" s="239">
        <v>0</v>
      </c>
      <c r="FQ321" s="239">
        <v>552551</v>
      </c>
      <c r="FR321" s="239">
        <v>-4116076</v>
      </c>
      <c r="FS321" s="239">
        <v>0</v>
      </c>
      <c r="FT321" s="239">
        <v>-4116076</v>
      </c>
      <c r="FU321" s="239">
        <v>-1524758</v>
      </c>
      <c r="FV321" s="239">
        <v>0</v>
      </c>
      <c r="FW321" s="239">
        <v>-1524758</v>
      </c>
      <c r="FX321" s="239">
        <v>-604903</v>
      </c>
      <c r="FY321" s="239">
        <v>0</v>
      </c>
      <c r="FZ321" s="239">
        <v>-604903</v>
      </c>
      <c r="GA321" s="239">
        <v>-347432</v>
      </c>
      <c r="GB321" s="239">
        <v>0</v>
      </c>
      <c r="GC321" s="239">
        <v>-347432</v>
      </c>
      <c r="GD321" s="239">
        <v>-195019</v>
      </c>
      <c r="GE321" s="239">
        <v>0</v>
      </c>
      <c r="GF321" s="239">
        <v>-195019</v>
      </c>
      <c r="GG321" s="239">
        <v>-6235637</v>
      </c>
      <c r="GH321" s="239">
        <v>0</v>
      </c>
      <c r="GI321" s="239">
        <v>-6235637</v>
      </c>
      <c r="GJ321" s="239">
        <v>44908436</v>
      </c>
      <c r="GK321" s="239">
        <v>0</v>
      </c>
      <c r="GL321" s="239">
        <v>44908436</v>
      </c>
      <c r="GM321" s="214" t="s">
        <v>1158</v>
      </c>
    </row>
    <row r="322" spans="2:195" s="214" customFormat="1" x14ac:dyDescent="0.2">
      <c r="B322" s="602" t="s">
        <v>727</v>
      </c>
      <c r="C322" s="602" t="s">
        <v>726</v>
      </c>
      <c r="D322" s="239">
        <v>-7413099</v>
      </c>
      <c r="E322" s="239">
        <v>0</v>
      </c>
      <c r="F322" s="239">
        <v>-7413099</v>
      </c>
      <c r="G322" s="239">
        <v>256553</v>
      </c>
      <c r="H322" s="239">
        <v>0</v>
      </c>
      <c r="I322" s="239">
        <v>256553</v>
      </c>
      <c r="J322" s="239">
        <v>852524</v>
      </c>
      <c r="K322" s="239">
        <v>0</v>
      </c>
      <c r="L322" s="239">
        <v>852524</v>
      </c>
      <c r="M322" s="239">
        <v>68159</v>
      </c>
      <c r="N322" s="239">
        <v>0</v>
      </c>
      <c r="O322" s="239">
        <v>68159</v>
      </c>
      <c r="P322" s="239">
        <v>-6235863</v>
      </c>
      <c r="Q322" s="239">
        <v>0</v>
      </c>
      <c r="R322" s="239">
        <v>-6235863</v>
      </c>
      <c r="S322" s="239">
        <v>-2852567</v>
      </c>
      <c r="T322" s="239">
        <v>0</v>
      </c>
      <c r="U322" s="239">
        <v>-2852567</v>
      </c>
      <c r="V322" s="239">
        <v>-16619</v>
      </c>
      <c r="W322" s="239">
        <v>0</v>
      </c>
      <c r="X322" s="239">
        <v>-16619</v>
      </c>
      <c r="Y322" s="239">
        <v>-71736</v>
      </c>
      <c r="Z322" s="239">
        <v>0</v>
      </c>
      <c r="AA322" s="239">
        <v>-71736</v>
      </c>
      <c r="AB322" s="239">
        <v>-64693</v>
      </c>
      <c r="AC322" s="239">
        <v>0</v>
      </c>
      <c r="AD322" s="239">
        <v>-64693</v>
      </c>
      <c r="AE322" s="239">
        <v>-1776</v>
      </c>
      <c r="AF322" s="239">
        <v>0</v>
      </c>
      <c r="AG322" s="239">
        <v>-1776</v>
      </c>
      <c r="AH322" s="239">
        <v>1822186</v>
      </c>
      <c r="AI322" s="239">
        <v>0</v>
      </c>
      <c r="AJ322" s="239">
        <v>1822186</v>
      </c>
      <c r="AK322" s="239">
        <v>430223</v>
      </c>
      <c r="AL322" s="239">
        <v>0</v>
      </c>
      <c r="AM322" s="239">
        <v>430223</v>
      </c>
      <c r="AN322" s="239">
        <v>-6112636</v>
      </c>
      <c r="AO322" s="239">
        <v>0</v>
      </c>
      <c r="AP322" s="239">
        <v>-6112636</v>
      </c>
      <c r="AQ322" s="239">
        <v>50220</v>
      </c>
      <c r="AR322" s="239">
        <v>0</v>
      </c>
      <c r="AS322" s="239">
        <v>50220</v>
      </c>
      <c r="AT322" s="239">
        <v>-62620</v>
      </c>
      <c r="AU322" s="239">
        <v>0</v>
      </c>
      <c r="AV322" s="239">
        <v>-62620</v>
      </c>
      <c r="AW322" s="239">
        <v>0</v>
      </c>
      <c r="AX322" s="239">
        <v>0</v>
      </c>
      <c r="AY322" s="239">
        <v>0</v>
      </c>
      <c r="AZ322" s="239">
        <v>-2157</v>
      </c>
      <c r="BA322" s="239">
        <v>0</v>
      </c>
      <c r="BB322" s="239">
        <v>-2157</v>
      </c>
      <c r="BC322" s="239">
        <v>0</v>
      </c>
      <c r="BD322" s="239">
        <v>0</v>
      </c>
      <c r="BE322" s="239">
        <v>0</v>
      </c>
      <c r="BF322" s="239">
        <v>-6799087</v>
      </c>
      <c r="BG322" s="239">
        <v>0</v>
      </c>
      <c r="BH322" s="239">
        <v>-6799087</v>
      </c>
      <c r="BI322" s="239">
        <v>-52782</v>
      </c>
      <c r="BJ322" s="239">
        <v>0</v>
      </c>
      <c r="BK322" s="239">
        <v>-52782</v>
      </c>
      <c r="BL322" s="239">
        <v>-66014</v>
      </c>
      <c r="BM322" s="239">
        <v>0</v>
      </c>
      <c r="BN322" s="239">
        <v>-66014</v>
      </c>
      <c r="BO322" s="239">
        <v>-3142067</v>
      </c>
      <c r="BP322" s="239">
        <v>0</v>
      </c>
      <c r="BQ322" s="239">
        <v>-3142067</v>
      </c>
      <c r="BR322" s="239">
        <v>761471</v>
      </c>
      <c r="BS322" s="239">
        <v>0</v>
      </c>
      <c r="BT322" s="239">
        <v>761471</v>
      </c>
      <c r="BU322" s="239">
        <v>-2499392</v>
      </c>
      <c r="BV322" s="239">
        <v>0</v>
      </c>
      <c r="BW322" s="239">
        <v>-2499392</v>
      </c>
      <c r="BX322" s="239">
        <v>-5532</v>
      </c>
      <c r="BY322" s="239">
        <v>0</v>
      </c>
      <c r="BZ322" s="239">
        <v>-5532</v>
      </c>
      <c r="CA322" s="239">
        <v>-8438</v>
      </c>
      <c r="CB322" s="239">
        <v>0</v>
      </c>
      <c r="CC322" s="239">
        <v>-8438</v>
      </c>
      <c r="CD322" s="239">
        <v>-42855</v>
      </c>
      <c r="CE322" s="239">
        <v>0</v>
      </c>
      <c r="CF322" s="239">
        <v>-42855</v>
      </c>
      <c r="CG322" s="239">
        <v>-3956</v>
      </c>
      <c r="CH322" s="239">
        <v>0</v>
      </c>
      <c r="CI322" s="239">
        <v>-3956</v>
      </c>
      <c r="CJ322" s="239">
        <v>-436</v>
      </c>
      <c r="CK322" s="239">
        <v>0</v>
      </c>
      <c r="CL322" s="239">
        <v>-436</v>
      </c>
      <c r="CM322" s="239">
        <v>0</v>
      </c>
      <c r="CN322" s="239">
        <v>0</v>
      </c>
      <c r="CO322" s="239">
        <v>0</v>
      </c>
      <c r="CP322" s="239">
        <v>0</v>
      </c>
      <c r="CQ322" s="239">
        <v>0</v>
      </c>
      <c r="CR322" s="239">
        <v>0</v>
      </c>
      <c r="CS322" s="239">
        <v>0</v>
      </c>
      <c r="CT322" s="239">
        <v>0</v>
      </c>
      <c r="CU322" s="239">
        <v>0</v>
      </c>
      <c r="CV322" s="239">
        <v>0</v>
      </c>
      <c r="CW322" s="239">
        <v>0</v>
      </c>
      <c r="CX322" s="239">
        <v>0</v>
      </c>
      <c r="CY322" s="239">
        <v>0</v>
      </c>
      <c r="CZ322" s="239">
        <v>0</v>
      </c>
      <c r="DA322" s="239">
        <v>0</v>
      </c>
      <c r="DB322" s="239">
        <v>-18989</v>
      </c>
      <c r="DC322" s="239">
        <v>0</v>
      </c>
      <c r="DD322" s="239">
        <v>-18989</v>
      </c>
      <c r="DE322" s="239">
        <v>-1563</v>
      </c>
      <c r="DF322" s="239">
        <v>0</v>
      </c>
      <c r="DG322" s="239">
        <v>-1563</v>
      </c>
      <c r="DH322" s="239">
        <v>0</v>
      </c>
      <c r="DI322" s="239">
        <v>0</v>
      </c>
      <c r="DJ322" s="239">
        <v>-81769</v>
      </c>
      <c r="DK322" s="239">
        <v>0</v>
      </c>
      <c r="DL322" s="239">
        <v>-81769</v>
      </c>
      <c r="DM322" s="239">
        <v>-172806</v>
      </c>
      <c r="DN322" s="239">
        <v>0</v>
      </c>
      <c r="DO322" s="239">
        <v>-172806</v>
      </c>
      <c r="DP322" s="239">
        <v>-4470</v>
      </c>
      <c r="DQ322" s="239">
        <v>0</v>
      </c>
      <c r="DR322" s="239">
        <v>-4470</v>
      </c>
      <c r="DS322" s="239">
        <v>-4807</v>
      </c>
      <c r="DT322" s="239">
        <v>0</v>
      </c>
      <c r="DU322" s="239">
        <v>-4807</v>
      </c>
      <c r="DV322" s="239">
        <v>15850</v>
      </c>
      <c r="DW322" s="239">
        <v>0</v>
      </c>
      <c r="DX322" s="239">
        <v>15850</v>
      </c>
      <c r="DY322" s="239">
        <v>1901</v>
      </c>
      <c r="DZ322" s="239">
        <v>0</v>
      </c>
      <c r="EA322" s="239">
        <v>1901</v>
      </c>
      <c r="EB322" s="239">
        <v>0</v>
      </c>
      <c r="EC322" s="239">
        <v>0</v>
      </c>
      <c r="ED322" s="239">
        <v>0</v>
      </c>
      <c r="EE322" s="239">
        <v>0</v>
      </c>
      <c r="EF322" s="239">
        <v>0</v>
      </c>
      <c r="EG322" s="239">
        <v>0</v>
      </c>
      <c r="EH322" s="239">
        <v>1785</v>
      </c>
      <c r="EI322" s="239">
        <v>0</v>
      </c>
      <c r="EJ322" s="239">
        <v>1785</v>
      </c>
      <c r="EK322" s="239">
        <v>-2157</v>
      </c>
      <c r="EL322" s="239">
        <v>0</v>
      </c>
      <c r="EM322" s="239">
        <v>-2157</v>
      </c>
      <c r="EN322" s="239">
        <v>0</v>
      </c>
      <c r="EO322" s="239">
        <v>0</v>
      </c>
      <c r="EP322" s="239">
        <v>0</v>
      </c>
      <c r="EQ322" s="239">
        <v>-38360</v>
      </c>
      <c r="ER322" s="239">
        <v>0</v>
      </c>
      <c r="ES322" s="239">
        <v>-38360</v>
      </c>
      <c r="ET322" s="239">
        <v>-318092</v>
      </c>
      <c r="EU322" s="239">
        <v>0</v>
      </c>
      <c r="EV322" s="239">
        <v>-318092</v>
      </c>
      <c r="EW322" s="239">
        <v>-29076</v>
      </c>
      <c r="EX322" s="239">
        <v>0</v>
      </c>
      <c r="EY322" s="239">
        <v>-29076</v>
      </c>
      <c r="EZ322" s="239">
        <v>-550232</v>
      </c>
      <c r="FA322" s="239">
        <v>0</v>
      </c>
      <c r="FB322" s="239">
        <v>-550232</v>
      </c>
      <c r="FC322" s="239">
        <v>0</v>
      </c>
      <c r="FD322" s="239">
        <v>0</v>
      </c>
      <c r="FE322" s="239">
        <v>0</v>
      </c>
      <c r="FF322" s="239">
        <v>0</v>
      </c>
      <c r="FG322" s="239">
        <v>0</v>
      </c>
      <c r="FH322" s="239">
        <v>0</v>
      </c>
      <c r="FI322" s="239">
        <v>0</v>
      </c>
      <c r="FJ322" s="239">
        <v>0</v>
      </c>
      <c r="FK322" s="239">
        <v>0</v>
      </c>
      <c r="FL322" s="239">
        <v>79653759</v>
      </c>
      <c r="FM322" s="239">
        <v>0</v>
      </c>
      <c r="FN322" s="239">
        <v>79653759</v>
      </c>
      <c r="FO322" s="239">
        <v>-6235863</v>
      </c>
      <c r="FP322" s="239">
        <v>0</v>
      </c>
      <c r="FQ322" s="239">
        <v>-6235863</v>
      </c>
      <c r="FR322" s="239">
        <v>-6799087</v>
      </c>
      <c r="FS322" s="239">
        <v>0</v>
      </c>
      <c r="FT322" s="239">
        <v>-6799087</v>
      </c>
      <c r="FU322" s="239">
        <v>-2499392</v>
      </c>
      <c r="FV322" s="239">
        <v>0</v>
      </c>
      <c r="FW322" s="239">
        <v>-2499392</v>
      </c>
      <c r="FX322" s="239">
        <v>-81769</v>
      </c>
      <c r="FY322" s="239">
        <v>0</v>
      </c>
      <c r="FZ322" s="239">
        <v>-81769</v>
      </c>
      <c r="GA322" s="239">
        <v>-550232</v>
      </c>
      <c r="GB322" s="239">
        <v>0</v>
      </c>
      <c r="GC322" s="239">
        <v>-550232</v>
      </c>
      <c r="GD322" s="239">
        <v>0</v>
      </c>
      <c r="GE322" s="239">
        <v>0</v>
      </c>
      <c r="GF322" s="239">
        <v>0</v>
      </c>
      <c r="GG322" s="239">
        <v>-16166343</v>
      </c>
      <c r="GH322" s="239">
        <v>0</v>
      </c>
      <c r="GI322" s="239">
        <v>-16166343</v>
      </c>
      <c r="GJ322" s="239">
        <v>63487416</v>
      </c>
      <c r="GK322" s="239">
        <v>0</v>
      </c>
      <c r="GL322" s="239">
        <v>63487416</v>
      </c>
      <c r="GM322" s="214" t="s">
        <v>746</v>
      </c>
    </row>
    <row r="323" spans="2:195" s="214" customFormat="1" x14ac:dyDescent="0.2">
      <c r="B323" s="602" t="s">
        <v>729</v>
      </c>
      <c r="C323" s="602" t="s">
        <v>728</v>
      </c>
      <c r="D323" s="239">
        <v>-2328371</v>
      </c>
      <c r="E323" s="239">
        <v>0</v>
      </c>
      <c r="F323" s="239">
        <v>-2328371</v>
      </c>
      <c r="G323" s="239">
        <v>-2419</v>
      </c>
      <c r="H323" s="239">
        <v>0</v>
      </c>
      <c r="I323" s="239">
        <v>-2419</v>
      </c>
      <c r="J323" s="239">
        <v>3374776</v>
      </c>
      <c r="K323" s="239">
        <v>0</v>
      </c>
      <c r="L323" s="239">
        <v>3374776</v>
      </c>
      <c r="M323" s="239">
        <v>145143</v>
      </c>
      <c r="N323" s="239">
        <v>0</v>
      </c>
      <c r="O323" s="239">
        <v>145143</v>
      </c>
      <c r="P323" s="239">
        <v>1189129</v>
      </c>
      <c r="Q323" s="239">
        <v>0</v>
      </c>
      <c r="R323" s="239">
        <v>1189129</v>
      </c>
      <c r="S323" s="239">
        <v>-8438913</v>
      </c>
      <c r="T323" s="239">
        <v>0</v>
      </c>
      <c r="U323" s="239">
        <v>-8438913</v>
      </c>
      <c r="V323" s="239">
        <v>-40729</v>
      </c>
      <c r="W323" s="239">
        <v>0</v>
      </c>
      <c r="X323" s="239">
        <v>-40729</v>
      </c>
      <c r="Y323" s="239">
        <v>-441202</v>
      </c>
      <c r="Z323" s="239">
        <v>0</v>
      </c>
      <c r="AA323" s="239">
        <v>-441202</v>
      </c>
      <c r="AB323" s="239">
        <v>-429142</v>
      </c>
      <c r="AC323" s="239">
        <v>0</v>
      </c>
      <c r="AD323" s="239">
        <v>-429142</v>
      </c>
      <c r="AE323" s="239">
        <v>-12060</v>
      </c>
      <c r="AF323" s="239">
        <v>0</v>
      </c>
      <c r="AG323" s="239">
        <v>-12060</v>
      </c>
      <c r="AH323" s="239">
        <v>1731235</v>
      </c>
      <c r="AI323" s="239">
        <v>0</v>
      </c>
      <c r="AJ323" s="239">
        <v>1731235</v>
      </c>
      <c r="AK323" s="239">
        <v>653716</v>
      </c>
      <c r="AL323" s="239">
        <v>0</v>
      </c>
      <c r="AM323" s="239">
        <v>653716</v>
      </c>
      <c r="AN323" s="239">
        <v>-6183679</v>
      </c>
      <c r="AO323" s="239">
        <v>0</v>
      </c>
      <c r="AP323" s="239">
        <v>-6183679</v>
      </c>
      <c r="AQ323" s="239">
        <v>-232346</v>
      </c>
      <c r="AR323" s="239">
        <v>0</v>
      </c>
      <c r="AS323" s="239">
        <v>-232346</v>
      </c>
      <c r="AT323" s="239">
        <v>-12008</v>
      </c>
      <c r="AU323" s="239">
        <v>0</v>
      </c>
      <c r="AV323" s="239">
        <v>-12008</v>
      </c>
      <c r="AW323" s="239">
        <v>0</v>
      </c>
      <c r="AX323" s="239">
        <v>0</v>
      </c>
      <c r="AY323" s="239">
        <v>0</v>
      </c>
      <c r="AZ323" s="239">
        <v>0</v>
      </c>
      <c r="BA323" s="239">
        <v>0</v>
      </c>
      <c r="BB323" s="239">
        <v>0</v>
      </c>
      <c r="BC323" s="239">
        <v>0</v>
      </c>
      <c r="BD323" s="239">
        <v>0</v>
      </c>
      <c r="BE323" s="239">
        <v>0</v>
      </c>
      <c r="BF323" s="239">
        <v>-12923197</v>
      </c>
      <c r="BG323" s="239">
        <v>0</v>
      </c>
      <c r="BH323" s="239">
        <v>-12923197</v>
      </c>
      <c r="BI323" s="239">
        <v>0</v>
      </c>
      <c r="BJ323" s="239">
        <v>0</v>
      </c>
      <c r="BK323" s="239">
        <v>0</v>
      </c>
      <c r="BL323" s="239">
        <v>0</v>
      </c>
      <c r="BM323" s="239">
        <v>0</v>
      </c>
      <c r="BN323" s="239">
        <v>0</v>
      </c>
      <c r="BO323" s="239">
        <v>-2553650</v>
      </c>
      <c r="BP323" s="239">
        <v>-35058</v>
      </c>
      <c r="BQ323" s="239">
        <v>-2588708</v>
      </c>
      <c r="BR323" s="239">
        <v>-55929</v>
      </c>
      <c r="BS323" s="239">
        <v>-4404</v>
      </c>
      <c r="BT323" s="239">
        <v>-60333</v>
      </c>
      <c r="BU323" s="239">
        <v>-2609579</v>
      </c>
      <c r="BV323" s="239">
        <v>-39462</v>
      </c>
      <c r="BW323" s="239">
        <v>-2649041</v>
      </c>
      <c r="BX323" s="239">
        <v>-245690</v>
      </c>
      <c r="BY323" s="239">
        <v>0</v>
      </c>
      <c r="BZ323" s="239">
        <v>-245690</v>
      </c>
      <c r="CA323" s="239">
        <v>-12905</v>
      </c>
      <c r="CB323" s="239">
        <v>0</v>
      </c>
      <c r="CC323" s="239">
        <v>-12905</v>
      </c>
      <c r="CD323" s="239">
        <v>-370200</v>
      </c>
      <c r="CE323" s="239">
        <v>0</v>
      </c>
      <c r="CF323" s="239">
        <v>-370200</v>
      </c>
      <c r="CG323" s="239">
        <v>-56745</v>
      </c>
      <c r="CH323" s="239">
        <v>0</v>
      </c>
      <c r="CI323" s="239">
        <v>-56745</v>
      </c>
      <c r="CJ323" s="239">
        <v>-1596</v>
      </c>
      <c r="CK323" s="239">
        <v>0</v>
      </c>
      <c r="CL323" s="239">
        <v>-1596</v>
      </c>
      <c r="CM323" s="239">
        <v>0</v>
      </c>
      <c r="CN323" s="239">
        <v>0</v>
      </c>
      <c r="CO323" s="239">
        <v>0</v>
      </c>
      <c r="CP323" s="239">
        <v>0</v>
      </c>
      <c r="CQ323" s="239">
        <v>0</v>
      </c>
      <c r="CR323" s="239">
        <v>0</v>
      </c>
      <c r="CS323" s="239">
        <v>0</v>
      </c>
      <c r="CT323" s="239">
        <v>0</v>
      </c>
      <c r="CU323" s="239">
        <v>0</v>
      </c>
      <c r="CV323" s="239">
        <v>0</v>
      </c>
      <c r="CW323" s="239">
        <v>0</v>
      </c>
      <c r="CX323" s="239">
        <v>0</v>
      </c>
      <c r="CY323" s="239">
        <v>0</v>
      </c>
      <c r="CZ323" s="239">
        <v>0</v>
      </c>
      <c r="DA323" s="239">
        <v>0</v>
      </c>
      <c r="DB323" s="239">
        <v>0</v>
      </c>
      <c r="DC323" s="239">
        <v>-8272</v>
      </c>
      <c r="DD323" s="239">
        <v>-8272</v>
      </c>
      <c r="DE323" s="239">
        <v>0</v>
      </c>
      <c r="DF323" s="239">
        <v>-11687</v>
      </c>
      <c r="DG323" s="239">
        <v>-11687</v>
      </c>
      <c r="DH323" s="239">
        <v>-19959</v>
      </c>
      <c r="DI323" s="239">
        <v>0</v>
      </c>
      <c r="DJ323" s="239">
        <v>-687136</v>
      </c>
      <c r="DK323" s="239">
        <v>-19959</v>
      </c>
      <c r="DL323" s="239">
        <v>-707095</v>
      </c>
      <c r="DM323" s="239">
        <v>0</v>
      </c>
      <c r="DN323" s="239">
        <v>0</v>
      </c>
      <c r="DO323" s="239">
        <v>0</v>
      </c>
      <c r="DP323" s="239">
        <v>16</v>
      </c>
      <c r="DQ323" s="239">
        <v>0</v>
      </c>
      <c r="DR323" s="239">
        <v>16</v>
      </c>
      <c r="DS323" s="239">
        <v>-15575</v>
      </c>
      <c r="DT323" s="239">
        <v>0</v>
      </c>
      <c r="DU323" s="239">
        <v>-15575</v>
      </c>
      <c r="DV323" s="239">
        <v>-754</v>
      </c>
      <c r="DW323" s="239">
        <v>0</v>
      </c>
      <c r="DX323" s="239">
        <v>-754</v>
      </c>
      <c r="DY323" s="239">
        <v>5818</v>
      </c>
      <c r="DZ323" s="239">
        <v>0</v>
      </c>
      <c r="EA323" s="239">
        <v>5818</v>
      </c>
      <c r="EB323" s="239">
        <v>0</v>
      </c>
      <c r="EC323" s="239">
        <v>0</v>
      </c>
      <c r="ED323" s="239">
        <v>0</v>
      </c>
      <c r="EE323" s="239">
        <v>0</v>
      </c>
      <c r="EF323" s="239">
        <v>0</v>
      </c>
      <c r="EG323" s="239">
        <v>0</v>
      </c>
      <c r="EH323" s="239">
        <v>0</v>
      </c>
      <c r="EI323" s="239">
        <v>0</v>
      </c>
      <c r="EJ323" s="239">
        <v>0</v>
      </c>
      <c r="EK323" s="239">
        <v>0</v>
      </c>
      <c r="EL323" s="239">
        <v>0</v>
      </c>
      <c r="EM323" s="239">
        <v>0</v>
      </c>
      <c r="EN323" s="239">
        <v>-1500</v>
      </c>
      <c r="EO323" s="239">
        <v>0</v>
      </c>
      <c r="EP323" s="239">
        <v>-1500</v>
      </c>
      <c r="EQ323" s="239">
        <v>-43335</v>
      </c>
      <c r="ER323" s="239">
        <v>0</v>
      </c>
      <c r="ES323" s="239">
        <v>-43335</v>
      </c>
      <c r="ET323" s="239">
        <v>-295017.21000000014</v>
      </c>
      <c r="EU323" s="239">
        <v>0</v>
      </c>
      <c r="EV323" s="239">
        <v>-295017.21000000014</v>
      </c>
      <c r="EW323" s="239">
        <v>-38540</v>
      </c>
      <c r="EX323" s="239">
        <v>0</v>
      </c>
      <c r="EY323" s="239">
        <v>-38540</v>
      </c>
      <c r="EZ323" s="239">
        <v>-388887</v>
      </c>
      <c r="FA323" s="239">
        <v>0</v>
      </c>
      <c r="FB323" s="239">
        <v>-388887</v>
      </c>
      <c r="FC323" s="239">
        <v>0</v>
      </c>
      <c r="FD323" s="239">
        <v>0</v>
      </c>
      <c r="FE323" s="239">
        <v>0</v>
      </c>
      <c r="FF323" s="239">
        <v>0</v>
      </c>
      <c r="FG323" s="239">
        <v>0</v>
      </c>
      <c r="FH323" s="239">
        <v>0</v>
      </c>
      <c r="FI323" s="239">
        <v>0</v>
      </c>
      <c r="FJ323" s="239">
        <v>0</v>
      </c>
      <c r="FK323" s="239">
        <v>0</v>
      </c>
      <c r="FL323" s="239">
        <v>87994765</v>
      </c>
      <c r="FM323" s="239">
        <v>232600</v>
      </c>
      <c r="FN323" s="239">
        <v>88227365</v>
      </c>
      <c r="FO323" s="239">
        <v>1189129</v>
      </c>
      <c r="FP323" s="239">
        <v>0</v>
      </c>
      <c r="FQ323" s="239">
        <v>1189129</v>
      </c>
      <c r="FR323" s="239">
        <v>-12923197</v>
      </c>
      <c r="FS323" s="239">
        <v>0</v>
      </c>
      <c r="FT323" s="239">
        <v>-12923197</v>
      </c>
      <c r="FU323" s="239">
        <v>-2609579</v>
      </c>
      <c r="FV323" s="239">
        <v>-39462</v>
      </c>
      <c r="FW323" s="239">
        <v>-2649041</v>
      </c>
      <c r="FX323" s="239">
        <v>-687136</v>
      </c>
      <c r="FY323" s="239">
        <v>-19959</v>
      </c>
      <c r="FZ323" s="239">
        <v>-707095</v>
      </c>
      <c r="GA323" s="239">
        <v>-388887</v>
      </c>
      <c r="GB323" s="239">
        <v>0</v>
      </c>
      <c r="GC323" s="239">
        <v>-388887</v>
      </c>
      <c r="GD323" s="239">
        <v>0</v>
      </c>
      <c r="GE323" s="239">
        <v>0</v>
      </c>
      <c r="GF323" s="239">
        <v>0</v>
      </c>
      <c r="GG323" s="239">
        <v>-15419670</v>
      </c>
      <c r="GH323" s="239">
        <v>-59421</v>
      </c>
      <c r="GI323" s="239">
        <v>-15479091</v>
      </c>
      <c r="GJ323" s="239">
        <v>72575095</v>
      </c>
      <c r="GK323" s="239">
        <v>173179</v>
      </c>
      <c r="GL323" s="239">
        <v>72748274</v>
      </c>
      <c r="GM323" s="214" t="s">
        <v>1160</v>
      </c>
    </row>
    <row r="324" spans="2:195" s="214" customFormat="1" x14ac:dyDescent="0.2">
      <c r="B324" s="602" t="s">
        <v>731</v>
      </c>
      <c r="C324" s="602" t="s">
        <v>730</v>
      </c>
      <c r="D324" s="239">
        <v>-1331785</v>
      </c>
      <c r="E324" s="239">
        <v>0</v>
      </c>
      <c r="F324" s="239">
        <v>-1331785</v>
      </c>
      <c r="G324" s="239">
        <v>-20216</v>
      </c>
      <c r="H324" s="239">
        <v>0</v>
      </c>
      <c r="I324" s="239">
        <v>-20216</v>
      </c>
      <c r="J324" s="239">
        <v>2915519</v>
      </c>
      <c r="K324" s="239">
        <v>0</v>
      </c>
      <c r="L324" s="239">
        <v>2915519</v>
      </c>
      <c r="M324" s="239">
        <v>7397</v>
      </c>
      <c r="N324" s="239">
        <v>0</v>
      </c>
      <c r="O324" s="239">
        <v>7397</v>
      </c>
      <c r="P324" s="239">
        <v>1570915</v>
      </c>
      <c r="Q324" s="239">
        <v>0</v>
      </c>
      <c r="R324" s="239">
        <v>1570915</v>
      </c>
      <c r="S324" s="239">
        <v>-2935091</v>
      </c>
      <c r="T324" s="239">
        <v>0</v>
      </c>
      <c r="U324" s="239">
        <v>-2935091</v>
      </c>
      <c r="V324" s="239">
        <v>-4046</v>
      </c>
      <c r="W324" s="239">
        <v>0</v>
      </c>
      <c r="X324" s="239">
        <v>-4046</v>
      </c>
      <c r="Y324" s="239">
        <v>-219375</v>
      </c>
      <c r="Z324" s="239">
        <v>0</v>
      </c>
      <c r="AA324" s="239">
        <v>-219375</v>
      </c>
      <c r="AB324" s="239">
        <v>-156412</v>
      </c>
      <c r="AC324" s="239">
        <v>0</v>
      </c>
      <c r="AD324" s="239">
        <v>-156412</v>
      </c>
      <c r="AE324" s="239">
        <v>2202</v>
      </c>
      <c r="AF324" s="239">
        <v>0</v>
      </c>
      <c r="AG324" s="239">
        <v>2202</v>
      </c>
      <c r="AH324" s="239">
        <v>1013214</v>
      </c>
      <c r="AI324" s="239">
        <v>0</v>
      </c>
      <c r="AJ324" s="239">
        <v>1013214</v>
      </c>
      <c r="AK324" s="239">
        <v>1463</v>
      </c>
      <c r="AL324" s="239">
        <v>0</v>
      </c>
      <c r="AM324" s="239">
        <v>1463</v>
      </c>
      <c r="AN324" s="239">
        <v>-4188051</v>
      </c>
      <c r="AO324" s="239">
        <v>0</v>
      </c>
      <c r="AP324" s="239">
        <v>-4188051</v>
      </c>
      <c r="AQ324" s="239">
        <v>197253</v>
      </c>
      <c r="AR324" s="239">
        <v>0</v>
      </c>
      <c r="AS324" s="239">
        <v>197253</v>
      </c>
      <c r="AT324" s="239">
        <v>-17763</v>
      </c>
      <c r="AU324" s="239">
        <v>0</v>
      </c>
      <c r="AV324" s="239">
        <v>-17763</v>
      </c>
      <c r="AW324" s="239">
        <v>0</v>
      </c>
      <c r="AX324" s="239">
        <v>0</v>
      </c>
      <c r="AY324" s="239">
        <v>0</v>
      </c>
      <c r="AZ324" s="239">
        <v>0</v>
      </c>
      <c r="BA324" s="239">
        <v>0</v>
      </c>
      <c r="BB324" s="239">
        <v>0</v>
      </c>
      <c r="BC324" s="239">
        <v>0</v>
      </c>
      <c r="BD324" s="239">
        <v>0</v>
      </c>
      <c r="BE324" s="239">
        <v>0</v>
      </c>
      <c r="BF324" s="239">
        <v>-6148350</v>
      </c>
      <c r="BG324" s="239">
        <v>0</v>
      </c>
      <c r="BH324" s="239">
        <v>-6148350</v>
      </c>
      <c r="BI324" s="239">
        <v>-60311</v>
      </c>
      <c r="BJ324" s="239">
        <v>0</v>
      </c>
      <c r="BK324" s="239">
        <v>-60311</v>
      </c>
      <c r="BL324" s="239">
        <v>-2898</v>
      </c>
      <c r="BM324" s="239">
        <v>0</v>
      </c>
      <c r="BN324" s="239">
        <v>-2898</v>
      </c>
      <c r="BO324" s="239">
        <v>-1998766</v>
      </c>
      <c r="BP324" s="239">
        <v>0</v>
      </c>
      <c r="BQ324" s="239">
        <v>-1998766</v>
      </c>
      <c r="BR324" s="239">
        <v>-7490</v>
      </c>
      <c r="BS324" s="239">
        <v>0</v>
      </c>
      <c r="BT324" s="239">
        <v>-7490</v>
      </c>
      <c r="BU324" s="239">
        <v>-2069465</v>
      </c>
      <c r="BV324" s="239">
        <v>0</v>
      </c>
      <c r="BW324" s="239">
        <v>-2069465</v>
      </c>
      <c r="BX324" s="239">
        <v>-188851</v>
      </c>
      <c r="BY324" s="239">
        <v>0</v>
      </c>
      <c r="BZ324" s="239">
        <v>-188851</v>
      </c>
      <c r="CA324" s="239">
        <v>-7188</v>
      </c>
      <c r="CB324" s="239">
        <v>0</v>
      </c>
      <c r="CC324" s="239">
        <v>-7188</v>
      </c>
      <c r="CD324" s="239">
        <v>-8375</v>
      </c>
      <c r="CE324" s="239">
        <v>0</v>
      </c>
      <c r="CF324" s="239">
        <v>-8375</v>
      </c>
      <c r="CG324" s="239">
        <v>38976</v>
      </c>
      <c r="CH324" s="239">
        <v>0</v>
      </c>
      <c r="CI324" s="239">
        <v>38976</v>
      </c>
      <c r="CJ324" s="239">
        <v>-4441</v>
      </c>
      <c r="CK324" s="239">
        <v>0</v>
      </c>
      <c r="CL324" s="239">
        <v>-4441</v>
      </c>
      <c r="CM324" s="239">
        <v>0</v>
      </c>
      <c r="CN324" s="239">
        <v>0</v>
      </c>
      <c r="CO324" s="239">
        <v>0</v>
      </c>
      <c r="CP324" s="239">
        <v>0</v>
      </c>
      <c r="CQ324" s="239">
        <v>0</v>
      </c>
      <c r="CR324" s="239">
        <v>0</v>
      </c>
      <c r="CS324" s="239">
        <v>0</v>
      </c>
      <c r="CT324" s="239">
        <v>0</v>
      </c>
      <c r="CU324" s="239">
        <v>0</v>
      </c>
      <c r="CV324" s="239">
        <v>0</v>
      </c>
      <c r="CW324" s="239">
        <v>0</v>
      </c>
      <c r="CX324" s="239">
        <v>0</v>
      </c>
      <c r="CY324" s="239">
        <v>0</v>
      </c>
      <c r="CZ324" s="239">
        <v>0</v>
      </c>
      <c r="DA324" s="239">
        <v>0</v>
      </c>
      <c r="DB324" s="239">
        <v>0</v>
      </c>
      <c r="DC324" s="239">
        <v>0</v>
      </c>
      <c r="DD324" s="239">
        <v>0</v>
      </c>
      <c r="DE324" s="239">
        <v>0</v>
      </c>
      <c r="DF324" s="239">
        <v>0</v>
      </c>
      <c r="DG324" s="239">
        <v>0</v>
      </c>
      <c r="DH324" s="239">
        <v>0</v>
      </c>
      <c r="DI324" s="239">
        <v>0</v>
      </c>
      <c r="DJ324" s="239">
        <v>-169879</v>
      </c>
      <c r="DK324" s="239">
        <v>0</v>
      </c>
      <c r="DL324" s="239">
        <v>-169879</v>
      </c>
      <c r="DM324" s="239">
        <v>-1417</v>
      </c>
      <c r="DN324" s="239">
        <v>0</v>
      </c>
      <c r="DO324" s="239">
        <v>-1417</v>
      </c>
      <c r="DP324" s="239">
        <v>-249</v>
      </c>
      <c r="DQ324" s="239">
        <v>0</v>
      </c>
      <c r="DR324" s="239">
        <v>-249</v>
      </c>
      <c r="DS324" s="239">
        <v>-1855</v>
      </c>
      <c r="DT324" s="239">
        <v>0</v>
      </c>
      <c r="DU324" s="239">
        <v>-1855</v>
      </c>
      <c r="DV324" s="239">
        <v>756</v>
      </c>
      <c r="DW324" s="239">
        <v>0</v>
      </c>
      <c r="DX324" s="239">
        <v>756</v>
      </c>
      <c r="DY324" s="239">
        <v>10443</v>
      </c>
      <c r="DZ324" s="239">
        <v>0</v>
      </c>
      <c r="EA324" s="239">
        <v>10443</v>
      </c>
      <c r="EB324" s="239">
        <v>0</v>
      </c>
      <c r="EC324" s="239">
        <v>0</v>
      </c>
      <c r="ED324" s="239">
        <v>0</v>
      </c>
      <c r="EE324" s="239">
        <v>0</v>
      </c>
      <c r="EF324" s="239">
        <v>0</v>
      </c>
      <c r="EG324" s="239">
        <v>0</v>
      </c>
      <c r="EH324" s="239">
        <v>607</v>
      </c>
      <c r="EI324" s="239">
        <v>0</v>
      </c>
      <c r="EJ324" s="239">
        <v>607</v>
      </c>
      <c r="EK324" s="239">
        <v>0</v>
      </c>
      <c r="EL324" s="239">
        <v>0</v>
      </c>
      <c r="EM324" s="239">
        <v>0</v>
      </c>
      <c r="EN324" s="239">
        <v>-123</v>
      </c>
      <c r="EO324" s="239">
        <v>0</v>
      </c>
      <c r="EP324" s="239">
        <v>-123</v>
      </c>
      <c r="EQ324" s="239">
        <v>-18601</v>
      </c>
      <c r="ER324" s="239">
        <v>0</v>
      </c>
      <c r="ES324" s="239">
        <v>-18601</v>
      </c>
      <c r="ET324" s="239">
        <v>-182920</v>
      </c>
      <c r="EU324" s="239">
        <v>0</v>
      </c>
      <c r="EV324" s="239">
        <v>-182920</v>
      </c>
      <c r="EW324" s="239">
        <v>-27861</v>
      </c>
      <c r="EX324" s="239">
        <v>0</v>
      </c>
      <c r="EY324" s="239">
        <v>-27861</v>
      </c>
      <c r="EZ324" s="239">
        <v>-221220</v>
      </c>
      <c r="FA324" s="239">
        <v>0</v>
      </c>
      <c r="FB324" s="239">
        <v>-221220</v>
      </c>
      <c r="FC324" s="239">
        <v>0</v>
      </c>
      <c r="FD324" s="239">
        <v>0</v>
      </c>
      <c r="FE324" s="239">
        <v>0</v>
      </c>
      <c r="FF324" s="239">
        <v>0</v>
      </c>
      <c r="FG324" s="239">
        <v>0</v>
      </c>
      <c r="FH324" s="239">
        <v>0</v>
      </c>
      <c r="FI324" s="239">
        <v>0</v>
      </c>
      <c r="FJ324" s="239">
        <v>0</v>
      </c>
      <c r="FK324" s="239">
        <v>0</v>
      </c>
      <c r="FL324" s="239">
        <v>48901606</v>
      </c>
      <c r="FM324" s="239">
        <v>0</v>
      </c>
      <c r="FN324" s="239">
        <v>48901606</v>
      </c>
      <c r="FO324" s="239">
        <v>1570915</v>
      </c>
      <c r="FP324" s="239">
        <v>0</v>
      </c>
      <c r="FQ324" s="239">
        <v>1570915</v>
      </c>
      <c r="FR324" s="239">
        <v>-6148350</v>
      </c>
      <c r="FS324" s="239">
        <v>0</v>
      </c>
      <c r="FT324" s="239">
        <v>-6148350</v>
      </c>
      <c r="FU324" s="239">
        <v>-2069465</v>
      </c>
      <c r="FV324" s="239">
        <v>0</v>
      </c>
      <c r="FW324" s="239">
        <v>-2069465</v>
      </c>
      <c r="FX324" s="239">
        <v>-169879</v>
      </c>
      <c r="FY324" s="239">
        <v>0</v>
      </c>
      <c r="FZ324" s="239">
        <v>-169879</v>
      </c>
      <c r="GA324" s="239">
        <v>-221220</v>
      </c>
      <c r="GB324" s="239">
        <v>0</v>
      </c>
      <c r="GC324" s="239">
        <v>-221220</v>
      </c>
      <c r="GD324" s="239">
        <v>0</v>
      </c>
      <c r="GE324" s="239">
        <v>0</v>
      </c>
      <c r="GF324" s="239">
        <v>0</v>
      </c>
      <c r="GG324" s="239">
        <v>-7037999</v>
      </c>
      <c r="GH324" s="239">
        <v>0</v>
      </c>
      <c r="GI324" s="239">
        <v>-7037999</v>
      </c>
      <c r="GJ324" s="239">
        <v>41863607</v>
      </c>
      <c r="GK324" s="239">
        <v>0</v>
      </c>
      <c r="GL324" s="239">
        <v>41863607</v>
      </c>
      <c r="GM324" s="214" t="s">
        <v>1158</v>
      </c>
    </row>
    <row r="325" spans="2:195" s="214" customFormat="1" x14ac:dyDescent="0.2">
      <c r="B325" s="602" t="s">
        <v>733</v>
      </c>
      <c r="C325" s="602" t="s">
        <v>732</v>
      </c>
      <c r="D325" s="239">
        <v>-1003243</v>
      </c>
      <c r="E325" s="239">
        <v>0</v>
      </c>
      <c r="F325" s="239">
        <v>-1003243</v>
      </c>
      <c r="G325" s="239">
        <v>5993</v>
      </c>
      <c r="H325" s="239">
        <v>0</v>
      </c>
      <c r="I325" s="239">
        <v>5993</v>
      </c>
      <c r="J325" s="239">
        <v>1214298</v>
      </c>
      <c r="K325" s="239">
        <v>0</v>
      </c>
      <c r="L325" s="239">
        <v>1214298</v>
      </c>
      <c r="M325" s="239">
        <v>8469</v>
      </c>
      <c r="N325" s="239">
        <v>0</v>
      </c>
      <c r="O325" s="239">
        <v>8469</v>
      </c>
      <c r="P325" s="239">
        <v>225517</v>
      </c>
      <c r="Q325" s="239">
        <v>0</v>
      </c>
      <c r="R325" s="239">
        <v>225517</v>
      </c>
      <c r="S325" s="239">
        <v>-3155298</v>
      </c>
      <c r="T325" s="239">
        <v>0</v>
      </c>
      <c r="U325" s="239">
        <v>-3155298</v>
      </c>
      <c r="V325" s="239">
        <v>0</v>
      </c>
      <c r="W325" s="239">
        <v>0</v>
      </c>
      <c r="X325" s="239">
        <v>0</v>
      </c>
      <c r="Y325" s="239">
        <v>-76627</v>
      </c>
      <c r="Z325" s="239">
        <v>0</v>
      </c>
      <c r="AA325" s="239">
        <v>-76627</v>
      </c>
      <c r="AB325" s="239">
        <v>-61058</v>
      </c>
      <c r="AC325" s="239">
        <v>0</v>
      </c>
      <c r="AD325" s="239">
        <v>-61058</v>
      </c>
      <c r="AE325" s="239">
        <v>0</v>
      </c>
      <c r="AF325" s="239">
        <v>0</v>
      </c>
      <c r="AG325" s="239">
        <v>0</v>
      </c>
      <c r="AH325" s="239">
        <v>740085</v>
      </c>
      <c r="AI325" s="239">
        <v>0</v>
      </c>
      <c r="AJ325" s="239">
        <v>740085</v>
      </c>
      <c r="AK325" s="239">
        <v>-1622</v>
      </c>
      <c r="AL325" s="239">
        <v>0</v>
      </c>
      <c r="AM325" s="239">
        <v>-1622</v>
      </c>
      <c r="AN325" s="239">
        <v>-2975009</v>
      </c>
      <c r="AO325" s="239">
        <v>0</v>
      </c>
      <c r="AP325" s="239">
        <v>-2975009</v>
      </c>
      <c r="AQ325" s="239">
        <v>-96152</v>
      </c>
      <c r="AR325" s="239">
        <v>0</v>
      </c>
      <c r="AS325" s="239">
        <v>-96152</v>
      </c>
      <c r="AT325" s="239">
        <v>-39818</v>
      </c>
      <c r="AU325" s="239">
        <v>0</v>
      </c>
      <c r="AV325" s="239">
        <v>-39818</v>
      </c>
      <c r="AW325" s="239">
        <v>0</v>
      </c>
      <c r="AX325" s="239">
        <v>0</v>
      </c>
      <c r="AY325" s="239">
        <v>0</v>
      </c>
      <c r="AZ325" s="239">
        <v>0</v>
      </c>
      <c r="BA325" s="239">
        <v>0</v>
      </c>
      <c r="BB325" s="239">
        <v>0</v>
      </c>
      <c r="BC325" s="239">
        <v>0</v>
      </c>
      <c r="BD325" s="239">
        <v>0</v>
      </c>
      <c r="BE325" s="239">
        <v>0</v>
      </c>
      <c r="BF325" s="239">
        <v>-5604441</v>
      </c>
      <c r="BG325" s="239">
        <v>0</v>
      </c>
      <c r="BH325" s="239">
        <v>-5604441</v>
      </c>
      <c r="BI325" s="239">
        <v>-11325</v>
      </c>
      <c r="BJ325" s="239">
        <v>0</v>
      </c>
      <c r="BK325" s="239">
        <v>-11325</v>
      </c>
      <c r="BL325" s="239">
        <v>-2378</v>
      </c>
      <c r="BM325" s="239">
        <v>0</v>
      </c>
      <c r="BN325" s="239">
        <v>-2378</v>
      </c>
      <c r="BO325" s="239">
        <v>-816481</v>
      </c>
      <c r="BP325" s="239">
        <v>0</v>
      </c>
      <c r="BQ325" s="239">
        <v>-816481</v>
      </c>
      <c r="BR325" s="239">
        <v>-682857</v>
      </c>
      <c r="BS325" s="239">
        <v>0</v>
      </c>
      <c r="BT325" s="239">
        <v>-682857</v>
      </c>
      <c r="BU325" s="239">
        <v>-1513041</v>
      </c>
      <c r="BV325" s="239">
        <v>0</v>
      </c>
      <c r="BW325" s="239">
        <v>-1513041</v>
      </c>
      <c r="BX325" s="239">
        <v>-183036</v>
      </c>
      <c r="BY325" s="239">
        <v>0</v>
      </c>
      <c r="BZ325" s="239">
        <v>-183036</v>
      </c>
      <c r="CA325" s="239">
        <v>-3524</v>
      </c>
      <c r="CB325" s="239">
        <v>0</v>
      </c>
      <c r="CC325" s="239">
        <v>-3524</v>
      </c>
      <c r="CD325" s="239">
        <v>-3705</v>
      </c>
      <c r="CE325" s="239">
        <v>0</v>
      </c>
      <c r="CF325" s="239">
        <v>-3705</v>
      </c>
      <c r="CG325" s="239">
        <v>0</v>
      </c>
      <c r="CH325" s="239">
        <v>0</v>
      </c>
      <c r="CI325" s="239">
        <v>0</v>
      </c>
      <c r="CJ325" s="239">
        <v>0</v>
      </c>
      <c r="CK325" s="239">
        <v>0</v>
      </c>
      <c r="CL325" s="239">
        <v>0</v>
      </c>
      <c r="CM325" s="239">
        <v>0</v>
      </c>
      <c r="CN325" s="239">
        <v>0</v>
      </c>
      <c r="CO325" s="239">
        <v>0</v>
      </c>
      <c r="CP325" s="239">
        <v>0</v>
      </c>
      <c r="CQ325" s="239">
        <v>0</v>
      </c>
      <c r="CR325" s="239">
        <v>0</v>
      </c>
      <c r="CS325" s="239">
        <v>0</v>
      </c>
      <c r="CT325" s="239">
        <v>0</v>
      </c>
      <c r="CU325" s="239">
        <v>0</v>
      </c>
      <c r="CV325" s="239">
        <v>0</v>
      </c>
      <c r="CW325" s="239">
        <v>0</v>
      </c>
      <c r="CX325" s="239">
        <v>0</v>
      </c>
      <c r="CY325" s="239">
        <v>0</v>
      </c>
      <c r="CZ325" s="239">
        <v>0</v>
      </c>
      <c r="DA325" s="239">
        <v>0</v>
      </c>
      <c r="DB325" s="239">
        <v>0</v>
      </c>
      <c r="DC325" s="239">
        <v>0</v>
      </c>
      <c r="DD325" s="239">
        <v>0</v>
      </c>
      <c r="DE325" s="239">
        <v>0</v>
      </c>
      <c r="DF325" s="239">
        <v>0</v>
      </c>
      <c r="DG325" s="239">
        <v>0</v>
      </c>
      <c r="DH325" s="239">
        <v>0</v>
      </c>
      <c r="DI325" s="239">
        <v>0</v>
      </c>
      <c r="DJ325" s="239">
        <v>-190265</v>
      </c>
      <c r="DK325" s="239">
        <v>0</v>
      </c>
      <c r="DL325" s="239">
        <v>-190265</v>
      </c>
      <c r="DM325" s="239">
        <v>0</v>
      </c>
      <c r="DN325" s="239">
        <v>0</v>
      </c>
      <c r="DO325" s="239">
        <v>0</v>
      </c>
      <c r="DP325" s="239">
        <v>0</v>
      </c>
      <c r="DQ325" s="239">
        <v>0</v>
      </c>
      <c r="DR325" s="239">
        <v>0</v>
      </c>
      <c r="DS325" s="239">
        <v>0</v>
      </c>
      <c r="DT325" s="239">
        <v>0</v>
      </c>
      <c r="DU325" s="239">
        <v>0</v>
      </c>
      <c r="DV325" s="239">
        <v>0</v>
      </c>
      <c r="DW325" s="239">
        <v>0</v>
      </c>
      <c r="DX325" s="239">
        <v>0</v>
      </c>
      <c r="DY325" s="239">
        <v>2817</v>
      </c>
      <c r="DZ325" s="239">
        <v>0</v>
      </c>
      <c r="EA325" s="239">
        <v>2817</v>
      </c>
      <c r="EB325" s="239">
        <v>0</v>
      </c>
      <c r="EC325" s="239">
        <v>0</v>
      </c>
      <c r="ED325" s="239">
        <v>0</v>
      </c>
      <c r="EE325" s="239">
        <v>0</v>
      </c>
      <c r="EF325" s="239">
        <v>0</v>
      </c>
      <c r="EG325" s="239">
        <v>0</v>
      </c>
      <c r="EH325" s="239">
        <v>0</v>
      </c>
      <c r="EI325" s="239">
        <v>0</v>
      </c>
      <c r="EJ325" s="239">
        <v>0</v>
      </c>
      <c r="EK325" s="239">
        <v>0</v>
      </c>
      <c r="EL325" s="239">
        <v>0</v>
      </c>
      <c r="EM325" s="239">
        <v>0</v>
      </c>
      <c r="EN325" s="239">
        <v>-1500</v>
      </c>
      <c r="EO325" s="239">
        <v>0</v>
      </c>
      <c r="EP325" s="239">
        <v>-1500</v>
      </c>
      <c r="EQ325" s="239">
        <v>-19100</v>
      </c>
      <c r="ER325" s="239">
        <v>0</v>
      </c>
      <c r="ES325" s="239">
        <v>-19100</v>
      </c>
      <c r="ET325" s="239">
        <v>-122449</v>
      </c>
      <c r="EU325" s="239">
        <v>0</v>
      </c>
      <c r="EV325" s="239">
        <v>-122449</v>
      </c>
      <c r="EW325" s="239">
        <v>-24992</v>
      </c>
      <c r="EX325" s="239">
        <v>0</v>
      </c>
      <c r="EY325" s="239">
        <v>-24992</v>
      </c>
      <c r="EZ325" s="239">
        <v>-165224</v>
      </c>
      <c r="FA325" s="239">
        <v>0</v>
      </c>
      <c r="FB325" s="239">
        <v>-165224</v>
      </c>
      <c r="FC325" s="239">
        <v>0</v>
      </c>
      <c r="FD325" s="239">
        <v>0</v>
      </c>
      <c r="FE325" s="239">
        <v>0</v>
      </c>
      <c r="FF325" s="239">
        <v>0</v>
      </c>
      <c r="FG325" s="239">
        <v>0</v>
      </c>
      <c r="FH325" s="239">
        <v>0</v>
      </c>
      <c r="FI325" s="239">
        <v>0</v>
      </c>
      <c r="FJ325" s="239">
        <v>0</v>
      </c>
      <c r="FK325" s="239">
        <v>0</v>
      </c>
      <c r="FL325" s="239">
        <v>38370349</v>
      </c>
      <c r="FM325" s="239">
        <v>0</v>
      </c>
      <c r="FN325" s="239">
        <v>38370349</v>
      </c>
      <c r="FO325" s="239">
        <v>225517</v>
      </c>
      <c r="FP325" s="239">
        <v>0</v>
      </c>
      <c r="FQ325" s="239">
        <v>225517</v>
      </c>
      <c r="FR325" s="239">
        <v>-5604441</v>
      </c>
      <c r="FS325" s="239">
        <v>0</v>
      </c>
      <c r="FT325" s="239">
        <v>-5604441</v>
      </c>
      <c r="FU325" s="239">
        <v>-1513041</v>
      </c>
      <c r="FV325" s="239">
        <v>0</v>
      </c>
      <c r="FW325" s="239">
        <v>-1513041</v>
      </c>
      <c r="FX325" s="239">
        <v>-190265</v>
      </c>
      <c r="FY325" s="239">
        <v>0</v>
      </c>
      <c r="FZ325" s="239">
        <v>-190265</v>
      </c>
      <c r="GA325" s="239">
        <v>-165224</v>
      </c>
      <c r="GB325" s="239">
        <v>0</v>
      </c>
      <c r="GC325" s="239">
        <v>-165224</v>
      </c>
      <c r="GD325" s="239">
        <v>0</v>
      </c>
      <c r="GE325" s="239">
        <v>0</v>
      </c>
      <c r="GF325" s="239">
        <v>0</v>
      </c>
      <c r="GG325" s="239">
        <v>-7247454</v>
      </c>
      <c r="GH325" s="239">
        <v>0</v>
      </c>
      <c r="GI325" s="239">
        <v>-7247454</v>
      </c>
      <c r="GJ325" s="239">
        <v>31122895</v>
      </c>
      <c r="GK325" s="239">
        <v>0</v>
      </c>
      <c r="GL325" s="239">
        <v>31122895</v>
      </c>
      <c r="GM325" s="214" t="s">
        <v>1158</v>
      </c>
    </row>
    <row r="326" spans="2:195" s="214" customFormat="1" x14ac:dyDescent="0.2">
      <c r="B326" s="602" t="s">
        <v>735</v>
      </c>
      <c r="C326" s="602" t="s">
        <v>734</v>
      </c>
      <c r="D326" s="239">
        <v>-1742462</v>
      </c>
      <c r="E326" s="239">
        <v>0</v>
      </c>
      <c r="F326" s="239">
        <v>-1742462</v>
      </c>
      <c r="G326" s="239">
        <v>48383</v>
      </c>
      <c r="H326" s="239">
        <v>0</v>
      </c>
      <c r="I326" s="239">
        <v>48383</v>
      </c>
      <c r="J326" s="239">
        <v>2329399</v>
      </c>
      <c r="K326" s="239">
        <v>0</v>
      </c>
      <c r="L326" s="239">
        <v>2329399</v>
      </c>
      <c r="M326" s="239">
        <v>3575</v>
      </c>
      <c r="N326" s="239">
        <v>0</v>
      </c>
      <c r="O326" s="239">
        <v>3575</v>
      </c>
      <c r="P326" s="239">
        <v>638895</v>
      </c>
      <c r="Q326" s="239">
        <v>0</v>
      </c>
      <c r="R326" s="239">
        <v>638895</v>
      </c>
      <c r="S326" s="239">
        <v>-4864909</v>
      </c>
      <c r="T326" s="239">
        <v>0</v>
      </c>
      <c r="U326" s="239">
        <v>-4864909</v>
      </c>
      <c r="V326" s="239">
        <v>-3097</v>
      </c>
      <c r="W326" s="239">
        <v>0</v>
      </c>
      <c r="X326" s="239">
        <v>-3097</v>
      </c>
      <c r="Y326" s="239">
        <v>-324496</v>
      </c>
      <c r="Z326" s="239">
        <v>0</v>
      </c>
      <c r="AA326" s="239">
        <v>-324496</v>
      </c>
      <c r="AB326" s="239">
        <v>-229404</v>
      </c>
      <c r="AC326" s="239">
        <v>0</v>
      </c>
      <c r="AD326" s="239">
        <v>-229404</v>
      </c>
      <c r="AE326" s="239">
        <v>-1248</v>
      </c>
      <c r="AF326" s="239">
        <v>0</v>
      </c>
      <c r="AG326" s="239">
        <v>-1248</v>
      </c>
      <c r="AH326" s="239">
        <v>922887</v>
      </c>
      <c r="AI326" s="239">
        <v>0</v>
      </c>
      <c r="AJ326" s="239">
        <v>922887</v>
      </c>
      <c r="AK326" s="239">
        <v>-7319</v>
      </c>
      <c r="AL326" s="239">
        <v>0</v>
      </c>
      <c r="AM326" s="239">
        <v>-7319</v>
      </c>
      <c r="AN326" s="239">
        <v>-2161851</v>
      </c>
      <c r="AO326" s="239">
        <v>0</v>
      </c>
      <c r="AP326" s="239">
        <v>-2161851</v>
      </c>
      <c r="AQ326" s="239">
        <v>-100711</v>
      </c>
      <c r="AR326" s="239">
        <v>0</v>
      </c>
      <c r="AS326" s="239">
        <v>-100711</v>
      </c>
      <c r="AT326" s="239">
        <v>-57188</v>
      </c>
      <c r="AU326" s="239">
        <v>0</v>
      </c>
      <c r="AV326" s="239">
        <v>-57188</v>
      </c>
      <c r="AW326" s="239">
        <v>0</v>
      </c>
      <c r="AX326" s="239">
        <v>0</v>
      </c>
      <c r="AY326" s="239">
        <v>0</v>
      </c>
      <c r="AZ326" s="239">
        <v>-43802</v>
      </c>
      <c r="BA326" s="239">
        <v>0</v>
      </c>
      <c r="BB326" s="239">
        <v>-43802</v>
      </c>
      <c r="BC326" s="239">
        <v>-340</v>
      </c>
      <c r="BD326" s="239">
        <v>0</v>
      </c>
      <c r="BE326" s="239">
        <v>-340</v>
      </c>
      <c r="BF326" s="239">
        <v>-6637729</v>
      </c>
      <c r="BG326" s="239">
        <v>0</v>
      </c>
      <c r="BH326" s="239">
        <v>-6637729</v>
      </c>
      <c r="BI326" s="239">
        <v>-5508</v>
      </c>
      <c r="BJ326" s="239">
        <v>0</v>
      </c>
      <c r="BK326" s="239">
        <v>-5508</v>
      </c>
      <c r="BL326" s="239">
        <v>17470</v>
      </c>
      <c r="BM326" s="239">
        <v>0</v>
      </c>
      <c r="BN326" s="239">
        <v>17470</v>
      </c>
      <c r="BO326" s="239">
        <v>-1471112</v>
      </c>
      <c r="BP326" s="239">
        <v>0</v>
      </c>
      <c r="BQ326" s="239">
        <v>-1471112</v>
      </c>
      <c r="BR326" s="239">
        <v>-30646</v>
      </c>
      <c r="BS326" s="239">
        <v>0</v>
      </c>
      <c r="BT326" s="239">
        <v>-30646</v>
      </c>
      <c r="BU326" s="239">
        <v>-1489796</v>
      </c>
      <c r="BV326" s="239">
        <v>0</v>
      </c>
      <c r="BW326" s="239">
        <v>-1489796</v>
      </c>
      <c r="BX326" s="239">
        <v>-201239</v>
      </c>
      <c r="BY326" s="239">
        <v>0</v>
      </c>
      <c r="BZ326" s="239">
        <v>-201239</v>
      </c>
      <c r="CA326" s="239">
        <v>-6228</v>
      </c>
      <c r="CB326" s="239">
        <v>0</v>
      </c>
      <c r="CC326" s="239">
        <v>-6228</v>
      </c>
      <c r="CD326" s="239">
        <v>-47462</v>
      </c>
      <c r="CE326" s="239">
        <v>0</v>
      </c>
      <c r="CF326" s="239">
        <v>-47462</v>
      </c>
      <c r="CG326" s="239">
        <v>11081</v>
      </c>
      <c r="CH326" s="239">
        <v>0</v>
      </c>
      <c r="CI326" s="239">
        <v>11081</v>
      </c>
      <c r="CJ326" s="239">
        <v>-11275</v>
      </c>
      <c r="CK326" s="239">
        <v>0</v>
      </c>
      <c r="CL326" s="239">
        <v>-11275</v>
      </c>
      <c r="CM326" s="239">
        <v>0</v>
      </c>
      <c r="CN326" s="239">
        <v>0</v>
      </c>
      <c r="CO326" s="239">
        <v>0</v>
      </c>
      <c r="CP326" s="239">
        <v>0</v>
      </c>
      <c r="CQ326" s="239">
        <v>0</v>
      </c>
      <c r="CR326" s="239">
        <v>0</v>
      </c>
      <c r="CS326" s="239">
        <v>-340</v>
      </c>
      <c r="CT326" s="239">
        <v>0</v>
      </c>
      <c r="CU326" s="239">
        <v>-340</v>
      </c>
      <c r="CV326" s="239">
        <v>-8804</v>
      </c>
      <c r="CW326" s="239">
        <v>0</v>
      </c>
      <c r="CX326" s="239">
        <v>-8804</v>
      </c>
      <c r="CY326" s="239">
        <v>0</v>
      </c>
      <c r="CZ326" s="239">
        <v>0</v>
      </c>
      <c r="DA326" s="239">
        <v>0</v>
      </c>
      <c r="DB326" s="239">
        <v>0</v>
      </c>
      <c r="DC326" s="239">
        <v>0</v>
      </c>
      <c r="DD326" s="239">
        <v>0</v>
      </c>
      <c r="DE326" s="239">
        <v>0</v>
      </c>
      <c r="DF326" s="239">
        <v>0</v>
      </c>
      <c r="DG326" s="239">
        <v>0</v>
      </c>
      <c r="DH326" s="239">
        <v>0</v>
      </c>
      <c r="DI326" s="239">
        <v>0</v>
      </c>
      <c r="DJ326" s="239">
        <v>-264267</v>
      </c>
      <c r="DK326" s="239">
        <v>0</v>
      </c>
      <c r="DL326" s="239">
        <v>-264267</v>
      </c>
      <c r="DM326" s="239">
        <v>-15026</v>
      </c>
      <c r="DN326" s="239">
        <v>0</v>
      </c>
      <c r="DO326" s="239">
        <v>-15026</v>
      </c>
      <c r="DP326" s="239">
        <v>-7448</v>
      </c>
      <c r="DQ326" s="239">
        <v>0</v>
      </c>
      <c r="DR326" s="239">
        <v>-7448</v>
      </c>
      <c r="DS326" s="239">
        <v>-3564</v>
      </c>
      <c r="DT326" s="239">
        <v>0</v>
      </c>
      <c r="DU326" s="239">
        <v>-3564</v>
      </c>
      <c r="DV326" s="239">
        <v>-5577</v>
      </c>
      <c r="DW326" s="239">
        <v>0</v>
      </c>
      <c r="DX326" s="239">
        <v>-5577</v>
      </c>
      <c r="DY326" s="239">
        <v>6688</v>
      </c>
      <c r="DZ326" s="239">
        <v>0</v>
      </c>
      <c r="EA326" s="239">
        <v>6688</v>
      </c>
      <c r="EB326" s="239">
        <v>0</v>
      </c>
      <c r="EC326" s="239">
        <v>0</v>
      </c>
      <c r="ED326" s="239">
        <v>0</v>
      </c>
      <c r="EE326" s="239">
        <v>0</v>
      </c>
      <c r="EF326" s="239">
        <v>0</v>
      </c>
      <c r="EG326" s="239">
        <v>0</v>
      </c>
      <c r="EH326" s="239">
        <v>0</v>
      </c>
      <c r="EI326" s="239">
        <v>0</v>
      </c>
      <c r="EJ326" s="239">
        <v>0</v>
      </c>
      <c r="EK326" s="239">
        <v>-54067</v>
      </c>
      <c r="EL326" s="239">
        <v>0</v>
      </c>
      <c r="EM326" s="239">
        <v>-54067</v>
      </c>
      <c r="EN326" s="239">
        <v>0</v>
      </c>
      <c r="EO326" s="239">
        <v>0</v>
      </c>
      <c r="EP326" s="239">
        <v>0</v>
      </c>
      <c r="EQ326" s="239">
        <v>-42297</v>
      </c>
      <c r="ER326" s="239">
        <v>0</v>
      </c>
      <c r="ES326" s="239">
        <v>-42297</v>
      </c>
      <c r="ET326" s="239">
        <v>-294678</v>
      </c>
      <c r="EU326" s="239">
        <v>0</v>
      </c>
      <c r="EV326" s="239">
        <v>-294678</v>
      </c>
      <c r="EW326" s="239">
        <v>-71812</v>
      </c>
      <c r="EX326" s="239">
        <v>0</v>
      </c>
      <c r="EY326" s="239">
        <v>-71812</v>
      </c>
      <c r="EZ326" s="239">
        <v>-487781</v>
      </c>
      <c r="FA326" s="239">
        <v>0</v>
      </c>
      <c r="FB326" s="239">
        <v>-487781</v>
      </c>
      <c r="FC326" s="239">
        <v>0</v>
      </c>
      <c r="FD326" s="239">
        <v>0</v>
      </c>
      <c r="FE326" s="239">
        <v>0</v>
      </c>
      <c r="FF326" s="239">
        <v>0</v>
      </c>
      <c r="FG326" s="239">
        <v>0</v>
      </c>
      <c r="FH326" s="239">
        <v>0</v>
      </c>
      <c r="FI326" s="239">
        <v>0</v>
      </c>
      <c r="FJ326" s="239">
        <v>0</v>
      </c>
      <c r="FK326" s="239">
        <v>0</v>
      </c>
      <c r="FL326" s="239">
        <v>49587974</v>
      </c>
      <c r="FM326" s="239">
        <v>0</v>
      </c>
      <c r="FN326" s="239">
        <v>49587974</v>
      </c>
      <c r="FO326" s="239">
        <v>638895</v>
      </c>
      <c r="FP326" s="239">
        <v>0</v>
      </c>
      <c r="FQ326" s="239">
        <v>638895</v>
      </c>
      <c r="FR326" s="239">
        <v>-6637729</v>
      </c>
      <c r="FS326" s="239">
        <v>0</v>
      </c>
      <c r="FT326" s="239">
        <v>-6637729</v>
      </c>
      <c r="FU326" s="239">
        <v>-1489796</v>
      </c>
      <c r="FV326" s="239">
        <v>0</v>
      </c>
      <c r="FW326" s="239">
        <v>-1489796</v>
      </c>
      <c r="FX326" s="239">
        <v>-264267</v>
      </c>
      <c r="FY326" s="239">
        <v>0</v>
      </c>
      <c r="FZ326" s="239">
        <v>-264267</v>
      </c>
      <c r="GA326" s="239">
        <v>-487781</v>
      </c>
      <c r="GB326" s="239">
        <v>0</v>
      </c>
      <c r="GC326" s="239">
        <v>-487781</v>
      </c>
      <c r="GD326" s="239">
        <v>0</v>
      </c>
      <c r="GE326" s="239">
        <v>0</v>
      </c>
      <c r="GF326" s="239">
        <v>0</v>
      </c>
      <c r="GG326" s="239">
        <v>-8240678</v>
      </c>
      <c r="GH326" s="239">
        <v>0</v>
      </c>
      <c r="GI326" s="239">
        <v>-8240678</v>
      </c>
      <c r="GJ326" s="239">
        <v>41347296</v>
      </c>
      <c r="GK326" s="239">
        <v>0</v>
      </c>
      <c r="GL326" s="239">
        <v>41347296</v>
      </c>
      <c r="GM326" s="214" t="s">
        <v>1158</v>
      </c>
    </row>
    <row r="327" spans="2:195" s="214" customFormat="1" x14ac:dyDescent="0.2">
      <c r="B327" s="602" t="s">
        <v>737</v>
      </c>
      <c r="C327" s="602" t="s">
        <v>736</v>
      </c>
      <c r="D327" s="239">
        <v>-1989190</v>
      </c>
      <c r="E327" s="239">
        <v>0</v>
      </c>
      <c r="F327" s="239">
        <v>-1989190</v>
      </c>
      <c r="G327" s="239">
        <v>49116</v>
      </c>
      <c r="H327" s="239">
        <v>0</v>
      </c>
      <c r="I327" s="239">
        <v>49116</v>
      </c>
      <c r="J327" s="239">
        <v>3260815</v>
      </c>
      <c r="K327" s="239">
        <v>0</v>
      </c>
      <c r="L327" s="239">
        <v>3260815</v>
      </c>
      <c r="M327" s="239">
        <v>28869</v>
      </c>
      <c r="N327" s="239">
        <v>0</v>
      </c>
      <c r="O327" s="239">
        <v>28869</v>
      </c>
      <c r="P327" s="239">
        <v>1349610</v>
      </c>
      <c r="Q327" s="239">
        <v>0</v>
      </c>
      <c r="R327" s="239">
        <v>1349610</v>
      </c>
      <c r="S327" s="239">
        <v>-4079921</v>
      </c>
      <c r="T327" s="239">
        <v>0</v>
      </c>
      <c r="U327" s="239">
        <v>-4079921</v>
      </c>
      <c r="V327" s="239">
        <v>-15413</v>
      </c>
      <c r="W327" s="239">
        <v>0</v>
      </c>
      <c r="X327" s="239">
        <v>-15413</v>
      </c>
      <c r="Y327" s="239">
        <v>-242423</v>
      </c>
      <c r="Z327" s="239">
        <v>0</v>
      </c>
      <c r="AA327" s="239">
        <v>-242423</v>
      </c>
      <c r="AB327" s="239">
        <v>-241009</v>
      </c>
      <c r="AC327" s="239">
        <v>0</v>
      </c>
      <c r="AD327" s="239">
        <v>-241009</v>
      </c>
      <c r="AE327" s="239">
        <v>-1414</v>
      </c>
      <c r="AF327" s="239">
        <v>0</v>
      </c>
      <c r="AG327" s="239">
        <v>-1414</v>
      </c>
      <c r="AH327" s="239">
        <v>1666201</v>
      </c>
      <c r="AI327" s="239">
        <v>0</v>
      </c>
      <c r="AJ327" s="239">
        <v>1666201</v>
      </c>
      <c r="AK327" s="239">
        <v>-5244</v>
      </c>
      <c r="AL327" s="239">
        <v>0</v>
      </c>
      <c r="AM327" s="239">
        <v>-5244</v>
      </c>
      <c r="AN327" s="239">
        <v>-5125576</v>
      </c>
      <c r="AO327" s="239">
        <v>0</v>
      </c>
      <c r="AP327" s="239">
        <v>-5125576</v>
      </c>
      <c r="AQ327" s="239">
        <v>125369</v>
      </c>
      <c r="AR327" s="239">
        <v>0</v>
      </c>
      <c r="AS327" s="239">
        <v>125369</v>
      </c>
      <c r="AT327" s="239">
        <v>-59625</v>
      </c>
      <c r="AU327" s="239">
        <v>0</v>
      </c>
      <c r="AV327" s="239">
        <v>-59625</v>
      </c>
      <c r="AW327" s="239">
        <v>2112</v>
      </c>
      <c r="AX327" s="239">
        <v>0</v>
      </c>
      <c r="AY327" s="239">
        <v>2112</v>
      </c>
      <c r="AZ327" s="239">
        <v>-8332</v>
      </c>
      <c r="BA327" s="239">
        <v>0</v>
      </c>
      <c r="BB327" s="239">
        <v>-8332</v>
      </c>
      <c r="BC327" s="239">
        <v>0</v>
      </c>
      <c r="BD327" s="239">
        <v>0</v>
      </c>
      <c r="BE327" s="239">
        <v>0</v>
      </c>
      <c r="BF327" s="239">
        <v>-7727439</v>
      </c>
      <c r="BG327" s="239">
        <v>0</v>
      </c>
      <c r="BH327" s="239">
        <v>-7727439</v>
      </c>
      <c r="BI327" s="239">
        <v>0</v>
      </c>
      <c r="BJ327" s="239">
        <v>0</v>
      </c>
      <c r="BK327" s="239">
        <v>0</v>
      </c>
      <c r="BL327" s="239">
        <v>-8363</v>
      </c>
      <c r="BM327" s="239">
        <v>0</v>
      </c>
      <c r="BN327" s="239">
        <v>-8363</v>
      </c>
      <c r="BO327" s="239">
        <v>-2268724</v>
      </c>
      <c r="BP327" s="239">
        <v>0</v>
      </c>
      <c r="BQ327" s="239">
        <v>-2268724</v>
      </c>
      <c r="BR327" s="239">
        <v>215474</v>
      </c>
      <c r="BS327" s="239">
        <v>0</v>
      </c>
      <c r="BT327" s="239">
        <v>215474</v>
      </c>
      <c r="BU327" s="239">
        <v>-2061613</v>
      </c>
      <c r="BV327" s="239">
        <v>0</v>
      </c>
      <c r="BW327" s="239">
        <v>-2061613</v>
      </c>
      <c r="BX327" s="239">
        <v>-187067</v>
      </c>
      <c r="BY327" s="239">
        <v>0</v>
      </c>
      <c r="BZ327" s="239">
        <v>-187067</v>
      </c>
      <c r="CA327" s="239">
        <v>-969</v>
      </c>
      <c r="CB327" s="239">
        <v>0</v>
      </c>
      <c r="CC327" s="239">
        <v>-969</v>
      </c>
      <c r="CD327" s="239">
        <v>-57529</v>
      </c>
      <c r="CE327" s="239">
        <v>0</v>
      </c>
      <c r="CF327" s="239">
        <v>-57529</v>
      </c>
      <c r="CG327" s="239">
        <v>-6355</v>
      </c>
      <c r="CH327" s="239">
        <v>0</v>
      </c>
      <c r="CI327" s="239">
        <v>-6355</v>
      </c>
      <c r="CJ327" s="239">
        <v>-4807</v>
      </c>
      <c r="CK327" s="239">
        <v>0</v>
      </c>
      <c r="CL327" s="239">
        <v>-4807</v>
      </c>
      <c r="CM327" s="239">
        <v>429</v>
      </c>
      <c r="CN327" s="239">
        <v>0</v>
      </c>
      <c r="CO327" s="239">
        <v>429</v>
      </c>
      <c r="CP327" s="239">
        <v>0</v>
      </c>
      <c r="CQ327" s="239">
        <v>0</v>
      </c>
      <c r="CR327" s="239">
        <v>0</v>
      </c>
      <c r="CS327" s="239">
        <v>0</v>
      </c>
      <c r="CT327" s="239">
        <v>0</v>
      </c>
      <c r="CU327" s="239">
        <v>0</v>
      </c>
      <c r="CV327" s="239">
        <v>0</v>
      </c>
      <c r="CW327" s="239">
        <v>0</v>
      </c>
      <c r="CX327" s="239">
        <v>0</v>
      </c>
      <c r="CY327" s="239">
        <v>-193</v>
      </c>
      <c r="CZ327" s="239">
        <v>0</v>
      </c>
      <c r="DA327" s="239">
        <v>-193</v>
      </c>
      <c r="DB327" s="239">
        <v>0</v>
      </c>
      <c r="DC327" s="239">
        <v>0</v>
      </c>
      <c r="DD327" s="239">
        <v>0</v>
      </c>
      <c r="DE327" s="239">
        <v>-6355</v>
      </c>
      <c r="DF327" s="239">
        <v>0</v>
      </c>
      <c r="DG327" s="239">
        <v>-6355</v>
      </c>
      <c r="DH327" s="239">
        <v>0</v>
      </c>
      <c r="DI327" s="239">
        <v>0</v>
      </c>
      <c r="DJ327" s="239">
        <v>-262846</v>
      </c>
      <c r="DK327" s="239">
        <v>0</v>
      </c>
      <c r="DL327" s="239">
        <v>-262846</v>
      </c>
      <c r="DM327" s="239">
        <v>0</v>
      </c>
      <c r="DN327" s="239">
        <v>0</v>
      </c>
      <c r="DO327" s="239">
        <v>0</v>
      </c>
      <c r="DP327" s="239">
        <v>0</v>
      </c>
      <c r="DQ327" s="239">
        <v>0</v>
      </c>
      <c r="DR327" s="239">
        <v>0</v>
      </c>
      <c r="DS327" s="239">
        <v>-4199</v>
      </c>
      <c r="DT327" s="239">
        <v>0</v>
      </c>
      <c r="DU327" s="239">
        <v>-4199</v>
      </c>
      <c r="DV327" s="239">
        <v>-17617</v>
      </c>
      <c r="DW327" s="239">
        <v>0</v>
      </c>
      <c r="DX327" s="239">
        <v>-17617</v>
      </c>
      <c r="DY327" s="239">
        <v>1588</v>
      </c>
      <c r="DZ327" s="239">
        <v>0</v>
      </c>
      <c r="EA327" s="239">
        <v>1588</v>
      </c>
      <c r="EB327" s="239">
        <v>0</v>
      </c>
      <c r="EC327" s="239">
        <v>0</v>
      </c>
      <c r="ED327" s="239">
        <v>0</v>
      </c>
      <c r="EE327" s="239">
        <v>0</v>
      </c>
      <c r="EF327" s="239">
        <v>0</v>
      </c>
      <c r="EG327" s="239">
        <v>0</v>
      </c>
      <c r="EH327" s="239">
        <v>0</v>
      </c>
      <c r="EI327" s="239">
        <v>0</v>
      </c>
      <c r="EJ327" s="239">
        <v>0</v>
      </c>
      <c r="EK327" s="239">
        <v>-8332</v>
      </c>
      <c r="EL327" s="239">
        <v>0</v>
      </c>
      <c r="EM327" s="239">
        <v>-8332</v>
      </c>
      <c r="EN327" s="239">
        <v>-1352</v>
      </c>
      <c r="EO327" s="239">
        <v>0</v>
      </c>
      <c r="EP327" s="239">
        <v>-1352</v>
      </c>
      <c r="EQ327" s="239">
        <v>-32151</v>
      </c>
      <c r="ER327" s="239">
        <v>0</v>
      </c>
      <c r="ES327" s="239">
        <v>-32151</v>
      </c>
      <c r="ET327" s="239">
        <v>-313217</v>
      </c>
      <c r="EU327" s="239">
        <v>0</v>
      </c>
      <c r="EV327" s="239">
        <v>-313217</v>
      </c>
      <c r="EW327" s="239">
        <v>-67362</v>
      </c>
      <c r="EX327" s="239">
        <v>0</v>
      </c>
      <c r="EY327" s="239">
        <v>-67362</v>
      </c>
      <c r="EZ327" s="239">
        <v>-442642</v>
      </c>
      <c r="FA327" s="239">
        <v>0</v>
      </c>
      <c r="FB327" s="239">
        <v>-442642</v>
      </c>
      <c r="FC327" s="239">
        <v>0</v>
      </c>
      <c r="FD327" s="239">
        <v>0</v>
      </c>
      <c r="FE327" s="239">
        <v>0</v>
      </c>
      <c r="FF327" s="239">
        <v>-1500</v>
      </c>
      <c r="FG327" s="239">
        <v>0</v>
      </c>
      <c r="FH327" s="239">
        <v>-1500</v>
      </c>
      <c r="FI327" s="239">
        <v>-1500</v>
      </c>
      <c r="FJ327" s="239">
        <v>0</v>
      </c>
      <c r="FK327" s="239">
        <v>-1500</v>
      </c>
      <c r="FL327" s="239">
        <v>81099718</v>
      </c>
      <c r="FM327" s="239">
        <v>0</v>
      </c>
      <c r="FN327" s="239">
        <v>81099718</v>
      </c>
      <c r="FO327" s="239">
        <v>1349610</v>
      </c>
      <c r="FP327" s="239">
        <v>0</v>
      </c>
      <c r="FQ327" s="239">
        <v>1349610</v>
      </c>
      <c r="FR327" s="239">
        <v>-7727439</v>
      </c>
      <c r="FS327" s="239">
        <v>0</v>
      </c>
      <c r="FT327" s="239">
        <v>-7727439</v>
      </c>
      <c r="FU327" s="239">
        <v>-2061613</v>
      </c>
      <c r="FV327" s="239">
        <v>0</v>
      </c>
      <c r="FW327" s="239">
        <v>-2061613</v>
      </c>
      <c r="FX327" s="239">
        <v>-262846</v>
      </c>
      <c r="FY327" s="239">
        <v>0</v>
      </c>
      <c r="FZ327" s="239">
        <v>-262846</v>
      </c>
      <c r="GA327" s="239">
        <v>-442642</v>
      </c>
      <c r="GB327" s="239">
        <v>0</v>
      </c>
      <c r="GC327" s="239">
        <v>-442642</v>
      </c>
      <c r="GD327" s="239">
        <v>-1500</v>
      </c>
      <c r="GE327" s="239">
        <v>0</v>
      </c>
      <c r="GF327" s="239">
        <v>-1500</v>
      </c>
      <c r="GG327" s="239">
        <v>-9146430</v>
      </c>
      <c r="GH327" s="239">
        <v>0</v>
      </c>
      <c r="GI327" s="239">
        <v>-9146430</v>
      </c>
      <c r="GJ327" s="239">
        <v>71953288</v>
      </c>
      <c r="GK327" s="239">
        <v>0</v>
      </c>
      <c r="GL327" s="239">
        <v>71953288</v>
      </c>
      <c r="GM327" s="214" t="s">
        <v>1158</v>
      </c>
    </row>
    <row r="328" spans="2:195" s="214" customFormat="1" x14ac:dyDescent="0.2">
      <c r="B328" s="602" t="s">
        <v>739</v>
      </c>
      <c r="C328" s="602" t="s">
        <v>738</v>
      </c>
      <c r="D328" s="239">
        <v>-933750</v>
      </c>
      <c r="E328" s="239">
        <v>-3696</v>
      </c>
      <c r="F328" s="239">
        <v>-937446</v>
      </c>
      <c r="G328" s="239">
        <v>97321</v>
      </c>
      <c r="H328" s="239">
        <v>0</v>
      </c>
      <c r="I328" s="239">
        <v>97321</v>
      </c>
      <c r="J328" s="239">
        <v>2223684</v>
      </c>
      <c r="K328" s="239">
        <v>178240</v>
      </c>
      <c r="L328" s="239">
        <v>2401924</v>
      </c>
      <c r="M328" s="239">
        <v>71</v>
      </c>
      <c r="N328" s="239">
        <v>0</v>
      </c>
      <c r="O328" s="239">
        <v>71</v>
      </c>
      <c r="P328" s="239">
        <v>1387326</v>
      </c>
      <c r="Q328" s="239">
        <v>174544</v>
      </c>
      <c r="R328" s="239">
        <v>1561870</v>
      </c>
      <c r="S328" s="239">
        <v>-4485070</v>
      </c>
      <c r="T328" s="239">
        <v>-36981</v>
      </c>
      <c r="U328" s="239">
        <v>-4522051</v>
      </c>
      <c r="V328" s="239">
        <v>-14278</v>
      </c>
      <c r="W328" s="239">
        <v>-1548</v>
      </c>
      <c r="X328" s="239">
        <v>-15826</v>
      </c>
      <c r="Y328" s="239">
        <v>-259205</v>
      </c>
      <c r="Z328" s="239">
        <v>-15596</v>
      </c>
      <c r="AA328" s="239">
        <v>-274801</v>
      </c>
      <c r="AB328" s="239">
        <v>-257422</v>
      </c>
      <c r="AC328" s="239">
        <v>-15596</v>
      </c>
      <c r="AD328" s="239">
        <v>-273018</v>
      </c>
      <c r="AE328" s="239">
        <v>-1783</v>
      </c>
      <c r="AF328" s="239">
        <v>0</v>
      </c>
      <c r="AG328" s="239">
        <v>-1783</v>
      </c>
      <c r="AH328" s="239">
        <v>454911</v>
      </c>
      <c r="AI328" s="239">
        <v>76324</v>
      </c>
      <c r="AJ328" s="239">
        <v>531235</v>
      </c>
      <c r="AK328" s="239">
        <v>14879</v>
      </c>
      <c r="AL328" s="239">
        <v>204</v>
      </c>
      <c r="AM328" s="239">
        <v>15083</v>
      </c>
      <c r="AN328" s="239">
        <v>-1926907</v>
      </c>
      <c r="AO328" s="239">
        <v>-17244</v>
      </c>
      <c r="AP328" s="239">
        <v>-1944151</v>
      </c>
      <c r="AQ328" s="239">
        <v>-5733</v>
      </c>
      <c r="AR328" s="239">
        <v>-9123</v>
      </c>
      <c r="AS328" s="239">
        <v>-14856</v>
      </c>
      <c r="AT328" s="239">
        <v>-27336</v>
      </c>
      <c r="AU328" s="239">
        <v>0</v>
      </c>
      <c r="AV328" s="239">
        <v>-27336</v>
      </c>
      <c r="AW328" s="239">
        <v>0</v>
      </c>
      <c r="AX328" s="239">
        <v>0</v>
      </c>
      <c r="AY328" s="239">
        <v>0</v>
      </c>
      <c r="AZ328" s="239">
        <v>-208</v>
      </c>
      <c r="BA328" s="239">
        <v>0</v>
      </c>
      <c r="BB328" s="239">
        <v>-208</v>
      </c>
      <c r="BC328" s="239">
        <v>0</v>
      </c>
      <c r="BD328" s="239">
        <v>0</v>
      </c>
      <c r="BE328" s="239">
        <v>0</v>
      </c>
      <c r="BF328" s="239">
        <v>-6234669</v>
      </c>
      <c r="BG328" s="239">
        <v>-2416</v>
      </c>
      <c r="BH328" s="239">
        <v>-6237085</v>
      </c>
      <c r="BI328" s="239">
        <v>0</v>
      </c>
      <c r="BJ328" s="239">
        <v>0</v>
      </c>
      <c r="BK328" s="239">
        <v>0</v>
      </c>
      <c r="BL328" s="239">
        <v>0</v>
      </c>
      <c r="BM328" s="239">
        <v>0</v>
      </c>
      <c r="BN328" s="239">
        <v>0</v>
      </c>
      <c r="BO328" s="239">
        <v>-547476</v>
      </c>
      <c r="BP328" s="239">
        <v>-26106</v>
      </c>
      <c r="BQ328" s="239">
        <v>-573582</v>
      </c>
      <c r="BR328" s="239">
        <v>-14717</v>
      </c>
      <c r="BS328" s="239">
        <v>0</v>
      </c>
      <c r="BT328" s="239">
        <v>-14717</v>
      </c>
      <c r="BU328" s="239">
        <v>-562193</v>
      </c>
      <c r="BV328" s="239">
        <v>-26106</v>
      </c>
      <c r="BW328" s="239">
        <v>-588299</v>
      </c>
      <c r="BX328" s="239">
        <v>-3009</v>
      </c>
      <c r="BY328" s="239">
        <v>0</v>
      </c>
      <c r="BZ328" s="239">
        <v>-3009</v>
      </c>
      <c r="CA328" s="239">
        <v>0</v>
      </c>
      <c r="CB328" s="239">
        <v>0</v>
      </c>
      <c r="CC328" s="239">
        <v>0</v>
      </c>
      <c r="CD328" s="239">
        <v>-61465</v>
      </c>
      <c r="CE328" s="239">
        <v>0</v>
      </c>
      <c r="CF328" s="239">
        <v>-61465</v>
      </c>
      <c r="CG328" s="239">
        <v>0</v>
      </c>
      <c r="CH328" s="239">
        <v>0</v>
      </c>
      <c r="CI328" s="239">
        <v>0</v>
      </c>
      <c r="CJ328" s="239">
        <v>0</v>
      </c>
      <c r="CK328" s="239">
        <v>0</v>
      </c>
      <c r="CL328" s="239">
        <v>0</v>
      </c>
      <c r="CM328" s="239">
        <v>0</v>
      </c>
      <c r="CN328" s="239">
        <v>0</v>
      </c>
      <c r="CO328" s="239">
        <v>0</v>
      </c>
      <c r="CP328" s="239">
        <v>0</v>
      </c>
      <c r="CQ328" s="239">
        <v>0</v>
      </c>
      <c r="CR328" s="239">
        <v>0</v>
      </c>
      <c r="CS328" s="239">
        <v>0</v>
      </c>
      <c r="CT328" s="239">
        <v>0</v>
      </c>
      <c r="CU328" s="239">
        <v>0</v>
      </c>
      <c r="CV328" s="239">
        <v>-36</v>
      </c>
      <c r="CW328" s="239">
        <v>0</v>
      </c>
      <c r="CX328" s="239">
        <v>-36</v>
      </c>
      <c r="CY328" s="239">
        <v>0</v>
      </c>
      <c r="CZ328" s="239">
        <v>0</v>
      </c>
      <c r="DA328" s="239">
        <v>0</v>
      </c>
      <c r="DB328" s="239">
        <v>0</v>
      </c>
      <c r="DC328" s="239">
        <v>0</v>
      </c>
      <c r="DD328" s="239">
        <v>0</v>
      </c>
      <c r="DE328" s="239">
        <v>0</v>
      </c>
      <c r="DF328" s="239">
        <v>0</v>
      </c>
      <c r="DG328" s="239">
        <v>0</v>
      </c>
      <c r="DH328" s="239">
        <v>0</v>
      </c>
      <c r="DI328" s="239">
        <v>0</v>
      </c>
      <c r="DJ328" s="239">
        <v>-64510</v>
      </c>
      <c r="DK328" s="239">
        <v>0</v>
      </c>
      <c r="DL328" s="239">
        <v>-64510</v>
      </c>
      <c r="DM328" s="239">
        <v>0</v>
      </c>
      <c r="DN328" s="239">
        <v>0</v>
      </c>
      <c r="DO328" s="239">
        <v>0</v>
      </c>
      <c r="DP328" s="239">
        <v>0</v>
      </c>
      <c r="DQ328" s="239">
        <v>0</v>
      </c>
      <c r="DR328" s="239">
        <v>0</v>
      </c>
      <c r="DS328" s="239">
        <v>-345</v>
      </c>
      <c r="DT328" s="239">
        <v>0</v>
      </c>
      <c r="DU328" s="239">
        <v>-345</v>
      </c>
      <c r="DV328" s="239">
        <v>-3643</v>
      </c>
      <c r="DW328" s="239">
        <v>0</v>
      </c>
      <c r="DX328" s="239">
        <v>-3643</v>
      </c>
      <c r="DY328" s="239">
        <v>5003</v>
      </c>
      <c r="DZ328" s="239">
        <v>0</v>
      </c>
      <c r="EA328" s="239">
        <v>5003</v>
      </c>
      <c r="EB328" s="239">
        <v>0</v>
      </c>
      <c r="EC328" s="239">
        <v>0</v>
      </c>
      <c r="ED328" s="239">
        <v>0</v>
      </c>
      <c r="EE328" s="239">
        <v>0</v>
      </c>
      <c r="EF328" s="239">
        <v>0</v>
      </c>
      <c r="EG328" s="239">
        <v>0</v>
      </c>
      <c r="EH328" s="239">
        <v>0</v>
      </c>
      <c r="EI328" s="239">
        <v>0</v>
      </c>
      <c r="EJ328" s="239">
        <v>0</v>
      </c>
      <c r="EK328" s="239">
        <v>0</v>
      </c>
      <c r="EL328" s="239">
        <v>0</v>
      </c>
      <c r="EM328" s="239">
        <v>0</v>
      </c>
      <c r="EN328" s="239">
        <v>0</v>
      </c>
      <c r="EO328" s="239">
        <v>0</v>
      </c>
      <c r="EP328" s="239">
        <v>0</v>
      </c>
      <c r="EQ328" s="239">
        <v>-11011</v>
      </c>
      <c r="ER328" s="239">
        <v>0</v>
      </c>
      <c r="ES328" s="239">
        <v>-11011</v>
      </c>
      <c r="ET328" s="239">
        <v>-63448</v>
      </c>
      <c r="EU328" s="239">
        <v>-3577</v>
      </c>
      <c r="EV328" s="239">
        <v>-67025</v>
      </c>
      <c r="EW328" s="239">
        <v>-48194</v>
      </c>
      <c r="EX328" s="239">
        <v>0</v>
      </c>
      <c r="EY328" s="239">
        <v>-48194</v>
      </c>
      <c r="EZ328" s="239">
        <v>-121638</v>
      </c>
      <c r="FA328" s="239">
        <v>-3577</v>
      </c>
      <c r="FB328" s="239">
        <v>-125215</v>
      </c>
      <c r="FC328" s="239">
        <v>0</v>
      </c>
      <c r="FD328" s="239">
        <v>0</v>
      </c>
      <c r="FE328" s="239">
        <v>0</v>
      </c>
      <c r="FF328" s="239">
        <v>0</v>
      </c>
      <c r="FG328" s="239">
        <v>0</v>
      </c>
      <c r="FH328" s="239">
        <v>0</v>
      </c>
      <c r="FI328" s="239">
        <v>0</v>
      </c>
      <c r="FJ328" s="239">
        <v>0</v>
      </c>
      <c r="FK328" s="239">
        <v>0</v>
      </c>
      <c r="FL328" s="239">
        <v>28815047</v>
      </c>
      <c r="FM328" s="239">
        <v>2874844</v>
      </c>
      <c r="FN328" s="239">
        <v>31689891</v>
      </c>
      <c r="FO328" s="239">
        <v>1387326</v>
      </c>
      <c r="FP328" s="239">
        <v>174544</v>
      </c>
      <c r="FQ328" s="239">
        <v>1561870</v>
      </c>
      <c r="FR328" s="239">
        <v>-6234669</v>
      </c>
      <c r="FS328" s="239">
        <v>-2416</v>
      </c>
      <c r="FT328" s="239">
        <v>-6237085</v>
      </c>
      <c r="FU328" s="239">
        <v>-562193</v>
      </c>
      <c r="FV328" s="239">
        <v>-26106</v>
      </c>
      <c r="FW328" s="239">
        <v>-588299</v>
      </c>
      <c r="FX328" s="239">
        <v>-64510</v>
      </c>
      <c r="FY328" s="239">
        <v>0</v>
      </c>
      <c r="FZ328" s="239">
        <v>-64510</v>
      </c>
      <c r="GA328" s="239">
        <v>-121638</v>
      </c>
      <c r="GB328" s="239">
        <v>-3577</v>
      </c>
      <c r="GC328" s="239">
        <v>-125215</v>
      </c>
      <c r="GD328" s="239">
        <v>0</v>
      </c>
      <c r="GE328" s="239">
        <v>0</v>
      </c>
      <c r="GF328" s="239">
        <v>0</v>
      </c>
      <c r="GG328" s="239">
        <v>-5595684</v>
      </c>
      <c r="GH328" s="239">
        <v>142445</v>
      </c>
      <c r="GI328" s="239">
        <v>-5453239</v>
      </c>
      <c r="GJ328" s="239">
        <v>23219363</v>
      </c>
      <c r="GK328" s="239">
        <v>3017289</v>
      </c>
      <c r="GL328" s="239">
        <v>26236652</v>
      </c>
      <c r="GM328" s="214" t="s">
        <v>1158</v>
      </c>
    </row>
    <row r="329" spans="2:195" s="214" customFormat="1" x14ac:dyDescent="0.2">
      <c r="B329" s="602" t="s">
        <v>741</v>
      </c>
      <c r="C329" s="602" t="s">
        <v>740</v>
      </c>
      <c r="D329" s="239">
        <v>-839878</v>
      </c>
      <c r="E329" s="239">
        <v>0</v>
      </c>
      <c r="F329" s="239">
        <v>-839878</v>
      </c>
      <c r="G329" s="239">
        <v>18792</v>
      </c>
      <c r="H329" s="239">
        <v>0</v>
      </c>
      <c r="I329" s="239">
        <v>18792</v>
      </c>
      <c r="J329" s="239">
        <v>1864178</v>
      </c>
      <c r="K329" s="239">
        <v>0</v>
      </c>
      <c r="L329" s="239">
        <v>1864178</v>
      </c>
      <c r="M329" s="239">
        <v>-7732</v>
      </c>
      <c r="N329" s="239">
        <v>0</v>
      </c>
      <c r="O329" s="239">
        <v>-7732</v>
      </c>
      <c r="P329" s="239">
        <v>1035360</v>
      </c>
      <c r="Q329" s="239">
        <v>0</v>
      </c>
      <c r="R329" s="239">
        <v>1035360</v>
      </c>
      <c r="S329" s="239">
        <v>-3388972</v>
      </c>
      <c r="T329" s="239">
        <v>0</v>
      </c>
      <c r="U329" s="239">
        <v>-3388972</v>
      </c>
      <c r="V329" s="239">
        <v>0</v>
      </c>
      <c r="W329" s="239">
        <v>0</v>
      </c>
      <c r="X329" s="239">
        <v>0</v>
      </c>
      <c r="Y329" s="239">
        <v>-173494</v>
      </c>
      <c r="Z329" s="239">
        <v>0</v>
      </c>
      <c r="AA329" s="239">
        <v>-173494</v>
      </c>
      <c r="AB329" s="239">
        <v>-160091</v>
      </c>
      <c r="AC329" s="239">
        <v>0</v>
      </c>
      <c r="AD329" s="239">
        <v>-160091</v>
      </c>
      <c r="AE329" s="239">
        <v>0</v>
      </c>
      <c r="AF329" s="239">
        <v>0</v>
      </c>
      <c r="AG329" s="239">
        <v>0</v>
      </c>
      <c r="AH329" s="239">
        <v>654884</v>
      </c>
      <c r="AI329" s="239">
        <v>0</v>
      </c>
      <c r="AJ329" s="239">
        <v>654884</v>
      </c>
      <c r="AK329" s="239">
        <v>-13969</v>
      </c>
      <c r="AL329" s="239">
        <v>0</v>
      </c>
      <c r="AM329" s="239">
        <v>-13969</v>
      </c>
      <c r="AN329" s="239">
        <v>-2032357</v>
      </c>
      <c r="AO329" s="239">
        <v>0</v>
      </c>
      <c r="AP329" s="239">
        <v>-2032357</v>
      </c>
      <c r="AQ329" s="239">
        <v>38457</v>
      </c>
      <c r="AR329" s="239">
        <v>0</v>
      </c>
      <c r="AS329" s="239">
        <v>38457</v>
      </c>
      <c r="AT329" s="239">
        <v>-47961</v>
      </c>
      <c r="AU329" s="239">
        <v>0</v>
      </c>
      <c r="AV329" s="239">
        <v>-47961</v>
      </c>
      <c r="AW329" s="239">
        <v>0</v>
      </c>
      <c r="AX329" s="239">
        <v>0</v>
      </c>
      <c r="AY329" s="239">
        <v>0</v>
      </c>
      <c r="AZ329" s="239">
        <v>-12133</v>
      </c>
      <c r="BA329" s="239">
        <v>0</v>
      </c>
      <c r="BB329" s="239">
        <v>-12133</v>
      </c>
      <c r="BC329" s="239">
        <v>0</v>
      </c>
      <c r="BD329" s="239">
        <v>0</v>
      </c>
      <c r="BE329" s="239">
        <v>0</v>
      </c>
      <c r="BF329" s="239">
        <v>-4975545</v>
      </c>
      <c r="BG329" s="239">
        <v>0</v>
      </c>
      <c r="BH329" s="239">
        <v>-4975545</v>
      </c>
      <c r="BI329" s="239">
        <v>-22725</v>
      </c>
      <c r="BJ329" s="239">
        <v>0</v>
      </c>
      <c r="BK329" s="239">
        <v>-22725</v>
      </c>
      <c r="BL329" s="239">
        <v>15020</v>
      </c>
      <c r="BM329" s="239">
        <v>0</v>
      </c>
      <c r="BN329" s="239">
        <v>15020</v>
      </c>
      <c r="BO329" s="239">
        <v>-1073445</v>
      </c>
      <c r="BP329" s="239">
        <v>0</v>
      </c>
      <c r="BQ329" s="239">
        <v>-1073445</v>
      </c>
      <c r="BR329" s="239">
        <v>11678</v>
      </c>
      <c r="BS329" s="239">
        <v>0</v>
      </c>
      <c r="BT329" s="239">
        <v>11678</v>
      </c>
      <c r="BU329" s="239">
        <v>-1069472</v>
      </c>
      <c r="BV329" s="239">
        <v>0</v>
      </c>
      <c r="BW329" s="239">
        <v>-1069472</v>
      </c>
      <c r="BX329" s="239">
        <v>-81101</v>
      </c>
      <c r="BY329" s="239">
        <v>0</v>
      </c>
      <c r="BZ329" s="239">
        <v>-81101</v>
      </c>
      <c r="CA329" s="239">
        <v>-13868</v>
      </c>
      <c r="CB329" s="239">
        <v>0</v>
      </c>
      <c r="CC329" s="239">
        <v>-13868</v>
      </c>
      <c r="CD329" s="239">
        <v>-83499</v>
      </c>
      <c r="CE329" s="239">
        <v>0</v>
      </c>
      <c r="CF329" s="239">
        <v>-83499</v>
      </c>
      <c r="CG329" s="239">
        <v>-110</v>
      </c>
      <c r="CH329" s="239">
        <v>0</v>
      </c>
      <c r="CI329" s="239">
        <v>-110</v>
      </c>
      <c r="CJ329" s="239">
        <v>0</v>
      </c>
      <c r="CK329" s="239">
        <v>0</v>
      </c>
      <c r="CL329" s="239">
        <v>0</v>
      </c>
      <c r="CM329" s="239">
        <v>0</v>
      </c>
      <c r="CN329" s="239">
        <v>0</v>
      </c>
      <c r="CO329" s="239">
        <v>0</v>
      </c>
      <c r="CP329" s="239">
        <v>0</v>
      </c>
      <c r="CQ329" s="239">
        <v>0</v>
      </c>
      <c r="CR329" s="239">
        <v>0</v>
      </c>
      <c r="CS329" s="239">
        <v>0</v>
      </c>
      <c r="CT329" s="239">
        <v>0</v>
      </c>
      <c r="CU329" s="239">
        <v>0</v>
      </c>
      <c r="CV329" s="239">
        <v>0</v>
      </c>
      <c r="CW329" s="239">
        <v>0</v>
      </c>
      <c r="CX329" s="239">
        <v>0</v>
      </c>
      <c r="CY329" s="239">
        <v>0</v>
      </c>
      <c r="CZ329" s="239">
        <v>0</v>
      </c>
      <c r="DA329" s="239">
        <v>0</v>
      </c>
      <c r="DB329" s="239">
        <v>0</v>
      </c>
      <c r="DC329" s="239">
        <v>0</v>
      </c>
      <c r="DD329" s="239">
        <v>0</v>
      </c>
      <c r="DE329" s="239">
        <v>0</v>
      </c>
      <c r="DF329" s="239">
        <v>0</v>
      </c>
      <c r="DG329" s="239">
        <v>0</v>
      </c>
      <c r="DH329" s="239">
        <v>0</v>
      </c>
      <c r="DI329" s="239">
        <v>0</v>
      </c>
      <c r="DJ329" s="239">
        <v>-178578</v>
      </c>
      <c r="DK329" s="239">
        <v>0</v>
      </c>
      <c r="DL329" s="239">
        <v>-178578</v>
      </c>
      <c r="DM329" s="239">
        <v>0</v>
      </c>
      <c r="DN329" s="239">
        <v>0</v>
      </c>
      <c r="DO329" s="239">
        <v>0</v>
      </c>
      <c r="DP329" s="239">
        <v>0</v>
      </c>
      <c r="DQ329" s="239">
        <v>0</v>
      </c>
      <c r="DR329" s="239">
        <v>0</v>
      </c>
      <c r="DS329" s="239">
        <v>-4760</v>
      </c>
      <c r="DT329" s="239">
        <v>0</v>
      </c>
      <c r="DU329" s="239">
        <v>-4760</v>
      </c>
      <c r="DV329" s="239">
        <v>0</v>
      </c>
      <c r="DW329" s="239">
        <v>0</v>
      </c>
      <c r="DX329" s="239">
        <v>0</v>
      </c>
      <c r="DY329" s="239">
        <v>328</v>
      </c>
      <c r="DZ329" s="239">
        <v>0</v>
      </c>
      <c r="EA329" s="239">
        <v>328</v>
      </c>
      <c r="EB329" s="239">
        <v>0</v>
      </c>
      <c r="EC329" s="239">
        <v>0</v>
      </c>
      <c r="ED329" s="239">
        <v>0</v>
      </c>
      <c r="EE329" s="239">
        <v>0</v>
      </c>
      <c r="EF329" s="239">
        <v>0</v>
      </c>
      <c r="EG329" s="239">
        <v>0</v>
      </c>
      <c r="EH329" s="239">
        <v>0</v>
      </c>
      <c r="EI329" s="239">
        <v>0</v>
      </c>
      <c r="EJ329" s="239">
        <v>0</v>
      </c>
      <c r="EK329" s="239">
        <v>-12133</v>
      </c>
      <c r="EL329" s="239">
        <v>0</v>
      </c>
      <c r="EM329" s="239">
        <v>-12133</v>
      </c>
      <c r="EN329" s="239">
        <v>0</v>
      </c>
      <c r="EO329" s="239">
        <v>0</v>
      </c>
      <c r="EP329" s="239">
        <v>0</v>
      </c>
      <c r="EQ329" s="239">
        <v>-14280</v>
      </c>
      <c r="ER329" s="239">
        <v>0</v>
      </c>
      <c r="ES329" s="239">
        <v>-14280</v>
      </c>
      <c r="ET329" s="239">
        <v>-120215</v>
      </c>
      <c r="EU329" s="239">
        <v>0</v>
      </c>
      <c r="EV329" s="239">
        <v>-120215</v>
      </c>
      <c r="EW329" s="239">
        <v>-64428</v>
      </c>
      <c r="EX329" s="239">
        <v>0</v>
      </c>
      <c r="EY329" s="239">
        <v>-64428</v>
      </c>
      <c r="EZ329" s="239">
        <v>-215488</v>
      </c>
      <c r="FA329" s="239">
        <v>0</v>
      </c>
      <c r="FB329" s="239">
        <v>-215488</v>
      </c>
      <c r="FC329" s="239">
        <v>0</v>
      </c>
      <c r="FD329" s="239">
        <v>0</v>
      </c>
      <c r="FE329" s="239">
        <v>0</v>
      </c>
      <c r="FF329" s="239">
        <v>58</v>
      </c>
      <c r="FG329" s="239">
        <v>0</v>
      </c>
      <c r="FH329" s="239">
        <v>58</v>
      </c>
      <c r="FI329" s="239">
        <v>58</v>
      </c>
      <c r="FJ329" s="239">
        <v>0</v>
      </c>
      <c r="FK329" s="239">
        <v>58</v>
      </c>
      <c r="FL329" s="239">
        <v>34764845</v>
      </c>
      <c r="FM329" s="239">
        <v>0</v>
      </c>
      <c r="FN329" s="239">
        <v>34764845</v>
      </c>
      <c r="FO329" s="239">
        <v>1035360</v>
      </c>
      <c r="FP329" s="239">
        <v>0</v>
      </c>
      <c r="FQ329" s="239">
        <v>1035360</v>
      </c>
      <c r="FR329" s="239">
        <v>-4975545</v>
      </c>
      <c r="FS329" s="239">
        <v>0</v>
      </c>
      <c r="FT329" s="239">
        <v>-4975545</v>
      </c>
      <c r="FU329" s="239">
        <v>-1069472</v>
      </c>
      <c r="FV329" s="239">
        <v>0</v>
      </c>
      <c r="FW329" s="239">
        <v>-1069472</v>
      </c>
      <c r="FX329" s="239">
        <v>-178578</v>
      </c>
      <c r="FY329" s="239">
        <v>0</v>
      </c>
      <c r="FZ329" s="239">
        <v>-178578</v>
      </c>
      <c r="GA329" s="239">
        <v>-215488</v>
      </c>
      <c r="GB329" s="239">
        <v>0</v>
      </c>
      <c r="GC329" s="239">
        <v>-215488</v>
      </c>
      <c r="GD329" s="239">
        <v>58</v>
      </c>
      <c r="GE329" s="239">
        <v>0</v>
      </c>
      <c r="GF329" s="239">
        <v>58</v>
      </c>
      <c r="GG329" s="239">
        <v>-5403665</v>
      </c>
      <c r="GH329" s="239">
        <v>0</v>
      </c>
      <c r="GI329" s="239">
        <v>-5403665</v>
      </c>
      <c r="GJ329" s="239">
        <v>29361180</v>
      </c>
      <c r="GK329" s="239">
        <v>0</v>
      </c>
      <c r="GL329" s="239">
        <v>29361180</v>
      </c>
      <c r="GM329" s="214" t="s">
        <v>1158</v>
      </c>
    </row>
    <row r="330" spans="2:195" s="214" customFormat="1" x14ac:dyDescent="0.2">
      <c r="B330" s="602" t="s">
        <v>743</v>
      </c>
      <c r="C330" s="602" t="s">
        <v>742</v>
      </c>
      <c r="D330" s="239">
        <v>-3850020</v>
      </c>
      <c r="E330" s="239">
        <v>-467953</v>
      </c>
      <c r="F330" s="239">
        <v>-4317973</v>
      </c>
      <c r="G330" s="239">
        <v>97239</v>
      </c>
      <c r="H330" s="239">
        <v>0</v>
      </c>
      <c r="I330" s="239">
        <v>97239</v>
      </c>
      <c r="J330" s="239">
        <v>6631888</v>
      </c>
      <c r="K330" s="239">
        <v>34379</v>
      </c>
      <c r="L330" s="239">
        <v>6666267</v>
      </c>
      <c r="M330" s="239">
        <v>172406</v>
      </c>
      <c r="N330" s="239">
        <v>0</v>
      </c>
      <c r="O330" s="239">
        <v>172406</v>
      </c>
      <c r="P330" s="239">
        <v>3051513</v>
      </c>
      <c r="Q330" s="239">
        <v>-433574</v>
      </c>
      <c r="R330" s="239">
        <v>2617939</v>
      </c>
      <c r="S330" s="239">
        <v>-5145793</v>
      </c>
      <c r="T330" s="239">
        <v>-5082</v>
      </c>
      <c r="U330" s="239">
        <v>-5150875</v>
      </c>
      <c r="V330" s="239">
        <v>-29871</v>
      </c>
      <c r="W330" s="239">
        <v>0</v>
      </c>
      <c r="X330" s="239">
        <v>-29871</v>
      </c>
      <c r="Y330" s="239">
        <v>-153904</v>
      </c>
      <c r="Z330" s="239">
        <v>0</v>
      </c>
      <c r="AA330" s="239">
        <v>-153904</v>
      </c>
      <c r="AB330" s="239">
        <v>-136977</v>
      </c>
      <c r="AC330" s="239">
        <v>0</v>
      </c>
      <c r="AD330" s="239">
        <v>-136977</v>
      </c>
      <c r="AE330" s="239">
        <v>4044</v>
      </c>
      <c r="AF330" s="239">
        <v>0</v>
      </c>
      <c r="AG330" s="239">
        <v>4044</v>
      </c>
      <c r="AH330" s="239">
        <v>2530765</v>
      </c>
      <c r="AI330" s="239">
        <v>0</v>
      </c>
      <c r="AJ330" s="239">
        <v>2530765</v>
      </c>
      <c r="AK330" s="239">
        <v>-102661</v>
      </c>
      <c r="AL330" s="239">
        <v>0</v>
      </c>
      <c r="AM330" s="239">
        <v>-102661</v>
      </c>
      <c r="AN330" s="239">
        <v>-9757395</v>
      </c>
      <c r="AO330" s="239">
        <v>-430527</v>
      </c>
      <c r="AP330" s="239">
        <v>-10187922</v>
      </c>
      <c r="AQ330" s="239">
        <v>-219612</v>
      </c>
      <c r="AR330" s="239">
        <v>7128</v>
      </c>
      <c r="AS330" s="239">
        <v>-212484</v>
      </c>
      <c r="AT330" s="239">
        <v>-80012</v>
      </c>
      <c r="AU330" s="239">
        <v>0</v>
      </c>
      <c r="AV330" s="239">
        <v>-80012</v>
      </c>
      <c r="AW330" s="239">
        <v>7500</v>
      </c>
      <c r="AX330" s="239">
        <v>0</v>
      </c>
      <c r="AY330" s="239">
        <v>7500</v>
      </c>
      <c r="AZ330" s="239">
        <v>-4136</v>
      </c>
      <c r="BA330" s="239">
        <v>0</v>
      </c>
      <c r="BB330" s="239">
        <v>-4136</v>
      </c>
      <c r="BC330" s="239">
        <v>0</v>
      </c>
      <c r="BD330" s="239">
        <v>0</v>
      </c>
      <c r="BE330" s="239">
        <v>0</v>
      </c>
      <c r="BF330" s="239">
        <v>-12925248</v>
      </c>
      <c r="BG330" s="239">
        <v>-428481</v>
      </c>
      <c r="BH330" s="239">
        <v>-13353729</v>
      </c>
      <c r="BI330" s="239">
        <v>-39748</v>
      </c>
      <c r="BJ330" s="239">
        <v>0</v>
      </c>
      <c r="BK330" s="239">
        <v>-39748</v>
      </c>
      <c r="BL330" s="239">
        <v>12230</v>
      </c>
      <c r="BM330" s="239">
        <v>0</v>
      </c>
      <c r="BN330" s="239">
        <v>12230</v>
      </c>
      <c r="BO330" s="239">
        <v>-2760767</v>
      </c>
      <c r="BP330" s="239">
        <v>-2520</v>
      </c>
      <c r="BQ330" s="239">
        <v>-2763287</v>
      </c>
      <c r="BR330" s="239">
        <v>83888</v>
      </c>
      <c r="BS330" s="239">
        <v>0</v>
      </c>
      <c r="BT330" s="239">
        <v>83888</v>
      </c>
      <c r="BU330" s="239">
        <v>-2704397</v>
      </c>
      <c r="BV330" s="239">
        <v>-2520</v>
      </c>
      <c r="BW330" s="239">
        <v>-2706917</v>
      </c>
      <c r="BX330" s="239">
        <v>-50036</v>
      </c>
      <c r="BY330" s="239">
        <v>-4979</v>
      </c>
      <c r="BZ330" s="239">
        <v>-55015</v>
      </c>
      <c r="CA330" s="239">
        <v>-3491</v>
      </c>
      <c r="CB330" s="239">
        <v>602</v>
      </c>
      <c r="CC330" s="239">
        <v>-2889</v>
      </c>
      <c r="CD330" s="239">
        <v>-13870</v>
      </c>
      <c r="CE330" s="239">
        <v>0</v>
      </c>
      <c r="CF330" s="239">
        <v>-13870</v>
      </c>
      <c r="CG330" s="239">
        <v>0</v>
      </c>
      <c r="CH330" s="239">
        <v>0</v>
      </c>
      <c r="CI330" s="239">
        <v>0</v>
      </c>
      <c r="CJ330" s="239">
        <v>-7871</v>
      </c>
      <c r="CK330" s="239">
        <v>0</v>
      </c>
      <c r="CL330" s="239">
        <v>-7871</v>
      </c>
      <c r="CM330" s="239">
        <v>1260</v>
      </c>
      <c r="CN330" s="239">
        <v>0</v>
      </c>
      <c r="CO330" s="239">
        <v>1260</v>
      </c>
      <c r="CP330" s="239">
        <v>0</v>
      </c>
      <c r="CQ330" s="239">
        <v>0</v>
      </c>
      <c r="CR330" s="239">
        <v>0</v>
      </c>
      <c r="CS330" s="239">
        <v>0</v>
      </c>
      <c r="CT330" s="239">
        <v>0</v>
      </c>
      <c r="CU330" s="239">
        <v>0</v>
      </c>
      <c r="CV330" s="239">
        <v>-35000</v>
      </c>
      <c r="CW330" s="239">
        <v>0</v>
      </c>
      <c r="CX330" s="239">
        <v>-35000</v>
      </c>
      <c r="CY330" s="239">
        <v>0</v>
      </c>
      <c r="CZ330" s="239">
        <v>0</v>
      </c>
      <c r="DA330" s="239">
        <v>0</v>
      </c>
      <c r="DB330" s="239">
        <v>-758</v>
      </c>
      <c r="DC330" s="239">
        <v>0</v>
      </c>
      <c r="DD330" s="239">
        <v>-758</v>
      </c>
      <c r="DE330" s="239">
        <v>-5106</v>
      </c>
      <c r="DF330" s="239">
        <v>0</v>
      </c>
      <c r="DG330" s="239">
        <v>-5106</v>
      </c>
      <c r="DH330" s="239">
        <v>0</v>
      </c>
      <c r="DI330" s="239">
        <v>0</v>
      </c>
      <c r="DJ330" s="239">
        <v>-114872</v>
      </c>
      <c r="DK330" s="239">
        <v>-4377</v>
      </c>
      <c r="DL330" s="239">
        <v>-119249</v>
      </c>
      <c r="DM330" s="239">
        <v>-2695</v>
      </c>
      <c r="DN330" s="239">
        <v>0</v>
      </c>
      <c r="DO330" s="239">
        <v>-2695</v>
      </c>
      <c r="DP330" s="239">
        <v>2826</v>
      </c>
      <c r="DQ330" s="239">
        <v>0</v>
      </c>
      <c r="DR330" s="239">
        <v>2826</v>
      </c>
      <c r="DS330" s="239">
        <v>-6881</v>
      </c>
      <c r="DT330" s="239">
        <v>0</v>
      </c>
      <c r="DU330" s="239">
        <v>-6881</v>
      </c>
      <c r="DV330" s="239">
        <v>-17890</v>
      </c>
      <c r="DW330" s="239">
        <v>0</v>
      </c>
      <c r="DX330" s="239">
        <v>-17890</v>
      </c>
      <c r="DY330" s="239">
        <v>1310</v>
      </c>
      <c r="DZ330" s="239">
        <v>0</v>
      </c>
      <c r="EA330" s="239">
        <v>1310</v>
      </c>
      <c r="EB330" s="239">
        <v>-19142</v>
      </c>
      <c r="EC330" s="239">
        <v>0</v>
      </c>
      <c r="ED330" s="239">
        <v>-19142</v>
      </c>
      <c r="EE330" s="239">
        <v>4998</v>
      </c>
      <c r="EF330" s="239">
        <v>0</v>
      </c>
      <c r="EG330" s="239">
        <v>4998</v>
      </c>
      <c r="EH330" s="239">
        <v>0</v>
      </c>
      <c r="EI330" s="239">
        <v>0</v>
      </c>
      <c r="EJ330" s="239">
        <v>0</v>
      </c>
      <c r="EK330" s="239">
        <v>-4135</v>
      </c>
      <c r="EL330" s="239">
        <v>0</v>
      </c>
      <c r="EM330" s="239">
        <v>-4135</v>
      </c>
      <c r="EN330" s="239">
        <v>-1500</v>
      </c>
      <c r="EO330" s="239">
        <v>0</v>
      </c>
      <c r="EP330" s="239">
        <v>-1500</v>
      </c>
      <c r="EQ330" s="239">
        <v>-53414</v>
      </c>
      <c r="ER330" s="239">
        <v>-316</v>
      </c>
      <c r="ES330" s="239">
        <v>-53730</v>
      </c>
      <c r="ET330" s="239">
        <v>-776878</v>
      </c>
      <c r="EU330" s="239">
        <v>-7958</v>
      </c>
      <c r="EV330" s="239">
        <v>-784836</v>
      </c>
      <c r="EW330" s="239">
        <v>-110986</v>
      </c>
      <c r="EX330" s="239">
        <v>-1000</v>
      </c>
      <c r="EY330" s="239">
        <v>-111986</v>
      </c>
      <c r="EZ330" s="239">
        <v>-984387</v>
      </c>
      <c r="FA330" s="239">
        <v>-9274</v>
      </c>
      <c r="FB330" s="239">
        <v>-993661</v>
      </c>
      <c r="FC330" s="239">
        <v>0</v>
      </c>
      <c r="FD330" s="239">
        <v>0</v>
      </c>
      <c r="FE330" s="239">
        <v>0</v>
      </c>
      <c r="FF330" s="239">
        <v>0</v>
      </c>
      <c r="FG330" s="239">
        <v>0</v>
      </c>
      <c r="FH330" s="239">
        <v>0</v>
      </c>
      <c r="FI330" s="239">
        <v>0</v>
      </c>
      <c r="FJ330" s="239">
        <v>0</v>
      </c>
      <c r="FK330" s="239">
        <v>0</v>
      </c>
      <c r="FL330" s="239">
        <v>111848252</v>
      </c>
      <c r="FM330" s="239">
        <v>1714183</v>
      </c>
      <c r="FN330" s="239">
        <v>113562435</v>
      </c>
      <c r="FO330" s="239">
        <v>3051513</v>
      </c>
      <c r="FP330" s="239">
        <v>-433574</v>
      </c>
      <c r="FQ330" s="239">
        <v>2617939</v>
      </c>
      <c r="FR330" s="239">
        <v>-12925248</v>
      </c>
      <c r="FS330" s="239">
        <v>-428481</v>
      </c>
      <c r="FT330" s="239">
        <v>-13353729</v>
      </c>
      <c r="FU330" s="239">
        <v>-2704397</v>
      </c>
      <c r="FV330" s="239">
        <v>-2520</v>
      </c>
      <c r="FW330" s="239">
        <v>-2706917</v>
      </c>
      <c r="FX330" s="239">
        <v>-114872</v>
      </c>
      <c r="FY330" s="239">
        <v>-4377</v>
      </c>
      <c r="FZ330" s="239">
        <v>-119249</v>
      </c>
      <c r="GA330" s="239">
        <v>-984387</v>
      </c>
      <c r="GB330" s="239">
        <v>-9274</v>
      </c>
      <c r="GC330" s="239">
        <v>-993661</v>
      </c>
      <c r="GD330" s="239">
        <v>0</v>
      </c>
      <c r="GE330" s="239">
        <v>0</v>
      </c>
      <c r="GF330" s="239">
        <v>0</v>
      </c>
      <c r="GG330" s="239">
        <v>-13677391</v>
      </c>
      <c r="GH330" s="239">
        <v>-878226</v>
      </c>
      <c r="GI330" s="239">
        <v>-14555617</v>
      </c>
      <c r="GJ330" s="239">
        <v>98170861</v>
      </c>
      <c r="GK330" s="239">
        <v>835957</v>
      </c>
      <c r="GL330" s="239">
        <v>99006818</v>
      </c>
      <c r="GM330" s="214" t="s">
        <v>746</v>
      </c>
    </row>
    <row r="331" spans="2:195" s="214" customFormat="1" x14ac:dyDescent="0.2">
      <c r="B331" s="602" t="s">
        <v>1150</v>
      </c>
      <c r="C331" s="602" t="s">
        <v>1142</v>
      </c>
      <c r="D331" s="239">
        <v>-1246875381.3299999</v>
      </c>
      <c r="E331" s="239">
        <v>-4798284</v>
      </c>
      <c r="F331" s="239">
        <v>-1251673665.3299999</v>
      </c>
      <c r="G331" s="239">
        <v>52480264.440000005</v>
      </c>
      <c r="H331" s="239">
        <v>75650</v>
      </c>
      <c r="I331" s="239">
        <v>52555914.440000005</v>
      </c>
      <c r="J331" s="239">
        <v>1173120849.6500001</v>
      </c>
      <c r="K331" s="239">
        <v>10938858</v>
      </c>
      <c r="L331" s="239">
        <v>1184059707.6500001</v>
      </c>
      <c r="M331" s="239">
        <v>23818443.729999997</v>
      </c>
      <c r="N331" s="239">
        <v>146144</v>
      </c>
      <c r="O331" s="239">
        <v>23964587.729999997</v>
      </c>
      <c r="P331" s="239">
        <v>2544176</v>
      </c>
      <c r="Q331" s="239">
        <v>6362368</v>
      </c>
      <c r="R331" s="239">
        <v>8906544</v>
      </c>
      <c r="S331" s="239">
        <v>-1664485009.48</v>
      </c>
      <c r="T331" s="239">
        <v>-5417153</v>
      </c>
      <c r="U331" s="239">
        <v>-1669902162.48</v>
      </c>
      <c r="V331" s="239">
        <v>-4015532</v>
      </c>
      <c r="W331" s="239">
        <v>-17539</v>
      </c>
      <c r="X331" s="239">
        <v>-4033071</v>
      </c>
      <c r="Y331" s="239">
        <v>-65370779.890000001</v>
      </c>
      <c r="Z331" s="239">
        <v>-301324</v>
      </c>
      <c r="AA331" s="239">
        <v>-65672103.890000001</v>
      </c>
      <c r="AB331" s="239">
        <v>-51738184.160000004</v>
      </c>
      <c r="AC331" s="239">
        <v>-276771</v>
      </c>
      <c r="AD331" s="239">
        <v>-52014955.160000004</v>
      </c>
      <c r="AE331" s="239">
        <v>-90179</v>
      </c>
      <c r="AF331" s="239">
        <v>6172</v>
      </c>
      <c r="AG331" s="239">
        <v>-84007</v>
      </c>
      <c r="AH331" s="239">
        <v>616157965.04999995</v>
      </c>
      <c r="AI331" s="239">
        <v>4891255</v>
      </c>
      <c r="AJ331" s="239">
        <v>621049220.04999995</v>
      </c>
      <c r="AK331" s="239">
        <v>51715725.530000001</v>
      </c>
      <c r="AL331" s="239">
        <v>696699</v>
      </c>
      <c r="AM331" s="239">
        <v>52412424.530000001</v>
      </c>
      <c r="AN331" s="239">
        <v>-1814545695.6700001</v>
      </c>
      <c r="AO331" s="239">
        <v>-10105749</v>
      </c>
      <c r="AP331" s="239">
        <v>-1824651444.6700001</v>
      </c>
      <c r="AQ331" s="239">
        <v>-20557498.210000001</v>
      </c>
      <c r="AR331" s="239">
        <v>-929652</v>
      </c>
      <c r="AS331" s="239">
        <v>-21487150.210000001</v>
      </c>
      <c r="AT331" s="239">
        <v>-18946485.829999998</v>
      </c>
      <c r="AU331" s="239">
        <v>-17244</v>
      </c>
      <c r="AV331" s="239">
        <v>-18963729.829999998</v>
      </c>
      <c r="AW331" s="239">
        <v>322722.3</v>
      </c>
      <c r="AX331" s="239">
        <v>0</v>
      </c>
      <c r="AY331" s="239">
        <v>322722.3</v>
      </c>
      <c r="AZ331" s="239">
        <v>-4475517</v>
      </c>
      <c r="BA331" s="239">
        <v>0</v>
      </c>
      <c r="BB331" s="239">
        <v>-4475517</v>
      </c>
      <c r="BC331" s="239">
        <v>-27293.41</v>
      </c>
      <c r="BD331" s="239">
        <v>0</v>
      </c>
      <c r="BE331" s="239">
        <v>-27293.41</v>
      </c>
      <c r="BF331" s="239">
        <v>-2920211865</v>
      </c>
      <c r="BG331" s="239">
        <v>-11183168</v>
      </c>
      <c r="BH331" s="239">
        <v>-2931395033</v>
      </c>
      <c r="BI331" s="239">
        <v>-24212979.379999999</v>
      </c>
      <c r="BJ331" s="239">
        <v>-51703</v>
      </c>
      <c r="BK331" s="239">
        <v>-24264682.379999999</v>
      </c>
      <c r="BL331" s="239">
        <v>-5777975.8900000006</v>
      </c>
      <c r="BM331" s="239">
        <v>8738</v>
      </c>
      <c r="BN331" s="239">
        <v>-5769237.8900000006</v>
      </c>
      <c r="BO331" s="239">
        <v>-901746166.08999991</v>
      </c>
      <c r="BP331" s="239">
        <v>-14555511</v>
      </c>
      <c r="BQ331" s="239">
        <v>-916301677.08999991</v>
      </c>
      <c r="BR331" s="239">
        <v>32274771.309999999</v>
      </c>
      <c r="BS331" s="239">
        <v>1147696</v>
      </c>
      <c r="BT331" s="239">
        <v>33422467.310000002</v>
      </c>
      <c r="BU331" s="239">
        <v>-899462350</v>
      </c>
      <c r="BV331" s="239">
        <v>-13450780</v>
      </c>
      <c r="BW331" s="239">
        <v>-912913130</v>
      </c>
      <c r="BX331" s="239">
        <v>-44325913.869999997</v>
      </c>
      <c r="BY331" s="239">
        <v>-127227</v>
      </c>
      <c r="BZ331" s="239">
        <v>-44453140.869999997</v>
      </c>
      <c r="CA331" s="239">
        <v>-1339039.3</v>
      </c>
      <c r="CB331" s="239">
        <v>-10007</v>
      </c>
      <c r="CC331" s="239">
        <v>-1349046.3</v>
      </c>
      <c r="CD331" s="239">
        <v>-36141681.880000003</v>
      </c>
      <c r="CE331" s="239">
        <v>-374496</v>
      </c>
      <c r="CF331" s="239">
        <v>-36516177.880000003</v>
      </c>
      <c r="CG331" s="239">
        <v>1881044.6400000001</v>
      </c>
      <c r="CH331" s="239">
        <v>9170</v>
      </c>
      <c r="CI331" s="239">
        <v>1890214.6400000001</v>
      </c>
      <c r="CJ331" s="239">
        <v>-1317583.25</v>
      </c>
      <c r="CK331" s="239">
        <v>0</v>
      </c>
      <c r="CL331" s="239">
        <v>-1317583.25</v>
      </c>
      <c r="CM331" s="239">
        <v>-38034</v>
      </c>
      <c r="CN331" s="239">
        <v>0</v>
      </c>
      <c r="CO331" s="239">
        <v>-38034</v>
      </c>
      <c r="CP331" s="239">
        <v>-562365</v>
      </c>
      <c r="CQ331" s="239">
        <v>0</v>
      </c>
      <c r="CR331" s="239">
        <v>-562365</v>
      </c>
      <c r="CS331" s="239">
        <v>15677</v>
      </c>
      <c r="CT331" s="239">
        <v>0</v>
      </c>
      <c r="CU331" s="239">
        <v>15677</v>
      </c>
      <c r="CV331" s="239">
        <v>-891237</v>
      </c>
      <c r="CW331" s="239">
        <v>0</v>
      </c>
      <c r="CX331" s="239">
        <v>-891237</v>
      </c>
      <c r="CY331" s="239">
        <v>-17136</v>
      </c>
      <c r="CZ331" s="239">
        <v>0</v>
      </c>
      <c r="DA331" s="239">
        <v>-17136</v>
      </c>
      <c r="DB331" s="239">
        <v>-7157524</v>
      </c>
      <c r="DC331" s="239">
        <v>-10543527</v>
      </c>
      <c r="DD331" s="239">
        <v>-17701051</v>
      </c>
      <c r="DE331" s="239">
        <v>-1486219</v>
      </c>
      <c r="DF331" s="239">
        <v>-190220</v>
      </c>
      <c r="DG331" s="239">
        <v>-1676439</v>
      </c>
      <c r="DH331" s="239">
        <v>-10469841</v>
      </c>
      <c r="DI331" s="239">
        <v>-3284624</v>
      </c>
      <c r="DJ331" s="239">
        <v>-91380011</v>
      </c>
      <c r="DK331" s="239">
        <v>-11236307</v>
      </c>
      <c r="DL331" s="239">
        <v>-102616318</v>
      </c>
      <c r="DM331" s="239">
        <v>-4042198</v>
      </c>
      <c r="DN331" s="239">
        <v>-344899</v>
      </c>
      <c r="DO331" s="239">
        <v>-4387097</v>
      </c>
      <c r="DP331" s="239">
        <v>-462818.28</v>
      </c>
      <c r="DQ331" s="239">
        <v>-24370</v>
      </c>
      <c r="DR331" s="239">
        <v>-487188.28</v>
      </c>
      <c r="DS331" s="239">
        <v>-1141125</v>
      </c>
      <c r="DT331" s="239">
        <v>-4492</v>
      </c>
      <c r="DU331" s="239">
        <v>-1145617</v>
      </c>
      <c r="DV331" s="239">
        <v>-2154675</v>
      </c>
      <c r="DW331" s="239">
        <v>6448</v>
      </c>
      <c r="DX331" s="239">
        <v>-2148227</v>
      </c>
      <c r="DY331" s="239">
        <v>1389178.09</v>
      </c>
      <c r="DZ331" s="239">
        <v>7149</v>
      </c>
      <c r="EA331" s="239">
        <v>1396327.09</v>
      </c>
      <c r="EB331" s="239">
        <v>-163549</v>
      </c>
      <c r="EC331" s="239">
        <v>0</v>
      </c>
      <c r="ED331" s="239">
        <v>-163549</v>
      </c>
      <c r="EE331" s="239">
        <v>46296</v>
      </c>
      <c r="EF331" s="239">
        <v>0</v>
      </c>
      <c r="EG331" s="239">
        <v>46296</v>
      </c>
      <c r="EH331" s="239">
        <v>132632.82</v>
      </c>
      <c r="EI331" s="239">
        <v>-17384</v>
      </c>
      <c r="EJ331" s="239">
        <v>115248.82</v>
      </c>
      <c r="EK331" s="239">
        <v>-4165844.91</v>
      </c>
      <c r="EL331" s="239">
        <v>0</v>
      </c>
      <c r="EM331" s="239">
        <v>-4165844.91</v>
      </c>
      <c r="EN331" s="239">
        <v>-208217.84</v>
      </c>
      <c r="EO331" s="239">
        <v>-1500</v>
      </c>
      <c r="EP331" s="239">
        <v>-209717.84</v>
      </c>
      <c r="EQ331" s="239">
        <v>-16882713.539999999</v>
      </c>
      <c r="ER331" s="239">
        <v>-28940</v>
      </c>
      <c r="ES331" s="239">
        <v>-16911653.539999999</v>
      </c>
      <c r="ET331" s="239">
        <v>-153834563.74000001</v>
      </c>
      <c r="EU331" s="239">
        <v>-761494</v>
      </c>
      <c r="EV331" s="239">
        <v>-154596057.74000001</v>
      </c>
      <c r="EW331" s="239">
        <v>-18243390.449999999</v>
      </c>
      <c r="EX331" s="239">
        <v>-58315</v>
      </c>
      <c r="EY331" s="239">
        <v>-18301705.449999999</v>
      </c>
      <c r="EZ331" s="239">
        <v>-199730989</v>
      </c>
      <c r="FA331" s="239">
        <v>-1227797</v>
      </c>
      <c r="FB331" s="239">
        <v>-200958786</v>
      </c>
      <c r="FC331" s="239">
        <v>-1758903</v>
      </c>
      <c r="FD331" s="239">
        <v>0</v>
      </c>
      <c r="FE331" s="239">
        <v>-1758903</v>
      </c>
      <c r="FF331" s="239">
        <v>-369628</v>
      </c>
      <c r="FG331" s="239">
        <v>0</v>
      </c>
      <c r="FH331" s="239">
        <v>-369628</v>
      </c>
      <c r="FI331" s="239">
        <v>-2128531</v>
      </c>
      <c r="FJ331" s="239">
        <v>0</v>
      </c>
      <c r="FK331" s="239">
        <v>-2128531</v>
      </c>
      <c r="FL331" s="239">
        <v>28267651216</v>
      </c>
      <c r="FM331" s="239">
        <v>224366680</v>
      </c>
      <c r="FN331" s="239">
        <v>28492017896</v>
      </c>
      <c r="FO331" s="239">
        <v>2544176</v>
      </c>
      <c r="FP331" s="239">
        <v>6362368</v>
      </c>
      <c r="FQ331" s="239">
        <v>8906544</v>
      </c>
      <c r="FR331" s="239">
        <v>-2920211865</v>
      </c>
      <c r="FS331" s="239">
        <v>-11183168</v>
      </c>
      <c r="FT331" s="239">
        <v>-2931395033</v>
      </c>
      <c r="FU331" s="239">
        <v>-899462350</v>
      </c>
      <c r="FV331" s="239">
        <v>-13450780</v>
      </c>
      <c r="FW331" s="239">
        <v>-912913130</v>
      </c>
      <c r="FX331" s="239">
        <v>-91380011</v>
      </c>
      <c r="FY331" s="239">
        <v>-11236307</v>
      </c>
      <c r="FZ331" s="239">
        <v>-102616318</v>
      </c>
      <c r="GA331" s="239">
        <v>-199730989</v>
      </c>
      <c r="GB331" s="239">
        <v>-1227797</v>
      </c>
      <c r="GC331" s="239">
        <v>-200958786</v>
      </c>
      <c r="GD331" s="239">
        <v>-2128531</v>
      </c>
      <c r="GE331" s="239">
        <v>0</v>
      </c>
      <c r="GF331" s="239">
        <v>-2128531</v>
      </c>
      <c r="GG331" s="239">
        <v>-4110369570</v>
      </c>
      <c r="GH331" s="239">
        <v>-30735684</v>
      </c>
      <c r="GI331" s="239">
        <v>-4141105254</v>
      </c>
      <c r="GJ331" s="239">
        <v>24157281646</v>
      </c>
      <c r="GK331" s="239">
        <v>193630996</v>
      </c>
      <c r="GL331" s="239">
        <v>24350912642</v>
      </c>
    </row>
    <row r="332" spans="2:195" s="214" customFormat="1" x14ac:dyDescent="0.2">
      <c r="B332"/>
      <c r="C332"/>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c r="BE332" s="239"/>
      <c r="BF332" s="239"/>
      <c r="BG332" s="239"/>
      <c r="BH332" s="239"/>
      <c r="BI332" s="239"/>
      <c r="BJ332" s="239"/>
      <c r="BK332" s="239"/>
      <c r="BL332" s="239"/>
      <c r="BM332" s="239"/>
      <c r="BN332" s="239"/>
      <c r="BO332" s="239"/>
      <c r="BP332" s="239"/>
      <c r="BQ332" s="239"/>
      <c r="BR332" s="239"/>
      <c r="BS332" s="239"/>
      <c r="BT332" s="239"/>
      <c r="BU332" s="239"/>
      <c r="BV332" s="239"/>
      <c r="BW332" s="239"/>
      <c r="BX332" s="239"/>
      <c r="BY332" s="239"/>
      <c r="BZ332" s="239"/>
      <c r="CA332" s="239"/>
      <c r="CB332" s="239"/>
      <c r="CC332" s="239"/>
      <c r="CD332" s="239"/>
      <c r="CE332" s="239"/>
      <c r="CF332" s="239"/>
      <c r="CG332" s="239"/>
      <c r="CH332" s="239"/>
      <c r="CI332" s="239"/>
      <c r="CJ332" s="239"/>
      <c r="CK332" s="239"/>
      <c r="CL332" s="239"/>
      <c r="CM332" s="239"/>
      <c r="CN332" s="239"/>
      <c r="CO332" s="239"/>
      <c r="CP332" s="239"/>
      <c r="CQ332" s="239"/>
      <c r="CR332" s="239"/>
      <c r="CS332" s="239"/>
      <c r="CT332" s="239"/>
      <c r="CU332" s="239"/>
      <c r="CV332" s="239"/>
      <c r="CW332" s="239"/>
      <c r="CX332" s="239"/>
      <c r="CY332" s="239"/>
      <c r="CZ332" s="239"/>
      <c r="DA332" s="239"/>
      <c r="DB332" s="239"/>
      <c r="DC332" s="239"/>
      <c r="DD332" s="239"/>
      <c r="DE332" s="239"/>
      <c r="DF332" s="239"/>
      <c r="DG332" s="239"/>
      <c r="DH332" s="239"/>
      <c r="DI332" s="239"/>
      <c r="DJ332" s="239"/>
      <c r="DK332" s="239"/>
      <c r="DL332" s="239"/>
      <c r="DM332" s="239"/>
      <c r="DN332" s="239"/>
      <c r="DO332" s="239"/>
      <c r="DP332" s="239"/>
      <c r="DQ332" s="239"/>
      <c r="DR332" s="239"/>
      <c r="DS332" s="239"/>
      <c r="DT332" s="239"/>
      <c r="DU332" s="239"/>
      <c r="DV332" s="239"/>
      <c r="DW332" s="239"/>
      <c r="DX332" s="239"/>
      <c r="DY332" s="239"/>
      <c r="DZ332" s="239"/>
      <c r="EA332" s="239"/>
      <c r="EB332" s="239"/>
      <c r="EC332" s="239"/>
      <c r="ED332" s="239"/>
      <c r="EE332" s="239"/>
      <c r="EF332" s="239"/>
      <c r="EG332" s="239"/>
      <c r="EH332" s="239"/>
      <c r="EI332" s="239"/>
      <c r="EJ332" s="239"/>
      <c r="EK332" s="239"/>
      <c r="EL332" s="239"/>
      <c r="EM332" s="239"/>
      <c r="EN332" s="239"/>
      <c r="EO332" s="239"/>
      <c r="EP332" s="239"/>
      <c r="EQ332" s="239"/>
      <c r="ER332" s="239"/>
      <c r="ES332" s="239"/>
      <c r="ET332" s="239"/>
      <c r="EU332" s="239"/>
      <c r="EV332" s="239"/>
      <c r="EW332" s="239"/>
      <c r="EX332" s="239"/>
      <c r="EY332" s="239"/>
      <c r="EZ332" s="239"/>
      <c r="FA332" s="239"/>
      <c r="FB332" s="239"/>
      <c r="FC332" s="239"/>
      <c r="FD332" s="239"/>
      <c r="FE332" s="239"/>
      <c r="FF332" s="239"/>
      <c r="FG332" s="239"/>
      <c r="FH332" s="239"/>
      <c r="FI332" s="239"/>
      <c r="FJ332" s="239"/>
      <c r="FK332" s="239"/>
      <c r="FL332" s="239"/>
      <c r="FM332" s="239"/>
      <c r="FN332" s="239"/>
      <c r="FO332" s="239"/>
      <c r="FP332" s="239"/>
      <c r="FQ332" s="239"/>
      <c r="FR332" s="239"/>
      <c r="FS332" s="239"/>
      <c r="FT332" s="239"/>
      <c r="FU332" s="239"/>
      <c r="FV332" s="239"/>
      <c r="FW332" s="239"/>
      <c r="FX332" s="239"/>
      <c r="FY332" s="239"/>
      <c r="FZ332" s="239"/>
      <c r="GA332" s="239"/>
      <c r="GB332" s="239"/>
      <c r="GC332" s="239"/>
      <c r="GD332" s="239"/>
      <c r="GE332" s="239"/>
      <c r="GF332" s="239"/>
      <c r="GG332" s="239"/>
      <c r="GH332" s="239"/>
      <c r="GI332" s="239"/>
      <c r="GJ332" s="239"/>
      <c r="GK332" s="239"/>
      <c r="GL332" s="239"/>
    </row>
  </sheetData>
  <mergeCells count="63">
    <mergeCell ref="AT1:AV1"/>
    <mergeCell ref="AN1:AP1"/>
    <mergeCell ref="AQ1:AS1"/>
    <mergeCell ref="AK1:AM1"/>
    <mergeCell ref="D1:F1"/>
    <mergeCell ref="G1:I1"/>
    <mergeCell ref="J1:L1"/>
    <mergeCell ref="M1:O1"/>
    <mergeCell ref="P1:R1"/>
    <mergeCell ref="S1:U1"/>
    <mergeCell ref="V1:X1"/>
    <mergeCell ref="Y1:AA1"/>
    <mergeCell ref="AB1:AD1"/>
    <mergeCell ref="AE1:AG1"/>
    <mergeCell ref="AH1:AJ1"/>
    <mergeCell ref="AW1:AY1"/>
    <mergeCell ref="AZ1:BB1"/>
    <mergeCell ref="BC1:BE1"/>
    <mergeCell ref="BF1:BH1"/>
    <mergeCell ref="BI1:BK1"/>
    <mergeCell ref="BL1:BN1"/>
    <mergeCell ref="BO1:BQ1"/>
    <mergeCell ref="BR1:BT1"/>
    <mergeCell ref="DE1:DG1"/>
    <mergeCell ref="BX1:BZ1"/>
    <mergeCell ref="CA1:CC1"/>
    <mergeCell ref="CD1:CF1"/>
    <mergeCell ref="CG1:CI1"/>
    <mergeCell ref="CJ1:CL1"/>
    <mergeCell ref="CM1:CO1"/>
    <mergeCell ref="CP1:CR1"/>
    <mergeCell ref="CS1:CU1"/>
    <mergeCell ref="CV1:CX1"/>
    <mergeCell ref="CY1:DA1"/>
    <mergeCell ref="DB1:DD1"/>
    <mergeCell ref="BU1:BW1"/>
    <mergeCell ref="EZ1:FB1"/>
    <mergeCell ref="DJ1:DL1"/>
    <mergeCell ref="DM1:DO1"/>
    <mergeCell ref="DP1:DR1"/>
    <mergeCell ref="DS1:DU1"/>
    <mergeCell ref="DV1:DX1"/>
    <mergeCell ref="DY1:EA1"/>
    <mergeCell ref="EB1:ED1"/>
    <mergeCell ref="EE1:EG1"/>
    <mergeCell ref="EH1:EJ1"/>
    <mergeCell ref="EK1:EM1"/>
    <mergeCell ref="EN1:EP1"/>
    <mergeCell ref="EQ1:ES1"/>
    <mergeCell ref="ET1:EV1"/>
    <mergeCell ref="EW1:EY1"/>
    <mergeCell ref="FC1:FE1"/>
    <mergeCell ref="FF1:FH1"/>
    <mergeCell ref="FI1:FK1"/>
    <mergeCell ref="FL1:FN1"/>
    <mergeCell ref="FO1:FQ1"/>
    <mergeCell ref="GJ1:GL1"/>
    <mergeCell ref="FR1:FT1"/>
    <mergeCell ref="FU1:FW1"/>
    <mergeCell ref="FX1:FZ1"/>
    <mergeCell ref="GA1:GC1"/>
    <mergeCell ref="GD1:GF1"/>
    <mergeCell ref="GG1:GI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32"/>
  <sheetViews>
    <sheetView workbookViewId="0">
      <pane xSplit="3" ySplit="4" topLeftCell="D5" activePane="bottomRight" state="frozen"/>
      <selection pane="topRight" activeCell="D1" sqref="D1"/>
      <selection pane="bottomLeft" activeCell="A6" sqref="A6"/>
      <selection pane="bottomRight"/>
    </sheetView>
  </sheetViews>
  <sheetFormatPr defaultRowHeight="12.75" x14ac:dyDescent="0.2"/>
  <cols>
    <col min="1" max="1" width="4.28515625" style="214"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24" width="10.140625" customWidth="1"/>
    <col min="25" max="26" width="12.140625" bestFit="1" customWidth="1"/>
    <col min="27" max="28" width="10.28515625" bestFit="1" customWidth="1"/>
    <col min="29" max="30" width="12.140625" bestFit="1" customWidth="1"/>
    <col min="31" max="32" width="10.28515625" bestFit="1" customWidth="1"/>
    <col min="33" max="34" width="11.140625" bestFit="1" customWidth="1"/>
    <col min="35" max="36" width="10.28515625" bestFit="1" customWidth="1"/>
    <col min="37" max="54" width="9.28515625" customWidth="1"/>
    <col min="55" max="56" width="12.140625" hidden="1" customWidth="1"/>
    <col min="57" max="57" width="9.85546875" hidden="1" customWidth="1"/>
    <col min="58" max="58" width="11" customWidth="1"/>
    <col min="59" max="59" width="12" customWidth="1"/>
    <col min="60" max="63" width="9.85546875" customWidth="1"/>
    <col min="64" max="64" width="12.140625" bestFit="1" customWidth="1"/>
    <col min="65" max="65" width="11.140625" bestFit="1" customWidth="1"/>
    <col min="66" max="66" width="9.85546875" bestFit="1" customWidth="1"/>
    <col min="67" max="67" width="11.5703125" customWidth="1"/>
    <col min="68" max="68" width="11.140625" bestFit="1" customWidth="1"/>
    <col min="69" max="81" width="9.85546875" bestFit="1" customWidth="1"/>
    <col min="82" max="82" width="10.140625" bestFit="1" customWidth="1"/>
    <col min="83" max="84" width="9.85546875" bestFit="1" customWidth="1"/>
    <col min="85" max="85" width="10.7109375" bestFit="1" customWidth="1"/>
    <col min="86" max="96" width="9.85546875" bestFit="1" customWidth="1"/>
    <col min="97" max="97" width="11.7109375" bestFit="1" customWidth="1"/>
    <col min="98" max="98" width="10.7109375" bestFit="1" customWidth="1"/>
    <col min="99" max="105" width="9.85546875" bestFit="1" customWidth="1"/>
    <col min="106" max="106" width="10.28515625" bestFit="1" customWidth="1"/>
    <col min="107" max="111" width="9.85546875" bestFit="1" customWidth="1"/>
    <col min="112" max="129" width="9.28515625" customWidth="1"/>
    <col min="130" max="130" width="8.5703125" customWidth="1"/>
    <col min="131" max="138" width="9.28515625" customWidth="1"/>
    <col min="139" max="139" width="9" customWidth="1"/>
    <col min="140" max="140" width="8.42578125" customWidth="1"/>
    <col min="141" max="156" width="9.28515625" customWidth="1"/>
    <col min="157" max="157" width="12.140625" bestFit="1" customWidth="1"/>
    <col min="158" max="158" width="11.140625" bestFit="1" customWidth="1"/>
    <col min="159" max="159" width="9.85546875" bestFit="1" customWidth="1"/>
    <col min="160" max="160" width="12.140625" bestFit="1" customWidth="1"/>
    <col min="161" max="161" width="11.140625" bestFit="1" customWidth="1"/>
    <col min="162" max="162" width="9.85546875" bestFit="1" customWidth="1"/>
    <col min="163" max="163" width="10.28515625" bestFit="1" customWidth="1"/>
    <col min="164" max="165" width="9.85546875" bestFit="1" customWidth="1"/>
    <col min="166" max="174" width="9.28515625" customWidth="1"/>
    <col min="175" max="175" width="14.42578125" customWidth="1"/>
    <col min="176" max="176" width="13.7109375" customWidth="1"/>
    <col min="177" max="177" width="15.85546875" customWidth="1"/>
    <col min="178" max="179" width="12.85546875" customWidth="1"/>
    <col min="180" max="180" width="10.28515625" customWidth="1"/>
  </cols>
  <sheetData>
    <row r="1" spans="2:185" s="601" customFormat="1" ht="102" customHeight="1" x14ac:dyDescent="0.2">
      <c r="B1" s="626"/>
      <c r="C1" s="603"/>
      <c r="D1" s="1058" t="s">
        <v>1592</v>
      </c>
      <c r="E1" s="1058"/>
      <c r="F1" s="1058"/>
      <c r="G1" s="1058" t="s">
        <v>1593</v>
      </c>
      <c r="H1" s="1058"/>
      <c r="I1" s="1058"/>
      <c r="J1" s="1058" t="s">
        <v>1115</v>
      </c>
      <c r="K1" s="1058"/>
      <c r="L1" s="1058"/>
      <c r="M1" s="604" t="s">
        <v>1594</v>
      </c>
      <c r="N1" s="604" t="s">
        <v>1116</v>
      </c>
      <c r="O1" s="604" t="s">
        <v>1117</v>
      </c>
      <c r="P1" s="604" t="s">
        <v>1595</v>
      </c>
      <c r="Q1" s="604" t="s">
        <v>1118</v>
      </c>
      <c r="R1" s="604" t="s">
        <v>1119</v>
      </c>
      <c r="S1" s="1058" t="s">
        <v>1596</v>
      </c>
      <c r="T1" s="1058"/>
      <c r="U1" s="1058" t="s">
        <v>1120</v>
      </c>
      <c r="V1" s="1058"/>
      <c r="W1" s="1058" t="s">
        <v>1121</v>
      </c>
      <c r="X1" s="1058"/>
      <c r="Y1" s="1058" t="s">
        <v>1589</v>
      </c>
      <c r="Z1" s="1058"/>
      <c r="AA1" s="1058"/>
      <c r="AB1" s="1058"/>
      <c r="AC1" s="1058" t="s">
        <v>1590</v>
      </c>
      <c r="AD1" s="1058"/>
      <c r="AE1" s="1058"/>
      <c r="AF1" s="1058"/>
      <c r="AG1" s="1058" t="s">
        <v>1591</v>
      </c>
      <c r="AH1" s="1058"/>
      <c r="AI1" s="1058"/>
      <c r="AJ1" s="1058"/>
      <c r="AK1" s="1059" t="s">
        <v>1598</v>
      </c>
      <c r="AL1" s="1056"/>
      <c r="AM1" s="1056"/>
      <c r="AN1" s="1057"/>
      <c r="AO1" s="1059" t="s">
        <v>1599</v>
      </c>
      <c r="AP1" s="1056"/>
      <c r="AQ1" s="1056"/>
      <c r="AR1" s="1057"/>
      <c r="AS1" s="1059" t="s">
        <v>1600</v>
      </c>
      <c r="AT1" s="1056"/>
      <c r="AU1" s="1056"/>
      <c r="AV1" s="1057"/>
      <c r="AW1" s="1059" t="s">
        <v>1601</v>
      </c>
      <c r="AX1" s="1056"/>
      <c r="AY1" s="1059" t="s">
        <v>1602</v>
      </c>
      <c r="AZ1" s="1056"/>
      <c r="BA1" s="1059" t="s">
        <v>1603</v>
      </c>
      <c r="BB1" s="1056"/>
      <c r="BC1" s="1058" t="s">
        <v>1656</v>
      </c>
      <c r="BD1" s="1058"/>
      <c r="BE1" s="1058"/>
      <c r="BF1" s="1058" t="s">
        <v>1652</v>
      </c>
      <c r="BG1" s="1058"/>
      <c r="BH1" s="1058"/>
      <c r="BI1" s="1058" t="s">
        <v>1654</v>
      </c>
      <c r="BJ1" s="1058"/>
      <c r="BK1" s="1058"/>
      <c r="BL1" s="1058" t="s">
        <v>1610</v>
      </c>
      <c r="BM1" s="1058"/>
      <c r="BN1" s="1058"/>
      <c r="BO1" s="1058" t="s">
        <v>1122</v>
      </c>
      <c r="BP1" s="1058"/>
      <c r="BQ1" s="1058"/>
      <c r="BR1" s="1058" t="s">
        <v>1608</v>
      </c>
      <c r="BS1" s="1058"/>
      <c r="BT1" s="1058"/>
      <c r="BU1" s="1058" t="s">
        <v>1123</v>
      </c>
      <c r="BV1" s="1058"/>
      <c r="BW1" s="1058"/>
      <c r="BX1" s="1058" t="s">
        <v>1124</v>
      </c>
      <c r="BY1" s="1058"/>
      <c r="BZ1" s="1058"/>
      <c r="CA1" s="1058" t="s">
        <v>1607</v>
      </c>
      <c r="CB1" s="1058"/>
      <c r="CC1" s="1058"/>
      <c r="CD1" s="1058" t="s">
        <v>1611</v>
      </c>
      <c r="CE1" s="1058"/>
      <c r="CF1" s="1058"/>
      <c r="CG1" s="1060" t="s">
        <v>1125</v>
      </c>
      <c r="CH1" s="1060"/>
      <c r="CI1" s="1060"/>
      <c r="CJ1" s="1058" t="s">
        <v>1606</v>
      </c>
      <c r="CK1" s="1058"/>
      <c r="CL1" s="1058"/>
      <c r="CM1" s="1058" t="s">
        <v>1612</v>
      </c>
      <c r="CN1" s="1058"/>
      <c r="CO1" s="1058"/>
      <c r="CP1" s="1058" t="s">
        <v>1126</v>
      </c>
      <c r="CQ1" s="1058"/>
      <c r="CR1" s="1058"/>
      <c r="CS1" s="1058" t="s">
        <v>1597</v>
      </c>
      <c r="CT1" s="1058"/>
      <c r="CU1" s="1058"/>
      <c r="CV1" s="1058" t="s">
        <v>1605</v>
      </c>
      <c r="CW1" s="1058"/>
      <c r="CX1" s="1058"/>
      <c r="CY1" s="1058" t="s">
        <v>1127</v>
      </c>
      <c r="CZ1" s="1058"/>
      <c r="DA1" s="1058"/>
      <c r="DB1" s="1058" t="s">
        <v>1128</v>
      </c>
      <c r="DC1" s="1058"/>
      <c r="DD1" s="1058"/>
      <c r="DE1" s="1058" t="s">
        <v>1604</v>
      </c>
      <c r="DF1" s="1058"/>
      <c r="DG1" s="1058"/>
      <c r="DH1" s="1059" t="s">
        <v>1609</v>
      </c>
      <c r="DI1" s="1056"/>
      <c r="DJ1" s="1057"/>
      <c r="DK1" s="1059" t="s">
        <v>1613</v>
      </c>
      <c r="DL1" s="1056"/>
      <c r="DM1" s="1057"/>
      <c r="DN1" s="1059" t="s">
        <v>1614</v>
      </c>
      <c r="DO1" s="1056"/>
      <c r="DP1" s="1057"/>
      <c r="DQ1" s="1059" t="s">
        <v>1615</v>
      </c>
      <c r="DR1" s="1056"/>
      <c r="DS1" s="1057"/>
      <c r="DT1" s="1059" t="s">
        <v>1617</v>
      </c>
      <c r="DU1" s="1056"/>
      <c r="DV1" s="1057"/>
      <c r="DW1" s="1059" t="s">
        <v>1618</v>
      </c>
      <c r="DX1" s="1056"/>
      <c r="DY1" s="1057"/>
      <c r="DZ1" s="1059" t="s">
        <v>1616</v>
      </c>
      <c r="EA1" s="1056"/>
      <c r="EB1" s="1057"/>
      <c r="EC1" s="1059" t="s">
        <v>1623</v>
      </c>
      <c r="ED1" s="1056"/>
      <c r="EE1" s="1057"/>
      <c r="EF1" s="1059" t="s">
        <v>1619</v>
      </c>
      <c r="EG1" s="1056"/>
      <c r="EH1" s="1057"/>
      <c r="EI1" s="1059" t="s">
        <v>1620</v>
      </c>
      <c r="EJ1" s="1056"/>
      <c r="EK1" s="1057"/>
      <c r="EL1" s="1059" t="s">
        <v>1622</v>
      </c>
      <c r="EM1" s="1056"/>
      <c r="EN1" s="1057"/>
      <c r="EO1" s="1059" t="s">
        <v>1621</v>
      </c>
      <c r="EP1" s="1056"/>
      <c r="EQ1" s="1057"/>
      <c r="ER1" s="1059" t="s">
        <v>1626</v>
      </c>
      <c r="ES1" s="1056"/>
      <c r="ET1" s="1057"/>
      <c r="EU1" s="1059" t="s">
        <v>1624</v>
      </c>
      <c r="EV1" s="1056"/>
      <c r="EW1" s="1057"/>
      <c r="EX1" s="1059" t="s">
        <v>1625</v>
      </c>
      <c r="EY1" s="1056"/>
      <c r="EZ1" s="1057"/>
      <c r="FA1" s="1058" t="s">
        <v>1627</v>
      </c>
      <c r="FB1" s="1058"/>
      <c r="FC1" s="1058"/>
      <c r="FD1" s="1058" t="s">
        <v>1183</v>
      </c>
      <c r="FE1" s="1058"/>
      <c r="FF1" s="1058"/>
      <c r="FG1" s="1058" t="s">
        <v>1184</v>
      </c>
      <c r="FH1" s="1058"/>
      <c r="FI1" s="1058"/>
      <c r="FJ1" s="1059" t="s">
        <v>1628</v>
      </c>
      <c r="FK1" s="1056"/>
      <c r="FL1" s="1057"/>
      <c r="FM1" s="1059" t="s">
        <v>1629</v>
      </c>
      <c r="FN1" s="1056"/>
      <c r="FO1" s="1057"/>
      <c r="FP1" s="1059" t="s">
        <v>1630</v>
      </c>
      <c r="FQ1" s="1056"/>
      <c r="FR1" s="1057"/>
      <c r="FS1" s="749" t="s">
        <v>1632</v>
      </c>
      <c r="FT1" s="749" t="s">
        <v>1633</v>
      </c>
      <c r="FU1" s="749" t="s">
        <v>1634</v>
      </c>
      <c r="FV1" s="1059" t="s">
        <v>1631</v>
      </c>
      <c r="FW1" s="1056"/>
      <c r="FX1" s="1057"/>
      <c r="FY1" s="1058" t="s">
        <v>941</v>
      </c>
      <c r="FZ1" s="1058"/>
      <c r="GA1" s="1058"/>
      <c r="GB1" s="1058"/>
    </row>
    <row r="2" spans="2:185" s="214" customFormat="1" x14ac:dyDescent="0.2">
      <c r="C2" s="214" t="s">
        <v>1049</v>
      </c>
      <c r="D2" s="214">
        <v>1</v>
      </c>
      <c r="G2" s="214">
        <v>2</v>
      </c>
      <c r="J2" s="214">
        <v>3</v>
      </c>
      <c r="M2" s="214">
        <v>4</v>
      </c>
      <c r="N2" s="214">
        <v>5</v>
      </c>
      <c r="O2" s="214">
        <v>6</v>
      </c>
      <c r="P2" s="214">
        <v>7</v>
      </c>
      <c r="Q2" s="214">
        <v>8</v>
      </c>
      <c r="R2" s="214">
        <v>9</v>
      </c>
      <c r="S2" s="214">
        <v>10</v>
      </c>
      <c r="U2" s="214">
        <v>11</v>
      </c>
      <c r="W2" s="214">
        <v>12</v>
      </c>
      <c r="Y2" s="214">
        <v>13</v>
      </c>
      <c r="AC2" s="214">
        <v>14</v>
      </c>
      <c r="AG2" s="214">
        <v>15</v>
      </c>
      <c r="AK2" s="214">
        <v>16</v>
      </c>
      <c r="AO2" s="214">
        <v>17</v>
      </c>
      <c r="AS2" s="215">
        <v>18</v>
      </c>
      <c r="AW2" s="214">
        <v>19</v>
      </c>
      <c r="AY2" s="214">
        <v>20</v>
      </c>
      <c r="BA2" s="214">
        <v>21</v>
      </c>
      <c r="BC2" s="214">
        <v>22</v>
      </c>
      <c r="BF2" s="215" t="s">
        <v>1653</v>
      </c>
      <c r="BI2" s="215" t="s">
        <v>1655</v>
      </c>
      <c r="BL2" s="214">
        <v>23</v>
      </c>
      <c r="BO2" s="214">
        <v>24</v>
      </c>
      <c r="BR2" s="214">
        <v>25</v>
      </c>
      <c r="BU2" s="214">
        <v>26</v>
      </c>
      <c r="BX2" s="214">
        <v>27</v>
      </c>
      <c r="CA2" s="214">
        <v>28</v>
      </c>
      <c r="CD2" s="214">
        <v>29</v>
      </c>
      <c r="CG2" s="214">
        <v>30</v>
      </c>
      <c r="CJ2" s="214">
        <v>31</v>
      </c>
      <c r="CM2" s="214">
        <v>32</v>
      </c>
      <c r="CP2" s="214">
        <v>33</v>
      </c>
      <c r="CS2" s="214">
        <v>34</v>
      </c>
      <c r="CV2" s="214">
        <v>35</v>
      </c>
      <c r="CY2" s="214">
        <v>36</v>
      </c>
      <c r="DB2" s="214">
        <v>37</v>
      </c>
      <c r="DE2" s="214">
        <v>38</v>
      </c>
      <c r="DH2" s="214">
        <v>39</v>
      </c>
      <c r="DK2" s="214">
        <v>40</v>
      </c>
      <c r="DN2" s="214">
        <v>41</v>
      </c>
      <c r="DQ2" s="214">
        <v>42</v>
      </c>
      <c r="DT2" s="214">
        <v>43</v>
      </c>
      <c r="DW2" s="214">
        <v>44</v>
      </c>
      <c r="DZ2" s="214">
        <v>45</v>
      </c>
      <c r="EC2" s="214">
        <v>46</v>
      </c>
      <c r="EF2" s="214">
        <v>47</v>
      </c>
      <c r="EI2" s="214">
        <v>48</v>
      </c>
      <c r="EL2" s="214">
        <v>49</v>
      </c>
      <c r="EO2" s="214">
        <v>50</v>
      </c>
      <c r="ER2" s="214">
        <v>51</v>
      </c>
      <c r="EU2" s="214">
        <v>52</v>
      </c>
      <c r="EX2" s="214">
        <v>53</v>
      </c>
      <c r="FA2" s="214">
        <v>54</v>
      </c>
      <c r="FD2" s="214">
        <v>55</v>
      </c>
      <c r="FG2" s="214">
        <v>56</v>
      </c>
      <c r="FJ2" s="214">
        <v>57</v>
      </c>
      <c r="FM2" s="214">
        <v>58</v>
      </c>
      <c r="FP2" s="214">
        <v>59</v>
      </c>
      <c r="FS2" s="214">
        <v>60</v>
      </c>
      <c r="FT2" s="214">
        <v>61</v>
      </c>
      <c r="FU2" s="214">
        <v>62</v>
      </c>
      <c r="FV2" s="214">
        <v>63</v>
      </c>
      <c r="FY2" s="214">
        <v>64</v>
      </c>
    </row>
    <row r="3" spans="2:185" s="214" customFormat="1" x14ac:dyDescent="0.2">
      <c r="C3" s="214" t="s">
        <v>1062</v>
      </c>
      <c r="D3" s="214">
        <v>1</v>
      </c>
      <c r="E3" s="214">
        <v>2</v>
      </c>
      <c r="F3" s="214">
        <v>3</v>
      </c>
      <c r="G3" s="214">
        <v>1</v>
      </c>
      <c r="H3" s="214">
        <v>2</v>
      </c>
      <c r="I3" s="214">
        <v>3</v>
      </c>
      <c r="J3" s="214">
        <v>1</v>
      </c>
      <c r="K3" s="214">
        <v>2</v>
      </c>
      <c r="L3" s="214">
        <v>3</v>
      </c>
      <c r="M3" s="214">
        <v>5</v>
      </c>
      <c r="N3" s="214">
        <v>5</v>
      </c>
      <c r="O3" s="214">
        <v>5</v>
      </c>
      <c r="P3" s="214">
        <v>5</v>
      </c>
      <c r="Q3" s="214">
        <v>5</v>
      </c>
      <c r="R3" s="214">
        <v>5</v>
      </c>
      <c r="S3" s="214">
        <v>5</v>
      </c>
      <c r="T3" s="214">
        <v>6</v>
      </c>
      <c r="U3" s="214">
        <v>5</v>
      </c>
      <c r="V3" s="214">
        <v>6</v>
      </c>
      <c r="W3" s="214">
        <v>5</v>
      </c>
      <c r="X3" s="214">
        <v>6</v>
      </c>
      <c r="Y3" s="214">
        <v>4</v>
      </c>
      <c r="Z3" s="214">
        <v>5</v>
      </c>
      <c r="AA3" s="214">
        <v>6</v>
      </c>
      <c r="AB3" s="214">
        <v>7</v>
      </c>
      <c r="AC3" s="214">
        <v>4</v>
      </c>
      <c r="AD3" s="214">
        <v>5</v>
      </c>
      <c r="AE3" s="214">
        <v>6</v>
      </c>
      <c r="AF3" s="214">
        <v>7</v>
      </c>
      <c r="AG3" s="214">
        <v>4</v>
      </c>
      <c r="AH3" s="214">
        <v>5</v>
      </c>
      <c r="AI3" s="214">
        <v>6</v>
      </c>
      <c r="AJ3" s="214">
        <v>7</v>
      </c>
      <c r="AK3" s="214">
        <v>4</v>
      </c>
      <c r="AL3" s="214">
        <v>5</v>
      </c>
      <c r="AM3" s="214">
        <v>6</v>
      </c>
      <c r="AN3" s="214">
        <v>7</v>
      </c>
      <c r="AO3" s="214">
        <v>4</v>
      </c>
      <c r="AP3" s="214">
        <v>5</v>
      </c>
      <c r="AQ3" s="214">
        <v>6</v>
      </c>
      <c r="AR3" s="214">
        <v>7</v>
      </c>
      <c r="AS3" s="214">
        <v>4</v>
      </c>
      <c r="AT3" s="214">
        <v>5</v>
      </c>
      <c r="AU3" s="214">
        <v>6</v>
      </c>
      <c r="AV3" s="214">
        <v>7</v>
      </c>
      <c r="AW3" s="214">
        <v>4</v>
      </c>
      <c r="AX3" s="214">
        <v>5</v>
      </c>
      <c r="AY3" s="214">
        <v>4</v>
      </c>
      <c r="AZ3" s="214">
        <v>5</v>
      </c>
      <c r="BA3" s="214">
        <v>4</v>
      </c>
      <c r="BB3" s="214">
        <v>5</v>
      </c>
      <c r="BC3" s="214">
        <v>5</v>
      </c>
      <c r="BD3" s="214">
        <v>6</v>
      </c>
      <c r="BE3" s="214">
        <v>7</v>
      </c>
      <c r="BF3" s="214">
        <v>5</v>
      </c>
      <c r="BG3" s="214">
        <v>6</v>
      </c>
      <c r="BH3" s="214">
        <v>7</v>
      </c>
      <c r="BI3" s="214">
        <v>5</v>
      </c>
      <c r="BJ3" s="214">
        <v>6</v>
      </c>
      <c r="BK3" s="214">
        <v>7</v>
      </c>
      <c r="BL3" s="214">
        <v>5</v>
      </c>
      <c r="BM3" s="214">
        <v>6</v>
      </c>
      <c r="BN3" s="214">
        <v>7</v>
      </c>
      <c r="BO3" s="214">
        <v>5</v>
      </c>
      <c r="BP3" s="214">
        <v>6</v>
      </c>
      <c r="BQ3" s="214">
        <v>7</v>
      </c>
      <c r="BR3" s="214">
        <v>5</v>
      </c>
      <c r="BS3" s="214">
        <v>6</v>
      </c>
      <c r="BT3" s="214">
        <v>7</v>
      </c>
      <c r="BU3" s="214">
        <v>5</v>
      </c>
      <c r="BV3" s="214">
        <v>6</v>
      </c>
      <c r="BW3" s="214">
        <v>7</v>
      </c>
      <c r="BX3" s="214">
        <v>5</v>
      </c>
      <c r="BY3" s="214">
        <v>6</v>
      </c>
      <c r="BZ3" s="214">
        <v>7</v>
      </c>
      <c r="CA3" s="214">
        <v>5</v>
      </c>
      <c r="CB3" s="214">
        <v>6</v>
      </c>
      <c r="CC3" s="214">
        <v>7</v>
      </c>
      <c r="CD3" s="214">
        <v>5</v>
      </c>
      <c r="CE3" s="214">
        <v>6</v>
      </c>
      <c r="CF3" s="214">
        <v>7</v>
      </c>
      <c r="CG3" s="214">
        <v>5</v>
      </c>
      <c r="CH3" s="214">
        <v>6</v>
      </c>
      <c r="CI3" s="214">
        <v>7</v>
      </c>
      <c r="CJ3" s="214">
        <v>5</v>
      </c>
      <c r="CK3" s="214">
        <v>6</v>
      </c>
      <c r="CL3" s="214">
        <v>7</v>
      </c>
      <c r="CM3" s="214">
        <v>5</v>
      </c>
      <c r="CN3" s="214">
        <v>6</v>
      </c>
      <c r="CO3" s="214">
        <v>7</v>
      </c>
      <c r="CP3" s="214">
        <v>5</v>
      </c>
      <c r="CQ3" s="214">
        <v>6</v>
      </c>
      <c r="CR3" s="214">
        <v>7</v>
      </c>
      <c r="CS3" s="214">
        <v>5</v>
      </c>
      <c r="CT3" s="214">
        <v>6</v>
      </c>
      <c r="CU3" s="214">
        <v>7</v>
      </c>
      <c r="CV3" s="214">
        <v>5</v>
      </c>
      <c r="CW3" s="214">
        <v>6</v>
      </c>
      <c r="CX3" s="214">
        <v>7</v>
      </c>
      <c r="CY3" s="214">
        <v>5</v>
      </c>
      <c r="CZ3" s="214">
        <v>6</v>
      </c>
      <c r="DA3" s="214">
        <v>7</v>
      </c>
      <c r="DB3" s="214">
        <v>5</v>
      </c>
      <c r="DC3" s="214">
        <v>6</v>
      </c>
      <c r="DD3" s="214">
        <v>7</v>
      </c>
      <c r="DE3" s="214">
        <v>5</v>
      </c>
      <c r="DF3" s="214">
        <v>6</v>
      </c>
      <c r="DG3" s="214">
        <v>7</v>
      </c>
      <c r="FA3" s="214">
        <v>5</v>
      </c>
      <c r="FB3" s="214">
        <v>6</v>
      </c>
      <c r="FC3" s="214">
        <v>7</v>
      </c>
      <c r="FD3" s="214">
        <v>5</v>
      </c>
      <c r="FE3" s="214">
        <v>6</v>
      </c>
      <c r="FF3" s="214">
        <v>7</v>
      </c>
      <c r="FG3" s="214">
        <v>5</v>
      </c>
      <c r="FH3" s="214">
        <v>6</v>
      </c>
      <c r="FI3" s="214">
        <v>7</v>
      </c>
      <c r="FJ3" s="214">
        <v>5</v>
      </c>
      <c r="FK3" s="214">
        <v>6</v>
      </c>
      <c r="FL3" s="214">
        <v>7</v>
      </c>
      <c r="FM3" s="214">
        <v>5</v>
      </c>
      <c r="FN3" s="214">
        <v>6</v>
      </c>
      <c r="FO3" s="214">
        <v>7</v>
      </c>
      <c r="FP3" s="214">
        <v>5</v>
      </c>
      <c r="FQ3" s="214">
        <v>6</v>
      </c>
      <c r="FR3" s="214">
        <v>7</v>
      </c>
      <c r="FS3" s="214">
        <v>5</v>
      </c>
      <c r="FT3" s="214">
        <v>5</v>
      </c>
      <c r="FU3" s="214">
        <v>5</v>
      </c>
      <c r="FV3" s="214">
        <v>5</v>
      </c>
      <c r="FW3" s="214">
        <v>6</v>
      </c>
      <c r="FX3" s="214">
        <v>7</v>
      </c>
      <c r="FY3" s="214">
        <v>8</v>
      </c>
      <c r="FZ3" s="214">
        <v>9</v>
      </c>
      <c r="GA3" s="214">
        <v>10</v>
      </c>
      <c r="GB3" s="214">
        <v>11</v>
      </c>
    </row>
    <row r="4" spans="2:185" s="626" customFormat="1" x14ac:dyDescent="0.2">
      <c r="B4" s="626" t="s">
        <v>1063</v>
      </c>
      <c r="C4" s="626" t="s">
        <v>1064</v>
      </c>
      <c r="GC4" s="626" t="s">
        <v>1157</v>
      </c>
    </row>
    <row r="5" spans="2:185" s="214" customFormat="1" x14ac:dyDescent="0.2">
      <c r="B5" s="602" t="s">
        <v>93</v>
      </c>
      <c r="C5" s="602" t="s">
        <v>92</v>
      </c>
      <c r="D5" s="239">
        <v>-1038906</v>
      </c>
      <c r="E5" s="239">
        <v>0</v>
      </c>
      <c r="F5" s="239">
        <v>-1038906</v>
      </c>
      <c r="G5" s="239">
        <v>-1268400</v>
      </c>
      <c r="H5" s="239">
        <v>0</v>
      </c>
      <c r="I5" s="239">
        <v>-1268400</v>
      </c>
      <c r="J5" s="239">
        <v>229494</v>
      </c>
      <c r="K5" s="239">
        <v>0</v>
      </c>
      <c r="L5" s="239">
        <v>229494</v>
      </c>
      <c r="M5" s="239">
        <v>85393</v>
      </c>
      <c r="N5" s="239">
        <v>85393</v>
      </c>
      <c r="O5" s="239">
        <v>0</v>
      </c>
      <c r="P5" s="239">
        <v>0</v>
      </c>
      <c r="Q5" s="239">
        <v>0</v>
      </c>
      <c r="R5" s="239">
        <v>0</v>
      </c>
      <c r="S5" s="239">
        <v>0</v>
      </c>
      <c r="T5" s="239">
        <v>0</v>
      </c>
      <c r="U5" s="239">
        <v>0</v>
      </c>
      <c r="V5" s="239">
        <v>0</v>
      </c>
      <c r="W5" s="239">
        <v>0</v>
      </c>
      <c r="X5" s="239">
        <v>0</v>
      </c>
      <c r="Y5" s="239">
        <v>0</v>
      </c>
      <c r="Z5" s="239">
        <v>0</v>
      </c>
      <c r="AA5" s="239">
        <v>0</v>
      </c>
      <c r="AB5" s="239">
        <v>0</v>
      </c>
      <c r="AC5" s="239">
        <v>0</v>
      </c>
      <c r="AD5" s="239">
        <v>0</v>
      </c>
      <c r="AE5" s="239">
        <v>0</v>
      </c>
      <c r="AF5" s="239">
        <v>0</v>
      </c>
      <c r="AG5" s="239">
        <v>0</v>
      </c>
      <c r="AH5" s="239">
        <v>0</v>
      </c>
      <c r="AI5" s="239">
        <v>0</v>
      </c>
      <c r="AJ5" s="239">
        <v>0</v>
      </c>
      <c r="AK5" s="239">
        <v>0</v>
      </c>
      <c r="AL5" s="239">
        <v>0</v>
      </c>
      <c r="AM5" s="239">
        <v>0</v>
      </c>
      <c r="AN5" s="239">
        <v>0</v>
      </c>
      <c r="AO5" s="239">
        <v>0</v>
      </c>
      <c r="AP5" s="239">
        <v>0</v>
      </c>
      <c r="AQ5" s="239">
        <v>0</v>
      </c>
      <c r="AR5" s="239">
        <v>0</v>
      </c>
      <c r="AS5" s="239">
        <v>0</v>
      </c>
      <c r="AT5" s="239">
        <v>0</v>
      </c>
      <c r="AU5" s="239">
        <v>0</v>
      </c>
      <c r="AV5" s="239">
        <v>0</v>
      </c>
      <c r="AW5" s="239">
        <v>0</v>
      </c>
      <c r="AX5" s="239">
        <v>0</v>
      </c>
      <c r="AY5" s="239">
        <v>0</v>
      </c>
      <c r="AZ5" s="239">
        <v>0</v>
      </c>
      <c r="BA5" s="239">
        <v>0</v>
      </c>
      <c r="BB5" s="239">
        <v>0</v>
      </c>
      <c r="BC5" s="239">
        <v>553481</v>
      </c>
      <c r="BD5" s="239">
        <v>138370</v>
      </c>
      <c r="BE5" s="239">
        <v>0</v>
      </c>
      <c r="BF5" s="239">
        <v>541057.64275879832</v>
      </c>
      <c r="BG5" s="239">
        <v>135264.41068969958</v>
      </c>
      <c r="BH5" s="239">
        <v>0</v>
      </c>
      <c r="BI5" s="239">
        <v>38143.329012875532</v>
      </c>
      <c r="BJ5" s="239">
        <v>9535.8322532188831</v>
      </c>
      <c r="BK5" s="239">
        <v>0</v>
      </c>
      <c r="BL5" s="239">
        <v>550151</v>
      </c>
      <c r="BM5" s="239">
        <v>91387</v>
      </c>
      <c r="BN5" s="239">
        <v>0</v>
      </c>
      <c r="BO5" s="239">
        <v>3330</v>
      </c>
      <c r="BP5" s="239">
        <v>46983</v>
      </c>
      <c r="BQ5" s="239">
        <v>0</v>
      </c>
      <c r="BR5" s="239">
        <v>0</v>
      </c>
      <c r="BS5" s="239">
        <v>0</v>
      </c>
      <c r="BT5" s="239">
        <v>0</v>
      </c>
      <c r="BU5" s="239">
        <v>0</v>
      </c>
      <c r="BV5" s="239">
        <v>0</v>
      </c>
      <c r="BW5" s="239">
        <v>0</v>
      </c>
      <c r="BX5" s="239">
        <v>0</v>
      </c>
      <c r="BY5" s="239">
        <v>0</v>
      </c>
      <c r="BZ5" s="239">
        <v>0</v>
      </c>
      <c r="CA5" s="239">
        <v>0</v>
      </c>
      <c r="CB5" s="239">
        <v>0</v>
      </c>
      <c r="CC5" s="239">
        <v>0</v>
      </c>
      <c r="CD5" s="239">
        <v>2543</v>
      </c>
      <c r="CE5" s="239">
        <v>636</v>
      </c>
      <c r="CF5" s="239">
        <v>0</v>
      </c>
      <c r="CG5" s="239">
        <v>-2543</v>
      </c>
      <c r="CH5" s="239">
        <v>-636</v>
      </c>
      <c r="CI5" s="239">
        <v>0</v>
      </c>
      <c r="CJ5" s="239">
        <v>0</v>
      </c>
      <c r="CK5" s="239">
        <v>0</v>
      </c>
      <c r="CL5" s="239">
        <v>0</v>
      </c>
      <c r="CM5" s="239">
        <v>0</v>
      </c>
      <c r="CN5" s="239">
        <v>0</v>
      </c>
      <c r="CO5" s="239">
        <v>0</v>
      </c>
      <c r="CP5" s="239">
        <v>0</v>
      </c>
      <c r="CQ5" s="239">
        <v>0</v>
      </c>
      <c r="CR5" s="239">
        <v>0</v>
      </c>
      <c r="CS5" s="239">
        <v>-730</v>
      </c>
      <c r="CT5" s="239">
        <v>-183</v>
      </c>
      <c r="CU5" s="239">
        <v>0</v>
      </c>
      <c r="CV5" s="239">
        <v>0</v>
      </c>
      <c r="CW5" s="239">
        <v>0</v>
      </c>
      <c r="CX5" s="239">
        <v>0</v>
      </c>
      <c r="CY5" s="239">
        <v>0</v>
      </c>
      <c r="CZ5" s="239">
        <v>0</v>
      </c>
      <c r="DA5" s="239">
        <v>0</v>
      </c>
      <c r="DB5" s="239">
        <v>0</v>
      </c>
      <c r="DC5" s="239">
        <v>0</v>
      </c>
      <c r="DD5" s="239">
        <v>0</v>
      </c>
      <c r="DE5" s="239">
        <v>0</v>
      </c>
      <c r="DF5" s="239">
        <v>0</v>
      </c>
      <c r="DG5" s="239">
        <v>0</v>
      </c>
      <c r="DH5" s="239">
        <v>0</v>
      </c>
      <c r="DI5" s="239">
        <v>0</v>
      </c>
      <c r="DJ5" s="239">
        <v>0</v>
      </c>
      <c r="DK5" s="239">
        <v>0</v>
      </c>
      <c r="DL5" s="239">
        <v>0</v>
      </c>
      <c r="DM5" s="239">
        <v>0</v>
      </c>
      <c r="DN5" s="239">
        <v>0</v>
      </c>
      <c r="DO5" s="239">
        <v>0</v>
      </c>
      <c r="DP5" s="239">
        <v>0</v>
      </c>
      <c r="DQ5" s="239">
        <v>0</v>
      </c>
      <c r="DR5" s="239">
        <v>0</v>
      </c>
      <c r="DS5" s="239">
        <v>0</v>
      </c>
      <c r="DT5" s="239">
        <v>0</v>
      </c>
      <c r="DU5" s="239">
        <v>0</v>
      </c>
      <c r="DV5" s="239">
        <v>0</v>
      </c>
      <c r="DW5" s="239">
        <v>0</v>
      </c>
      <c r="DX5" s="239">
        <v>0</v>
      </c>
      <c r="DY5" s="239">
        <v>0</v>
      </c>
      <c r="DZ5" s="239">
        <v>3065</v>
      </c>
      <c r="EA5" s="239">
        <v>766</v>
      </c>
      <c r="EB5" s="239">
        <v>0</v>
      </c>
      <c r="EC5" s="239">
        <v>0</v>
      </c>
      <c r="ED5" s="239">
        <v>0</v>
      </c>
      <c r="EE5" s="239">
        <v>0</v>
      </c>
      <c r="EF5" s="239">
        <v>3065</v>
      </c>
      <c r="EG5" s="239">
        <v>766</v>
      </c>
      <c r="EH5" s="239">
        <v>0</v>
      </c>
      <c r="EI5" s="239">
        <v>32704</v>
      </c>
      <c r="EJ5" s="239">
        <v>8176</v>
      </c>
      <c r="EK5" s="239">
        <v>0</v>
      </c>
      <c r="EL5" s="239">
        <v>57400</v>
      </c>
      <c r="EM5" s="239">
        <v>0</v>
      </c>
      <c r="EN5" s="239">
        <v>0</v>
      </c>
      <c r="EO5" s="239">
        <v>-24696</v>
      </c>
      <c r="EP5" s="239">
        <v>8176</v>
      </c>
      <c r="EQ5" s="239">
        <v>0</v>
      </c>
      <c r="ER5" s="239">
        <v>6256</v>
      </c>
      <c r="ES5" s="239">
        <v>1564</v>
      </c>
      <c r="ET5" s="239">
        <v>0</v>
      </c>
      <c r="EU5" s="239">
        <v>6805</v>
      </c>
      <c r="EV5" s="239">
        <v>0</v>
      </c>
      <c r="EW5" s="239">
        <v>0</v>
      </c>
      <c r="EX5" s="239">
        <v>-549</v>
      </c>
      <c r="EY5" s="239">
        <v>1564</v>
      </c>
      <c r="EZ5" s="239">
        <v>0</v>
      </c>
      <c r="FA5" s="239">
        <v>106893</v>
      </c>
      <c r="FB5" s="239">
        <v>26723</v>
      </c>
      <c r="FC5" s="239">
        <v>0</v>
      </c>
      <c r="FD5" s="239">
        <v>105529</v>
      </c>
      <c r="FE5" s="239">
        <v>26382</v>
      </c>
      <c r="FF5" s="239">
        <v>0</v>
      </c>
      <c r="FG5" s="239">
        <v>1364</v>
      </c>
      <c r="FH5" s="239">
        <v>341</v>
      </c>
      <c r="FI5" s="239">
        <v>0</v>
      </c>
      <c r="FJ5" s="239">
        <v>0</v>
      </c>
      <c r="FK5" s="239">
        <v>0</v>
      </c>
      <c r="FL5" s="239">
        <v>0</v>
      </c>
      <c r="FM5" s="239">
        <v>0</v>
      </c>
      <c r="FN5" s="239">
        <v>0</v>
      </c>
      <c r="FO5" s="239">
        <v>0</v>
      </c>
      <c r="FP5" s="239">
        <v>0</v>
      </c>
      <c r="FQ5" s="239">
        <v>0</v>
      </c>
      <c r="FR5" s="239">
        <v>0</v>
      </c>
      <c r="FS5" s="239">
        <v>0</v>
      </c>
      <c r="FT5" s="239">
        <v>0</v>
      </c>
      <c r="FU5" s="239">
        <v>0</v>
      </c>
      <c r="FV5" s="239">
        <v>701669</v>
      </c>
      <c r="FW5" s="239">
        <v>175416</v>
      </c>
      <c r="FX5" s="239">
        <v>0</v>
      </c>
      <c r="FY5" s="834">
        <v>0.5</v>
      </c>
      <c r="FZ5" s="834">
        <v>0.4</v>
      </c>
      <c r="GA5" s="834">
        <v>0.1</v>
      </c>
      <c r="GB5" s="834">
        <v>0</v>
      </c>
      <c r="GC5" s="214" t="s">
        <v>1158</v>
      </c>
    </row>
    <row r="6" spans="2:185" s="214" customFormat="1" x14ac:dyDescent="0.2">
      <c r="B6" s="602" t="s">
        <v>95</v>
      </c>
      <c r="C6" s="602" t="s">
        <v>94</v>
      </c>
      <c r="D6" s="239">
        <v>627980</v>
      </c>
      <c r="E6" s="239">
        <v>0</v>
      </c>
      <c r="F6" s="239">
        <v>627980</v>
      </c>
      <c r="G6" s="239">
        <v>689237</v>
      </c>
      <c r="H6" s="239">
        <v>0</v>
      </c>
      <c r="I6" s="239">
        <v>689237</v>
      </c>
      <c r="J6" s="239">
        <v>-61257</v>
      </c>
      <c r="K6" s="239">
        <v>0</v>
      </c>
      <c r="L6" s="239">
        <v>-61257</v>
      </c>
      <c r="M6" s="239">
        <v>183183</v>
      </c>
      <c r="N6" s="239">
        <v>183183</v>
      </c>
      <c r="O6" s="239">
        <v>0</v>
      </c>
      <c r="P6" s="239">
        <v>0</v>
      </c>
      <c r="Q6" s="239">
        <v>0</v>
      </c>
      <c r="R6" s="239">
        <v>0</v>
      </c>
      <c r="S6" s="239">
        <v>494998</v>
      </c>
      <c r="T6" s="239">
        <v>19445</v>
      </c>
      <c r="U6" s="239">
        <v>408587</v>
      </c>
      <c r="V6" s="239">
        <v>0</v>
      </c>
      <c r="W6" s="239">
        <v>86411</v>
      </c>
      <c r="X6" s="239">
        <v>19445</v>
      </c>
      <c r="Y6" s="239">
        <v>0</v>
      </c>
      <c r="Z6" s="239">
        <v>0</v>
      </c>
      <c r="AA6" s="239">
        <v>0</v>
      </c>
      <c r="AB6" s="239">
        <v>0</v>
      </c>
      <c r="AC6" s="239">
        <v>0</v>
      </c>
      <c r="AD6" s="239">
        <v>0</v>
      </c>
      <c r="AE6" s="239">
        <v>0</v>
      </c>
      <c r="AF6" s="239">
        <v>0</v>
      </c>
      <c r="AG6" s="239">
        <v>0</v>
      </c>
      <c r="AH6" s="239">
        <v>0</v>
      </c>
      <c r="AI6" s="239">
        <v>0</v>
      </c>
      <c r="AJ6" s="239">
        <v>0</v>
      </c>
      <c r="AK6" s="239">
        <v>0</v>
      </c>
      <c r="AL6" s="239">
        <v>0</v>
      </c>
      <c r="AM6" s="239">
        <v>0</v>
      </c>
      <c r="AN6" s="239">
        <v>0</v>
      </c>
      <c r="AO6" s="239">
        <v>0</v>
      </c>
      <c r="AP6" s="239">
        <v>0</v>
      </c>
      <c r="AQ6" s="239">
        <v>0</v>
      </c>
      <c r="AR6" s="239">
        <v>0</v>
      </c>
      <c r="AS6" s="239">
        <v>0</v>
      </c>
      <c r="AT6" s="239">
        <v>0</v>
      </c>
      <c r="AU6" s="239">
        <v>0</v>
      </c>
      <c r="AV6" s="239">
        <v>0</v>
      </c>
      <c r="AW6" s="239">
        <v>0</v>
      </c>
      <c r="AX6" s="239">
        <v>0</v>
      </c>
      <c r="AY6" s="239">
        <v>0</v>
      </c>
      <c r="AZ6" s="239">
        <v>0</v>
      </c>
      <c r="BA6" s="239">
        <v>0</v>
      </c>
      <c r="BB6" s="239">
        <v>0</v>
      </c>
      <c r="BC6" s="239">
        <v>1274780</v>
      </c>
      <c r="BD6" s="239">
        <v>318695</v>
      </c>
      <c r="BE6" s="239">
        <v>0</v>
      </c>
      <c r="BF6" s="239">
        <v>1251724.9994506438</v>
      </c>
      <c r="BG6" s="239">
        <v>312931.24986266094</v>
      </c>
      <c r="BH6" s="239">
        <v>0</v>
      </c>
      <c r="BI6" s="239">
        <v>72843.481931330476</v>
      </c>
      <c r="BJ6" s="239">
        <v>18210.870482832619</v>
      </c>
      <c r="BK6" s="239">
        <v>0</v>
      </c>
      <c r="BL6" s="239">
        <v>1163455</v>
      </c>
      <c r="BM6" s="239">
        <v>213870</v>
      </c>
      <c r="BN6" s="239">
        <v>0</v>
      </c>
      <c r="BO6" s="239">
        <v>111325</v>
      </c>
      <c r="BP6" s="239">
        <v>104825</v>
      </c>
      <c r="BQ6" s="239">
        <v>0</v>
      </c>
      <c r="BR6" s="239">
        <v>5028</v>
      </c>
      <c r="BS6" s="239">
        <v>1257</v>
      </c>
      <c r="BT6" s="239">
        <v>0</v>
      </c>
      <c r="BU6" s="239">
        <v>6042</v>
      </c>
      <c r="BV6" s="239">
        <v>1511</v>
      </c>
      <c r="BW6" s="239">
        <v>0</v>
      </c>
      <c r="BX6" s="239">
        <v>-1014</v>
      </c>
      <c r="BY6" s="239">
        <v>-254</v>
      </c>
      <c r="BZ6" s="239">
        <v>0</v>
      </c>
      <c r="CA6" s="239">
        <v>0</v>
      </c>
      <c r="CB6" s="239">
        <v>0</v>
      </c>
      <c r="CC6" s="239">
        <v>0</v>
      </c>
      <c r="CD6" s="239">
        <v>0</v>
      </c>
      <c r="CE6" s="239">
        <v>0</v>
      </c>
      <c r="CF6" s="239">
        <v>0</v>
      </c>
      <c r="CG6" s="239">
        <v>0</v>
      </c>
      <c r="CH6" s="239">
        <v>0</v>
      </c>
      <c r="CI6" s="239">
        <v>0</v>
      </c>
      <c r="CJ6" s="239">
        <v>0</v>
      </c>
      <c r="CK6" s="239">
        <v>0</v>
      </c>
      <c r="CL6" s="239">
        <v>0</v>
      </c>
      <c r="CM6" s="239">
        <v>0</v>
      </c>
      <c r="CN6" s="239">
        <v>0</v>
      </c>
      <c r="CO6" s="239">
        <v>0</v>
      </c>
      <c r="CP6" s="239">
        <v>0</v>
      </c>
      <c r="CQ6" s="239">
        <v>0</v>
      </c>
      <c r="CR6" s="239">
        <v>0</v>
      </c>
      <c r="CS6" s="239">
        <v>-4115</v>
      </c>
      <c r="CT6" s="239">
        <v>-1029</v>
      </c>
      <c r="CU6" s="239">
        <v>0</v>
      </c>
      <c r="CV6" s="239">
        <v>4305</v>
      </c>
      <c r="CW6" s="239">
        <v>1076</v>
      </c>
      <c r="CX6" s="239">
        <v>0</v>
      </c>
      <c r="CY6" s="239">
        <v>0</v>
      </c>
      <c r="CZ6" s="239">
        <v>0</v>
      </c>
      <c r="DA6" s="239">
        <v>0</v>
      </c>
      <c r="DB6" s="239">
        <v>4305</v>
      </c>
      <c r="DC6" s="239">
        <v>1076</v>
      </c>
      <c r="DD6" s="239">
        <v>0</v>
      </c>
      <c r="DE6" s="239">
        <v>-2161</v>
      </c>
      <c r="DF6" s="239">
        <v>-540</v>
      </c>
      <c r="DG6" s="239">
        <v>0</v>
      </c>
      <c r="DH6" s="239">
        <v>19322</v>
      </c>
      <c r="DI6" s="239">
        <v>4830</v>
      </c>
      <c r="DJ6" s="239">
        <v>0</v>
      </c>
      <c r="DK6" s="239">
        <v>0</v>
      </c>
      <c r="DL6" s="239">
        <v>0</v>
      </c>
      <c r="DM6" s="239">
        <v>0</v>
      </c>
      <c r="DN6" s="239">
        <v>19322</v>
      </c>
      <c r="DO6" s="239">
        <v>4830</v>
      </c>
      <c r="DP6" s="239">
        <v>0</v>
      </c>
      <c r="DQ6" s="239">
        <v>0</v>
      </c>
      <c r="DR6" s="239">
        <v>0</v>
      </c>
      <c r="DS6" s="239">
        <v>0</v>
      </c>
      <c r="DT6" s="239">
        <v>1218</v>
      </c>
      <c r="DU6" s="239">
        <v>305</v>
      </c>
      <c r="DV6" s="239">
        <v>0</v>
      </c>
      <c r="DW6" s="239">
        <v>-1218</v>
      </c>
      <c r="DX6" s="239">
        <v>-305</v>
      </c>
      <c r="DY6" s="239">
        <v>0</v>
      </c>
      <c r="DZ6" s="239">
        <v>11699</v>
      </c>
      <c r="EA6" s="239">
        <v>2925</v>
      </c>
      <c r="EB6" s="239">
        <v>0</v>
      </c>
      <c r="EC6" s="239">
        <v>14328</v>
      </c>
      <c r="ED6" s="239">
        <v>0</v>
      </c>
      <c r="EE6" s="239">
        <v>0</v>
      </c>
      <c r="EF6" s="239">
        <v>-2629</v>
      </c>
      <c r="EG6" s="239">
        <v>2925</v>
      </c>
      <c r="EH6" s="239">
        <v>0</v>
      </c>
      <c r="EI6" s="239">
        <v>130760</v>
      </c>
      <c r="EJ6" s="239">
        <v>32690</v>
      </c>
      <c r="EK6" s="239">
        <v>0</v>
      </c>
      <c r="EL6" s="239">
        <v>178187</v>
      </c>
      <c r="EM6" s="239">
        <v>0</v>
      </c>
      <c r="EN6" s="239">
        <v>0</v>
      </c>
      <c r="EO6" s="239">
        <v>-47427</v>
      </c>
      <c r="EP6" s="239">
        <v>32690</v>
      </c>
      <c r="EQ6" s="239">
        <v>0</v>
      </c>
      <c r="ER6" s="239">
        <v>24909</v>
      </c>
      <c r="ES6" s="239">
        <v>6227</v>
      </c>
      <c r="ET6" s="239">
        <v>0</v>
      </c>
      <c r="EU6" s="239">
        <v>31486</v>
      </c>
      <c r="EV6" s="239">
        <v>0</v>
      </c>
      <c r="EW6" s="239">
        <v>0</v>
      </c>
      <c r="EX6" s="239">
        <v>-6577</v>
      </c>
      <c r="EY6" s="239">
        <v>6227</v>
      </c>
      <c r="EZ6" s="239">
        <v>0</v>
      </c>
      <c r="FA6" s="239">
        <v>169030</v>
      </c>
      <c r="FB6" s="239">
        <v>40691</v>
      </c>
      <c r="FC6" s="239">
        <v>0</v>
      </c>
      <c r="FD6" s="239">
        <v>177187</v>
      </c>
      <c r="FE6" s="239">
        <v>42762</v>
      </c>
      <c r="FF6" s="239">
        <v>0</v>
      </c>
      <c r="FG6" s="239">
        <v>-8157</v>
      </c>
      <c r="FH6" s="239">
        <v>-2071</v>
      </c>
      <c r="FI6" s="239">
        <v>0</v>
      </c>
      <c r="FJ6" s="239">
        <v>0</v>
      </c>
      <c r="FK6" s="239">
        <v>0</v>
      </c>
      <c r="FL6" s="239">
        <v>0</v>
      </c>
      <c r="FM6" s="239">
        <v>0</v>
      </c>
      <c r="FN6" s="239">
        <v>0</v>
      </c>
      <c r="FO6" s="239">
        <v>0</v>
      </c>
      <c r="FP6" s="239">
        <v>0</v>
      </c>
      <c r="FQ6" s="239">
        <v>0</v>
      </c>
      <c r="FR6" s="239">
        <v>0</v>
      </c>
      <c r="FS6" s="239">
        <v>0</v>
      </c>
      <c r="FT6" s="239">
        <v>0</v>
      </c>
      <c r="FU6" s="239">
        <v>0</v>
      </c>
      <c r="FV6" s="239">
        <v>1633557</v>
      </c>
      <c r="FW6" s="239">
        <v>406822</v>
      </c>
      <c r="FX6" s="239">
        <v>0</v>
      </c>
      <c r="FY6" s="834">
        <v>0.5</v>
      </c>
      <c r="FZ6" s="834">
        <v>0.4</v>
      </c>
      <c r="GA6" s="834">
        <v>0.1</v>
      </c>
      <c r="GB6" s="834">
        <v>0</v>
      </c>
      <c r="GC6" s="214" t="s">
        <v>1158</v>
      </c>
    </row>
    <row r="7" spans="2:185" s="214" customFormat="1" x14ac:dyDescent="0.2">
      <c r="B7" s="602" t="s">
        <v>97</v>
      </c>
      <c r="C7" s="602" t="s">
        <v>96</v>
      </c>
      <c r="D7" s="239">
        <v>370767</v>
      </c>
      <c r="E7" s="239">
        <v>0</v>
      </c>
      <c r="F7" s="239">
        <v>370767</v>
      </c>
      <c r="G7" s="239">
        <v>382831</v>
      </c>
      <c r="H7" s="239">
        <v>0</v>
      </c>
      <c r="I7" s="239">
        <v>382831</v>
      </c>
      <c r="J7" s="239">
        <v>-12064</v>
      </c>
      <c r="K7" s="239">
        <v>0</v>
      </c>
      <c r="L7" s="239">
        <v>-12064</v>
      </c>
      <c r="M7" s="239">
        <v>149167</v>
      </c>
      <c r="N7" s="239">
        <v>149167</v>
      </c>
      <c r="O7" s="239">
        <v>0</v>
      </c>
      <c r="P7" s="239">
        <v>0</v>
      </c>
      <c r="Q7" s="239">
        <v>0</v>
      </c>
      <c r="R7" s="239">
        <v>0</v>
      </c>
      <c r="S7" s="239">
        <v>10820</v>
      </c>
      <c r="T7" s="239">
        <v>0</v>
      </c>
      <c r="U7" s="239">
        <v>5554</v>
      </c>
      <c r="V7" s="239">
        <v>0</v>
      </c>
      <c r="W7" s="239">
        <v>5266</v>
      </c>
      <c r="X7" s="239">
        <v>0</v>
      </c>
      <c r="Y7" s="239">
        <v>0</v>
      </c>
      <c r="Z7" s="239">
        <v>0</v>
      </c>
      <c r="AA7" s="239">
        <v>0</v>
      </c>
      <c r="AB7" s="239">
        <v>0</v>
      </c>
      <c r="AC7" s="239">
        <v>0</v>
      </c>
      <c r="AD7" s="239">
        <v>0</v>
      </c>
      <c r="AE7" s="239">
        <v>0</v>
      </c>
      <c r="AF7" s="239">
        <v>0</v>
      </c>
      <c r="AG7" s="239">
        <v>0</v>
      </c>
      <c r="AH7" s="239">
        <v>0</v>
      </c>
      <c r="AI7" s="239">
        <v>0</v>
      </c>
      <c r="AJ7" s="239">
        <v>0</v>
      </c>
      <c r="AK7" s="239">
        <v>0</v>
      </c>
      <c r="AL7" s="239">
        <v>0</v>
      </c>
      <c r="AM7" s="239">
        <v>0</v>
      </c>
      <c r="AN7" s="239">
        <v>0</v>
      </c>
      <c r="AO7" s="239">
        <v>0</v>
      </c>
      <c r="AP7" s="239">
        <v>0</v>
      </c>
      <c r="AQ7" s="239">
        <v>0</v>
      </c>
      <c r="AR7" s="239">
        <v>0</v>
      </c>
      <c r="AS7" s="239">
        <v>0</v>
      </c>
      <c r="AT7" s="239">
        <v>0</v>
      </c>
      <c r="AU7" s="239">
        <v>0</v>
      </c>
      <c r="AV7" s="239">
        <v>0</v>
      </c>
      <c r="AW7" s="239">
        <v>0</v>
      </c>
      <c r="AX7" s="239">
        <v>0</v>
      </c>
      <c r="AY7" s="239">
        <v>0</v>
      </c>
      <c r="AZ7" s="239">
        <v>0</v>
      </c>
      <c r="BA7" s="239">
        <v>0</v>
      </c>
      <c r="BB7" s="239">
        <v>0</v>
      </c>
      <c r="BC7" s="239">
        <v>1159120</v>
      </c>
      <c r="BD7" s="239">
        <v>260802</v>
      </c>
      <c r="BE7" s="239">
        <v>28978</v>
      </c>
      <c r="BF7" s="239">
        <v>1134313.1656008582</v>
      </c>
      <c r="BG7" s="239">
        <v>255220.46226019313</v>
      </c>
      <c r="BH7" s="239">
        <v>28357.829140021458</v>
      </c>
      <c r="BI7" s="239">
        <v>70402.883133047202</v>
      </c>
      <c r="BJ7" s="239">
        <v>15840.64870493562</v>
      </c>
      <c r="BK7" s="239">
        <v>1760.07207832618</v>
      </c>
      <c r="BL7" s="239">
        <v>1104967</v>
      </c>
      <c r="BM7" s="239">
        <v>168554</v>
      </c>
      <c r="BN7" s="239">
        <v>18728</v>
      </c>
      <c r="BO7" s="239">
        <v>54153</v>
      </c>
      <c r="BP7" s="239">
        <v>92248</v>
      </c>
      <c r="BQ7" s="239">
        <v>10250</v>
      </c>
      <c r="BR7" s="239">
        <v>0</v>
      </c>
      <c r="BS7" s="239">
        <v>0</v>
      </c>
      <c r="BT7" s="239">
        <v>0</v>
      </c>
      <c r="BU7" s="239">
        <v>0</v>
      </c>
      <c r="BV7" s="239">
        <v>0</v>
      </c>
      <c r="BW7" s="239">
        <v>0</v>
      </c>
      <c r="BX7" s="239">
        <v>0</v>
      </c>
      <c r="BY7" s="239">
        <v>0</v>
      </c>
      <c r="BZ7" s="239">
        <v>0</v>
      </c>
      <c r="CA7" s="239">
        <v>0</v>
      </c>
      <c r="CB7" s="239">
        <v>0</v>
      </c>
      <c r="CC7" s="239">
        <v>0</v>
      </c>
      <c r="CD7" s="239">
        <v>0</v>
      </c>
      <c r="CE7" s="239">
        <v>0</v>
      </c>
      <c r="CF7" s="239">
        <v>0</v>
      </c>
      <c r="CG7" s="239">
        <v>0</v>
      </c>
      <c r="CH7" s="239">
        <v>0</v>
      </c>
      <c r="CI7" s="239">
        <v>0</v>
      </c>
      <c r="CJ7" s="239">
        <v>0</v>
      </c>
      <c r="CK7" s="239">
        <v>0</v>
      </c>
      <c r="CL7" s="239">
        <v>0</v>
      </c>
      <c r="CM7" s="239">
        <v>2720</v>
      </c>
      <c r="CN7" s="239">
        <v>612</v>
      </c>
      <c r="CO7" s="239">
        <v>68</v>
      </c>
      <c r="CP7" s="239">
        <v>-2720</v>
      </c>
      <c r="CQ7" s="239">
        <v>-612</v>
      </c>
      <c r="CR7" s="239">
        <v>-68</v>
      </c>
      <c r="CS7" s="239">
        <v>-603</v>
      </c>
      <c r="CT7" s="239">
        <v>-136</v>
      </c>
      <c r="CU7" s="239">
        <v>-15</v>
      </c>
      <c r="CV7" s="239">
        <v>0</v>
      </c>
      <c r="CW7" s="239">
        <v>0</v>
      </c>
      <c r="CX7" s="239">
        <v>0</v>
      </c>
      <c r="CY7" s="239">
        <v>0</v>
      </c>
      <c r="CZ7" s="239">
        <v>0</v>
      </c>
      <c r="DA7" s="239">
        <v>0</v>
      </c>
      <c r="DB7" s="239">
        <v>0</v>
      </c>
      <c r="DC7" s="239">
        <v>0</v>
      </c>
      <c r="DD7" s="239">
        <v>0</v>
      </c>
      <c r="DE7" s="239">
        <v>-402</v>
      </c>
      <c r="DF7" s="239">
        <v>-90</v>
      </c>
      <c r="DG7" s="239">
        <v>-10</v>
      </c>
      <c r="DH7" s="239">
        <v>5136</v>
      </c>
      <c r="DI7" s="239">
        <v>1156</v>
      </c>
      <c r="DJ7" s="239">
        <v>128</v>
      </c>
      <c r="DK7" s="239">
        <v>5976</v>
      </c>
      <c r="DL7" s="239">
        <v>1345</v>
      </c>
      <c r="DM7" s="239">
        <v>149</v>
      </c>
      <c r="DN7" s="239">
        <v>-840</v>
      </c>
      <c r="DO7" s="239">
        <v>-189</v>
      </c>
      <c r="DP7" s="239">
        <v>-21</v>
      </c>
      <c r="DQ7" s="239">
        <v>0</v>
      </c>
      <c r="DR7" s="239">
        <v>0</v>
      </c>
      <c r="DS7" s="239">
        <v>0</v>
      </c>
      <c r="DT7" s="239">
        <v>0</v>
      </c>
      <c r="DU7" s="239">
        <v>0</v>
      </c>
      <c r="DV7" s="239">
        <v>0</v>
      </c>
      <c r="DW7" s="239">
        <v>0</v>
      </c>
      <c r="DX7" s="239">
        <v>0</v>
      </c>
      <c r="DY7" s="239">
        <v>0</v>
      </c>
      <c r="DZ7" s="239">
        <v>19810</v>
      </c>
      <c r="EA7" s="239">
        <v>4457</v>
      </c>
      <c r="EB7" s="239">
        <v>495</v>
      </c>
      <c r="EC7" s="239">
        <v>25376</v>
      </c>
      <c r="ED7" s="239">
        <v>0</v>
      </c>
      <c r="EE7" s="239">
        <v>0</v>
      </c>
      <c r="EF7" s="239">
        <v>-5566</v>
      </c>
      <c r="EG7" s="239">
        <v>4457</v>
      </c>
      <c r="EH7" s="239">
        <v>495</v>
      </c>
      <c r="EI7" s="239">
        <v>9933</v>
      </c>
      <c r="EJ7" s="239">
        <v>2235</v>
      </c>
      <c r="EK7" s="239">
        <v>248</v>
      </c>
      <c r="EL7" s="239">
        <v>118720</v>
      </c>
      <c r="EM7" s="239">
        <v>0</v>
      </c>
      <c r="EN7" s="239">
        <v>0</v>
      </c>
      <c r="EO7" s="239">
        <v>-108787</v>
      </c>
      <c r="EP7" s="239">
        <v>2235</v>
      </c>
      <c r="EQ7" s="239">
        <v>248</v>
      </c>
      <c r="ER7" s="239">
        <v>17294</v>
      </c>
      <c r="ES7" s="239">
        <v>3891</v>
      </c>
      <c r="ET7" s="239">
        <v>432</v>
      </c>
      <c r="EU7" s="239">
        <v>24361</v>
      </c>
      <c r="EV7" s="239">
        <v>0</v>
      </c>
      <c r="EW7" s="239">
        <v>0</v>
      </c>
      <c r="EX7" s="239">
        <v>-7067</v>
      </c>
      <c r="EY7" s="239">
        <v>3891</v>
      </c>
      <c r="EZ7" s="239">
        <v>432</v>
      </c>
      <c r="FA7" s="239">
        <v>175596</v>
      </c>
      <c r="FB7" s="239">
        <v>39473</v>
      </c>
      <c r="FC7" s="239">
        <v>4386</v>
      </c>
      <c r="FD7" s="239">
        <v>171340</v>
      </c>
      <c r="FE7" s="239">
        <v>38533</v>
      </c>
      <c r="FF7" s="239">
        <v>4281</v>
      </c>
      <c r="FG7" s="239">
        <v>4256</v>
      </c>
      <c r="FH7" s="239">
        <v>940</v>
      </c>
      <c r="FI7" s="239">
        <v>105</v>
      </c>
      <c r="FJ7" s="239">
        <v>0</v>
      </c>
      <c r="FK7" s="239">
        <v>0</v>
      </c>
      <c r="FL7" s="239">
        <v>0</v>
      </c>
      <c r="FM7" s="239">
        <v>0</v>
      </c>
      <c r="FN7" s="239">
        <v>0</v>
      </c>
      <c r="FO7" s="239">
        <v>0</v>
      </c>
      <c r="FP7" s="239">
        <v>0</v>
      </c>
      <c r="FQ7" s="239">
        <v>0</v>
      </c>
      <c r="FR7" s="239">
        <v>0</v>
      </c>
      <c r="FS7" s="239">
        <v>0</v>
      </c>
      <c r="FT7" s="239">
        <v>0</v>
      </c>
      <c r="FU7" s="239">
        <v>0</v>
      </c>
      <c r="FV7" s="239">
        <v>1385884</v>
      </c>
      <c r="FW7" s="239">
        <v>311788</v>
      </c>
      <c r="FX7" s="239">
        <v>34642</v>
      </c>
      <c r="FY7" s="834">
        <v>0.5</v>
      </c>
      <c r="FZ7" s="834">
        <v>0.4</v>
      </c>
      <c r="GA7" s="834">
        <v>0.09</v>
      </c>
      <c r="GB7" s="834">
        <v>0.01</v>
      </c>
      <c r="GC7" s="214" t="s">
        <v>1158</v>
      </c>
    </row>
    <row r="8" spans="2:185" s="214" customFormat="1" x14ac:dyDescent="0.2">
      <c r="B8" s="602" t="s">
        <v>99</v>
      </c>
      <c r="C8" s="602" t="s">
        <v>98</v>
      </c>
      <c r="D8" s="239">
        <v>-307789</v>
      </c>
      <c r="E8" s="239">
        <v>0</v>
      </c>
      <c r="F8" s="239">
        <v>-307789</v>
      </c>
      <c r="G8" s="239">
        <v>-457433</v>
      </c>
      <c r="H8" s="239">
        <v>0</v>
      </c>
      <c r="I8" s="239">
        <v>-457433</v>
      </c>
      <c r="J8" s="239">
        <v>149644</v>
      </c>
      <c r="K8" s="239">
        <v>0</v>
      </c>
      <c r="L8" s="239">
        <v>149644</v>
      </c>
      <c r="M8" s="239">
        <v>186077</v>
      </c>
      <c r="N8" s="239">
        <v>186077</v>
      </c>
      <c r="O8" s="239">
        <v>0</v>
      </c>
      <c r="P8" s="239">
        <v>0</v>
      </c>
      <c r="Q8" s="239">
        <v>0</v>
      </c>
      <c r="R8" s="239">
        <v>0</v>
      </c>
      <c r="S8" s="239">
        <v>0</v>
      </c>
      <c r="T8" s="239">
        <v>0</v>
      </c>
      <c r="U8" s="239">
        <v>0</v>
      </c>
      <c r="V8" s="239">
        <v>0</v>
      </c>
      <c r="W8" s="239">
        <v>0</v>
      </c>
      <c r="X8" s="239">
        <v>0</v>
      </c>
      <c r="Y8" s="239">
        <v>0</v>
      </c>
      <c r="Z8" s="239">
        <v>0</v>
      </c>
      <c r="AA8" s="239">
        <v>0</v>
      </c>
      <c r="AB8" s="239">
        <v>0</v>
      </c>
      <c r="AC8" s="239">
        <v>0</v>
      </c>
      <c r="AD8" s="239">
        <v>0</v>
      </c>
      <c r="AE8" s="239">
        <v>0</v>
      </c>
      <c r="AF8" s="239">
        <v>0</v>
      </c>
      <c r="AG8" s="239">
        <v>0</v>
      </c>
      <c r="AH8" s="239">
        <v>0</v>
      </c>
      <c r="AI8" s="239">
        <v>0</v>
      </c>
      <c r="AJ8" s="239">
        <v>0</v>
      </c>
      <c r="AK8" s="239">
        <v>0</v>
      </c>
      <c r="AL8" s="239">
        <v>0</v>
      </c>
      <c r="AM8" s="239">
        <v>0</v>
      </c>
      <c r="AN8" s="239">
        <v>0</v>
      </c>
      <c r="AO8" s="239">
        <v>0</v>
      </c>
      <c r="AP8" s="239">
        <v>0</v>
      </c>
      <c r="AQ8" s="239">
        <v>0</v>
      </c>
      <c r="AR8" s="239">
        <v>0</v>
      </c>
      <c r="AS8" s="239">
        <v>0</v>
      </c>
      <c r="AT8" s="239">
        <v>0</v>
      </c>
      <c r="AU8" s="239">
        <v>0</v>
      </c>
      <c r="AV8" s="239">
        <v>0</v>
      </c>
      <c r="AW8" s="239">
        <v>0</v>
      </c>
      <c r="AX8" s="239">
        <v>0</v>
      </c>
      <c r="AY8" s="239">
        <v>0</v>
      </c>
      <c r="AZ8" s="239">
        <v>0</v>
      </c>
      <c r="BA8" s="239">
        <v>0</v>
      </c>
      <c r="BB8" s="239">
        <v>0</v>
      </c>
      <c r="BC8" s="239">
        <v>1453280</v>
      </c>
      <c r="BD8" s="239">
        <v>363320</v>
      </c>
      <c r="BE8" s="239">
        <v>0</v>
      </c>
      <c r="BF8" s="239">
        <v>1425181.3077270389</v>
      </c>
      <c r="BG8" s="239">
        <v>356295.32693175972</v>
      </c>
      <c r="BH8" s="239">
        <v>0</v>
      </c>
      <c r="BI8" s="239">
        <v>88090.098969957078</v>
      </c>
      <c r="BJ8" s="239">
        <v>22022.52474248927</v>
      </c>
      <c r="BK8" s="239">
        <v>0</v>
      </c>
      <c r="BL8" s="239">
        <v>1386299</v>
      </c>
      <c r="BM8" s="239">
        <v>232991</v>
      </c>
      <c r="BN8" s="239">
        <v>0</v>
      </c>
      <c r="BO8" s="239">
        <v>66981</v>
      </c>
      <c r="BP8" s="239">
        <v>130329</v>
      </c>
      <c r="BQ8" s="239">
        <v>0</v>
      </c>
      <c r="BR8" s="239">
        <v>11010</v>
      </c>
      <c r="BS8" s="239">
        <v>2753</v>
      </c>
      <c r="BT8" s="239">
        <v>0</v>
      </c>
      <c r="BU8" s="239">
        <v>3978</v>
      </c>
      <c r="BV8" s="239">
        <v>994</v>
      </c>
      <c r="BW8" s="239">
        <v>0</v>
      </c>
      <c r="BX8" s="239">
        <v>7032</v>
      </c>
      <c r="BY8" s="239">
        <v>1759</v>
      </c>
      <c r="BZ8" s="239">
        <v>0</v>
      </c>
      <c r="CA8" s="239">
        <v>3209</v>
      </c>
      <c r="CB8" s="239">
        <v>802</v>
      </c>
      <c r="CC8" s="239">
        <v>0</v>
      </c>
      <c r="CD8" s="239">
        <v>0</v>
      </c>
      <c r="CE8" s="239">
        <v>0</v>
      </c>
      <c r="CF8" s="239">
        <v>0</v>
      </c>
      <c r="CG8" s="239">
        <v>3209</v>
      </c>
      <c r="CH8" s="239">
        <v>802</v>
      </c>
      <c r="CI8" s="239">
        <v>0</v>
      </c>
      <c r="CJ8" s="239">
        <v>4856</v>
      </c>
      <c r="CK8" s="239">
        <v>1214</v>
      </c>
      <c r="CL8" s="239">
        <v>0</v>
      </c>
      <c r="CM8" s="239">
        <v>11109</v>
      </c>
      <c r="CN8" s="239">
        <v>2777</v>
      </c>
      <c r="CO8" s="239">
        <v>0</v>
      </c>
      <c r="CP8" s="239">
        <v>-6253</v>
      </c>
      <c r="CQ8" s="239">
        <v>-1563</v>
      </c>
      <c r="CR8" s="239">
        <v>0</v>
      </c>
      <c r="CS8" s="239">
        <v>-5044</v>
      </c>
      <c r="CT8" s="239">
        <v>-1261</v>
      </c>
      <c r="CU8" s="239">
        <v>0</v>
      </c>
      <c r="CV8" s="239">
        <v>0</v>
      </c>
      <c r="CW8" s="239">
        <v>0</v>
      </c>
      <c r="CX8" s="239">
        <v>0</v>
      </c>
      <c r="CY8" s="239">
        <v>0</v>
      </c>
      <c r="CZ8" s="239">
        <v>0</v>
      </c>
      <c r="DA8" s="239">
        <v>0</v>
      </c>
      <c r="DB8" s="239">
        <v>0</v>
      </c>
      <c r="DC8" s="239">
        <v>0</v>
      </c>
      <c r="DD8" s="239">
        <v>0</v>
      </c>
      <c r="DE8" s="239">
        <v>0</v>
      </c>
      <c r="DF8" s="239">
        <v>0</v>
      </c>
      <c r="DG8" s="239">
        <v>0</v>
      </c>
      <c r="DH8" s="239">
        <v>968</v>
      </c>
      <c r="DI8" s="239">
        <v>242</v>
      </c>
      <c r="DJ8" s="239">
        <v>0</v>
      </c>
      <c r="DK8" s="239">
        <v>967</v>
      </c>
      <c r="DL8" s="239">
        <v>242</v>
      </c>
      <c r="DM8" s="239">
        <v>0</v>
      </c>
      <c r="DN8" s="239">
        <v>1</v>
      </c>
      <c r="DO8" s="239">
        <v>0</v>
      </c>
      <c r="DP8" s="239">
        <v>0</v>
      </c>
      <c r="DQ8" s="239">
        <v>0</v>
      </c>
      <c r="DR8" s="239">
        <v>0</v>
      </c>
      <c r="DS8" s="239">
        <v>0</v>
      </c>
      <c r="DT8" s="239">
        <v>0</v>
      </c>
      <c r="DU8" s="239">
        <v>0</v>
      </c>
      <c r="DV8" s="239">
        <v>0</v>
      </c>
      <c r="DW8" s="239">
        <v>0</v>
      </c>
      <c r="DX8" s="239">
        <v>0</v>
      </c>
      <c r="DY8" s="239">
        <v>0</v>
      </c>
      <c r="DZ8" s="239">
        <v>19562</v>
      </c>
      <c r="EA8" s="239">
        <v>4891</v>
      </c>
      <c r="EB8" s="239">
        <v>0</v>
      </c>
      <c r="EC8" s="239">
        <v>27950</v>
      </c>
      <c r="ED8" s="239">
        <v>0</v>
      </c>
      <c r="EE8" s="239">
        <v>0</v>
      </c>
      <c r="EF8" s="239">
        <v>-8388</v>
      </c>
      <c r="EG8" s="239">
        <v>4891</v>
      </c>
      <c r="EH8" s="239">
        <v>0</v>
      </c>
      <c r="EI8" s="239">
        <v>143438</v>
      </c>
      <c r="EJ8" s="239">
        <v>35859</v>
      </c>
      <c r="EK8" s="239">
        <v>0</v>
      </c>
      <c r="EL8" s="239">
        <v>179812</v>
      </c>
      <c r="EM8" s="239">
        <v>0</v>
      </c>
      <c r="EN8" s="239">
        <v>0</v>
      </c>
      <c r="EO8" s="239">
        <v>-36374</v>
      </c>
      <c r="EP8" s="239">
        <v>35859</v>
      </c>
      <c r="EQ8" s="239">
        <v>0</v>
      </c>
      <c r="ER8" s="239">
        <v>25607</v>
      </c>
      <c r="ES8" s="239">
        <v>6402</v>
      </c>
      <c r="ET8" s="239">
        <v>0</v>
      </c>
      <c r="EU8" s="239">
        <v>31844</v>
      </c>
      <c r="EV8" s="239">
        <v>0</v>
      </c>
      <c r="EW8" s="239">
        <v>0</v>
      </c>
      <c r="EX8" s="239">
        <v>-6237</v>
      </c>
      <c r="EY8" s="239">
        <v>6402</v>
      </c>
      <c r="EZ8" s="239">
        <v>0</v>
      </c>
      <c r="FA8" s="239">
        <v>208239</v>
      </c>
      <c r="FB8" s="239">
        <v>52060</v>
      </c>
      <c r="FC8" s="239">
        <v>0</v>
      </c>
      <c r="FD8" s="239">
        <v>212037</v>
      </c>
      <c r="FE8" s="239">
        <v>53009</v>
      </c>
      <c r="FF8" s="239">
        <v>0</v>
      </c>
      <c r="FG8" s="239">
        <v>-3798</v>
      </c>
      <c r="FH8" s="239">
        <v>-949</v>
      </c>
      <c r="FI8" s="239">
        <v>0</v>
      </c>
      <c r="FJ8" s="239">
        <v>0</v>
      </c>
      <c r="FK8" s="239">
        <v>0</v>
      </c>
      <c r="FL8" s="239">
        <v>0</v>
      </c>
      <c r="FM8" s="239">
        <v>0</v>
      </c>
      <c r="FN8" s="239">
        <v>0</v>
      </c>
      <c r="FO8" s="239">
        <v>0</v>
      </c>
      <c r="FP8" s="239">
        <v>0</v>
      </c>
      <c r="FQ8" s="239">
        <v>0</v>
      </c>
      <c r="FR8" s="239">
        <v>0</v>
      </c>
      <c r="FS8" s="239">
        <v>0</v>
      </c>
      <c r="FT8" s="239">
        <v>0</v>
      </c>
      <c r="FU8" s="239">
        <v>0</v>
      </c>
      <c r="FV8" s="239">
        <v>1865125</v>
      </c>
      <c r="FW8" s="239">
        <v>466282</v>
      </c>
      <c r="FX8" s="239">
        <v>0</v>
      </c>
      <c r="FY8" s="834">
        <v>0.5</v>
      </c>
      <c r="FZ8" s="834">
        <v>0.4</v>
      </c>
      <c r="GA8" s="834">
        <v>0.1</v>
      </c>
      <c r="GB8" s="834">
        <v>0</v>
      </c>
      <c r="GC8" s="214" t="s">
        <v>1158</v>
      </c>
    </row>
    <row r="9" spans="2:185" s="214" customFormat="1" x14ac:dyDescent="0.2">
      <c r="B9" s="602" t="s">
        <v>101</v>
      </c>
      <c r="C9" s="602" t="s">
        <v>100</v>
      </c>
      <c r="D9" s="239">
        <v>253216</v>
      </c>
      <c r="E9" s="239">
        <v>0</v>
      </c>
      <c r="F9" s="239">
        <v>253216</v>
      </c>
      <c r="G9" s="239">
        <v>302189</v>
      </c>
      <c r="H9" s="239">
        <v>0</v>
      </c>
      <c r="I9" s="239">
        <v>302189</v>
      </c>
      <c r="J9" s="239">
        <v>-48973</v>
      </c>
      <c r="K9" s="239">
        <v>0</v>
      </c>
      <c r="L9" s="239">
        <v>-48973</v>
      </c>
      <c r="M9" s="239">
        <v>130702</v>
      </c>
      <c r="N9" s="239">
        <v>130702</v>
      </c>
      <c r="O9" s="239">
        <v>0</v>
      </c>
      <c r="P9" s="239">
        <v>0</v>
      </c>
      <c r="Q9" s="239">
        <v>0</v>
      </c>
      <c r="R9" s="239">
        <v>0</v>
      </c>
      <c r="S9" s="239">
        <v>0</v>
      </c>
      <c r="T9" s="239">
        <v>0</v>
      </c>
      <c r="U9" s="239">
        <v>0</v>
      </c>
      <c r="V9" s="239">
        <v>0</v>
      </c>
      <c r="W9" s="239">
        <v>0</v>
      </c>
      <c r="X9" s="239">
        <v>0</v>
      </c>
      <c r="Y9" s="239">
        <v>0</v>
      </c>
      <c r="Z9" s="239">
        <v>0</v>
      </c>
      <c r="AA9" s="239">
        <v>0</v>
      </c>
      <c r="AB9" s="239">
        <v>0</v>
      </c>
      <c r="AC9" s="239">
        <v>0</v>
      </c>
      <c r="AD9" s="239">
        <v>0</v>
      </c>
      <c r="AE9" s="239">
        <v>0</v>
      </c>
      <c r="AF9" s="239">
        <v>0</v>
      </c>
      <c r="AG9" s="239">
        <v>0</v>
      </c>
      <c r="AH9" s="239">
        <v>0</v>
      </c>
      <c r="AI9" s="239">
        <v>0</v>
      </c>
      <c r="AJ9" s="239">
        <v>0</v>
      </c>
      <c r="AK9" s="239">
        <v>0</v>
      </c>
      <c r="AL9" s="239">
        <v>0</v>
      </c>
      <c r="AM9" s="239">
        <v>0</v>
      </c>
      <c r="AN9" s="239">
        <v>0</v>
      </c>
      <c r="AO9" s="239">
        <v>0</v>
      </c>
      <c r="AP9" s="239">
        <v>0</v>
      </c>
      <c r="AQ9" s="239">
        <v>0</v>
      </c>
      <c r="AR9" s="239">
        <v>0</v>
      </c>
      <c r="AS9" s="239">
        <v>0</v>
      </c>
      <c r="AT9" s="239">
        <v>0</v>
      </c>
      <c r="AU9" s="239">
        <v>0</v>
      </c>
      <c r="AV9" s="239">
        <v>0</v>
      </c>
      <c r="AW9" s="239">
        <v>0</v>
      </c>
      <c r="AX9" s="239">
        <v>0</v>
      </c>
      <c r="AY9" s="239">
        <v>0</v>
      </c>
      <c r="AZ9" s="239">
        <v>0</v>
      </c>
      <c r="BA9" s="239">
        <v>0</v>
      </c>
      <c r="BB9" s="239">
        <v>0</v>
      </c>
      <c r="BC9" s="239">
        <v>781205</v>
      </c>
      <c r="BD9" s="239">
        <v>175771</v>
      </c>
      <c r="BE9" s="239">
        <v>19530</v>
      </c>
      <c r="BF9" s="239">
        <v>762549.53789871256</v>
      </c>
      <c r="BG9" s="239">
        <v>171573.64602721028</v>
      </c>
      <c r="BH9" s="239">
        <v>19063.738447467811</v>
      </c>
      <c r="BI9" s="239">
        <v>62001.976824034333</v>
      </c>
      <c r="BJ9" s="239">
        <v>13816.84258583691</v>
      </c>
      <c r="BK9" s="239">
        <v>1535.2047317596566</v>
      </c>
      <c r="BL9" s="239">
        <v>793632</v>
      </c>
      <c r="BM9" s="239">
        <v>125310</v>
      </c>
      <c r="BN9" s="239">
        <v>13923</v>
      </c>
      <c r="BO9" s="239">
        <v>-12427</v>
      </c>
      <c r="BP9" s="239">
        <v>50461</v>
      </c>
      <c r="BQ9" s="239">
        <v>5607</v>
      </c>
      <c r="BR9" s="239">
        <v>0</v>
      </c>
      <c r="BS9" s="239">
        <v>0</v>
      </c>
      <c r="BT9" s="239">
        <v>0</v>
      </c>
      <c r="BU9" s="239">
        <v>0</v>
      </c>
      <c r="BV9" s="239">
        <v>0</v>
      </c>
      <c r="BW9" s="239">
        <v>0</v>
      </c>
      <c r="BX9" s="239">
        <v>0</v>
      </c>
      <c r="BY9" s="239">
        <v>0</v>
      </c>
      <c r="BZ9" s="239">
        <v>0</v>
      </c>
      <c r="CA9" s="239">
        <v>28094</v>
      </c>
      <c r="CB9" s="239">
        <v>6321</v>
      </c>
      <c r="CC9" s="239">
        <v>702</v>
      </c>
      <c r="CD9" s="239">
        <v>0</v>
      </c>
      <c r="CE9" s="239">
        <v>0</v>
      </c>
      <c r="CF9" s="239">
        <v>0</v>
      </c>
      <c r="CG9" s="239">
        <v>28094</v>
      </c>
      <c r="CH9" s="239">
        <v>6321</v>
      </c>
      <c r="CI9" s="239">
        <v>702</v>
      </c>
      <c r="CJ9" s="239">
        <v>0</v>
      </c>
      <c r="CK9" s="239">
        <v>0</v>
      </c>
      <c r="CL9" s="239">
        <v>0</v>
      </c>
      <c r="CM9" s="239">
        <v>0</v>
      </c>
      <c r="CN9" s="239">
        <v>0</v>
      </c>
      <c r="CO9" s="239">
        <v>0</v>
      </c>
      <c r="CP9" s="239">
        <v>0</v>
      </c>
      <c r="CQ9" s="239">
        <v>0</v>
      </c>
      <c r="CR9" s="239">
        <v>0</v>
      </c>
      <c r="CS9" s="239">
        <v>-760</v>
      </c>
      <c r="CT9" s="239">
        <v>-171</v>
      </c>
      <c r="CU9" s="239">
        <v>-19</v>
      </c>
      <c r="CV9" s="239">
        <v>0</v>
      </c>
      <c r="CW9" s="239">
        <v>0</v>
      </c>
      <c r="CX9" s="239">
        <v>0</v>
      </c>
      <c r="CY9" s="239">
        <v>0</v>
      </c>
      <c r="CZ9" s="239">
        <v>0</v>
      </c>
      <c r="DA9" s="239">
        <v>0</v>
      </c>
      <c r="DB9" s="239">
        <v>0</v>
      </c>
      <c r="DC9" s="239">
        <v>0</v>
      </c>
      <c r="DD9" s="239">
        <v>0</v>
      </c>
      <c r="DE9" s="239">
        <v>0</v>
      </c>
      <c r="DF9" s="239">
        <v>0</v>
      </c>
      <c r="DG9" s="239">
        <v>0</v>
      </c>
      <c r="DH9" s="239">
        <v>3229</v>
      </c>
      <c r="DI9" s="239">
        <v>727</v>
      </c>
      <c r="DJ9" s="239">
        <v>81</v>
      </c>
      <c r="DK9" s="239">
        <v>5997</v>
      </c>
      <c r="DL9" s="239">
        <v>1349</v>
      </c>
      <c r="DM9" s="239">
        <v>150</v>
      </c>
      <c r="DN9" s="239">
        <v>-2768</v>
      </c>
      <c r="DO9" s="239">
        <v>-622</v>
      </c>
      <c r="DP9" s="239">
        <v>-69</v>
      </c>
      <c r="DQ9" s="239">
        <v>0</v>
      </c>
      <c r="DR9" s="239">
        <v>0</v>
      </c>
      <c r="DS9" s="239">
        <v>0</v>
      </c>
      <c r="DT9" s="239">
        <v>609</v>
      </c>
      <c r="DU9" s="239">
        <v>137</v>
      </c>
      <c r="DV9" s="239">
        <v>15</v>
      </c>
      <c r="DW9" s="239">
        <v>-609</v>
      </c>
      <c r="DX9" s="239">
        <v>-137</v>
      </c>
      <c r="DY9" s="239">
        <v>-15</v>
      </c>
      <c r="DZ9" s="239">
        <v>7276</v>
      </c>
      <c r="EA9" s="239">
        <v>1637</v>
      </c>
      <c r="EB9" s="239">
        <v>182</v>
      </c>
      <c r="EC9" s="239">
        <v>10378</v>
      </c>
      <c r="ED9" s="239">
        <v>0</v>
      </c>
      <c r="EE9" s="239">
        <v>0</v>
      </c>
      <c r="EF9" s="239">
        <v>-3102</v>
      </c>
      <c r="EG9" s="239">
        <v>1637</v>
      </c>
      <c r="EH9" s="239">
        <v>182</v>
      </c>
      <c r="EI9" s="239">
        <v>75535</v>
      </c>
      <c r="EJ9" s="239">
        <v>16995</v>
      </c>
      <c r="EK9" s="239">
        <v>1888</v>
      </c>
      <c r="EL9" s="239">
        <v>96522</v>
      </c>
      <c r="EM9" s="239">
        <v>0</v>
      </c>
      <c r="EN9" s="239">
        <v>0</v>
      </c>
      <c r="EO9" s="239">
        <v>-20987</v>
      </c>
      <c r="EP9" s="239">
        <v>16995</v>
      </c>
      <c r="EQ9" s="239">
        <v>1888</v>
      </c>
      <c r="ER9" s="239">
        <v>13304</v>
      </c>
      <c r="ES9" s="239">
        <v>2994</v>
      </c>
      <c r="ET9" s="239">
        <v>333</v>
      </c>
      <c r="EU9" s="239">
        <v>15662</v>
      </c>
      <c r="EV9" s="239">
        <v>0</v>
      </c>
      <c r="EW9" s="239">
        <v>0</v>
      </c>
      <c r="EX9" s="239">
        <v>-2358</v>
      </c>
      <c r="EY9" s="239">
        <v>2994</v>
      </c>
      <c r="EZ9" s="239">
        <v>333</v>
      </c>
      <c r="FA9" s="239">
        <v>205656</v>
      </c>
      <c r="FB9" s="239">
        <v>46273</v>
      </c>
      <c r="FC9" s="239">
        <v>5141</v>
      </c>
      <c r="FD9" s="239">
        <v>218863</v>
      </c>
      <c r="FE9" s="239">
        <v>49244</v>
      </c>
      <c r="FF9" s="239">
        <v>5472</v>
      </c>
      <c r="FG9" s="239">
        <v>-13207</v>
      </c>
      <c r="FH9" s="239">
        <v>-2971</v>
      </c>
      <c r="FI9" s="239">
        <v>-331</v>
      </c>
      <c r="FJ9" s="239">
        <v>0</v>
      </c>
      <c r="FK9" s="239">
        <v>0</v>
      </c>
      <c r="FL9" s="239">
        <v>0</v>
      </c>
      <c r="FM9" s="239">
        <v>0</v>
      </c>
      <c r="FN9" s="239">
        <v>0</v>
      </c>
      <c r="FO9" s="239">
        <v>0</v>
      </c>
      <c r="FP9" s="239">
        <v>0</v>
      </c>
      <c r="FQ9" s="239">
        <v>0</v>
      </c>
      <c r="FR9" s="239">
        <v>0</v>
      </c>
      <c r="FS9" s="239">
        <v>0</v>
      </c>
      <c r="FT9" s="239">
        <v>0</v>
      </c>
      <c r="FU9" s="239">
        <v>0</v>
      </c>
      <c r="FV9" s="239">
        <v>1113539</v>
      </c>
      <c r="FW9" s="239">
        <v>250547</v>
      </c>
      <c r="FX9" s="239">
        <v>27838</v>
      </c>
      <c r="FY9" s="834">
        <v>0.5</v>
      </c>
      <c r="FZ9" s="834">
        <v>0.4</v>
      </c>
      <c r="GA9" s="834">
        <v>0.09</v>
      </c>
      <c r="GB9" s="834">
        <v>0.01</v>
      </c>
      <c r="GC9" s="214" t="s">
        <v>1158</v>
      </c>
    </row>
    <row r="10" spans="2:185" s="214" customFormat="1" x14ac:dyDescent="0.2">
      <c r="B10" s="602" t="s">
        <v>103</v>
      </c>
      <c r="C10" s="602" t="s">
        <v>102</v>
      </c>
      <c r="D10" s="239">
        <v>-53461</v>
      </c>
      <c r="E10" s="239">
        <v>0</v>
      </c>
      <c r="F10" s="239">
        <v>-53461</v>
      </c>
      <c r="G10" s="239">
        <v>490248</v>
      </c>
      <c r="H10" s="239">
        <v>0</v>
      </c>
      <c r="I10" s="239">
        <v>490248</v>
      </c>
      <c r="J10" s="239">
        <v>-543709</v>
      </c>
      <c r="K10" s="239">
        <v>0</v>
      </c>
      <c r="L10" s="239">
        <v>-543709</v>
      </c>
      <c r="M10" s="239">
        <v>181049</v>
      </c>
      <c r="N10" s="239">
        <v>181049</v>
      </c>
      <c r="O10" s="239">
        <v>0</v>
      </c>
      <c r="P10" s="239">
        <v>0</v>
      </c>
      <c r="Q10" s="239">
        <v>0</v>
      </c>
      <c r="R10" s="239">
        <v>0</v>
      </c>
      <c r="S10" s="239">
        <v>100531</v>
      </c>
      <c r="T10" s="239">
        <v>0</v>
      </c>
      <c r="U10" s="239">
        <v>60400</v>
      </c>
      <c r="V10" s="239">
        <v>0</v>
      </c>
      <c r="W10" s="239">
        <v>40131</v>
      </c>
      <c r="X10" s="239">
        <v>0</v>
      </c>
      <c r="Y10" s="239">
        <v>0</v>
      </c>
      <c r="Z10" s="239">
        <v>0</v>
      </c>
      <c r="AA10" s="239">
        <v>0</v>
      </c>
      <c r="AB10" s="239">
        <v>0</v>
      </c>
      <c r="AC10" s="239">
        <v>0</v>
      </c>
      <c r="AD10" s="239">
        <v>0</v>
      </c>
      <c r="AE10" s="239">
        <v>0</v>
      </c>
      <c r="AF10" s="239">
        <v>0</v>
      </c>
      <c r="AG10" s="239">
        <v>0</v>
      </c>
      <c r="AH10" s="239">
        <v>0</v>
      </c>
      <c r="AI10" s="239">
        <v>0</v>
      </c>
      <c r="AJ10" s="239">
        <v>0</v>
      </c>
      <c r="AK10" s="239">
        <v>0</v>
      </c>
      <c r="AL10" s="239">
        <v>0</v>
      </c>
      <c r="AM10" s="239">
        <v>0</v>
      </c>
      <c r="AN10" s="239">
        <v>0</v>
      </c>
      <c r="AO10" s="239">
        <v>0</v>
      </c>
      <c r="AP10" s="239">
        <v>0</v>
      </c>
      <c r="AQ10" s="239">
        <v>0</v>
      </c>
      <c r="AR10" s="239">
        <v>0</v>
      </c>
      <c r="AS10" s="239">
        <v>0</v>
      </c>
      <c r="AT10" s="239">
        <v>0</v>
      </c>
      <c r="AU10" s="239">
        <v>0</v>
      </c>
      <c r="AV10" s="239">
        <v>0</v>
      </c>
      <c r="AW10" s="239">
        <v>0</v>
      </c>
      <c r="AX10" s="239">
        <v>0</v>
      </c>
      <c r="AY10" s="239">
        <v>0</v>
      </c>
      <c r="AZ10" s="239">
        <v>0</v>
      </c>
      <c r="BA10" s="239">
        <v>0</v>
      </c>
      <c r="BB10" s="239">
        <v>0</v>
      </c>
      <c r="BC10" s="239">
        <v>1306629</v>
      </c>
      <c r="BD10" s="239">
        <v>293991</v>
      </c>
      <c r="BE10" s="239">
        <v>32666</v>
      </c>
      <c r="BF10" s="239">
        <v>1274067.0350841202</v>
      </c>
      <c r="BG10" s="239">
        <v>286665.08289392706</v>
      </c>
      <c r="BH10" s="239">
        <v>31851.675877103004</v>
      </c>
      <c r="BI10" s="239">
        <v>82545.178841201719</v>
      </c>
      <c r="BJ10" s="239">
        <v>18572.665239270384</v>
      </c>
      <c r="BK10" s="239">
        <v>2063.6294710300426</v>
      </c>
      <c r="BL10" s="239">
        <v>1122357</v>
      </c>
      <c r="BM10" s="239">
        <v>168634</v>
      </c>
      <c r="BN10" s="239">
        <v>18737</v>
      </c>
      <c r="BO10" s="239">
        <v>184272</v>
      </c>
      <c r="BP10" s="239">
        <v>125357</v>
      </c>
      <c r="BQ10" s="239">
        <v>13929</v>
      </c>
      <c r="BR10" s="239">
        <v>7498</v>
      </c>
      <c r="BS10" s="239">
        <v>1687</v>
      </c>
      <c r="BT10" s="239">
        <v>187</v>
      </c>
      <c r="BU10" s="239">
        <v>2588</v>
      </c>
      <c r="BV10" s="239">
        <v>583</v>
      </c>
      <c r="BW10" s="239">
        <v>65</v>
      </c>
      <c r="BX10" s="239">
        <v>4910</v>
      </c>
      <c r="BY10" s="239">
        <v>1104</v>
      </c>
      <c r="BZ10" s="239">
        <v>122</v>
      </c>
      <c r="CA10" s="239">
        <v>-35</v>
      </c>
      <c r="CB10" s="239">
        <v>-8</v>
      </c>
      <c r="CC10" s="239">
        <v>-1</v>
      </c>
      <c r="CD10" s="239">
        <v>0</v>
      </c>
      <c r="CE10" s="239">
        <v>0</v>
      </c>
      <c r="CF10" s="239">
        <v>0</v>
      </c>
      <c r="CG10" s="239">
        <v>-35</v>
      </c>
      <c r="CH10" s="239">
        <v>-8</v>
      </c>
      <c r="CI10" s="239">
        <v>-1</v>
      </c>
      <c r="CJ10" s="239">
        <v>915</v>
      </c>
      <c r="CK10" s="239">
        <v>206</v>
      </c>
      <c r="CL10" s="239">
        <v>23</v>
      </c>
      <c r="CM10" s="239">
        <v>0</v>
      </c>
      <c r="CN10" s="239">
        <v>0</v>
      </c>
      <c r="CO10" s="239">
        <v>0</v>
      </c>
      <c r="CP10" s="239">
        <v>915</v>
      </c>
      <c r="CQ10" s="239">
        <v>206</v>
      </c>
      <c r="CR10" s="239">
        <v>23</v>
      </c>
      <c r="CS10" s="239">
        <v>-5962</v>
      </c>
      <c r="CT10" s="239">
        <v>-1342</v>
      </c>
      <c r="CU10" s="239">
        <v>-149</v>
      </c>
      <c r="CV10" s="239">
        <v>0</v>
      </c>
      <c r="CW10" s="239">
        <v>0</v>
      </c>
      <c r="CX10" s="239">
        <v>0</v>
      </c>
      <c r="CY10" s="239">
        <v>0</v>
      </c>
      <c r="CZ10" s="239">
        <v>0</v>
      </c>
      <c r="DA10" s="239">
        <v>0</v>
      </c>
      <c r="DB10" s="239">
        <v>0</v>
      </c>
      <c r="DC10" s="239">
        <v>0</v>
      </c>
      <c r="DD10" s="239">
        <v>0</v>
      </c>
      <c r="DE10" s="239">
        <v>0</v>
      </c>
      <c r="DF10" s="239">
        <v>0</v>
      </c>
      <c r="DG10" s="239">
        <v>0</v>
      </c>
      <c r="DH10" s="239">
        <v>4162</v>
      </c>
      <c r="DI10" s="239">
        <v>937</v>
      </c>
      <c r="DJ10" s="239">
        <v>104</v>
      </c>
      <c r="DK10" s="239">
        <v>16500</v>
      </c>
      <c r="DL10" s="239">
        <v>3713</v>
      </c>
      <c r="DM10" s="239">
        <v>413</v>
      </c>
      <c r="DN10" s="239">
        <v>-12338</v>
      </c>
      <c r="DO10" s="239">
        <v>-2776</v>
      </c>
      <c r="DP10" s="239">
        <v>-309</v>
      </c>
      <c r="DQ10" s="239">
        <v>0</v>
      </c>
      <c r="DR10" s="239">
        <v>0</v>
      </c>
      <c r="DS10" s="239">
        <v>0</v>
      </c>
      <c r="DT10" s="239">
        <v>609</v>
      </c>
      <c r="DU10" s="239">
        <v>137</v>
      </c>
      <c r="DV10" s="239">
        <v>15</v>
      </c>
      <c r="DW10" s="239">
        <v>-609</v>
      </c>
      <c r="DX10" s="239">
        <v>-137</v>
      </c>
      <c r="DY10" s="239">
        <v>-15</v>
      </c>
      <c r="DZ10" s="239">
        <v>11398</v>
      </c>
      <c r="EA10" s="239">
        <v>2565</v>
      </c>
      <c r="EB10" s="239">
        <v>285</v>
      </c>
      <c r="EC10" s="239">
        <v>15225</v>
      </c>
      <c r="ED10" s="239">
        <v>0</v>
      </c>
      <c r="EE10" s="239">
        <v>0</v>
      </c>
      <c r="EF10" s="239">
        <v>-3827</v>
      </c>
      <c r="EG10" s="239">
        <v>2565</v>
      </c>
      <c r="EH10" s="239">
        <v>285</v>
      </c>
      <c r="EI10" s="239">
        <v>60840</v>
      </c>
      <c r="EJ10" s="239">
        <v>13689</v>
      </c>
      <c r="EK10" s="239">
        <v>1521</v>
      </c>
      <c r="EL10" s="239">
        <v>175123</v>
      </c>
      <c r="EM10" s="239">
        <v>0</v>
      </c>
      <c r="EN10" s="239">
        <v>0</v>
      </c>
      <c r="EO10" s="239">
        <v>-114283</v>
      </c>
      <c r="EP10" s="239">
        <v>13689</v>
      </c>
      <c r="EQ10" s="239">
        <v>1521</v>
      </c>
      <c r="ER10" s="239">
        <v>27920</v>
      </c>
      <c r="ES10" s="239">
        <v>6282</v>
      </c>
      <c r="ET10" s="239">
        <v>698</v>
      </c>
      <c r="EU10" s="239">
        <v>35526</v>
      </c>
      <c r="EV10" s="239">
        <v>0</v>
      </c>
      <c r="EW10" s="239">
        <v>0</v>
      </c>
      <c r="EX10" s="239">
        <v>-7606</v>
      </c>
      <c r="EY10" s="239">
        <v>6282</v>
      </c>
      <c r="EZ10" s="239">
        <v>698</v>
      </c>
      <c r="FA10" s="239">
        <v>290948</v>
      </c>
      <c r="FB10" s="239">
        <v>65124</v>
      </c>
      <c r="FC10" s="239">
        <v>7236</v>
      </c>
      <c r="FD10" s="239">
        <v>298223</v>
      </c>
      <c r="FE10" s="239">
        <v>66896</v>
      </c>
      <c r="FF10" s="239">
        <v>7433</v>
      </c>
      <c r="FG10" s="239">
        <v>-7275</v>
      </c>
      <c r="FH10" s="239">
        <v>-1772</v>
      </c>
      <c r="FI10" s="239">
        <v>-197</v>
      </c>
      <c r="FJ10" s="239">
        <v>0</v>
      </c>
      <c r="FK10" s="239">
        <v>0</v>
      </c>
      <c r="FL10" s="239">
        <v>0</v>
      </c>
      <c r="FM10" s="239">
        <v>0</v>
      </c>
      <c r="FN10" s="239">
        <v>0</v>
      </c>
      <c r="FO10" s="239">
        <v>0</v>
      </c>
      <c r="FP10" s="239">
        <v>0</v>
      </c>
      <c r="FQ10" s="239">
        <v>0</v>
      </c>
      <c r="FR10" s="239">
        <v>0</v>
      </c>
      <c r="FS10" s="239">
        <v>0</v>
      </c>
      <c r="FT10" s="239">
        <v>0</v>
      </c>
      <c r="FU10" s="239">
        <v>0</v>
      </c>
      <c r="FV10" s="239">
        <v>1704313</v>
      </c>
      <c r="FW10" s="239">
        <v>383131</v>
      </c>
      <c r="FX10" s="239">
        <v>42570</v>
      </c>
      <c r="FY10" s="834">
        <v>0.5</v>
      </c>
      <c r="FZ10" s="834">
        <v>0.4</v>
      </c>
      <c r="GA10" s="834">
        <v>0.09</v>
      </c>
      <c r="GB10" s="834">
        <v>0.01</v>
      </c>
      <c r="GC10" s="214" t="s">
        <v>1158</v>
      </c>
    </row>
    <row r="11" spans="2:185" s="214" customFormat="1" x14ac:dyDescent="0.2">
      <c r="B11" s="602" t="s">
        <v>105</v>
      </c>
      <c r="C11" s="602" t="s">
        <v>104</v>
      </c>
      <c r="D11" s="239">
        <v>-444264</v>
      </c>
      <c r="E11" s="239">
        <v>-4163</v>
      </c>
      <c r="F11" s="239">
        <v>-448427</v>
      </c>
      <c r="G11" s="239">
        <v>-441967</v>
      </c>
      <c r="H11" s="239">
        <v>-8387</v>
      </c>
      <c r="I11" s="239">
        <v>-450354</v>
      </c>
      <c r="J11" s="239">
        <v>-2297</v>
      </c>
      <c r="K11" s="239">
        <v>4224</v>
      </c>
      <c r="L11" s="239">
        <v>1927</v>
      </c>
      <c r="M11" s="239">
        <v>223286</v>
      </c>
      <c r="N11" s="239">
        <v>223286</v>
      </c>
      <c r="O11" s="239">
        <v>0</v>
      </c>
      <c r="P11" s="239">
        <v>282439</v>
      </c>
      <c r="Q11" s="239">
        <v>204367</v>
      </c>
      <c r="R11" s="239">
        <v>78072</v>
      </c>
      <c r="S11" s="239">
        <v>0</v>
      </c>
      <c r="T11" s="239">
        <v>220340</v>
      </c>
      <c r="U11" s="239">
        <v>0</v>
      </c>
      <c r="V11" s="239">
        <v>0</v>
      </c>
      <c r="W11" s="239">
        <v>0</v>
      </c>
      <c r="X11" s="239">
        <v>220340</v>
      </c>
      <c r="Y11" s="239">
        <v>60602</v>
      </c>
      <c r="Z11" s="239">
        <v>60602</v>
      </c>
      <c r="AA11" s="239">
        <v>0</v>
      </c>
      <c r="AB11" s="239">
        <v>0</v>
      </c>
      <c r="AC11" s="239">
        <v>0</v>
      </c>
      <c r="AD11" s="239">
        <v>0</v>
      </c>
      <c r="AE11" s="239">
        <v>0</v>
      </c>
      <c r="AF11" s="239">
        <v>0</v>
      </c>
      <c r="AG11" s="239">
        <v>60602</v>
      </c>
      <c r="AH11" s="239">
        <v>60602</v>
      </c>
      <c r="AI11" s="239">
        <v>0</v>
      </c>
      <c r="AJ11" s="239">
        <v>0</v>
      </c>
      <c r="AK11" s="239">
        <v>0</v>
      </c>
      <c r="AL11" s="239">
        <v>0</v>
      </c>
      <c r="AM11" s="239">
        <v>0</v>
      </c>
      <c r="AN11" s="239">
        <v>0</v>
      </c>
      <c r="AO11" s="239">
        <v>0</v>
      </c>
      <c r="AP11" s="239">
        <v>0</v>
      </c>
      <c r="AQ11" s="239">
        <v>0</v>
      </c>
      <c r="AR11" s="239">
        <v>0</v>
      </c>
      <c r="AS11" s="239">
        <v>0</v>
      </c>
      <c r="AT11" s="239">
        <v>0</v>
      </c>
      <c r="AU11" s="239">
        <v>0</v>
      </c>
      <c r="AV11" s="239">
        <v>0</v>
      </c>
      <c r="AW11" s="239">
        <v>0</v>
      </c>
      <c r="AX11" s="239">
        <v>0</v>
      </c>
      <c r="AY11" s="239">
        <v>0</v>
      </c>
      <c r="AZ11" s="239">
        <v>0</v>
      </c>
      <c r="BA11" s="239">
        <v>0</v>
      </c>
      <c r="BB11" s="239">
        <v>0</v>
      </c>
      <c r="BC11" s="239">
        <v>1529853</v>
      </c>
      <c r="BD11" s="239">
        <v>344217</v>
      </c>
      <c r="BE11" s="239">
        <v>38246</v>
      </c>
      <c r="BF11" s="239">
        <v>1490387.6524866952</v>
      </c>
      <c r="BG11" s="239">
        <v>335337.22180950642</v>
      </c>
      <c r="BH11" s="239">
        <v>37259.691312167372</v>
      </c>
      <c r="BI11" s="239">
        <v>104879.91444034335</v>
      </c>
      <c r="BJ11" s="239">
        <v>22040.772889635191</v>
      </c>
      <c r="BK11" s="239">
        <v>2448.9747655150218</v>
      </c>
      <c r="BL11" s="239">
        <v>1525605</v>
      </c>
      <c r="BM11" s="239">
        <v>218637</v>
      </c>
      <c r="BN11" s="239">
        <v>24293</v>
      </c>
      <c r="BO11" s="239">
        <v>4248</v>
      </c>
      <c r="BP11" s="239">
        <v>125580</v>
      </c>
      <c r="BQ11" s="239">
        <v>13953</v>
      </c>
      <c r="BR11" s="239">
        <v>7815</v>
      </c>
      <c r="BS11" s="239">
        <v>1758</v>
      </c>
      <c r="BT11" s="239">
        <v>195</v>
      </c>
      <c r="BU11" s="239">
        <v>4162</v>
      </c>
      <c r="BV11" s="239">
        <v>936</v>
      </c>
      <c r="BW11" s="239">
        <v>104</v>
      </c>
      <c r="BX11" s="239">
        <v>3653</v>
      </c>
      <c r="BY11" s="239">
        <v>822</v>
      </c>
      <c r="BZ11" s="239">
        <v>91</v>
      </c>
      <c r="CA11" s="239">
        <v>-824</v>
      </c>
      <c r="CB11" s="239">
        <v>-185</v>
      </c>
      <c r="CC11" s="239">
        <v>-21</v>
      </c>
      <c r="CD11" s="239">
        <v>21214</v>
      </c>
      <c r="CE11" s="239">
        <v>4773</v>
      </c>
      <c r="CF11" s="239">
        <v>530</v>
      </c>
      <c r="CG11" s="239">
        <v>-22038</v>
      </c>
      <c r="CH11" s="239">
        <v>-4958</v>
      </c>
      <c r="CI11" s="239">
        <v>-551</v>
      </c>
      <c r="CJ11" s="239">
        <v>7544</v>
      </c>
      <c r="CK11" s="239">
        <v>1697</v>
      </c>
      <c r="CL11" s="239">
        <v>189</v>
      </c>
      <c r="CM11" s="239">
        <v>0</v>
      </c>
      <c r="CN11" s="239">
        <v>0</v>
      </c>
      <c r="CO11" s="239">
        <v>0</v>
      </c>
      <c r="CP11" s="239">
        <v>7544</v>
      </c>
      <c r="CQ11" s="239">
        <v>1697</v>
      </c>
      <c r="CR11" s="239">
        <v>189</v>
      </c>
      <c r="CS11" s="239">
        <v>-459</v>
      </c>
      <c r="CT11" s="239">
        <v>-103</v>
      </c>
      <c r="CU11" s="239">
        <v>-11</v>
      </c>
      <c r="CV11" s="239">
        <v>0</v>
      </c>
      <c r="CW11" s="239">
        <v>0</v>
      </c>
      <c r="CX11" s="239">
        <v>0</v>
      </c>
      <c r="CY11" s="239">
        <v>0</v>
      </c>
      <c r="CZ11" s="239">
        <v>0</v>
      </c>
      <c r="DA11" s="239">
        <v>0</v>
      </c>
      <c r="DB11" s="239">
        <v>0</v>
      </c>
      <c r="DC11" s="239">
        <v>0</v>
      </c>
      <c r="DD11" s="239">
        <v>0</v>
      </c>
      <c r="DE11" s="239">
        <v>0</v>
      </c>
      <c r="DF11" s="239">
        <v>0</v>
      </c>
      <c r="DG11" s="239">
        <v>0</v>
      </c>
      <c r="DH11" s="239">
        <v>20484</v>
      </c>
      <c r="DI11" s="239">
        <v>4609</v>
      </c>
      <c r="DJ11" s="239">
        <v>512</v>
      </c>
      <c r="DK11" s="239">
        <v>0</v>
      </c>
      <c r="DL11" s="239">
        <v>0</v>
      </c>
      <c r="DM11" s="239">
        <v>0</v>
      </c>
      <c r="DN11" s="239">
        <v>20484</v>
      </c>
      <c r="DO11" s="239">
        <v>4609</v>
      </c>
      <c r="DP11" s="239">
        <v>512</v>
      </c>
      <c r="DQ11" s="239">
        <v>0</v>
      </c>
      <c r="DR11" s="239">
        <v>0</v>
      </c>
      <c r="DS11" s="239">
        <v>0</v>
      </c>
      <c r="DT11" s="239">
        <v>609</v>
      </c>
      <c r="DU11" s="239">
        <v>137</v>
      </c>
      <c r="DV11" s="239">
        <v>15</v>
      </c>
      <c r="DW11" s="239">
        <v>-609</v>
      </c>
      <c r="DX11" s="239">
        <v>-137</v>
      </c>
      <c r="DY11" s="239">
        <v>-15</v>
      </c>
      <c r="DZ11" s="239">
        <v>17482</v>
      </c>
      <c r="EA11" s="239">
        <v>3933</v>
      </c>
      <c r="EB11" s="239">
        <v>437</v>
      </c>
      <c r="EC11" s="239">
        <v>23650</v>
      </c>
      <c r="ED11" s="239">
        <v>0</v>
      </c>
      <c r="EE11" s="239">
        <v>0</v>
      </c>
      <c r="EF11" s="239">
        <v>-6168</v>
      </c>
      <c r="EG11" s="239">
        <v>3933</v>
      </c>
      <c r="EH11" s="239">
        <v>437</v>
      </c>
      <c r="EI11" s="239">
        <v>174943</v>
      </c>
      <c r="EJ11" s="239">
        <v>39362</v>
      </c>
      <c r="EK11" s="239">
        <v>4374</v>
      </c>
      <c r="EL11" s="239">
        <v>215442</v>
      </c>
      <c r="EM11" s="239">
        <v>0</v>
      </c>
      <c r="EN11" s="239">
        <v>0</v>
      </c>
      <c r="EO11" s="239">
        <v>-40499</v>
      </c>
      <c r="EP11" s="239">
        <v>39362</v>
      </c>
      <c r="EQ11" s="239">
        <v>4374</v>
      </c>
      <c r="ER11" s="239">
        <v>31745</v>
      </c>
      <c r="ES11" s="239">
        <v>7143</v>
      </c>
      <c r="ET11" s="239">
        <v>794</v>
      </c>
      <c r="EU11" s="239">
        <v>39840</v>
      </c>
      <c r="EV11" s="239">
        <v>0</v>
      </c>
      <c r="EW11" s="239">
        <v>0</v>
      </c>
      <c r="EX11" s="239">
        <v>-8095</v>
      </c>
      <c r="EY11" s="239">
        <v>7143</v>
      </c>
      <c r="EZ11" s="239">
        <v>794</v>
      </c>
      <c r="FA11" s="239">
        <v>306888</v>
      </c>
      <c r="FB11" s="239">
        <v>71405</v>
      </c>
      <c r="FC11" s="239">
        <v>7566</v>
      </c>
      <c r="FD11" s="239">
        <v>315482</v>
      </c>
      <c r="FE11" s="239">
        <v>70293</v>
      </c>
      <c r="FF11" s="239">
        <v>7810</v>
      </c>
      <c r="FG11" s="239">
        <v>-8594</v>
      </c>
      <c r="FH11" s="239">
        <v>1112</v>
      </c>
      <c r="FI11" s="239">
        <v>-244</v>
      </c>
      <c r="FJ11" s="239">
        <v>0</v>
      </c>
      <c r="FK11" s="239">
        <v>0</v>
      </c>
      <c r="FL11" s="239">
        <v>0</v>
      </c>
      <c r="FM11" s="239">
        <v>0</v>
      </c>
      <c r="FN11" s="239">
        <v>0</v>
      </c>
      <c r="FO11" s="239">
        <v>0</v>
      </c>
      <c r="FP11" s="239">
        <v>0</v>
      </c>
      <c r="FQ11" s="239">
        <v>0</v>
      </c>
      <c r="FR11" s="239">
        <v>0</v>
      </c>
      <c r="FS11" s="239">
        <v>0</v>
      </c>
      <c r="FT11" s="239">
        <v>0</v>
      </c>
      <c r="FU11" s="239">
        <v>0</v>
      </c>
      <c r="FV11" s="239">
        <v>2095471</v>
      </c>
      <c r="FW11" s="239">
        <v>473836</v>
      </c>
      <c r="FX11" s="239">
        <v>52281</v>
      </c>
      <c r="FY11" s="834">
        <v>0.5</v>
      </c>
      <c r="FZ11" s="834">
        <v>0.4</v>
      </c>
      <c r="GA11" s="834">
        <v>0.09</v>
      </c>
      <c r="GB11" s="834">
        <v>0.01</v>
      </c>
      <c r="GC11" s="214" t="s">
        <v>1158</v>
      </c>
    </row>
    <row r="12" spans="2:185" s="214" customFormat="1" x14ac:dyDescent="0.2">
      <c r="B12" s="602" t="s">
        <v>107</v>
      </c>
      <c r="C12" s="602" t="s">
        <v>106</v>
      </c>
      <c r="D12" s="239">
        <v>-324377</v>
      </c>
      <c r="E12" s="239">
        <v>0</v>
      </c>
      <c r="F12" s="239">
        <v>-324377</v>
      </c>
      <c r="G12" s="239">
        <v>-282421</v>
      </c>
      <c r="H12" s="239">
        <v>0</v>
      </c>
      <c r="I12" s="239">
        <v>-282421</v>
      </c>
      <c r="J12" s="239">
        <v>-41956</v>
      </c>
      <c r="K12" s="239">
        <v>0</v>
      </c>
      <c r="L12" s="239">
        <v>-41956</v>
      </c>
      <c r="M12" s="239">
        <v>129574</v>
      </c>
      <c r="N12" s="239">
        <v>129574</v>
      </c>
      <c r="O12" s="239">
        <v>0</v>
      </c>
      <c r="P12" s="239">
        <v>0</v>
      </c>
      <c r="Q12" s="239">
        <v>0</v>
      </c>
      <c r="R12" s="239">
        <v>0</v>
      </c>
      <c r="S12" s="239">
        <v>1176</v>
      </c>
      <c r="T12" s="239">
        <v>25203</v>
      </c>
      <c r="U12" s="239">
        <v>2148</v>
      </c>
      <c r="V12" s="239">
        <v>0</v>
      </c>
      <c r="W12" s="239">
        <v>-972</v>
      </c>
      <c r="X12" s="239">
        <v>25203</v>
      </c>
      <c r="Y12" s="239">
        <v>0</v>
      </c>
      <c r="Z12" s="239">
        <v>0</v>
      </c>
      <c r="AA12" s="239">
        <v>0</v>
      </c>
      <c r="AB12" s="239">
        <v>0</v>
      </c>
      <c r="AC12" s="239">
        <v>0</v>
      </c>
      <c r="AD12" s="239">
        <v>0</v>
      </c>
      <c r="AE12" s="239">
        <v>0</v>
      </c>
      <c r="AF12" s="239">
        <v>0</v>
      </c>
      <c r="AG12" s="239">
        <v>0</v>
      </c>
      <c r="AH12" s="239">
        <v>0</v>
      </c>
      <c r="AI12" s="239">
        <v>0</v>
      </c>
      <c r="AJ12" s="239">
        <v>0</v>
      </c>
      <c r="AK12" s="239">
        <v>0</v>
      </c>
      <c r="AL12" s="239">
        <v>0</v>
      </c>
      <c r="AM12" s="239">
        <v>0</v>
      </c>
      <c r="AN12" s="239">
        <v>0</v>
      </c>
      <c r="AO12" s="239">
        <v>0</v>
      </c>
      <c r="AP12" s="239">
        <v>0</v>
      </c>
      <c r="AQ12" s="239">
        <v>0</v>
      </c>
      <c r="AR12" s="239">
        <v>0</v>
      </c>
      <c r="AS12" s="239">
        <v>0</v>
      </c>
      <c r="AT12" s="239">
        <v>0</v>
      </c>
      <c r="AU12" s="239">
        <v>0</v>
      </c>
      <c r="AV12" s="239">
        <v>0</v>
      </c>
      <c r="AW12" s="239">
        <v>0</v>
      </c>
      <c r="AX12" s="239">
        <v>0</v>
      </c>
      <c r="AY12" s="239">
        <v>0</v>
      </c>
      <c r="AZ12" s="239">
        <v>0</v>
      </c>
      <c r="BA12" s="239">
        <v>0</v>
      </c>
      <c r="BB12" s="239">
        <v>0</v>
      </c>
      <c r="BC12" s="239">
        <v>943127</v>
      </c>
      <c r="BD12" s="239">
        <v>235782</v>
      </c>
      <c r="BE12" s="239">
        <v>0</v>
      </c>
      <c r="BF12" s="239">
        <v>924195.1892403434</v>
      </c>
      <c r="BG12" s="239">
        <v>231048.79731008585</v>
      </c>
      <c r="BH12" s="239">
        <v>0</v>
      </c>
      <c r="BI12" s="239">
        <v>60603.409206008582</v>
      </c>
      <c r="BJ12" s="239">
        <v>15150.852301502146</v>
      </c>
      <c r="BK12" s="239">
        <v>0</v>
      </c>
      <c r="BL12" s="239">
        <v>902533</v>
      </c>
      <c r="BM12" s="239">
        <v>153753</v>
      </c>
      <c r="BN12" s="239">
        <v>0</v>
      </c>
      <c r="BO12" s="239">
        <v>40594</v>
      </c>
      <c r="BP12" s="239">
        <v>82029</v>
      </c>
      <c r="BQ12" s="239">
        <v>0</v>
      </c>
      <c r="BR12" s="239">
        <v>13106</v>
      </c>
      <c r="BS12" s="239">
        <v>3277</v>
      </c>
      <c r="BT12" s="239">
        <v>0</v>
      </c>
      <c r="BU12" s="239">
        <v>12926</v>
      </c>
      <c r="BV12" s="239">
        <v>3232</v>
      </c>
      <c r="BW12" s="239">
        <v>0</v>
      </c>
      <c r="BX12" s="239">
        <v>180</v>
      </c>
      <c r="BY12" s="239">
        <v>45</v>
      </c>
      <c r="BZ12" s="239">
        <v>0</v>
      </c>
      <c r="CA12" s="239">
        <v>2011</v>
      </c>
      <c r="CB12" s="239">
        <v>503</v>
      </c>
      <c r="CC12" s="239">
        <v>0</v>
      </c>
      <c r="CD12" s="239">
        <v>3611</v>
      </c>
      <c r="CE12" s="239">
        <v>903</v>
      </c>
      <c r="CF12" s="239">
        <v>0</v>
      </c>
      <c r="CG12" s="239">
        <v>-1600</v>
      </c>
      <c r="CH12" s="239">
        <v>-400</v>
      </c>
      <c r="CI12" s="239">
        <v>0</v>
      </c>
      <c r="CJ12" s="239">
        <v>405</v>
      </c>
      <c r="CK12" s="239">
        <v>101</v>
      </c>
      <c r="CL12" s="239">
        <v>0</v>
      </c>
      <c r="CM12" s="239">
        <v>5967</v>
      </c>
      <c r="CN12" s="239">
        <v>1492</v>
      </c>
      <c r="CO12" s="239">
        <v>0</v>
      </c>
      <c r="CP12" s="239">
        <v>-5562</v>
      </c>
      <c r="CQ12" s="239">
        <v>-1391</v>
      </c>
      <c r="CR12" s="239">
        <v>0</v>
      </c>
      <c r="CS12" s="239">
        <v>-1549</v>
      </c>
      <c r="CT12" s="239">
        <v>-387</v>
      </c>
      <c r="CU12" s="239">
        <v>0</v>
      </c>
      <c r="CV12" s="239">
        <v>0</v>
      </c>
      <c r="CW12" s="239">
        <v>0</v>
      </c>
      <c r="CX12" s="239">
        <v>0</v>
      </c>
      <c r="CY12" s="239">
        <v>0</v>
      </c>
      <c r="CZ12" s="239">
        <v>0</v>
      </c>
      <c r="DA12" s="239">
        <v>0</v>
      </c>
      <c r="DB12" s="239">
        <v>0</v>
      </c>
      <c r="DC12" s="239">
        <v>0</v>
      </c>
      <c r="DD12" s="239">
        <v>0</v>
      </c>
      <c r="DE12" s="239">
        <v>0</v>
      </c>
      <c r="DF12" s="239">
        <v>0</v>
      </c>
      <c r="DG12" s="239">
        <v>0</v>
      </c>
      <c r="DH12" s="239">
        <v>28665</v>
      </c>
      <c r="DI12" s="239">
        <v>7166</v>
      </c>
      <c r="DJ12" s="239">
        <v>0</v>
      </c>
      <c r="DK12" s="239">
        <v>35653</v>
      </c>
      <c r="DL12" s="239">
        <v>8913</v>
      </c>
      <c r="DM12" s="239">
        <v>0</v>
      </c>
      <c r="DN12" s="239">
        <v>-6988</v>
      </c>
      <c r="DO12" s="239">
        <v>-1747</v>
      </c>
      <c r="DP12" s="239">
        <v>0</v>
      </c>
      <c r="DQ12" s="239">
        <v>609</v>
      </c>
      <c r="DR12" s="239">
        <v>152</v>
      </c>
      <c r="DS12" s="239">
        <v>0</v>
      </c>
      <c r="DT12" s="239">
        <v>1218</v>
      </c>
      <c r="DU12" s="239">
        <v>305</v>
      </c>
      <c r="DV12" s="239">
        <v>0</v>
      </c>
      <c r="DW12" s="239">
        <v>-609</v>
      </c>
      <c r="DX12" s="239">
        <v>-153</v>
      </c>
      <c r="DY12" s="239">
        <v>0</v>
      </c>
      <c r="DZ12" s="239">
        <v>16724</v>
      </c>
      <c r="EA12" s="239">
        <v>4181</v>
      </c>
      <c r="EB12" s="239">
        <v>0</v>
      </c>
      <c r="EC12" s="239">
        <v>22123</v>
      </c>
      <c r="ED12" s="239">
        <v>0</v>
      </c>
      <c r="EE12" s="239">
        <v>0</v>
      </c>
      <c r="EF12" s="239">
        <v>-5399</v>
      </c>
      <c r="EG12" s="239">
        <v>4181</v>
      </c>
      <c r="EH12" s="239">
        <v>0</v>
      </c>
      <c r="EI12" s="239">
        <v>72291</v>
      </c>
      <c r="EJ12" s="239">
        <v>18073</v>
      </c>
      <c r="EK12" s="239">
        <v>0</v>
      </c>
      <c r="EL12" s="239">
        <v>89026</v>
      </c>
      <c r="EM12" s="239">
        <v>0</v>
      </c>
      <c r="EN12" s="239">
        <v>0</v>
      </c>
      <c r="EO12" s="239">
        <v>-16735</v>
      </c>
      <c r="EP12" s="239">
        <v>18073</v>
      </c>
      <c r="EQ12" s="239">
        <v>0</v>
      </c>
      <c r="ER12" s="239">
        <v>20390</v>
      </c>
      <c r="ES12" s="239">
        <v>5098</v>
      </c>
      <c r="ET12" s="239">
        <v>0</v>
      </c>
      <c r="EU12" s="239">
        <v>25615</v>
      </c>
      <c r="EV12" s="239">
        <v>0</v>
      </c>
      <c r="EW12" s="239">
        <v>0</v>
      </c>
      <c r="EX12" s="239">
        <v>-5225</v>
      </c>
      <c r="EY12" s="239">
        <v>5098</v>
      </c>
      <c r="EZ12" s="239">
        <v>0</v>
      </c>
      <c r="FA12" s="239">
        <v>128583</v>
      </c>
      <c r="FB12" s="239">
        <v>32520</v>
      </c>
      <c r="FC12" s="239">
        <v>0</v>
      </c>
      <c r="FD12" s="239">
        <v>136252</v>
      </c>
      <c r="FE12" s="239">
        <v>34055</v>
      </c>
      <c r="FF12" s="239">
        <v>0</v>
      </c>
      <c r="FG12" s="239">
        <v>-7669</v>
      </c>
      <c r="FH12" s="239">
        <v>-1535</v>
      </c>
      <c r="FI12" s="239">
        <v>0</v>
      </c>
      <c r="FJ12" s="239">
        <v>0</v>
      </c>
      <c r="FK12" s="239">
        <v>0</v>
      </c>
      <c r="FL12" s="239">
        <v>0</v>
      </c>
      <c r="FM12" s="239">
        <v>0</v>
      </c>
      <c r="FN12" s="239">
        <v>0</v>
      </c>
      <c r="FO12" s="239">
        <v>0</v>
      </c>
      <c r="FP12" s="239">
        <v>0</v>
      </c>
      <c r="FQ12" s="239">
        <v>0</v>
      </c>
      <c r="FR12" s="239">
        <v>0</v>
      </c>
      <c r="FS12" s="239">
        <v>0</v>
      </c>
      <c r="FT12" s="239">
        <v>0</v>
      </c>
      <c r="FU12" s="239">
        <v>0</v>
      </c>
      <c r="FV12" s="239">
        <v>1224362</v>
      </c>
      <c r="FW12" s="239">
        <v>306466</v>
      </c>
      <c r="FX12" s="239">
        <v>0</v>
      </c>
      <c r="FY12" s="834">
        <v>0.5</v>
      </c>
      <c r="FZ12" s="834">
        <v>0.4</v>
      </c>
      <c r="GA12" s="834">
        <v>0.1</v>
      </c>
      <c r="GB12" s="834">
        <v>0</v>
      </c>
      <c r="GC12" s="214" t="s">
        <v>1158</v>
      </c>
    </row>
    <row r="13" spans="2:185" s="214" customFormat="1" x14ac:dyDescent="0.2">
      <c r="B13" s="602" t="s">
        <v>109</v>
      </c>
      <c r="C13" s="602" t="s">
        <v>108</v>
      </c>
      <c r="D13" s="239">
        <v>-3934871</v>
      </c>
      <c r="E13" s="239">
        <v>0</v>
      </c>
      <c r="F13" s="239">
        <v>-3934871</v>
      </c>
      <c r="G13" s="239">
        <v>801540</v>
      </c>
      <c r="H13" s="239">
        <v>0</v>
      </c>
      <c r="I13" s="239">
        <v>801540</v>
      </c>
      <c r="J13" s="239">
        <v>-4736411</v>
      </c>
      <c r="K13" s="239">
        <v>0</v>
      </c>
      <c r="L13" s="239">
        <v>-4736411</v>
      </c>
      <c r="M13" s="239">
        <v>203037</v>
      </c>
      <c r="N13" s="239">
        <v>203037</v>
      </c>
      <c r="O13" s="239">
        <v>0</v>
      </c>
      <c r="P13" s="239">
        <v>0</v>
      </c>
      <c r="Q13" s="239">
        <v>0</v>
      </c>
      <c r="R13" s="239">
        <v>0</v>
      </c>
      <c r="S13" s="239">
        <v>0</v>
      </c>
      <c r="T13" s="239">
        <v>0</v>
      </c>
      <c r="U13" s="239">
        <v>0</v>
      </c>
      <c r="V13" s="239">
        <v>0</v>
      </c>
      <c r="W13" s="239">
        <v>0</v>
      </c>
      <c r="X13" s="239">
        <v>0</v>
      </c>
      <c r="Y13" s="239">
        <v>0</v>
      </c>
      <c r="Z13" s="239">
        <v>0</v>
      </c>
      <c r="AA13" s="239">
        <v>0</v>
      </c>
      <c r="AB13" s="239">
        <v>0</v>
      </c>
      <c r="AC13" s="239">
        <v>0</v>
      </c>
      <c r="AD13" s="239">
        <v>0</v>
      </c>
      <c r="AE13" s="239">
        <v>0</v>
      </c>
      <c r="AF13" s="239">
        <v>0</v>
      </c>
      <c r="AG13" s="239">
        <v>0</v>
      </c>
      <c r="AH13" s="239">
        <v>0</v>
      </c>
      <c r="AI13" s="239">
        <v>0</v>
      </c>
      <c r="AJ13" s="239">
        <v>0</v>
      </c>
      <c r="AK13" s="239">
        <v>0</v>
      </c>
      <c r="AL13" s="239">
        <v>0</v>
      </c>
      <c r="AM13" s="239">
        <v>0</v>
      </c>
      <c r="AN13" s="239">
        <v>0</v>
      </c>
      <c r="AO13" s="239">
        <v>0</v>
      </c>
      <c r="AP13" s="239">
        <v>0</v>
      </c>
      <c r="AQ13" s="239">
        <v>0</v>
      </c>
      <c r="AR13" s="239">
        <v>0</v>
      </c>
      <c r="AS13" s="239">
        <v>0</v>
      </c>
      <c r="AT13" s="239">
        <v>0</v>
      </c>
      <c r="AU13" s="239">
        <v>0</v>
      </c>
      <c r="AV13" s="239">
        <v>0</v>
      </c>
      <c r="AW13" s="239">
        <v>0</v>
      </c>
      <c r="AX13" s="239">
        <v>0</v>
      </c>
      <c r="AY13" s="239">
        <v>0</v>
      </c>
      <c r="AZ13" s="239">
        <v>0</v>
      </c>
      <c r="BA13" s="239">
        <v>0</v>
      </c>
      <c r="BB13" s="239">
        <v>0</v>
      </c>
      <c r="BC13" s="239">
        <v>1020142</v>
      </c>
      <c r="BD13" s="239">
        <v>1258176</v>
      </c>
      <c r="BE13" s="239">
        <v>0</v>
      </c>
      <c r="BF13" s="239">
        <v>1000662.1986135192</v>
      </c>
      <c r="BG13" s="239">
        <v>1234150.0449566741</v>
      </c>
      <c r="BH13" s="239">
        <v>0</v>
      </c>
      <c r="BI13" s="239">
        <v>19480.155325107313</v>
      </c>
      <c r="BJ13" s="239">
        <v>24025.524900965687</v>
      </c>
      <c r="BK13" s="239">
        <v>0</v>
      </c>
      <c r="BL13" s="239">
        <v>1293578</v>
      </c>
      <c r="BM13" s="239">
        <v>717405</v>
      </c>
      <c r="BN13" s="239">
        <v>0</v>
      </c>
      <c r="BO13" s="239">
        <v>-273436</v>
      </c>
      <c r="BP13" s="239">
        <v>540771</v>
      </c>
      <c r="BQ13" s="239">
        <v>0</v>
      </c>
      <c r="BR13" s="239">
        <v>4142</v>
      </c>
      <c r="BS13" s="239">
        <v>5108</v>
      </c>
      <c r="BT13" s="239">
        <v>0</v>
      </c>
      <c r="BU13" s="239">
        <v>2018</v>
      </c>
      <c r="BV13" s="239">
        <v>2489</v>
      </c>
      <c r="BW13" s="239">
        <v>0</v>
      </c>
      <c r="BX13" s="239">
        <v>2124</v>
      </c>
      <c r="BY13" s="239">
        <v>2619</v>
      </c>
      <c r="BZ13" s="239">
        <v>0</v>
      </c>
      <c r="CA13" s="239">
        <v>0</v>
      </c>
      <c r="CB13" s="239">
        <v>0</v>
      </c>
      <c r="CC13" s="239">
        <v>0</v>
      </c>
      <c r="CD13" s="239">
        <v>0</v>
      </c>
      <c r="CE13" s="239">
        <v>0</v>
      </c>
      <c r="CF13" s="239">
        <v>0</v>
      </c>
      <c r="CG13" s="239">
        <v>0</v>
      </c>
      <c r="CH13" s="239">
        <v>0</v>
      </c>
      <c r="CI13" s="239">
        <v>0</v>
      </c>
      <c r="CJ13" s="239">
        <v>0</v>
      </c>
      <c r="CK13" s="239">
        <v>0</v>
      </c>
      <c r="CL13" s="239">
        <v>0</v>
      </c>
      <c r="CM13" s="239">
        <v>63244</v>
      </c>
      <c r="CN13" s="239">
        <v>78000</v>
      </c>
      <c r="CO13" s="239">
        <v>0</v>
      </c>
      <c r="CP13" s="239">
        <v>-63244</v>
      </c>
      <c r="CQ13" s="239">
        <v>-78000</v>
      </c>
      <c r="CR13" s="239">
        <v>0</v>
      </c>
      <c r="CS13" s="239">
        <v>0</v>
      </c>
      <c r="CT13" s="239">
        <v>0</v>
      </c>
      <c r="CU13" s="239">
        <v>0</v>
      </c>
      <c r="CV13" s="239">
        <v>0</v>
      </c>
      <c r="CW13" s="239">
        <v>0</v>
      </c>
      <c r="CX13" s="239">
        <v>0</v>
      </c>
      <c r="CY13" s="239">
        <v>0</v>
      </c>
      <c r="CZ13" s="239">
        <v>0</v>
      </c>
      <c r="DA13" s="239">
        <v>0</v>
      </c>
      <c r="DB13" s="239">
        <v>0</v>
      </c>
      <c r="DC13" s="239">
        <v>0</v>
      </c>
      <c r="DD13" s="239">
        <v>0</v>
      </c>
      <c r="DE13" s="239">
        <v>0</v>
      </c>
      <c r="DF13" s="239">
        <v>0</v>
      </c>
      <c r="DG13" s="239">
        <v>0</v>
      </c>
      <c r="DH13" s="239">
        <v>0</v>
      </c>
      <c r="DI13" s="239">
        <v>0</v>
      </c>
      <c r="DJ13" s="239">
        <v>0</v>
      </c>
      <c r="DK13" s="239">
        <v>0</v>
      </c>
      <c r="DL13" s="239">
        <v>0</v>
      </c>
      <c r="DM13" s="239">
        <v>0</v>
      </c>
      <c r="DN13" s="239">
        <v>0</v>
      </c>
      <c r="DO13" s="239">
        <v>0</v>
      </c>
      <c r="DP13" s="239">
        <v>0</v>
      </c>
      <c r="DQ13" s="239">
        <v>0</v>
      </c>
      <c r="DR13" s="239">
        <v>0</v>
      </c>
      <c r="DS13" s="239">
        <v>0</v>
      </c>
      <c r="DT13" s="239">
        <v>0</v>
      </c>
      <c r="DU13" s="239">
        <v>0</v>
      </c>
      <c r="DV13" s="239">
        <v>0</v>
      </c>
      <c r="DW13" s="239">
        <v>0</v>
      </c>
      <c r="DX13" s="239">
        <v>0</v>
      </c>
      <c r="DY13" s="239">
        <v>0</v>
      </c>
      <c r="DZ13" s="239">
        <v>9113</v>
      </c>
      <c r="EA13" s="239">
        <v>11239</v>
      </c>
      <c r="EB13" s="239">
        <v>0</v>
      </c>
      <c r="EC13" s="239">
        <v>29243</v>
      </c>
      <c r="ED13" s="239">
        <v>0</v>
      </c>
      <c r="EE13" s="239">
        <v>0</v>
      </c>
      <c r="EF13" s="239">
        <v>-20130</v>
      </c>
      <c r="EG13" s="239">
        <v>11239</v>
      </c>
      <c r="EH13" s="239">
        <v>0</v>
      </c>
      <c r="EI13" s="239">
        <v>151715</v>
      </c>
      <c r="EJ13" s="239">
        <v>187115</v>
      </c>
      <c r="EK13" s="239">
        <v>0</v>
      </c>
      <c r="EL13" s="239">
        <v>355335</v>
      </c>
      <c r="EM13" s="239">
        <v>0</v>
      </c>
      <c r="EN13" s="239">
        <v>0</v>
      </c>
      <c r="EO13" s="239">
        <v>-203620</v>
      </c>
      <c r="EP13" s="239">
        <v>187115</v>
      </c>
      <c r="EQ13" s="239">
        <v>0</v>
      </c>
      <c r="ER13" s="239">
        <v>3287</v>
      </c>
      <c r="ES13" s="239">
        <v>4054</v>
      </c>
      <c r="ET13" s="239">
        <v>0</v>
      </c>
      <c r="EU13" s="239">
        <v>13601</v>
      </c>
      <c r="EV13" s="239">
        <v>0</v>
      </c>
      <c r="EW13" s="239">
        <v>0</v>
      </c>
      <c r="EX13" s="239">
        <v>-10314</v>
      </c>
      <c r="EY13" s="239">
        <v>4054</v>
      </c>
      <c r="EZ13" s="239">
        <v>0</v>
      </c>
      <c r="FA13" s="239">
        <v>239211</v>
      </c>
      <c r="FB13" s="239">
        <v>295026</v>
      </c>
      <c r="FC13" s="239">
        <v>0</v>
      </c>
      <c r="FD13" s="239">
        <v>257157</v>
      </c>
      <c r="FE13" s="239">
        <v>317160</v>
      </c>
      <c r="FF13" s="239">
        <v>0</v>
      </c>
      <c r="FG13" s="239">
        <v>-17946</v>
      </c>
      <c r="FH13" s="239">
        <v>-22134</v>
      </c>
      <c r="FI13" s="239">
        <v>0</v>
      </c>
      <c r="FJ13" s="239">
        <v>0</v>
      </c>
      <c r="FK13" s="239">
        <v>0</v>
      </c>
      <c r="FL13" s="239">
        <v>0</v>
      </c>
      <c r="FM13" s="239">
        <v>0</v>
      </c>
      <c r="FN13" s="239">
        <v>0</v>
      </c>
      <c r="FO13" s="239">
        <v>0</v>
      </c>
      <c r="FP13" s="239">
        <v>0</v>
      </c>
      <c r="FQ13" s="239">
        <v>0</v>
      </c>
      <c r="FR13" s="239">
        <v>0</v>
      </c>
      <c r="FS13" s="239">
        <v>0</v>
      </c>
      <c r="FT13" s="239">
        <v>0</v>
      </c>
      <c r="FU13" s="239">
        <v>0</v>
      </c>
      <c r="FV13" s="239">
        <v>1427610</v>
      </c>
      <c r="FW13" s="239">
        <v>1760718</v>
      </c>
      <c r="FX13" s="239">
        <v>0</v>
      </c>
      <c r="FY13" s="834">
        <v>0.33000000000000007</v>
      </c>
      <c r="FZ13" s="834">
        <v>0.3</v>
      </c>
      <c r="GA13" s="834">
        <v>0.37</v>
      </c>
      <c r="GB13" s="834">
        <v>0</v>
      </c>
      <c r="GC13" s="214" t="s">
        <v>1159</v>
      </c>
    </row>
    <row r="14" spans="2:185" s="214" customFormat="1" x14ac:dyDescent="0.2">
      <c r="B14" s="602" t="s">
        <v>111</v>
      </c>
      <c r="C14" s="602" t="s">
        <v>110</v>
      </c>
      <c r="D14" s="239">
        <v>2571824</v>
      </c>
      <c r="E14" s="239">
        <v>0</v>
      </c>
      <c r="F14" s="239">
        <v>2571824</v>
      </c>
      <c r="G14" s="239">
        <v>2533567</v>
      </c>
      <c r="H14" s="239">
        <v>0</v>
      </c>
      <c r="I14" s="239">
        <v>2533567</v>
      </c>
      <c r="J14" s="239">
        <v>38257</v>
      </c>
      <c r="K14" s="239">
        <v>0</v>
      </c>
      <c r="L14" s="239">
        <v>38257</v>
      </c>
      <c r="M14" s="239">
        <v>417570</v>
      </c>
      <c r="N14" s="239">
        <v>417570</v>
      </c>
      <c r="O14" s="239">
        <v>0</v>
      </c>
      <c r="P14" s="239">
        <v>0</v>
      </c>
      <c r="Q14" s="239">
        <v>0</v>
      </c>
      <c r="R14" s="239">
        <v>0</v>
      </c>
      <c r="S14" s="239">
        <v>0</v>
      </c>
      <c r="T14" s="239">
        <v>0</v>
      </c>
      <c r="U14" s="239">
        <v>0</v>
      </c>
      <c r="V14" s="239">
        <v>0</v>
      </c>
      <c r="W14" s="239">
        <v>0</v>
      </c>
      <c r="X14" s="239">
        <v>0</v>
      </c>
      <c r="Y14" s="239">
        <v>0</v>
      </c>
      <c r="Z14" s="239">
        <v>0</v>
      </c>
      <c r="AA14" s="239">
        <v>0</v>
      </c>
      <c r="AB14" s="239">
        <v>0</v>
      </c>
      <c r="AC14" s="239">
        <v>0</v>
      </c>
      <c r="AD14" s="239">
        <v>0</v>
      </c>
      <c r="AE14" s="239">
        <v>0</v>
      </c>
      <c r="AF14" s="239">
        <v>0</v>
      </c>
      <c r="AG14" s="239">
        <v>0</v>
      </c>
      <c r="AH14" s="239">
        <v>0</v>
      </c>
      <c r="AI14" s="239">
        <v>0</v>
      </c>
      <c r="AJ14" s="239">
        <v>0</v>
      </c>
      <c r="AK14" s="239">
        <v>0</v>
      </c>
      <c r="AL14" s="239">
        <v>0</v>
      </c>
      <c r="AM14" s="239">
        <v>0</v>
      </c>
      <c r="AN14" s="239">
        <v>0</v>
      </c>
      <c r="AO14" s="239">
        <v>0</v>
      </c>
      <c r="AP14" s="239">
        <v>0</v>
      </c>
      <c r="AQ14" s="239">
        <v>0</v>
      </c>
      <c r="AR14" s="239">
        <v>0</v>
      </c>
      <c r="AS14" s="239">
        <v>0</v>
      </c>
      <c r="AT14" s="239">
        <v>0</v>
      </c>
      <c r="AU14" s="239">
        <v>0</v>
      </c>
      <c r="AV14" s="239">
        <v>0</v>
      </c>
      <c r="AW14" s="239">
        <v>0</v>
      </c>
      <c r="AX14" s="239">
        <v>0</v>
      </c>
      <c r="AY14" s="239">
        <v>0</v>
      </c>
      <c r="AZ14" s="239">
        <v>0</v>
      </c>
      <c r="BA14" s="239">
        <v>0</v>
      </c>
      <c r="BB14" s="239">
        <v>0</v>
      </c>
      <c r="BC14" s="239">
        <v>1655515</v>
      </c>
      <c r="BD14" s="239">
        <v>2041802</v>
      </c>
      <c r="BE14" s="239">
        <v>0</v>
      </c>
      <c r="BF14" s="239">
        <v>1609641.4819133047</v>
      </c>
      <c r="BG14" s="239">
        <v>1985224.4943597426</v>
      </c>
      <c r="BH14" s="239">
        <v>0</v>
      </c>
      <c r="BI14" s="239">
        <v>146228.30018240341</v>
      </c>
      <c r="BJ14" s="239">
        <v>173867.04574356222</v>
      </c>
      <c r="BK14" s="239">
        <v>0</v>
      </c>
      <c r="BL14" s="239">
        <v>2014948</v>
      </c>
      <c r="BM14" s="239">
        <v>1059987</v>
      </c>
      <c r="BN14" s="239">
        <v>0</v>
      </c>
      <c r="BO14" s="239">
        <v>-359433</v>
      </c>
      <c r="BP14" s="239">
        <v>981815</v>
      </c>
      <c r="BQ14" s="239">
        <v>0</v>
      </c>
      <c r="BR14" s="239">
        <v>0</v>
      </c>
      <c r="BS14" s="239">
        <v>0</v>
      </c>
      <c r="BT14" s="239">
        <v>0</v>
      </c>
      <c r="BU14" s="239">
        <v>0</v>
      </c>
      <c r="BV14" s="239">
        <v>0</v>
      </c>
      <c r="BW14" s="239">
        <v>0</v>
      </c>
      <c r="BX14" s="239">
        <v>0</v>
      </c>
      <c r="BY14" s="239">
        <v>0</v>
      </c>
      <c r="BZ14" s="239">
        <v>0</v>
      </c>
      <c r="CA14" s="239">
        <v>0</v>
      </c>
      <c r="CB14" s="239">
        <v>0</v>
      </c>
      <c r="CC14" s="239">
        <v>0</v>
      </c>
      <c r="CD14" s="239">
        <v>0</v>
      </c>
      <c r="CE14" s="239">
        <v>0</v>
      </c>
      <c r="CF14" s="239">
        <v>0</v>
      </c>
      <c r="CG14" s="239">
        <v>0</v>
      </c>
      <c r="CH14" s="239">
        <v>0</v>
      </c>
      <c r="CI14" s="239">
        <v>0</v>
      </c>
      <c r="CJ14" s="239">
        <v>1759</v>
      </c>
      <c r="CK14" s="239">
        <v>2169</v>
      </c>
      <c r="CL14" s="239">
        <v>0</v>
      </c>
      <c r="CM14" s="239">
        <v>984</v>
      </c>
      <c r="CN14" s="239">
        <v>1213</v>
      </c>
      <c r="CO14" s="239">
        <v>0</v>
      </c>
      <c r="CP14" s="239">
        <v>775</v>
      </c>
      <c r="CQ14" s="239">
        <v>956</v>
      </c>
      <c r="CR14" s="239">
        <v>0</v>
      </c>
      <c r="CS14" s="239">
        <v>-3345</v>
      </c>
      <c r="CT14" s="239">
        <v>-4126</v>
      </c>
      <c r="CU14" s="239">
        <v>0</v>
      </c>
      <c r="CV14" s="239">
        <v>0</v>
      </c>
      <c r="CW14" s="239">
        <v>0</v>
      </c>
      <c r="CX14" s="239">
        <v>0</v>
      </c>
      <c r="CY14" s="239">
        <v>0</v>
      </c>
      <c r="CZ14" s="239">
        <v>0</v>
      </c>
      <c r="DA14" s="239">
        <v>0</v>
      </c>
      <c r="DB14" s="239">
        <v>0</v>
      </c>
      <c r="DC14" s="239">
        <v>0</v>
      </c>
      <c r="DD14" s="239">
        <v>0</v>
      </c>
      <c r="DE14" s="239">
        <v>-37</v>
      </c>
      <c r="DF14" s="239">
        <v>-45</v>
      </c>
      <c r="DG14" s="239">
        <v>0</v>
      </c>
      <c r="DH14" s="239">
        <v>0</v>
      </c>
      <c r="DI14" s="239">
        <v>0</v>
      </c>
      <c r="DJ14" s="239">
        <v>0</v>
      </c>
      <c r="DK14" s="239">
        <v>0</v>
      </c>
      <c r="DL14" s="239">
        <v>0</v>
      </c>
      <c r="DM14" s="239">
        <v>0</v>
      </c>
      <c r="DN14" s="239">
        <v>0</v>
      </c>
      <c r="DO14" s="239">
        <v>0</v>
      </c>
      <c r="DP14" s="239">
        <v>0</v>
      </c>
      <c r="DQ14" s="239">
        <v>0</v>
      </c>
      <c r="DR14" s="239">
        <v>0</v>
      </c>
      <c r="DS14" s="239">
        <v>0</v>
      </c>
      <c r="DT14" s="239">
        <v>0</v>
      </c>
      <c r="DU14" s="239">
        <v>0</v>
      </c>
      <c r="DV14" s="239">
        <v>0</v>
      </c>
      <c r="DW14" s="239">
        <v>0</v>
      </c>
      <c r="DX14" s="239">
        <v>0</v>
      </c>
      <c r="DY14" s="239">
        <v>0</v>
      </c>
      <c r="DZ14" s="239">
        <v>50076</v>
      </c>
      <c r="EA14" s="239">
        <v>61761</v>
      </c>
      <c r="EB14" s="239">
        <v>0</v>
      </c>
      <c r="EC14" s="239">
        <v>114413</v>
      </c>
      <c r="ED14" s="239">
        <v>0</v>
      </c>
      <c r="EE14" s="239">
        <v>0</v>
      </c>
      <c r="EF14" s="239">
        <v>-64337</v>
      </c>
      <c r="EG14" s="239">
        <v>61761</v>
      </c>
      <c r="EH14" s="239">
        <v>0</v>
      </c>
      <c r="EI14" s="239">
        <v>283028</v>
      </c>
      <c r="EJ14" s="239">
        <v>349068</v>
      </c>
      <c r="EK14" s="239">
        <v>0</v>
      </c>
      <c r="EL14" s="239">
        <v>927062</v>
      </c>
      <c r="EM14" s="239">
        <v>0</v>
      </c>
      <c r="EN14" s="239">
        <v>0</v>
      </c>
      <c r="EO14" s="239">
        <v>-644034</v>
      </c>
      <c r="EP14" s="239">
        <v>349068</v>
      </c>
      <c r="EQ14" s="239">
        <v>0</v>
      </c>
      <c r="ER14" s="239">
        <v>7680</v>
      </c>
      <c r="ES14" s="239">
        <v>9472</v>
      </c>
      <c r="ET14" s="239">
        <v>0</v>
      </c>
      <c r="EU14" s="239">
        <v>46924</v>
      </c>
      <c r="EV14" s="239">
        <v>0</v>
      </c>
      <c r="EW14" s="239">
        <v>0</v>
      </c>
      <c r="EX14" s="239">
        <v>-39244</v>
      </c>
      <c r="EY14" s="239">
        <v>9472</v>
      </c>
      <c r="EZ14" s="239">
        <v>0</v>
      </c>
      <c r="FA14" s="239">
        <v>487492</v>
      </c>
      <c r="FB14" s="239">
        <v>601240</v>
      </c>
      <c r="FC14" s="239">
        <v>0</v>
      </c>
      <c r="FD14" s="239">
        <v>523185</v>
      </c>
      <c r="FE14" s="239">
        <v>645261</v>
      </c>
      <c r="FF14" s="239">
        <v>0</v>
      </c>
      <c r="FG14" s="239">
        <v>-35693</v>
      </c>
      <c r="FH14" s="239">
        <v>-44021</v>
      </c>
      <c r="FI14" s="239">
        <v>0</v>
      </c>
      <c r="FJ14" s="239">
        <v>0</v>
      </c>
      <c r="FK14" s="239">
        <v>0</v>
      </c>
      <c r="FL14" s="239">
        <v>0</v>
      </c>
      <c r="FM14" s="239">
        <v>0</v>
      </c>
      <c r="FN14" s="239">
        <v>0</v>
      </c>
      <c r="FO14" s="239">
        <v>0</v>
      </c>
      <c r="FP14" s="239">
        <v>0</v>
      </c>
      <c r="FQ14" s="239">
        <v>0</v>
      </c>
      <c r="FR14" s="239">
        <v>0</v>
      </c>
      <c r="FS14" s="239">
        <v>0</v>
      </c>
      <c r="FT14" s="239">
        <v>0</v>
      </c>
      <c r="FU14" s="239">
        <v>0</v>
      </c>
      <c r="FV14" s="239">
        <v>2482168</v>
      </c>
      <c r="FW14" s="239">
        <v>3061341</v>
      </c>
      <c r="FX14" s="239">
        <v>0</v>
      </c>
      <c r="FY14" s="834">
        <v>0.33000000000000007</v>
      </c>
      <c r="FZ14" s="834">
        <v>0.3</v>
      </c>
      <c r="GA14" s="834">
        <v>0.37</v>
      </c>
      <c r="GB14" s="834">
        <v>0</v>
      </c>
      <c r="GC14" s="214" t="s">
        <v>1159</v>
      </c>
    </row>
    <row r="15" spans="2:185" s="214" customFormat="1" x14ac:dyDescent="0.2">
      <c r="B15" s="602" t="s">
        <v>113</v>
      </c>
      <c r="C15" s="602" t="s">
        <v>112</v>
      </c>
      <c r="D15" s="239">
        <v>-2761921</v>
      </c>
      <c r="E15" s="239">
        <v>-607</v>
      </c>
      <c r="F15" s="239">
        <v>-2762528</v>
      </c>
      <c r="G15" s="239">
        <v>-3059596</v>
      </c>
      <c r="H15" s="239">
        <v>-5988</v>
      </c>
      <c r="I15" s="239">
        <v>-3065584</v>
      </c>
      <c r="J15" s="239">
        <v>297675</v>
      </c>
      <c r="K15" s="239">
        <v>5381</v>
      </c>
      <c r="L15" s="239">
        <v>303056</v>
      </c>
      <c r="M15" s="239">
        <v>266729</v>
      </c>
      <c r="N15" s="239">
        <v>266729</v>
      </c>
      <c r="O15" s="239">
        <v>0</v>
      </c>
      <c r="P15" s="239">
        <v>512418</v>
      </c>
      <c r="Q15" s="239">
        <v>242344</v>
      </c>
      <c r="R15" s="239">
        <v>270074</v>
      </c>
      <c r="S15" s="239">
        <v>48371</v>
      </c>
      <c r="T15" s="239">
        <v>0</v>
      </c>
      <c r="U15" s="239">
        <v>48371</v>
      </c>
      <c r="V15" s="239">
        <v>0</v>
      </c>
      <c r="W15" s="239">
        <v>0</v>
      </c>
      <c r="X15" s="239">
        <v>0</v>
      </c>
      <c r="Y15" s="239">
        <v>313159</v>
      </c>
      <c r="Z15" s="239">
        <v>313159</v>
      </c>
      <c r="AA15" s="239">
        <v>0</v>
      </c>
      <c r="AB15" s="239">
        <v>0</v>
      </c>
      <c r="AC15" s="239">
        <v>252508</v>
      </c>
      <c r="AD15" s="239">
        <v>252508</v>
      </c>
      <c r="AE15" s="239">
        <v>0</v>
      </c>
      <c r="AF15" s="239">
        <v>0</v>
      </c>
      <c r="AG15" s="239">
        <v>60651</v>
      </c>
      <c r="AH15" s="239">
        <v>60651</v>
      </c>
      <c r="AI15" s="239">
        <v>0</v>
      </c>
      <c r="AJ15" s="239">
        <v>0</v>
      </c>
      <c r="AK15" s="239">
        <v>0</v>
      </c>
      <c r="AL15" s="239">
        <v>0</v>
      </c>
      <c r="AM15" s="239">
        <v>0</v>
      </c>
      <c r="AN15" s="239">
        <v>0</v>
      </c>
      <c r="AO15" s="239">
        <v>0</v>
      </c>
      <c r="AP15" s="239">
        <v>0</v>
      </c>
      <c r="AQ15" s="239">
        <v>0</v>
      </c>
      <c r="AR15" s="239">
        <v>0</v>
      </c>
      <c r="AS15" s="239">
        <v>0</v>
      </c>
      <c r="AT15" s="239">
        <v>0</v>
      </c>
      <c r="AU15" s="239">
        <v>0</v>
      </c>
      <c r="AV15" s="239">
        <v>0</v>
      </c>
      <c r="AW15" s="239">
        <v>0</v>
      </c>
      <c r="AX15" s="239">
        <v>0</v>
      </c>
      <c r="AY15" s="239">
        <v>0</v>
      </c>
      <c r="AZ15" s="239">
        <v>0</v>
      </c>
      <c r="BA15" s="239">
        <v>0</v>
      </c>
      <c r="BB15" s="239">
        <v>0</v>
      </c>
      <c r="BC15" s="239">
        <v>2320984</v>
      </c>
      <c r="BD15" s="239">
        <v>0</v>
      </c>
      <c r="BE15" s="239">
        <v>47363</v>
      </c>
      <c r="BF15" s="239">
        <v>2276322.3505802578</v>
      </c>
      <c r="BG15" s="239">
        <v>0</v>
      </c>
      <c r="BH15" s="239">
        <v>46451.883797424896</v>
      </c>
      <c r="BI15" s="239">
        <v>124310.1962800429</v>
      </c>
      <c r="BJ15" s="239">
        <v>0</v>
      </c>
      <c r="BK15" s="239">
        <v>2464.4360697424891</v>
      </c>
      <c r="BL15" s="239">
        <v>2091985</v>
      </c>
      <c r="BM15" s="239">
        <v>0</v>
      </c>
      <c r="BN15" s="239">
        <v>31793</v>
      </c>
      <c r="BO15" s="239">
        <v>228999</v>
      </c>
      <c r="BP15" s="239">
        <v>0</v>
      </c>
      <c r="BQ15" s="239">
        <v>15570</v>
      </c>
      <c r="BR15" s="239">
        <v>0</v>
      </c>
      <c r="BS15" s="239">
        <v>0</v>
      </c>
      <c r="BT15" s="239">
        <v>0</v>
      </c>
      <c r="BU15" s="239">
        <v>0</v>
      </c>
      <c r="BV15" s="239">
        <v>0</v>
      </c>
      <c r="BW15" s="239">
        <v>0</v>
      </c>
      <c r="BX15" s="239">
        <v>0</v>
      </c>
      <c r="BY15" s="239">
        <v>0</v>
      </c>
      <c r="BZ15" s="239">
        <v>0</v>
      </c>
      <c r="CA15" s="239">
        <v>94105</v>
      </c>
      <c r="CB15" s="239">
        <v>0</v>
      </c>
      <c r="CC15" s="239">
        <v>1921</v>
      </c>
      <c r="CD15" s="239">
        <v>0</v>
      </c>
      <c r="CE15" s="239">
        <v>0</v>
      </c>
      <c r="CF15" s="239">
        <v>0</v>
      </c>
      <c r="CG15" s="239">
        <v>94105</v>
      </c>
      <c r="CH15" s="239">
        <v>0</v>
      </c>
      <c r="CI15" s="239">
        <v>1921</v>
      </c>
      <c r="CJ15" s="239">
        <v>180</v>
      </c>
      <c r="CK15" s="239">
        <v>0</v>
      </c>
      <c r="CL15" s="239">
        <v>4</v>
      </c>
      <c r="CM15" s="239">
        <v>0</v>
      </c>
      <c r="CN15" s="239">
        <v>0</v>
      </c>
      <c r="CO15" s="239">
        <v>0</v>
      </c>
      <c r="CP15" s="239">
        <v>180</v>
      </c>
      <c r="CQ15" s="239">
        <v>0</v>
      </c>
      <c r="CR15" s="239">
        <v>4</v>
      </c>
      <c r="CS15" s="239">
        <v>0</v>
      </c>
      <c r="CT15" s="239">
        <v>0</v>
      </c>
      <c r="CU15" s="239">
        <v>0</v>
      </c>
      <c r="CV15" s="239">
        <v>0</v>
      </c>
      <c r="CW15" s="239">
        <v>0</v>
      </c>
      <c r="CX15" s="239">
        <v>0</v>
      </c>
      <c r="CY15" s="239">
        <v>0</v>
      </c>
      <c r="CZ15" s="239">
        <v>0</v>
      </c>
      <c r="DA15" s="239">
        <v>0</v>
      </c>
      <c r="DB15" s="239">
        <v>0</v>
      </c>
      <c r="DC15" s="239">
        <v>0</v>
      </c>
      <c r="DD15" s="239">
        <v>0</v>
      </c>
      <c r="DE15" s="239">
        <v>0</v>
      </c>
      <c r="DF15" s="239">
        <v>0</v>
      </c>
      <c r="DG15" s="239">
        <v>0</v>
      </c>
      <c r="DH15" s="239">
        <v>1726</v>
      </c>
      <c r="DI15" s="239">
        <v>0</v>
      </c>
      <c r="DJ15" s="239">
        <v>35</v>
      </c>
      <c r="DK15" s="239">
        <v>2722</v>
      </c>
      <c r="DL15" s="239">
        <v>0</v>
      </c>
      <c r="DM15" s="239">
        <v>56</v>
      </c>
      <c r="DN15" s="239">
        <v>-996</v>
      </c>
      <c r="DO15" s="239">
        <v>0</v>
      </c>
      <c r="DP15" s="239">
        <v>-21</v>
      </c>
      <c r="DQ15" s="239">
        <v>746</v>
      </c>
      <c r="DR15" s="239">
        <v>0</v>
      </c>
      <c r="DS15" s="239">
        <v>15</v>
      </c>
      <c r="DT15" s="239">
        <v>1493</v>
      </c>
      <c r="DU15" s="239">
        <v>0</v>
      </c>
      <c r="DV15" s="239">
        <v>30</v>
      </c>
      <c r="DW15" s="239">
        <v>-747</v>
      </c>
      <c r="DX15" s="239">
        <v>0</v>
      </c>
      <c r="DY15" s="239">
        <v>-15</v>
      </c>
      <c r="DZ15" s="239">
        <v>8485</v>
      </c>
      <c r="EA15" s="239">
        <v>0</v>
      </c>
      <c r="EB15" s="239">
        <v>173</v>
      </c>
      <c r="EC15" s="239">
        <v>8570</v>
      </c>
      <c r="ED15" s="239">
        <v>0</v>
      </c>
      <c r="EE15" s="239">
        <v>0</v>
      </c>
      <c r="EF15" s="239">
        <v>-85</v>
      </c>
      <c r="EG15" s="239">
        <v>0</v>
      </c>
      <c r="EH15" s="239">
        <v>173</v>
      </c>
      <c r="EI15" s="239">
        <v>133448</v>
      </c>
      <c r="EJ15" s="239">
        <v>0</v>
      </c>
      <c r="EK15" s="239">
        <v>2722</v>
      </c>
      <c r="EL15" s="239">
        <v>138167</v>
      </c>
      <c r="EM15" s="239">
        <v>0</v>
      </c>
      <c r="EN15" s="239">
        <v>0</v>
      </c>
      <c r="EO15" s="239">
        <v>-4719</v>
      </c>
      <c r="EP15" s="239">
        <v>0</v>
      </c>
      <c r="EQ15" s="239">
        <v>2722</v>
      </c>
      <c r="ER15" s="239">
        <v>52191</v>
      </c>
      <c r="ES15" s="239">
        <v>0</v>
      </c>
      <c r="ET15" s="239">
        <v>1065</v>
      </c>
      <c r="EU15" s="239">
        <v>46963</v>
      </c>
      <c r="EV15" s="239">
        <v>0</v>
      </c>
      <c r="EW15" s="239">
        <v>0</v>
      </c>
      <c r="EX15" s="239">
        <v>5228</v>
      </c>
      <c r="EY15" s="239">
        <v>0</v>
      </c>
      <c r="EZ15" s="239">
        <v>1065</v>
      </c>
      <c r="FA15" s="239">
        <v>342586</v>
      </c>
      <c r="FB15" s="239">
        <v>0</v>
      </c>
      <c r="FC15" s="239">
        <v>6820</v>
      </c>
      <c r="FD15" s="239">
        <v>336589</v>
      </c>
      <c r="FE15" s="239">
        <v>0</v>
      </c>
      <c r="FF15" s="239">
        <v>6703</v>
      </c>
      <c r="FG15" s="239">
        <v>5997</v>
      </c>
      <c r="FH15" s="239">
        <v>0</v>
      </c>
      <c r="FI15" s="239">
        <v>117</v>
      </c>
      <c r="FJ15" s="239">
        <v>0</v>
      </c>
      <c r="FK15" s="239">
        <v>0</v>
      </c>
      <c r="FL15" s="239">
        <v>0</v>
      </c>
      <c r="FM15" s="239">
        <v>0</v>
      </c>
      <c r="FN15" s="239">
        <v>0</v>
      </c>
      <c r="FO15" s="239">
        <v>0</v>
      </c>
      <c r="FP15" s="239">
        <v>0</v>
      </c>
      <c r="FQ15" s="239">
        <v>0</v>
      </c>
      <c r="FR15" s="239">
        <v>0</v>
      </c>
      <c r="FS15" s="239">
        <v>0</v>
      </c>
      <c r="FT15" s="239">
        <v>0</v>
      </c>
      <c r="FU15" s="239">
        <v>0</v>
      </c>
      <c r="FV15" s="239">
        <v>2954451</v>
      </c>
      <c r="FW15" s="239">
        <v>0</v>
      </c>
      <c r="FX15" s="239">
        <v>60118</v>
      </c>
      <c r="FY15" s="834">
        <v>0.5</v>
      </c>
      <c r="FZ15" s="834">
        <v>0.49</v>
      </c>
      <c r="GA15" s="834">
        <v>0</v>
      </c>
      <c r="GB15" s="834">
        <v>0.01</v>
      </c>
      <c r="GC15" s="214" t="s">
        <v>1160</v>
      </c>
    </row>
    <row r="16" spans="2:185" s="214" customFormat="1" x14ac:dyDescent="0.2">
      <c r="B16" s="602" t="s">
        <v>115</v>
      </c>
      <c r="C16" s="602" t="s">
        <v>114</v>
      </c>
      <c r="D16" s="239">
        <v>-3056280</v>
      </c>
      <c r="E16" s="239">
        <v>0</v>
      </c>
      <c r="F16" s="239">
        <v>-3056280</v>
      </c>
      <c r="G16" s="239">
        <v>-2944194</v>
      </c>
      <c r="H16" s="239">
        <v>0</v>
      </c>
      <c r="I16" s="239">
        <v>-2944194</v>
      </c>
      <c r="J16" s="239">
        <v>-112086</v>
      </c>
      <c r="K16" s="239">
        <v>0</v>
      </c>
      <c r="L16" s="239">
        <v>-112086</v>
      </c>
      <c r="M16" s="239">
        <v>92724</v>
      </c>
      <c r="N16" s="239">
        <v>92724</v>
      </c>
      <c r="O16" s="239">
        <v>0</v>
      </c>
      <c r="P16" s="239">
        <v>0</v>
      </c>
      <c r="Q16" s="239">
        <v>0</v>
      </c>
      <c r="R16" s="239">
        <v>0</v>
      </c>
      <c r="S16" s="239">
        <v>206988</v>
      </c>
      <c r="T16" s="239">
        <v>0</v>
      </c>
      <c r="U16" s="239">
        <v>135658</v>
      </c>
      <c r="V16" s="239">
        <v>0</v>
      </c>
      <c r="W16" s="239">
        <v>71330</v>
      </c>
      <c r="X16" s="239">
        <v>0</v>
      </c>
      <c r="Y16" s="239">
        <v>0</v>
      </c>
      <c r="Z16" s="239">
        <v>0</v>
      </c>
      <c r="AA16" s="239">
        <v>0</v>
      </c>
      <c r="AB16" s="239">
        <v>0</v>
      </c>
      <c r="AC16" s="239">
        <v>0</v>
      </c>
      <c r="AD16" s="239">
        <v>0</v>
      </c>
      <c r="AE16" s="239">
        <v>0</v>
      </c>
      <c r="AF16" s="239">
        <v>0</v>
      </c>
      <c r="AG16" s="239">
        <v>0</v>
      </c>
      <c r="AH16" s="239">
        <v>0</v>
      </c>
      <c r="AI16" s="239">
        <v>0</v>
      </c>
      <c r="AJ16" s="239">
        <v>0</v>
      </c>
      <c r="AK16" s="239">
        <v>0</v>
      </c>
      <c r="AL16" s="239">
        <v>0</v>
      </c>
      <c r="AM16" s="239">
        <v>0</v>
      </c>
      <c r="AN16" s="239">
        <v>0</v>
      </c>
      <c r="AO16" s="239">
        <v>0</v>
      </c>
      <c r="AP16" s="239">
        <v>0</v>
      </c>
      <c r="AQ16" s="239">
        <v>0</v>
      </c>
      <c r="AR16" s="239">
        <v>0</v>
      </c>
      <c r="AS16" s="239">
        <v>0</v>
      </c>
      <c r="AT16" s="239">
        <v>0</v>
      </c>
      <c r="AU16" s="239">
        <v>0</v>
      </c>
      <c r="AV16" s="239">
        <v>0</v>
      </c>
      <c r="AW16" s="239">
        <v>0</v>
      </c>
      <c r="AX16" s="239">
        <v>0</v>
      </c>
      <c r="AY16" s="239">
        <v>0</v>
      </c>
      <c r="AZ16" s="239">
        <v>0</v>
      </c>
      <c r="BA16" s="239">
        <v>0</v>
      </c>
      <c r="BB16" s="239">
        <v>0</v>
      </c>
      <c r="BC16" s="239">
        <v>541674</v>
      </c>
      <c r="BD16" s="239">
        <v>135419</v>
      </c>
      <c r="BE16" s="239">
        <v>0</v>
      </c>
      <c r="BF16" s="239">
        <v>530669.33377081552</v>
      </c>
      <c r="BG16" s="239">
        <v>132667.33344270388</v>
      </c>
      <c r="BH16" s="239">
        <v>0</v>
      </c>
      <c r="BI16" s="239">
        <v>33855.918969957078</v>
      </c>
      <c r="BJ16" s="239">
        <v>8463.9797424892695</v>
      </c>
      <c r="BK16" s="239">
        <v>0</v>
      </c>
      <c r="BL16" s="239">
        <v>510527</v>
      </c>
      <c r="BM16" s="239">
        <v>90359</v>
      </c>
      <c r="BN16" s="239">
        <v>0</v>
      </c>
      <c r="BO16" s="239">
        <v>31147</v>
      </c>
      <c r="BP16" s="239">
        <v>45060</v>
      </c>
      <c r="BQ16" s="239">
        <v>0</v>
      </c>
      <c r="BR16" s="239">
        <v>0</v>
      </c>
      <c r="BS16" s="239">
        <v>0</v>
      </c>
      <c r="BT16" s="239">
        <v>0</v>
      </c>
      <c r="BU16" s="239">
        <v>1125</v>
      </c>
      <c r="BV16" s="239">
        <v>281</v>
      </c>
      <c r="BW16" s="239">
        <v>0</v>
      </c>
      <c r="BX16" s="239">
        <v>-1125</v>
      </c>
      <c r="BY16" s="239">
        <v>-281</v>
      </c>
      <c r="BZ16" s="239">
        <v>0</v>
      </c>
      <c r="CA16" s="239">
        <v>0</v>
      </c>
      <c r="CB16" s="239">
        <v>0</v>
      </c>
      <c r="CC16" s="239">
        <v>0</v>
      </c>
      <c r="CD16" s="239">
        <v>0</v>
      </c>
      <c r="CE16" s="239">
        <v>0</v>
      </c>
      <c r="CF16" s="239">
        <v>0</v>
      </c>
      <c r="CG16" s="239">
        <v>0</v>
      </c>
      <c r="CH16" s="239">
        <v>0</v>
      </c>
      <c r="CI16" s="239">
        <v>0</v>
      </c>
      <c r="CJ16" s="239">
        <v>0</v>
      </c>
      <c r="CK16" s="239">
        <v>0</v>
      </c>
      <c r="CL16" s="239">
        <v>0</v>
      </c>
      <c r="CM16" s="239">
        <v>0</v>
      </c>
      <c r="CN16" s="239">
        <v>0</v>
      </c>
      <c r="CO16" s="239">
        <v>0</v>
      </c>
      <c r="CP16" s="239">
        <v>0</v>
      </c>
      <c r="CQ16" s="239">
        <v>0</v>
      </c>
      <c r="CR16" s="239">
        <v>0</v>
      </c>
      <c r="CS16" s="239">
        <v>-2043</v>
      </c>
      <c r="CT16" s="239">
        <v>-511</v>
      </c>
      <c r="CU16" s="239">
        <v>0</v>
      </c>
      <c r="CV16" s="239">
        <v>0</v>
      </c>
      <c r="CW16" s="239">
        <v>0</v>
      </c>
      <c r="CX16" s="239">
        <v>0</v>
      </c>
      <c r="CY16" s="239">
        <v>0</v>
      </c>
      <c r="CZ16" s="239">
        <v>0</v>
      </c>
      <c r="DA16" s="239">
        <v>0</v>
      </c>
      <c r="DB16" s="239">
        <v>0</v>
      </c>
      <c r="DC16" s="239">
        <v>0</v>
      </c>
      <c r="DD16" s="239">
        <v>0</v>
      </c>
      <c r="DE16" s="239">
        <v>0</v>
      </c>
      <c r="DF16" s="239">
        <v>0</v>
      </c>
      <c r="DG16" s="239">
        <v>0</v>
      </c>
      <c r="DH16" s="239">
        <v>0</v>
      </c>
      <c r="DI16" s="239">
        <v>0</v>
      </c>
      <c r="DJ16" s="239">
        <v>0</v>
      </c>
      <c r="DK16" s="239">
        <v>0</v>
      </c>
      <c r="DL16" s="239">
        <v>0</v>
      </c>
      <c r="DM16" s="239">
        <v>0</v>
      </c>
      <c r="DN16" s="239">
        <v>0</v>
      </c>
      <c r="DO16" s="239">
        <v>0</v>
      </c>
      <c r="DP16" s="239">
        <v>0</v>
      </c>
      <c r="DQ16" s="239">
        <v>609</v>
      </c>
      <c r="DR16" s="239">
        <v>152</v>
      </c>
      <c r="DS16" s="239">
        <v>0</v>
      </c>
      <c r="DT16" s="239">
        <v>609</v>
      </c>
      <c r="DU16" s="239">
        <v>152</v>
      </c>
      <c r="DV16" s="239">
        <v>0</v>
      </c>
      <c r="DW16" s="239">
        <v>0</v>
      </c>
      <c r="DX16" s="239">
        <v>0</v>
      </c>
      <c r="DY16" s="239">
        <v>0</v>
      </c>
      <c r="DZ16" s="239">
        <v>1053</v>
      </c>
      <c r="EA16" s="239">
        <v>263</v>
      </c>
      <c r="EB16" s="239">
        <v>0</v>
      </c>
      <c r="EC16" s="239">
        <v>1316</v>
      </c>
      <c r="ED16" s="239">
        <v>0</v>
      </c>
      <c r="EE16" s="239">
        <v>0</v>
      </c>
      <c r="EF16" s="239">
        <v>-263</v>
      </c>
      <c r="EG16" s="239">
        <v>263</v>
      </c>
      <c r="EH16" s="239">
        <v>0</v>
      </c>
      <c r="EI16" s="239">
        <v>10575</v>
      </c>
      <c r="EJ16" s="239">
        <v>2644</v>
      </c>
      <c r="EK16" s="239">
        <v>0</v>
      </c>
      <c r="EL16" s="239">
        <v>62200</v>
      </c>
      <c r="EM16" s="239">
        <v>0</v>
      </c>
      <c r="EN16" s="239">
        <v>0</v>
      </c>
      <c r="EO16" s="239">
        <v>-51625</v>
      </c>
      <c r="EP16" s="239">
        <v>2644</v>
      </c>
      <c r="EQ16" s="239">
        <v>0</v>
      </c>
      <c r="ER16" s="239">
        <v>13641</v>
      </c>
      <c r="ES16" s="239">
        <v>3410</v>
      </c>
      <c r="ET16" s="239">
        <v>0</v>
      </c>
      <c r="EU16" s="239">
        <v>17295</v>
      </c>
      <c r="EV16" s="239">
        <v>0</v>
      </c>
      <c r="EW16" s="239">
        <v>0</v>
      </c>
      <c r="EX16" s="239">
        <v>-3654</v>
      </c>
      <c r="EY16" s="239">
        <v>3410</v>
      </c>
      <c r="EZ16" s="239">
        <v>0</v>
      </c>
      <c r="FA16" s="239">
        <v>122107</v>
      </c>
      <c r="FB16" s="239">
        <v>29749</v>
      </c>
      <c r="FC16" s="239">
        <v>0</v>
      </c>
      <c r="FD16" s="239">
        <v>121545</v>
      </c>
      <c r="FE16" s="239">
        <v>29877</v>
      </c>
      <c r="FF16" s="239">
        <v>0</v>
      </c>
      <c r="FG16" s="239">
        <v>562</v>
      </c>
      <c r="FH16" s="239">
        <v>-128</v>
      </c>
      <c r="FI16" s="239">
        <v>0</v>
      </c>
      <c r="FJ16" s="239">
        <v>0</v>
      </c>
      <c r="FK16" s="239">
        <v>0</v>
      </c>
      <c r="FL16" s="239">
        <v>0</v>
      </c>
      <c r="FM16" s="239">
        <v>0</v>
      </c>
      <c r="FN16" s="239">
        <v>0</v>
      </c>
      <c r="FO16" s="239">
        <v>0</v>
      </c>
      <c r="FP16" s="239">
        <v>0</v>
      </c>
      <c r="FQ16" s="239">
        <v>0</v>
      </c>
      <c r="FR16" s="239">
        <v>0</v>
      </c>
      <c r="FS16" s="239">
        <v>0</v>
      </c>
      <c r="FT16" s="239">
        <v>0</v>
      </c>
      <c r="FU16" s="239">
        <v>0</v>
      </c>
      <c r="FV16" s="239">
        <v>687616</v>
      </c>
      <c r="FW16" s="239">
        <v>171126</v>
      </c>
      <c r="FX16" s="239">
        <v>0</v>
      </c>
      <c r="FY16" s="834">
        <v>0.5</v>
      </c>
      <c r="FZ16" s="834">
        <v>0.4</v>
      </c>
      <c r="GA16" s="834">
        <v>0.1</v>
      </c>
      <c r="GB16" s="834">
        <v>0</v>
      </c>
      <c r="GC16" s="214" t="s">
        <v>1158</v>
      </c>
    </row>
    <row r="17" spans="2:185" s="214" customFormat="1" x14ac:dyDescent="0.2">
      <c r="B17" s="602" t="s">
        <v>117</v>
      </c>
      <c r="C17" s="602" t="s">
        <v>116</v>
      </c>
      <c r="D17" s="239">
        <v>-2116195</v>
      </c>
      <c r="E17" s="239">
        <v>0</v>
      </c>
      <c r="F17" s="239">
        <v>-2116195</v>
      </c>
      <c r="G17" s="239">
        <v>-131303</v>
      </c>
      <c r="H17" s="239">
        <v>0</v>
      </c>
      <c r="I17" s="239">
        <v>-131303</v>
      </c>
      <c r="J17" s="239">
        <v>-1984892</v>
      </c>
      <c r="K17" s="239">
        <v>0</v>
      </c>
      <c r="L17" s="239">
        <v>-1984892</v>
      </c>
      <c r="M17" s="239">
        <v>229078</v>
      </c>
      <c r="N17" s="239">
        <v>237078</v>
      </c>
      <c r="O17" s="239">
        <v>-8000</v>
      </c>
      <c r="P17" s="239">
        <v>0</v>
      </c>
      <c r="Q17" s="239">
        <v>0</v>
      </c>
      <c r="R17" s="239">
        <v>0</v>
      </c>
      <c r="S17" s="239">
        <v>354</v>
      </c>
      <c r="T17" s="239">
        <v>0</v>
      </c>
      <c r="U17" s="239">
        <v>38</v>
      </c>
      <c r="V17" s="239">
        <v>0</v>
      </c>
      <c r="W17" s="239">
        <v>316</v>
      </c>
      <c r="X17" s="239">
        <v>0</v>
      </c>
      <c r="Y17" s="239">
        <v>0</v>
      </c>
      <c r="Z17" s="239">
        <v>0</v>
      </c>
      <c r="AA17" s="239">
        <v>0</v>
      </c>
      <c r="AB17" s="239">
        <v>0</v>
      </c>
      <c r="AC17" s="239">
        <v>0</v>
      </c>
      <c r="AD17" s="239">
        <v>0</v>
      </c>
      <c r="AE17" s="239">
        <v>0</v>
      </c>
      <c r="AF17" s="239">
        <v>0</v>
      </c>
      <c r="AG17" s="239">
        <v>0</v>
      </c>
      <c r="AH17" s="239">
        <v>0</v>
      </c>
      <c r="AI17" s="239">
        <v>0</v>
      </c>
      <c r="AJ17" s="239">
        <v>0</v>
      </c>
      <c r="AK17" s="239">
        <v>0</v>
      </c>
      <c r="AL17" s="239">
        <v>0</v>
      </c>
      <c r="AM17" s="239">
        <v>0</v>
      </c>
      <c r="AN17" s="239">
        <v>0</v>
      </c>
      <c r="AO17" s="239">
        <v>0</v>
      </c>
      <c r="AP17" s="239">
        <v>0</v>
      </c>
      <c r="AQ17" s="239">
        <v>0</v>
      </c>
      <c r="AR17" s="239">
        <v>0</v>
      </c>
      <c r="AS17" s="239">
        <v>0</v>
      </c>
      <c r="AT17" s="239">
        <v>0</v>
      </c>
      <c r="AU17" s="239">
        <v>0</v>
      </c>
      <c r="AV17" s="239">
        <v>0</v>
      </c>
      <c r="AW17" s="239">
        <v>0</v>
      </c>
      <c r="AX17" s="239">
        <v>0</v>
      </c>
      <c r="AY17" s="239">
        <v>0</v>
      </c>
      <c r="AZ17" s="239">
        <v>0</v>
      </c>
      <c r="BA17" s="239">
        <v>0</v>
      </c>
      <c r="BB17" s="239">
        <v>0</v>
      </c>
      <c r="BC17" s="239">
        <v>1499107</v>
      </c>
      <c r="BD17" s="239">
        <v>337299</v>
      </c>
      <c r="BE17" s="239">
        <v>37478</v>
      </c>
      <c r="BF17" s="239">
        <v>1449733.2939605152</v>
      </c>
      <c r="BG17" s="239">
        <v>326189.99114111584</v>
      </c>
      <c r="BH17" s="239">
        <v>36243.332349012875</v>
      </c>
      <c r="BI17" s="239">
        <v>147377.14714592273</v>
      </c>
      <c r="BJ17" s="239">
        <v>33159.85810783261</v>
      </c>
      <c r="BK17" s="239">
        <v>3684.4286786480684</v>
      </c>
      <c r="BL17" s="239">
        <v>1253166</v>
      </c>
      <c r="BM17" s="239">
        <v>167835</v>
      </c>
      <c r="BN17" s="239">
        <v>18648</v>
      </c>
      <c r="BO17" s="239">
        <v>245941</v>
      </c>
      <c r="BP17" s="239">
        <v>169464</v>
      </c>
      <c r="BQ17" s="239">
        <v>18830</v>
      </c>
      <c r="BR17" s="239">
        <v>648</v>
      </c>
      <c r="BS17" s="239">
        <v>146</v>
      </c>
      <c r="BT17" s="239">
        <v>16</v>
      </c>
      <c r="BU17" s="239">
        <v>0</v>
      </c>
      <c r="BV17" s="239">
        <v>0</v>
      </c>
      <c r="BW17" s="239">
        <v>0</v>
      </c>
      <c r="BX17" s="239">
        <v>648</v>
      </c>
      <c r="BY17" s="239">
        <v>146</v>
      </c>
      <c r="BZ17" s="239">
        <v>16</v>
      </c>
      <c r="CA17" s="239">
        <v>13147</v>
      </c>
      <c r="CB17" s="239">
        <v>2958</v>
      </c>
      <c r="CC17" s="239">
        <v>329</v>
      </c>
      <c r="CD17" s="239">
        <v>0</v>
      </c>
      <c r="CE17" s="239">
        <v>0</v>
      </c>
      <c r="CF17" s="239">
        <v>0</v>
      </c>
      <c r="CG17" s="239">
        <v>13147</v>
      </c>
      <c r="CH17" s="239">
        <v>2958</v>
      </c>
      <c r="CI17" s="239">
        <v>329</v>
      </c>
      <c r="CJ17" s="239">
        <v>0</v>
      </c>
      <c r="CK17" s="239">
        <v>0</v>
      </c>
      <c r="CL17" s="239">
        <v>0</v>
      </c>
      <c r="CM17" s="239">
        <v>0</v>
      </c>
      <c r="CN17" s="239">
        <v>0</v>
      </c>
      <c r="CO17" s="239">
        <v>0</v>
      </c>
      <c r="CP17" s="239">
        <v>0</v>
      </c>
      <c r="CQ17" s="239">
        <v>0</v>
      </c>
      <c r="CR17" s="239">
        <v>0</v>
      </c>
      <c r="CS17" s="239">
        <v>-3265</v>
      </c>
      <c r="CT17" s="239">
        <v>-735</v>
      </c>
      <c r="CU17" s="239">
        <v>-82</v>
      </c>
      <c r="CV17" s="239">
        <v>0</v>
      </c>
      <c r="CW17" s="239">
        <v>0</v>
      </c>
      <c r="CX17" s="239">
        <v>0</v>
      </c>
      <c r="CY17" s="239">
        <v>0</v>
      </c>
      <c r="CZ17" s="239">
        <v>0</v>
      </c>
      <c r="DA17" s="239">
        <v>0</v>
      </c>
      <c r="DB17" s="239">
        <v>0</v>
      </c>
      <c r="DC17" s="239">
        <v>0</v>
      </c>
      <c r="DD17" s="239">
        <v>0</v>
      </c>
      <c r="DE17" s="239">
        <v>-304</v>
      </c>
      <c r="DF17" s="239">
        <v>-68</v>
      </c>
      <c r="DG17" s="239">
        <v>-8</v>
      </c>
      <c r="DH17" s="239">
        <v>652</v>
      </c>
      <c r="DI17" s="239">
        <v>147</v>
      </c>
      <c r="DJ17" s="239">
        <v>16</v>
      </c>
      <c r="DK17" s="239">
        <v>1522</v>
      </c>
      <c r="DL17" s="239">
        <v>342</v>
      </c>
      <c r="DM17" s="239">
        <v>38</v>
      </c>
      <c r="DN17" s="239">
        <v>-870</v>
      </c>
      <c r="DO17" s="239">
        <v>-195</v>
      </c>
      <c r="DP17" s="239">
        <v>-22</v>
      </c>
      <c r="DQ17" s="239">
        <v>0</v>
      </c>
      <c r="DR17" s="239">
        <v>0</v>
      </c>
      <c r="DS17" s="239">
        <v>0</v>
      </c>
      <c r="DT17" s="239">
        <v>3045</v>
      </c>
      <c r="DU17" s="239">
        <v>685</v>
      </c>
      <c r="DV17" s="239">
        <v>76</v>
      </c>
      <c r="DW17" s="239">
        <v>-3045</v>
      </c>
      <c r="DX17" s="239">
        <v>-685</v>
      </c>
      <c r="DY17" s="239">
        <v>-76</v>
      </c>
      <c r="DZ17" s="239">
        <v>9272</v>
      </c>
      <c r="EA17" s="239">
        <v>2086</v>
      </c>
      <c r="EB17" s="239">
        <v>232</v>
      </c>
      <c r="EC17" s="239">
        <v>21460</v>
      </c>
      <c r="ED17" s="239">
        <v>0</v>
      </c>
      <c r="EE17" s="239">
        <v>0</v>
      </c>
      <c r="EF17" s="239">
        <v>-12188</v>
      </c>
      <c r="EG17" s="239">
        <v>2086</v>
      </c>
      <c r="EH17" s="239">
        <v>232</v>
      </c>
      <c r="EI17" s="239">
        <v>104944</v>
      </c>
      <c r="EJ17" s="239">
        <v>23612</v>
      </c>
      <c r="EK17" s="239">
        <v>2624</v>
      </c>
      <c r="EL17" s="239">
        <v>130408</v>
      </c>
      <c r="EM17" s="239">
        <v>0</v>
      </c>
      <c r="EN17" s="239">
        <v>0</v>
      </c>
      <c r="EO17" s="239">
        <v>-25464</v>
      </c>
      <c r="EP17" s="239">
        <v>23612</v>
      </c>
      <c r="EQ17" s="239">
        <v>2624</v>
      </c>
      <c r="ER17" s="239">
        <v>4060</v>
      </c>
      <c r="ES17" s="239">
        <v>914</v>
      </c>
      <c r="ET17" s="239">
        <v>102</v>
      </c>
      <c r="EU17" s="239">
        <v>12180</v>
      </c>
      <c r="EV17" s="239">
        <v>0</v>
      </c>
      <c r="EW17" s="239">
        <v>0</v>
      </c>
      <c r="EX17" s="239">
        <v>-8120</v>
      </c>
      <c r="EY17" s="239">
        <v>914</v>
      </c>
      <c r="EZ17" s="239">
        <v>102</v>
      </c>
      <c r="FA17" s="239">
        <v>468125</v>
      </c>
      <c r="FB17" s="239">
        <v>105327</v>
      </c>
      <c r="FC17" s="239">
        <v>11703</v>
      </c>
      <c r="FD17" s="239">
        <v>461178</v>
      </c>
      <c r="FE17" s="239">
        <v>103765</v>
      </c>
      <c r="FF17" s="239">
        <v>11529</v>
      </c>
      <c r="FG17" s="239">
        <v>6947</v>
      </c>
      <c r="FH17" s="239">
        <v>1562</v>
      </c>
      <c r="FI17" s="239">
        <v>174</v>
      </c>
      <c r="FJ17" s="239">
        <v>0</v>
      </c>
      <c r="FK17" s="239">
        <v>0</v>
      </c>
      <c r="FL17" s="239">
        <v>0</v>
      </c>
      <c r="FM17" s="239">
        <v>0</v>
      </c>
      <c r="FN17" s="239">
        <v>0</v>
      </c>
      <c r="FO17" s="239">
        <v>0</v>
      </c>
      <c r="FP17" s="239">
        <v>0</v>
      </c>
      <c r="FQ17" s="239">
        <v>0</v>
      </c>
      <c r="FR17" s="239">
        <v>0</v>
      </c>
      <c r="FS17" s="239">
        <v>0</v>
      </c>
      <c r="FT17" s="239">
        <v>0</v>
      </c>
      <c r="FU17" s="239">
        <v>0</v>
      </c>
      <c r="FV17" s="239">
        <v>2096386</v>
      </c>
      <c r="FW17" s="239">
        <v>471686</v>
      </c>
      <c r="FX17" s="239">
        <v>52410</v>
      </c>
      <c r="FY17" s="834">
        <v>0.5</v>
      </c>
      <c r="FZ17" s="834">
        <v>0.4</v>
      </c>
      <c r="GA17" s="834">
        <v>0.09</v>
      </c>
      <c r="GB17" s="834">
        <v>0.01</v>
      </c>
      <c r="GC17" s="214" t="s">
        <v>1158</v>
      </c>
    </row>
    <row r="18" spans="2:185" s="214" customFormat="1" x14ac:dyDescent="0.2">
      <c r="B18" s="602" t="s">
        <v>119</v>
      </c>
      <c r="C18" s="602" t="s">
        <v>118</v>
      </c>
      <c r="D18" s="239">
        <v>-3347441</v>
      </c>
      <c r="E18" s="239">
        <v>-45887</v>
      </c>
      <c r="F18" s="239">
        <v>-3393328</v>
      </c>
      <c r="G18" s="239">
        <v>-3287241</v>
      </c>
      <c r="H18" s="239">
        <v>25826</v>
      </c>
      <c r="I18" s="239">
        <v>-3261415</v>
      </c>
      <c r="J18" s="239">
        <v>-60200</v>
      </c>
      <c r="K18" s="239">
        <v>-71713</v>
      </c>
      <c r="L18" s="239">
        <v>-131913</v>
      </c>
      <c r="M18" s="239">
        <v>198939</v>
      </c>
      <c r="N18" s="239">
        <v>198939</v>
      </c>
      <c r="O18" s="239">
        <v>0</v>
      </c>
      <c r="P18" s="239">
        <v>0</v>
      </c>
      <c r="Q18" s="239">
        <v>0</v>
      </c>
      <c r="R18" s="239">
        <v>0</v>
      </c>
      <c r="S18" s="239">
        <v>91502</v>
      </c>
      <c r="T18" s="239">
        <v>211191</v>
      </c>
      <c r="U18" s="239">
        <v>97014</v>
      </c>
      <c r="V18" s="239">
        <v>206122</v>
      </c>
      <c r="W18" s="239">
        <v>-5512</v>
      </c>
      <c r="X18" s="239">
        <v>5069</v>
      </c>
      <c r="Y18" s="239">
        <v>83634</v>
      </c>
      <c r="Z18" s="239">
        <v>83634</v>
      </c>
      <c r="AA18" s="239">
        <v>0</v>
      </c>
      <c r="AB18" s="239">
        <v>0</v>
      </c>
      <c r="AC18" s="239">
        <v>155000</v>
      </c>
      <c r="AD18" s="239">
        <v>155000</v>
      </c>
      <c r="AE18" s="239">
        <v>0</v>
      </c>
      <c r="AF18" s="239">
        <v>0</v>
      </c>
      <c r="AG18" s="239">
        <v>-71366</v>
      </c>
      <c r="AH18" s="239">
        <v>-71366</v>
      </c>
      <c r="AI18" s="239">
        <v>0</v>
      </c>
      <c r="AJ18" s="239">
        <v>0</v>
      </c>
      <c r="AK18" s="239">
        <v>0</v>
      </c>
      <c r="AL18" s="239">
        <v>0</v>
      </c>
      <c r="AM18" s="239">
        <v>0</v>
      </c>
      <c r="AN18" s="239">
        <v>0</v>
      </c>
      <c r="AO18" s="239">
        <v>0</v>
      </c>
      <c r="AP18" s="239">
        <v>0</v>
      </c>
      <c r="AQ18" s="239">
        <v>0</v>
      </c>
      <c r="AR18" s="239">
        <v>0</v>
      </c>
      <c r="AS18" s="239">
        <v>0</v>
      </c>
      <c r="AT18" s="239">
        <v>0</v>
      </c>
      <c r="AU18" s="239">
        <v>0</v>
      </c>
      <c r="AV18" s="239">
        <v>0</v>
      </c>
      <c r="AW18" s="239">
        <v>0</v>
      </c>
      <c r="AX18" s="239">
        <v>0</v>
      </c>
      <c r="AY18" s="239">
        <v>0</v>
      </c>
      <c r="AZ18" s="239">
        <v>0</v>
      </c>
      <c r="BA18" s="239">
        <v>0</v>
      </c>
      <c r="BB18" s="239">
        <v>0</v>
      </c>
      <c r="BC18" s="239">
        <v>825392</v>
      </c>
      <c r="BD18" s="239">
        <v>174682</v>
      </c>
      <c r="BE18" s="239">
        <v>19409</v>
      </c>
      <c r="BF18" s="239">
        <v>791267.23432017153</v>
      </c>
      <c r="BG18" s="239">
        <v>167451.08884725318</v>
      </c>
      <c r="BH18" s="239">
        <v>18605.676538583692</v>
      </c>
      <c r="BI18" s="239">
        <v>128827.39814763948</v>
      </c>
      <c r="BJ18" s="239">
        <v>27610.804162081542</v>
      </c>
      <c r="BK18" s="239">
        <v>3067.8671291201713</v>
      </c>
      <c r="BL18" s="239">
        <v>692635</v>
      </c>
      <c r="BM18" s="239">
        <v>95803</v>
      </c>
      <c r="BN18" s="239">
        <v>10645</v>
      </c>
      <c r="BO18" s="239">
        <v>132757</v>
      </c>
      <c r="BP18" s="239">
        <v>78879</v>
      </c>
      <c r="BQ18" s="239">
        <v>8764</v>
      </c>
      <c r="BR18" s="239">
        <v>1014</v>
      </c>
      <c r="BS18" s="239">
        <v>228</v>
      </c>
      <c r="BT18" s="239">
        <v>25</v>
      </c>
      <c r="BU18" s="239">
        <v>13572</v>
      </c>
      <c r="BV18" s="239">
        <v>2158</v>
      </c>
      <c r="BW18" s="239">
        <v>240</v>
      </c>
      <c r="BX18" s="239">
        <v>-12558</v>
      </c>
      <c r="BY18" s="239">
        <v>-1930</v>
      </c>
      <c r="BZ18" s="239">
        <v>-215</v>
      </c>
      <c r="CA18" s="239">
        <v>0</v>
      </c>
      <c r="CB18" s="239">
        <v>0</v>
      </c>
      <c r="CC18" s="239">
        <v>0</v>
      </c>
      <c r="CD18" s="239">
        <v>0</v>
      </c>
      <c r="CE18" s="239">
        <v>0</v>
      </c>
      <c r="CF18" s="239">
        <v>0</v>
      </c>
      <c r="CG18" s="239">
        <v>0</v>
      </c>
      <c r="CH18" s="239">
        <v>0</v>
      </c>
      <c r="CI18" s="239">
        <v>0</v>
      </c>
      <c r="CJ18" s="239">
        <v>481</v>
      </c>
      <c r="CK18" s="239">
        <v>108</v>
      </c>
      <c r="CL18" s="239">
        <v>12</v>
      </c>
      <c r="CM18" s="239">
        <v>765</v>
      </c>
      <c r="CN18" s="239">
        <v>172</v>
      </c>
      <c r="CO18" s="239">
        <v>19</v>
      </c>
      <c r="CP18" s="239">
        <v>-284</v>
      </c>
      <c r="CQ18" s="239">
        <v>-64</v>
      </c>
      <c r="CR18" s="239">
        <v>-7</v>
      </c>
      <c r="CS18" s="239">
        <v>-943</v>
      </c>
      <c r="CT18" s="239">
        <v>136</v>
      </c>
      <c r="CU18" s="239">
        <v>15</v>
      </c>
      <c r="CV18" s="239">
        <v>0</v>
      </c>
      <c r="CW18" s="239">
        <v>0</v>
      </c>
      <c r="CX18" s="239">
        <v>0</v>
      </c>
      <c r="CY18" s="239">
        <v>0</v>
      </c>
      <c r="CZ18" s="239">
        <v>0</v>
      </c>
      <c r="DA18" s="239">
        <v>0</v>
      </c>
      <c r="DB18" s="239">
        <v>0</v>
      </c>
      <c r="DC18" s="239">
        <v>0</v>
      </c>
      <c r="DD18" s="239">
        <v>0</v>
      </c>
      <c r="DE18" s="239">
        <v>-53</v>
      </c>
      <c r="DF18" s="239">
        <v>-12</v>
      </c>
      <c r="DG18" s="239">
        <v>-1</v>
      </c>
      <c r="DH18" s="239">
        <v>10270</v>
      </c>
      <c r="DI18" s="239">
        <v>2311</v>
      </c>
      <c r="DJ18" s="239">
        <v>257</v>
      </c>
      <c r="DK18" s="239">
        <v>0</v>
      </c>
      <c r="DL18" s="239">
        <v>0</v>
      </c>
      <c r="DM18" s="239">
        <v>0</v>
      </c>
      <c r="DN18" s="239">
        <v>10270</v>
      </c>
      <c r="DO18" s="239">
        <v>2311</v>
      </c>
      <c r="DP18" s="239">
        <v>257</v>
      </c>
      <c r="DQ18" s="239">
        <v>609</v>
      </c>
      <c r="DR18" s="239">
        <v>137</v>
      </c>
      <c r="DS18" s="239">
        <v>15</v>
      </c>
      <c r="DT18" s="239">
        <v>609</v>
      </c>
      <c r="DU18" s="239">
        <v>137</v>
      </c>
      <c r="DV18" s="239">
        <v>15</v>
      </c>
      <c r="DW18" s="239">
        <v>0</v>
      </c>
      <c r="DX18" s="239">
        <v>0</v>
      </c>
      <c r="DY18" s="239">
        <v>0</v>
      </c>
      <c r="DZ18" s="239">
        <v>13303</v>
      </c>
      <c r="EA18" s="239">
        <v>2805</v>
      </c>
      <c r="EB18" s="239">
        <v>312</v>
      </c>
      <c r="EC18" s="239">
        <v>16123</v>
      </c>
      <c r="ED18" s="239">
        <v>0</v>
      </c>
      <c r="EE18" s="239">
        <v>0</v>
      </c>
      <c r="EF18" s="239">
        <v>-2820</v>
      </c>
      <c r="EG18" s="239">
        <v>2805</v>
      </c>
      <c r="EH18" s="239">
        <v>312</v>
      </c>
      <c r="EI18" s="239">
        <v>205818</v>
      </c>
      <c r="EJ18" s="239">
        <v>44199</v>
      </c>
      <c r="EK18" s="239">
        <v>4911</v>
      </c>
      <c r="EL18" s="239">
        <v>247575</v>
      </c>
      <c r="EM18" s="239">
        <v>0</v>
      </c>
      <c r="EN18" s="239">
        <v>0</v>
      </c>
      <c r="EO18" s="239">
        <v>-41757</v>
      </c>
      <c r="EP18" s="239">
        <v>44199</v>
      </c>
      <c r="EQ18" s="239">
        <v>4911</v>
      </c>
      <c r="ER18" s="239">
        <v>26712</v>
      </c>
      <c r="ES18" s="239">
        <v>6010</v>
      </c>
      <c r="ET18" s="239">
        <v>668</v>
      </c>
      <c r="EU18" s="239">
        <v>46107</v>
      </c>
      <c r="EV18" s="239">
        <v>0</v>
      </c>
      <c r="EW18" s="239">
        <v>0</v>
      </c>
      <c r="EX18" s="239">
        <v>-19395</v>
      </c>
      <c r="EY18" s="239">
        <v>6010</v>
      </c>
      <c r="EZ18" s="239">
        <v>668</v>
      </c>
      <c r="FA18" s="239">
        <v>425555</v>
      </c>
      <c r="FB18" s="239">
        <v>98613</v>
      </c>
      <c r="FC18" s="239">
        <v>10605</v>
      </c>
      <c r="FD18" s="239">
        <v>422981</v>
      </c>
      <c r="FE18" s="239">
        <v>97415</v>
      </c>
      <c r="FF18" s="239">
        <v>10480</v>
      </c>
      <c r="FG18" s="239">
        <v>2574</v>
      </c>
      <c r="FH18" s="239">
        <v>1198</v>
      </c>
      <c r="FI18" s="239">
        <v>125</v>
      </c>
      <c r="FJ18" s="239">
        <v>0</v>
      </c>
      <c r="FK18" s="239">
        <v>0</v>
      </c>
      <c r="FL18" s="239">
        <v>0</v>
      </c>
      <c r="FM18" s="239">
        <v>0</v>
      </c>
      <c r="FN18" s="239">
        <v>0</v>
      </c>
      <c r="FO18" s="239">
        <v>0</v>
      </c>
      <c r="FP18" s="239">
        <v>0</v>
      </c>
      <c r="FQ18" s="239">
        <v>0</v>
      </c>
      <c r="FR18" s="239">
        <v>0</v>
      </c>
      <c r="FS18" s="239">
        <v>0</v>
      </c>
      <c r="FT18" s="239">
        <v>0</v>
      </c>
      <c r="FU18" s="239">
        <v>0</v>
      </c>
      <c r="FV18" s="239">
        <v>1508158</v>
      </c>
      <c r="FW18" s="239">
        <v>329217</v>
      </c>
      <c r="FX18" s="239">
        <v>36228</v>
      </c>
      <c r="FY18" s="834">
        <v>0.5</v>
      </c>
      <c r="FZ18" s="834">
        <v>0.4</v>
      </c>
      <c r="GA18" s="834">
        <v>0.09</v>
      </c>
      <c r="GB18" s="834">
        <v>0.01</v>
      </c>
      <c r="GC18" s="214" t="s">
        <v>1158</v>
      </c>
    </row>
    <row r="19" spans="2:185" s="214" customFormat="1" x14ac:dyDescent="0.2">
      <c r="B19" s="602" t="s">
        <v>121</v>
      </c>
      <c r="C19" s="602" t="s">
        <v>120</v>
      </c>
      <c r="D19" s="239">
        <v>-9057301</v>
      </c>
      <c r="E19" s="239">
        <v>0</v>
      </c>
      <c r="F19" s="239">
        <v>-9057301</v>
      </c>
      <c r="G19" s="239">
        <v>-6930775</v>
      </c>
      <c r="H19" s="239">
        <v>0</v>
      </c>
      <c r="I19" s="239">
        <v>-6930775</v>
      </c>
      <c r="J19" s="239">
        <v>-2126526</v>
      </c>
      <c r="K19" s="239">
        <v>0</v>
      </c>
      <c r="L19" s="239">
        <v>-2126526</v>
      </c>
      <c r="M19" s="239">
        <v>167487</v>
      </c>
      <c r="N19" s="239">
        <v>167487</v>
      </c>
      <c r="O19" s="239">
        <v>0</v>
      </c>
      <c r="P19" s="239">
        <v>0</v>
      </c>
      <c r="Q19" s="239">
        <v>0</v>
      </c>
      <c r="R19" s="239">
        <v>0</v>
      </c>
      <c r="S19" s="239">
        <v>550121</v>
      </c>
      <c r="T19" s="239">
        <v>0</v>
      </c>
      <c r="U19" s="239">
        <v>482834</v>
      </c>
      <c r="V19" s="239">
        <v>0</v>
      </c>
      <c r="W19" s="239">
        <v>67287</v>
      </c>
      <c r="X19" s="239">
        <v>0</v>
      </c>
      <c r="Y19" s="239">
        <v>0</v>
      </c>
      <c r="Z19" s="239">
        <v>0</v>
      </c>
      <c r="AA19" s="239">
        <v>0</v>
      </c>
      <c r="AB19" s="239">
        <v>0</v>
      </c>
      <c r="AC19" s="239">
        <v>0</v>
      </c>
      <c r="AD19" s="239">
        <v>0</v>
      </c>
      <c r="AE19" s="239">
        <v>0</v>
      </c>
      <c r="AF19" s="239">
        <v>0</v>
      </c>
      <c r="AG19" s="239">
        <v>0</v>
      </c>
      <c r="AH19" s="239">
        <v>0</v>
      </c>
      <c r="AI19" s="239">
        <v>0</v>
      </c>
      <c r="AJ19" s="239">
        <v>0</v>
      </c>
      <c r="AK19" s="239">
        <v>0</v>
      </c>
      <c r="AL19" s="239">
        <v>0</v>
      </c>
      <c r="AM19" s="239">
        <v>0</v>
      </c>
      <c r="AN19" s="239">
        <v>0</v>
      </c>
      <c r="AO19" s="239">
        <v>0</v>
      </c>
      <c r="AP19" s="239">
        <v>0</v>
      </c>
      <c r="AQ19" s="239">
        <v>0</v>
      </c>
      <c r="AR19" s="239">
        <v>0</v>
      </c>
      <c r="AS19" s="239">
        <v>0</v>
      </c>
      <c r="AT19" s="239">
        <v>0</v>
      </c>
      <c r="AU19" s="239">
        <v>0</v>
      </c>
      <c r="AV19" s="239">
        <v>0</v>
      </c>
      <c r="AW19" s="239">
        <v>0</v>
      </c>
      <c r="AX19" s="239">
        <v>0</v>
      </c>
      <c r="AY19" s="239">
        <v>0</v>
      </c>
      <c r="AZ19" s="239">
        <v>0</v>
      </c>
      <c r="BA19" s="239">
        <v>0</v>
      </c>
      <c r="BB19" s="239">
        <v>0</v>
      </c>
      <c r="BC19" s="239">
        <v>1073355</v>
      </c>
      <c r="BD19" s="239">
        <v>241505</v>
      </c>
      <c r="BE19" s="239">
        <v>26834</v>
      </c>
      <c r="BF19" s="239">
        <v>1049400.1394214593</v>
      </c>
      <c r="BG19" s="239">
        <v>236115.03136982833</v>
      </c>
      <c r="BH19" s="239">
        <v>26235.003485536483</v>
      </c>
      <c r="BI19" s="239">
        <v>72283.738197424886</v>
      </c>
      <c r="BJ19" s="239">
        <v>16263.841094420601</v>
      </c>
      <c r="BK19" s="239">
        <v>1807.0934549356225</v>
      </c>
      <c r="BL19" s="239">
        <v>936013</v>
      </c>
      <c r="BM19" s="239">
        <v>143024</v>
      </c>
      <c r="BN19" s="239">
        <v>15892</v>
      </c>
      <c r="BO19" s="239">
        <v>137342</v>
      </c>
      <c r="BP19" s="239">
        <v>98481</v>
      </c>
      <c r="BQ19" s="239">
        <v>10942</v>
      </c>
      <c r="BR19" s="239">
        <v>7154</v>
      </c>
      <c r="BS19" s="239">
        <v>1610</v>
      </c>
      <c r="BT19" s="239">
        <v>179</v>
      </c>
      <c r="BU19" s="239">
        <v>6460</v>
      </c>
      <c r="BV19" s="239">
        <v>1453</v>
      </c>
      <c r="BW19" s="239">
        <v>161</v>
      </c>
      <c r="BX19" s="239">
        <v>694</v>
      </c>
      <c r="BY19" s="239">
        <v>157</v>
      </c>
      <c r="BZ19" s="239">
        <v>18</v>
      </c>
      <c r="CA19" s="239">
        <v>-74</v>
      </c>
      <c r="CB19" s="239">
        <v>-17</v>
      </c>
      <c r="CC19" s="239">
        <v>-2</v>
      </c>
      <c r="CD19" s="239">
        <v>2273</v>
      </c>
      <c r="CE19" s="239">
        <v>511</v>
      </c>
      <c r="CF19" s="239">
        <v>57</v>
      </c>
      <c r="CG19" s="239">
        <v>-2347</v>
      </c>
      <c r="CH19" s="239">
        <v>-528</v>
      </c>
      <c r="CI19" s="239">
        <v>-59</v>
      </c>
      <c r="CJ19" s="239">
        <v>11308</v>
      </c>
      <c r="CK19" s="239">
        <v>2544</v>
      </c>
      <c r="CL19" s="239">
        <v>283</v>
      </c>
      <c r="CM19" s="239">
        <v>0</v>
      </c>
      <c r="CN19" s="239">
        <v>0</v>
      </c>
      <c r="CO19" s="239">
        <v>0</v>
      </c>
      <c r="CP19" s="239">
        <v>11308</v>
      </c>
      <c r="CQ19" s="239">
        <v>2544</v>
      </c>
      <c r="CR19" s="239">
        <v>283</v>
      </c>
      <c r="CS19" s="239">
        <v>119</v>
      </c>
      <c r="CT19" s="239">
        <v>27</v>
      </c>
      <c r="CU19" s="239">
        <v>3</v>
      </c>
      <c r="CV19" s="239">
        <v>0</v>
      </c>
      <c r="CW19" s="239">
        <v>0</v>
      </c>
      <c r="CX19" s="239">
        <v>0</v>
      </c>
      <c r="CY19" s="239">
        <v>0</v>
      </c>
      <c r="CZ19" s="239">
        <v>0</v>
      </c>
      <c r="DA19" s="239">
        <v>0</v>
      </c>
      <c r="DB19" s="239">
        <v>0</v>
      </c>
      <c r="DC19" s="239">
        <v>0</v>
      </c>
      <c r="DD19" s="239">
        <v>0</v>
      </c>
      <c r="DE19" s="239">
        <v>0</v>
      </c>
      <c r="DF19" s="239">
        <v>0</v>
      </c>
      <c r="DG19" s="239">
        <v>0</v>
      </c>
      <c r="DH19" s="239">
        <v>0</v>
      </c>
      <c r="DI19" s="239">
        <v>0</v>
      </c>
      <c r="DJ19" s="239">
        <v>0</v>
      </c>
      <c r="DK19" s="239">
        <v>15063</v>
      </c>
      <c r="DL19" s="239">
        <v>3389</v>
      </c>
      <c r="DM19" s="239">
        <v>377</v>
      </c>
      <c r="DN19" s="239">
        <v>-15063</v>
      </c>
      <c r="DO19" s="239">
        <v>-3389</v>
      </c>
      <c r="DP19" s="239">
        <v>-377</v>
      </c>
      <c r="DQ19" s="239">
        <v>609</v>
      </c>
      <c r="DR19" s="239">
        <v>137</v>
      </c>
      <c r="DS19" s="239">
        <v>15</v>
      </c>
      <c r="DT19" s="239">
        <v>0</v>
      </c>
      <c r="DU19" s="239">
        <v>0</v>
      </c>
      <c r="DV19" s="239">
        <v>0</v>
      </c>
      <c r="DW19" s="239">
        <v>609</v>
      </c>
      <c r="DX19" s="239">
        <v>137</v>
      </c>
      <c r="DY19" s="239">
        <v>15</v>
      </c>
      <c r="DZ19" s="239">
        <v>17245</v>
      </c>
      <c r="EA19" s="239">
        <v>3880</v>
      </c>
      <c r="EB19" s="239">
        <v>431</v>
      </c>
      <c r="EC19" s="239">
        <v>22025</v>
      </c>
      <c r="ED19" s="239">
        <v>0</v>
      </c>
      <c r="EE19" s="239">
        <v>0</v>
      </c>
      <c r="EF19" s="239">
        <v>-4780</v>
      </c>
      <c r="EG19" s="239">
        <v>3880</v>
      </c>
      <c r="EH19" s="239">
        <v>431</v>
      </c>
      <c r="EI19" s="239">
        <v>87049</v>
      </c>
      <c r="EJ19" s="239">
        <v>19586</v>
      </c>
      <c r="EK19" s="239">
        <v>2176</v>
      </c>
      <c r="EL19" s="239">
        <v>140646</v>
      </c>
      <c r="EM19" s="239">
        <v>0</v>
      </c>
      <c r="EN19" s="239">
        <v>0</v>
      </c>
      <c r="EO19" s="239">
        <v>-53597</v>
      </c>
      <c r="EP19" s="239">
        <v>19586</v>
      </c>
      <c r="EQ19" s="239">
        <v>2176</v>
      </c>
      <c r="ER19" s="239">
        <v>26043</v>
      </c>
      <c r="ES19" s="239">
        <v>5860</v>
      </c>
      <c r="ET19" s="239">
        <v>651</v>
      </c>
      <c r="EU19" s="239">
        <v>33196</v>
      </c>
      <c r="EV19" s="239">
        <v>0</v>
      </c>
      <c r="EW19" s="239">
        <v>0</v>
      </c>
      <c r="EX19" s="239">
        <v>-7153</v>
      </c>
      <c r="EY19" s="239">
        <v>5860</v>
      </c>
      <c r="EZ19" s="239">
        <v>651</v>
      </c>
      <c r="FA19" s="239">
        <v>262795</v>
      </c>
      <c r="FB19" s="239">
        <v>57270</v>
      </c>
      <c r="FC19" s="239">
        <v>6363</v>
      </c>
      <c r="FD19" s="239">
        <v>260432</v>
      </c>
      <c r="FE19" s="239">
        <v>56965</v>
      </c>
      <c r="FF19" s="239">
        <v>6329</v>
      </c>
      <c r="FG19" s="239">
        <v>2363</v>
      </c>
      <c r="FH19" s="239">
        <v>305</v>
      </c>
      <c r="FI19" s="239">
        <v>34</v>
      </c>
      <c r="FJ19" s="239">
        <v>0</v>
      </c>
      <c r="FK19" s="239">
        <v>0</v>
      </c>
      <c r="FL19" s="239">
        <v>0</v>
      </c>
      <c r="FM19" s="239">
        <v>0</v>
      </c>
      <c r="FN19" s="239">
        <v>0</v>
      </c>
      <c r="FO19" s="239">
        <v>0</v>
      </c>
      <c r="FP19" s="239">
        <v>0</v>
      </c>
      <c r="FQ19" s="239">
        <v>0</v>
      </c>
      <c r="FR19" s="239">
        <v>0</v>
      </c>
      <c r="FS19" s="239">
        <v>0</v>
      </c>
      <c r="FT19" s="239">
        <v>0</v>
      </c>
      <c r="FU19" s="239">
        <v>0</v>
      </c>
      <c r="FV19" s="239">
        <v>1485603</v>
      </c>
      <c r="FW19" s="239">
        <v>332402</v>
      </c>
      <c r="FX19" s="239">
        <v>36933</v>
      </c>
      <c r="FY19" s="834">
        <v>0.5</v>
      </c>
      <c r="FZ19" s="834">
        <v>0.4</v>
      </c>
      <c r="GA19" s="834">
        <v>0.09</v>
      </c>
      <c r="GB19" s="834">
        <v>0.01</v>
      </c>
      <c r="GC19" s="214" t="s">
        <v>1158</v>
      </c>
    </row>
    <row r="20" spans="2:185" s="214" customFormat="1" x14ac:dyDescent="0.2">
      <c r="B20" s="602" t="s">
        <v>123</v>
      </c>
      <c r="C20" s="602" t="s">
        <v>122</v>
      </c>
      <c r="D20" s="239">
        <v>-458650</v>
      </c>
      <c r="E20" s="239">
        <v>-44048</v>
      </c>
      <c r="F20" s="239">
        <v>-502698</v>
      </c>
      <c r="G20" s="239">
        <v>-616863</v>
      </c>
      <c r="H20" s="239">
        <v>-22611</v>
      </c>
      <c r="I20" s="239">
        <v>-639474</v>
      </c>
      <c r="J20" s="239">
        <v>158213</v>
      </c>
      <c r="K20" s="239">
        <v>-21437</v>
      </c>
      <c r="L20" s="239">
        <v>136776</v>
      </c>
      <c r="M20" s="239">
        <v>259447</v>
      </c>
      <c r="N20" s="239">
        <v>259447</v>
      </c>
      <c r="O20" s="239">
        <v>0</v>
      </c>
      <c r="P20" s="239">
        <v>354475</v>
      </c>
      <c r="Q20" s="239">
        <v>534106</v>
      </c>
      <c r="R20" s="239">
        <v>-179631</v>
      </c>
      <c r="S20" s="239">
        <v>22696</v>
      </c>
      <c r="T20" s="239">
        <v>0</v>
      </c>
      <c r="U20" s="239">
        <v>54227</v>
      </c>
      <c r="V20" s="239">
        <v>0</v>
      </c>
      <c r="W20" s="239">
        <v>-31531</v>
      </c>
      <c r="X20" s="239">
        <v>0</v>
      </c>
      <c r="Y20" s="239">
        <v>0</v>
      </c>
      <c r="Z20" s="239">
        <v>0</v>
      </c>
      <c r="AA20" s="239">
        <v>0</v>
      </c>
      <c r="AB20" s="239">
        <v>0</v>
      </c>
      <c r="AC20" s="239">
        <v>0</v>
      </c>
      <c r="AD20" s="239">
        <v>0</v>
      </c>
      <c r="AE20" s="239">
        <v>0</v>
      </c>
      <c r="AF20" s="239">
        <v>0</v>
      </c>
      <c r="AG20" s="239">
        <v>0</v>
      </c>
      <c r="AH20" s="239">
        <v>0</v>
      </c>
      <c r="AI20" s="239">
        <v>0</v>
      </c>
      <c r="AJ20" s="239">
        <v>0</v>
      </c>
      <c r="AK20" s="239">
        <v>0</v>
      </c>
      <c r="AL20" s="239">
        <v>0</v>
      </c>
      <c r="AM20" s="239">
        <v>0</v>
      </c>
      <c r="AN20" s="239">
        <v>0</v>
      </c>
      <c r="AO20" s="239">
        <v>0</v>
      </c>
      <c r="AP20" s="239">
        <v>0</v>
      </c>
      <c r="AQ20" s="239">
        <v>0</v>
      </c>
      <c r="AR20" s="239">
        <v>0</v>
      </c>
      <c r="AS20" s="239">
        <v>0</v>
      </c>
      <c r="AT20" s="239">
        <v>0</v>
      </c>
      <c r="AU20" s="239">
        <v>0</v>
      </c>
      <c r="AV20" s="239">
        <v>0</v>
      </c>
      <c r="AW20" s="239">
        <v>0</v>
      </c>
      <c r="AX20" s="239">
        <v>0</v>
      </c>
      <c r="AY20" s="239">
        <v>0</v>
      </c>
      <c r="AZ20" s="239">
        <v>0</v>
      </c>
      <c r="BA20" s="239">
        <v>0</v>
      </c>
      <c r="BB20" s="239">
        <v>0</v>
      </c>
      <c r="BC20" s="239">
        <v>4217537</v>
      </c>
      <c r="BD20" s="239">
        <v>219829</v>
      </c>
      <c r="BE20" s="239">
        <v>43966</v>
      </c>
      <c r="BF20" s="239">
        <v>4101480.5943133044</v>
      </c>
      <c r="BG20" s="239">
        <v>213787.68189914161</v>
      </c>
      <c r="BH20" s="239">
        <v>42757.536379828322</v>
      </c>
      <c r="BI20" s="239">
        <v>342696.04160944204</v>
      </c>
      <c r="BJ20" s="239">
        <v>17422.056706008585</v>
      </c>
      <c r="BK20" s="239">
        <v>3484.4113412017168</v>
      </c>
      <c r="BL20" s="239">
        <v>3832488</v>
      </c>
      <c r="BM20" s="239">
        <v>137597</v>
      </c>
      <c r="BN20" s="239">
        <v>27519</v>
      </c>
      <c r="BO20" s="239">
        <v>385049</v>
      </c>
      <c r="BP20" s="239">
        <v>82232</v>
      </c>
      <c r="BQ20" s="239">
        <v>16447</v>
      </c>
      <c r="BR20" s="239">
        <v>37617</v>
      </c>
      <c r="BS20" s="239">
        <v>2001</v>
      </c>
      <c r="BT20" s="239">
        <v>400</v>
      </c>
      <c r="BU20" s="239">
        <v>10424</v>
      </c>
      <c r="BV20" s="239">
        <v>555</v>
      </c>
      <c r="BW20" s="239">
        <v>111</v>
      </c>
      <c r="BX20" s="239">
        <v>27193</v>
      </c>
      <c r="BY20" s="239">
        <v>1446</v>
      </c>
      <c r="BZ20" s="239">
        <v>289</v>
      </c>
      <c r="CA20" s="239">
        <v>0</v>
      </c>
      <c r="CB20" s="239">
        <v>0</v>
      </c>
      <c r="CC20" s="239">
        <v>0</v>
      </c>
      <c r="CD20" s="239">
        <v>0</v>
      </c>
      <c r="CE20" s="239">
        <v>0</v>
      </c>
      <c r="CF20" s="239">
        <v>0</v>
      </c>
      <c r="CG20" s="239">
        <v>0</v>
      </c>
      <c r="CH20" s="239">
        <v>0</v>
      </c>
      <c r="CI20" s="239">
        <v>0</v>
      </c>
      <c r="CJ20" s="239">
        <v>3725</v>
      </c>
      <c r="CK20" s="239">
        <v>198</v>
      </c>
      <c r="CL20" s="239">
        <v>40</v>
      </c>
      <c r="CM20" s="239">
        <v>8393</v>
      </c>
      <c r="CN20" s="239">
        <v>446</v>
      </c>
      <c r="CO20" s="239">
        <v>89</v>
      </c>
      <c r="CP20" s="239">
        <v>-4668</v>
      </c>
      <c r="CQ20" s="239">
        <v>-248</v>
      </c>
      <c r="CR20" s="239">
        <v>-49</v>
      </c>
      <c r="CS20" s="239">
        <v>-9623</v>
      </c>
      <c r="CT20" s="239">
        <v>-512</v>
      </c>
      <c r="CU20" s="239">
        <v>-102</v>
      </c>
      <c r="CV20" s="239">
        <v>0</v>
      </c>
      <c r="CW20" s="239">
        <v>0</v>
      </c>
      <c r="CX20" s="239">
        <v>0</v>
      </c>
      <c r="CY20" s="239">
        <v>0</v>
      </c>
      <c r="CZ20" s="239">
        <v>0</v>
      </c>
      <c r="DA20" s="239">
        <v>0</v>
      </c>
      <c r="DB20" s="239">
        <v>0</v>
      </c>
      <c r="DC20" s="239">
        <v>0</v>
      </c>
      <c r="DD20" s="239">
        <v>0</v>
      </c>
      <c r="DE20" s="239">
        <v>0</v>
      </c>
      <c r="DF20" s="239">
        <v>0</v>
      </c>
      <c r="DG20" s="239">
        <v>0</v>
      </c>
      <c r="DH20" s="239">
        <v>16953</v>
      </c>
      <c r="DI20" s="239">
        <v>902</v>
      </c>
      <c r="DJ20" s="239">
        <v>180</v>
      </c>
      <c r="DK20" s="239">
        <v>26223</v>
      </c>
      <c r="DL20" s="239">
        <v>1395</v>
      </c>
      <c r="DM20" s="239">
        <v>279</v>
      </c>
      <c r="DN20" s="239">
        <v>-9270</v>
      </c>
      <c r="DO20" s="239">
        <v>-493</v>
      </c>
      <c r="DP20" s="239">
        <v>-99</v>
      </c>
      <c r="DQ20" s="239">
        <v>1431</v>
      </c>
      <c r="DR20" s="239">
        <v>76</v>
      </c>
      <c r="DS20" s="239">
        <v>15</v>
      </c>
      <c r="DT20" s="239">
        <v>1432</v>
      </c>
      <c r="DU20" s="239">
        <v>76</v>
      </c>
      <c r="DV20" s="239">
        <v>15</v>
      </c>
      <c r="DW20" s="239">
        <v>-1</v>
      </c>
      <c r="DX20" s="239">
        <v>0</v>
      </c>
      <c r="DY20" s="239">
        <v>0</v>
      </c>
      <c r="DZ20" s="239">
        <v>28480</v>
      </c>
      <c r="EA20" s="239">
        <v>1515</v>
      </c>
      <c r="EB20" s="239">
        <v>303</v>
      </c>
      <c r="EC20" s="239">
        <v>30451</v>
      </c>
      <c r="ED20" s="239">
        <v>0</v>
      </c>
      <c r="EE20" s="239">
        <v>0</v>
      </c>
      <c r="EF20" s="239">
        <v>-1971</v>
      </c>
      <c r="EG20" s="239">
        <v>1515</v>
      </c>
      <c r="EH20" s="239">
        <v>303</v>
      </c>
      <c r="EI20" s="239">
        <v>287505</v>
      </c>
      <c r="EJ20" s="239">
        <v>15293</v>
      </c>
      <c r="EK20" s="239">
        <v>3059</v>
      </c>
      <c r="EL20" s="239">
        <v>392037</v>
      </c>
      <c r="EM20" s="239">
        <v>0</v>
      </c>
      <c r="EN20" s="239">
        <v>0</v>
      </c>
      <c r="EO20" s="239">
        <v>-104532</v>
      </c>
      <c r="EP20" s="239">
        <v>15293</v>
      </c>
      <c r="EQ20" s="239">
        <v>3059</v>
      </c>
      <c r="ER20" s="239">
        <v>40249</v>
      </c>
      <c r="ES20" s="239">
        <v>2070</v>
      </c>
      <c r="ET20" s="239">
        <v>414</v>
      </c>
      <c r="EU20" s="239">
        <v>101502</v>
      </c>
      <c r="EV20" s="239">
        <v>0</v>
      </c>
      <c r="EW20" s="239">
        <v>0</v>
      </c>
      <c r="EX20" s="239">
        <v>-61253</v>
      </c>
      <c r="EY20" s="239">
        <v>2070</v>
      </c>
      <c r="EZ20" s="239">
        <v>414</v>
      </c>
      <c r="FA20" s="239">
        <v>903189</v>
      </c>
      <c r="FB20" s="239">
        <v>47741</v>
      </c>
      <c r="FC20" s="239">
        <v>9548</v>
      </c>
      <c r="FD20" s="239">
        <v>916397</v>
      </c>
      <c r="FE20" s="239">
        <v>48274</v>
      </c>
      <c r="FF20" s="239">
        <v>9655</v>
      </c>
      <c r="FG20" s="239">
        <v>-13208</v>
      </c>
      <c r="FH20" s="239">
        <v>-533</v>
      </c>
      <c r="FI20" s="239">
        <v>-107</v>
      </c>
      <c r="FJ20" s="239">
        <v>0</v>
      </c>
      <c r="FK20" s="239">
        <v>0</v>
      </c>
      <c r="FL20" s="239">
        <v>0</v>
      </c>
      <c r="FM20" s="239">
        <v>100000</v>
      </c>
      <c r="FN20" s="239">
        <v>0</v>
      </c>
      <c r="FO20" s="239">
        <v>0</v>
      </c>
      <c r="FP20" s="239">
        <v>-100000</v>
      </c>
      <c r="FQ20" s="239">
        <v>0</v>
      </c>
      <c r="FR20" s="239">
        <v>0</v>
      </c>
      <c r="FS20" s="239">
        <v>0</v>
      </c>
      <c r="FT20" s="239">
        <v>0</v>
      </c>
      <c r="FU20" s="239">
        <v>0</v>
      </c>
      <c r="FV20" s="239">
        <v>5527063</v>
      </c>
      <c r="FW20" s="239">
        <v>289113</v>
      </c>
      <c r="FX20" s="239">
        <v>57823</v>
      </c>
      <c r="FY20" s="834">
        <v>0</v>
      </c>
      <c r="FZ20" s="834">
        <v>0.94</v>
      </c>
      <c r="GA20" s="834">
        <v>0.05</v>
      </c>
      <c r="GB20" s="834">
        <v>0.01</v>
      </c>
      <c r="GC20" s="214" t="s">
        <v>746</v>
      </c>
    </row>
    <row r="21" spans="2:185" s="214" customFormat="1" x14ac:dyDescent="0.2">
      <c r="B21" s="602" t="s">
        <v>125</v>
      </c>
      <c r="C21" s="602" t="s">
        <v>124</v>
      </c>
      <c r="D21" s="239">
        <v>-4885088</v>
      </c>
      <c r="E21" s="239">
        <v>0</v>
      </c>
      <c r="F21" s="239">
        <v>-4885088</v>
      </c>
      <c r="G21" s="239">
        <v>-4672669</v>
      </c>
      <c r="H21" s="239">
        <v>0</v>
      </c>
      <c r="I21" s="239">
        <v>-4672669</v>
      </c>
      <c r="J21" s="239">
        <v>-212419</v>
      </c>
      <c r="K21" s="239">
        <v>0</v>
      </c>
      <c r="L21" s="239">
        <v>-212419</v>
      </c>
      <c r="M21" s="239">
        <v>226153</v>
      </c>
      <c r="N21" s="239">
        <v>226153</v>
      </c>
      <c r="O21" s="239">
        <v>0</v>
      </c>
      <c r="P21" s="239">
        <v>0</v>
      </c>
      <c r="Q21" s="239">
        <v>0</v>
      </c>
      <c r="R21" s="239">
        <v>0</v>
      </c>
      <c r="S21" s="239">
        <v>572520</v>
      </c>
      <c r="T21" s="239">
        <v>0</v>
      </c>
      <c r="U21" s="239">
        <v>449000</v>
      </c>
      <c r="V21" s="239">
        <v>0</v>
      </c>
      <c r="W21" s="239">
        <v>123520</v>
      </c>
      <c r="X21" s="239">
        <v>0</v>
      </c>
      <c r="Y21" s="239">
        <v>0</v>
      </c>
      <c r="Z21" s="239">
        <v>0</v>
      </c>
      <c r="AA21" s="239">
        <v>0</v>
      </c>
      <c r="AB21" s="239">
        <v>0</v>
      </c>
      <c r="AC21" s="239">
        <v>0</v>
      </c>
      <c r="AD21" s="239">
        <v>0</v>
      </c>
      <c r="AE21" s="239">
        <v>0</v>
      </c>
      <c r="AF21" s="239">
        <v>0</v>
      </c>
      <c r="AG21" s="239">
        <v>0</v>
      </c>
      <c r="AH21" s="239">
        <v>0</v>
      </c>
      <c r="AI21" s="239">
        <v>0</v>
      </c>
      <c r="AJ21" s="239">
        <v>0</v>
      </c>
      <c r="AK21" s="239">
        <v>0</v>
      </c>
      <c r="AL21" s="239">
        <v>0</v>
      </c>
      <c r="AM21" s="239">
        <v>0</v>
      </c>
      <c r="AN21" s="239">
        <v>0</v>
      </c>
      <c r="AO21" s="239">
        <v>0</v>
      </c>
      <c r="AP21" s="239">
        <v>0</v>
      </c>
      <c r="AQ21" s="239">
        <v>0</v>
      </c>
      <c r="AR21" s="239">
        <v>0</v>
      </c>
      <c r="AS21" s="239">
        <v>0</v>
      </c>
      <c r="AT21" s="239">
        <v>0</v>
      </c>
      <c r="AU21" s="239">
        <v>0</v>
      </c>
      <c r="AV21" s="239">
        <v>0</v>
      </c>
      <c r="AW21" s="239">
        <v>0</v>
      </c>
      <c r="AX21" s="239">
        <v>0</v>
      </c>
      <c r="AY21" s="239">
        <v>0</v>
      </c>
      <c r="AZ21" s="239">
        <v>0</v>
      </c>
      <c r="BA21" s="239">
        <v>0</v>
      </c>
      <c r="BB21" s="239">
        <v>0</v>
      </c>
      <c r="BC21" s="239">
        <v>1853316</v>
      </c>
      <c r="BD21" s="239">
        <v>0</v>
      </c>
      <c r="BE21" s="239">
        <v>37823</v>
      </c>
      <c r="BF21" s="239">
        <v>1809805.7274755363</v>
      </c>
      <c r="BG21" s="239">
        <v>0</v>
      </c>
      <c r="BH21" s="239">
        <v>36934.810764806869</v>
      </c>
      <c r="BI21" s="239">
        <v>128792.92284227467</v>
      </c>
      <c r="BJ21" s="239">
        <v>0</v>
      </c>
      <c r="BK21" s="239">
        <v>2628.4269967811156</v>
      </c>
      <c r="BL21" s="239">
        <v>1636389</v>
      </c>
      <c r="BM21" s="239">
        <v>0</v>
      </c>
      <c r="BN21" s="239">
        <v>23344</v>
      </c>
      <c r="BO21" s="239">
        <v>216927</v>
      </c>
      <c r="BP21" s="239">
        <v>0</v>
      </c>
      <c r="BQ21" s="239">
        <v>14479</v>
      </c>
      <c r="BR21" s="239">
        <v>9336</v>
      </c>
      <c r="BS21" s="239">
        <v>0</v>
      </c>
      <c r="BT21" s="239">
        <v>191</v>
      </c>
      <c r="BU21" s="239">
        <v>4728</v>
      </c>
      <c r="BV21" s="239">
        <v>0</v>
      </c>
      <c r="BW21" s="239">
        <v>96</v>
      </c>
      <c r="BX21" s="239">
        <v>4608</v>
      </c>
      <c r="BY21" s="239">
        <v>0</v>
      </c>
      <c r="BZ21" s="239">
        <v>95</v>
      </c>
      <c r="CA21" s="239">
        <v>-7188</v>
      </c>
      <c r="CB21" s="239">
        <v>0</v>
      </c>
      <c r="CC21" s="239">
        <v>-147</v>
      </c>
      <c r="CD21" s="239">
        <v>1276</v>
      </c>
      <c r="CE21" s="239">
        <v>0</v>
      </c>
      <c r="CF21" s="239">
        <v>26</v>
      </c>
      <c r="CG21" s="239">
        <v>-8464</v>
      </c>
      <c r="CH21" s="239">
        <v>0</v>
      </c>
      <c r="CI21" s="239">
        <v>-173</v>
      </c>
      <c r="CJ21" s="239">
        <v>1195</v>
      </c>
      <c r="CK21" s="239">
        <v>0</v>
      </c>
      <c r="CL21" s="239">
        <v>24</v>
      </c>
      <c r="CM21" s="239">
        <v>5389</v>
      </c>
      <c r="CN21" s="239">
        <v>0</v>
      </c>
      <c r="CO21" s="239">
        <v>110</v>
      </c>
      <c r="CP21" s="239">
        <v>-4194</v>
      </c>
      <c r="CQ21" s="239">
        <v>0</v>
      </c>
      <c r="CR21" s="239">
        <v>-86</v>
      </c>
      <c r="CS21" s="239">
        <v>-191</v>
      </c>
      <c r="CT21" s="239">
        <v>0</v>
      </c>
      <c r="CU21" s="239">
        <v>-4</v>
      </c>
      <c r="CV21" s="239">
        <v>0</v>
      </c>
      <c r="CW21" s="239">
        <v>0</v>
      </c>
      <c r="CX21" s="239">
        <v>0</v>
      </c>
      <c r="CY21" s="239">
        <v>0</v>
      </c>
      <c r="CZ21" s="239">
        <v>0</v>
      </c>
      <c r="DA21" s="239">
        <v>0</v>
      </c>
      <c r="DB21" s="239">
        <v>0</v>
      </c>
      <c r="DC21" s="239">
        <v>0</v>
      </c>
      <c r="DD21" s="239">
        <v>0</v>
      </c>
      <c r="DE21" s="239">
        <v>0</v>
      </c>
      <c r="DF21" s="239">
        <v>0</v>
      </c>
      <c r="DG21" s="239">
        <v>0</v>
      </c>
      <c r="DH21" s="239">
        <v>17445</v>
      </c>
      <c r="DI21" s="239">
        <v>0</v>
      </c>
      <c r="DJ21" s="239">
        <v>356</v>
      </c>
      <c r="DK21" s="239">
        <v>15883</v>
      </c>
      <c r="DL21" s="239">
        <v>0</v>
      </c>
      <c r="DM21" s="239">
        <v>324</v>
      </c>
      <c r="DN21" s="239">
        <v>1562</v>
      </c>
      <c r="DO21" s="239">
        <v>0</v>
      </c>
      <c r="DP21" s="239">
        <v>32</v>
      </c>
      <c r="DQ21" s="239">
        <v>746</v>
      </c>
      <c r="DR21" s="239">
        <v>0</v>
      </c>
      <c r="DS21" s="239">
        <v>15</v>
      </c>
      <c r="DT21" s="239">
        <v>1493</v>
      </c>
      <c r="DU21" s="239">
        <v>0</v>
      </c>
      <c r="DV21" s="239">
        <v>30</v>
      </c>
      <c r="DW21" s="239">
        <v>-747</v>
      </c>
      <c r="DX21" s="239">
        <v>0</v>
      </c>
      <c r="DY21" s="239">
        <v>-15</v>
      </c>
      <c r="DZ21" s="239">
        <v>7335</v>
      </c>
      <c r="EA21" s="239">
        <v>0</v>
      </c>
      <c r="EB21" s="239">
        <v>150</v>
      </c>
      <c r="EC21" s="239">
        <v>7485</v>
      </c>
      <c r="ED21" s="239">
        <v>0</v>
      </c>
      <c r="EE21" s="239">
        <v>0</v>
      </c>
      <c r="EF21" s="239">
        <v>-150</v>
      </c>
      <c r="EG21" s="239">
        <v>0</v>
      </c>
      <c r="EH21" s="239">
        <v>150</v>
      </c>
      <c r="EI21" s="239">
        <v>107593</v>
      </c>
      <c r="EJ21" s="239">
        <v>0</v>
      </c>
      <c r="EK21" s="239">
        <v>2196</v>
      </c>
      <c r="EL21" s="239">
        <v>108164</v>
      </c>
      <c r="EM21" s="239">
        <v>0</v>
      </c>
      <c r="EN21" s="239">
        <v>0</v>
      </c>
      <c r="EO21" s="239">
        <v>-571</v>
      </c>
      <c r="EP21" s="239">
        <v>0</v>
      </c>
      <c r="EQ21" s="239">
        <v>2196</v>
      </c>
      <c r="ER21" s="239">
        <v>18817</v>
      </c>
      <c r="ES21" s="239">
        <v>0</v>
      </c>
      <c r="ET21" s="239">
        <v>384</v>
      </c>
      <c r="EU21" s="239">
        <v>17681</v>
      </c>
      <c r="EV21" s="239">
        <v>0</v>
      </c>
      <c r="EW21" s="239">
        <v>0</v>
      </c>
      <c r="EX21" s="239">
        <v>1136</v>
      </c>
      <c r="EY21" s="239">
        <v>0</v>
      </c>
      <c r="EZ21" s="239">
        <v>384</v>
      </c>
      <c r="FA21" s="239">
        <v>429506</v>
      </c>
      <c r="FB21" s="239">
        <v>0</v>
      </c>
      <c r="FC21" s="239">
        <v>8590</v>
      </c>
      <c r="FD21" s="239">
        <v>443296</v>
      </c>
      <c r="FE21" s="239">
        <v>0</v>
      </c>
      <c r="FF21" s="239">
        <v>8909</v>
      </c>
      <c r="FG21" s="239">
        <v>-13790</v>
      </c>
      <c r="FH21" s="239">
        <v>0</v>
      </c>
      <c r="FI21" s="239">
        <v>-319</v>
      </c>
      <c r="FJ21" s="239">
        <v>0</v>
      </c>
      <c r="FK21" s="239">
        <v>0</v>
      </c>
      <c r="FL21" s="239">
        <v>0</v>
      </c>
      <c r="FM21" s="239">
        <v>0</v>
      </c>
      <c r="FN21" s="239">
        <v>0</v>
      </c>
      <c r="FO21" s="239">
        <v>0</v>
      </c>
      <c r="FP21" s="239">
        <v>0</v>
      </c>
      <c r="FQ21" s="239">
        <v>0</v>
      </c>
      <c r="FR21" s="239">
        <v>0</v>
      </c>
      <c r="FS21" s="239">
        <v>0</v>
      </c>
      <c r="FT21" s="239">
        <v>0</v>
      </c>
      <c r="FU21" s="239">
        <v>0</v>
      </c>
      <c r="FV21" s="239">
        <v>2437910</v>
      </c>
      <c r="FW21" s="239">
        <v>0</v>
      </c>
      <c r="FX21" s="239">
        <v>49578</v>
      </c>
      <c r="FY21" s="834">
        <v>0.5</v>
      </c>
      <c r="FZ21" s="834">
        <v>0.49</v>
      </c>
      <c r="GA21" s="834">
        <v>0</v>
      </c>
      <c r="GB21" s="834">
        <v>0.01</v>
      </c>
      <c r="GC21" s="214" t="s">
        <v>746</v>
      </c>
    </row>
    <row r="22" spans="2:185" s="214" customFormat="1" x14ac:dyDescent="0.2">
      <c r="B22" s="602" t="s">
        <v>127</v>
      </c>
      <c r="C22" s="602" t="s">
        <v>126</v>
      </c>
      <c r="D22" s="239">
        <v>-719500</v>
      </c>
      <c r="E22" s="239">
        <v>0</v>
      </c>
      <c r="F22" s="239">
        <v>-719500</v>
      </c>
      <c r="G22" s="239">
        <v>-639747</v>
      </c>
      <c r="H22" s="239">
        <v>0</v>
      </c>
      <c r="I22" s="239">
        <v>-639747</v>
      </c>
      <c r="J22" s="239">
        <v>-79753</v>
      </c>
      <c r="K22" s="239">
        <v>0</v>
      </c>
      <c r="L22" s="239">
        <v>-79753</v>
      </c>
      <c r="M22" s="239">
        <v>247577</v>
      </c>
      <c r="N22" s="239">
        <v>247577</v>
      </c>
      <c r="O22" s="239">
        <v>0</v>
      </c>
      <c r="P22" s="239">
        <v>0</v>
      </c>
      <c r="Q22" s="239">
        <v>0</v>
      </c>
      <c r="R22" s="239">
        <v>0</v>
      </c>
      <c r="S22" s="239">
        <v>0</v>
      </c>
      <c r="T22" s="239">
        <v>0</v>
      </c>
      <c r="U22" s="239">
        <v>0</v>
      </c>
      <c r="V22" s="239">
        <v>0</v>
      </c>
      <c r="W22" s="239">
        <v>0</v>
      </c>
      <c r="X22" s="239">
        <v>0</v>
      </c>
      <c r="Y22" s="239">
        <v>0</v>
      </c>
      <c r="Z22" s="239">
        <v>0</v>
      </c>
      <c r="AA22" s="239">
        <v>0</v>
      </c>
      <c r="AB22" s="239">
        <v>0</v>
      </c>
      <c r="AC22" s="239">
        <v>0</v>
      </c>
      <c r="AD22" s="239">
        <v>0</v>
      </c>
      <c r="AE22" s="239">
        <v>0</v>
      </c>
      <c r="AF22" s="239">
        <v>0</v>
      </c>
      <c r="AG22" s="239">
        <v>0</v>
      </c>
      <c r="AH22" s="239">
        <v>0</v>
      </c>
      <c r="AI22" s="239">
        <v>0</v>
      </c>
      <c r="AJ22" s="239">
        <v>0</v>
      </c>
      <c r="AK22" s="239">
        <v>0</v>
      </c>
      <c r="AL22" s="239">
        <v>0</v>
      </c>
      <c r="AM22" s="239">
        <v>0</v>
      </c>
      <c r="AN22" s="239">
        <v>0</v>
      </c>
      <c r="AO22" s="239">
        <v>0</v>
      </c>
      <c r="AP22" s="239">
        <v>0</v>
      </c>
      <c r="AQ22" s="239">
        <v>0</v>
      </c>
      <c r="AR22" s="239">
        <v>0</v>
      </c>
      <c r="AS22" s="239">
        <v>0</v>
      </c>
      <c r="AT22" s="239">
        <v>0</v>
      </c>
      <c r="AU22" s="239">
        <v>0</v>
      </c>
      <c r="AV22" s="239">
        <v>0</v>
      </c>
      <c r="AW22" s="239">
        <v>0</v>
      </c>
      <c r="AX22" s="239">
        <v>0</v>
      </c>
      <c r="AY22" s="239">
        <v>0</v>
      </c>
      <c r="AZ22" s="239">
        <v>0</v>
      </c>
      <c r="BA22" s="239">
        <v>0</v>
      </c>
      <c r="BB22" s="239">
        <v>0</v>
      </c>
      <c r="BC22" s="239">
        <v>1294960</v>
      </c>
      <c r="BD22" s="239">
        <v>1597118</v>
      </c>
      <c r="BE22" s="239">
        <v>0</v>
      </c>
      <c r="BF22" s="239">
        <v>1269549.866407725</v>
      </c>
      <c r="BG22" s="239">
        <v>1565778.1685695276</v>
      </c>
      <c r="BH22" s="239">
        <v>0</v>
      </c>
      <c r="BI22" s="239">
        <v>69872.960729613726</v>
      </c>
      <c r="BJ22" s="239">
        <v>86176.651566523607</v>
      </c>
      <c r="BK22" s="239">
        <v>0</v>
      </c>
      <c r="BL22" s="239">
        <v>1639333</v>
      </c>
      <c r="BM22" s="239">
        <v>1043264</v>
      </c>
      <c r="BN22" s="239">
        <v>0</v>
      </c>
      <c r="BO22" s="239">
        <v>-344373</v>
      </c>
      <c r="BP22" s="239">
        <v>553854</v>
      </c>
      <c r="BQ22" s="239">
        <v>0</v>
      </c>
      <c r="BR22" s="239">
        <v>0</v>
      </c>
      <c r="BS22" s="239">
        <v>0</v>
      </c>
      <c r="BT22" s="239">
        <v>0</v>
      </c>
      <c r="BU22" s="239">
        <v>0</v>
      </c>
      <c r="BV22" s="239">
        <v>0</v>
      </c>
      <c r="BW22" s="239">
        <v>0</v>
      </c>
      <c r="BX22" s="239">
        <v>0</v>
      </c>
      <c r="BY22" s="239">
        <v>0</v>
      </c>
      <c r="BZ22" s="239">
        <v>0</v>
      </c>
      <c r="CA22" s="239">
        <v>0</v>
      </c>
      <c r="CB22" s="239">
        <v>0</v>
      </c>
      <c r="CC22" s="239">
        <v>0</v>
      </c>
      <c r="CD22" s="239">
        <v>0</v>
      </c>
      <c r="CE22" s="239">
        <v>0</v>
      </c>
      <c r="CF22" s="239">
        <v>0</v>
      </c>
      <c r="CG22" s="239">
        <v>0</v>
      </c>
      <c r="CH22" s="239">
        <v>0</v>
      </c>
      <c r="CI22" s="239">
        <v>0</v>
      </c>
      <c r="CJ22" s="239">
        <v>14333</v>
      </c>
      <c r="CK22" s="239">
        <v>17677</v>
      </c>
      <c r="CL22" s="239">
        <v>0</v>
      </c>
      <c r="CM22" s="239">
        <v>590</v>
      </c>
      <c r="CN22" s="239">
        <v>728</v>
      </c>
      <c r="CO22" s="239">
        <v>0</v>
      </c>
      <c r="CP22" s="239">
        <v>13743</v>
      </c>
      <c r="CQ22" s="239">
        <v>16949</v>
      </c>
      <c r="CR22" s="239">
        <v>0</v>
      </c>
      <c r="CS22" s="239">
        <v>-2357</v>
      </c>
      <c r="CT22" s="239">
        <v>-2906</v>
      </c>
      <c r="CU22" s="239">
        <v>0</v>
      </c>
      <c r="CV22" s="239">
        <v>0</v>
      </c>
      <c r="CW22" s="239">
        <v>0</v>
      </c>
      <c r="CX22" s="239">
        <v>0</v>
      </c>
      <c r="CY22" s="239">
        <v>0</v>
      </c>
      <c r="CZ22" s="239">
        <v>0</v>
      </c>
      <c r="DA22" s="239">
        <v>0</v>
      </c>
      <c r="DB22" s="239">
        <v>0</v>
      </c>
      <c r="DC22" s="239">
        <v>0</v>
      </c>
      <c r="DD22" s="239">
        <v>0</v>
      </c>
      <c r="DE22" s="239">
        <v>0</v>
      </c>
      <c r="DF22" s="239">
        <v>0</v>
      </c>
      <c r="DG22" s="239">
        <v>0</v>
      </c>
      <c r="DH22" s="239">
        <v>0</v>
      </c>
      <c r="DI22" s="239">
        <v>0</v>
      </c>
      <c r="DJ22" s="239">
        <v>0</v>
      </c>
      <c r="DK22" s="239">
        <v>0</v>
      </c>
      <c r="DL22" s="239">
        <v>0</v>
      </c>
      <c r="DM22" s="239">
        <v>0</v>
      </c>
      <c r="DN22" s="239">
        <v>0</v>
      </c>
      <c r="DO22" s="239">
        <v>0</v>
      </c>
      <c r="DP22" s="239">
        <v>0</v>
      </c>
      <c r="DQ22" s="239">
        <v>0</v>
      </c>
      <c r="DR22" s="239">
        <v>0</v>
      </c>
      <c r="DS22" s="239">
        <v>0</v>
      </c>
      <c r="DT22" s="239">
        <v>0</v>
      </c>
      <c r="DU22" s="239">
        <v>0</v>
      </c>
      <c r="DV22" s="239">
        <v>0</v>
      </c>
      <c r="DW22" s="239">
        <v>0</v>
      </c>
      <c r="DX22" s="239">
        <v>0</v>
      </c>
      <c r="DY22" s="239">
        <v>0</v>
      </c>
      <c r="DZ22" s="239">
        <v>13544</v>
      </c>
      <c r="EA22" s="239">
        <v>16704</v>
      </c>
      <c r="EB22" s="239">
        <v>0</v>
      </c>
      <c r="EC22" s="239">
        <v>31747</v>
      </c>
      <c r="ED22" s="239">
        <v>0</v>
      </c>
      <c r="EE22" s="239">
        <v>0</v>
      </c>
      <c r="EF22" s="239">
        <v>-18203</v>
      </c>
      <c r="EG22" s="239">
        <v>16704</v>
      </c>
      <c r="EH22" s="239">
        <v>0</v>
      </c>
      <c r="EI22" s="239">
        <v>145976</v>
      </c>
      <c r="EJ22" s="239">
        <v>180038</v>
      </c>
      <c r="EK22" s="239">
        <v>0</v>
      </c>
      <c r="EL22" s="239">
        <v>367429</v>
      </c>
      <c r="EM22" s="239">
        <v>0</v>
      </c>
      <c r="EN22" s="239">
        <v>0</v>
      </c>
      <c r="EO22" s="239">
        <v>-221453</v>
      </c>
      <c r="EP22" s="239">
        <v>180038</v>
      </c>
      <c r="EQ22" s="239">
        <v>0</v>
      </c>
      <c r="ER22" s="239">
        <v>12638</v>
      </c>
      <c r="ES22" s="239">
        <v>15587</v>
      </c>
      <c r="ET22" s="239">
        <v>0</v>
      </c>
      <c r="EU22" s="239">
        <v>28013</v>
      </c>
      <c r="EV22" s="239">
        <v>0</v>
      </c>
      <c r="EW22" s="239">
        <v>0</v>
      </c>
      <c r="EX22" s="239">
        <v>-15375</v>
      </c>
      <c r="EY22" s="239">
        <v>15587</v>
      </c>
      <c r="EZ22" s="239">
        <v>0</v>
      </c>
      <c r="FA22" s="239">
        <v>325127</v>
      </c>
      <c r="FB22" s="239">
        <v>400990</v>
      </c>
      <c r="FC22" s="239">
        <v>0</v>
      </c>
      <c r="FD22" s="239">
        <v>328829</v>
      </c>
      <c r="FE22" s="239">
        <v>405556</v>
      </c>
      <c r="FF22" s="239">
        <v>0</v>
      </c>
      <c r="FG22" s="239">
        <v>-3702</v>
      </c>
      <c r="FH22" s="239">
        <v>-4566</v>
      </c>
      <c r="FI22" s="239">
        <v>0</v>
      </c>
      <c r="FJ22" s="239">
        <v>0</v>
      </c>
      <c r="FK22" s="239">
        <v>0</v>
      </c>
      <c r="FL22" s="239">
        <v>0</v>
      </c>
      <c r="FM22" s="239">
        <v>0</v>
      </c>
      <c r="FN22" s="239">
        <v>0</v>
      </c>
      <c r="FO22" s="239">
        <v>0</v>
      </c>
      <c r="FP22" s="239">
        <v>0</v>
      </c>
      <c r="FQ22" s="239">
        <v>0</v>
      </c>
      <c r="FR22" s="239">
        <v>0</v>
      </c>
      <c r="FS22" s="239">
        <v>0</v>
      </c>
      <c r="FT22" s="239">
        <v>0</v>
      </c>
      <c r="FU22" s="239">
        <v>0</v>
      </c>
      <c r="FV22" s="239">
        <v>1804221</v>
      </c>
      <c r="FW22" s="239">
        <v>2225208</v>
      </c>
      <c r="FX22" s="239">
        <v>0</v>
      </c>
      <c r="FY22" s="834">
        <v>0.33000000000000007</v>
      </c>
      <c r="FZ22" s="834">
        <v>0.3</v>
      </c>
      <c r="GA22" s="834">
        <v>0.37</v>
      </c>
      <c r="GB22" s="834">
        <v>0</v>
      </c>
      <c r="GC22" s="214" t="s">
        <v>1159</v>
      </c>
    </row>
    <row r="23" spans="2:185" s="214" customFormat="1" x14ac:dyDescent="0.2">
      <c r="B23" s="602" t="s">
        <v>129</v>
      </c>
      <c r="C23" s="602" t="s">
        <v>128</v>
      </c>
      <c r="D23" s="239">
        <v>-7971180</v>
      </c>
      <c r="E23" s="239">
        <v>-204434</v>
      </c>
      <c r="F23" s="239">
        <v>-8175614</v>
      </c>
      <c r="G23" s="239">
        <v>-3428934</v>
      </c>
      <c r="H23" s="239">
        <v>0</v>
      </c>
      <c r="I23" s="239">
        <v>-3428934</v>
      </c>
      <c r="J23" s="239">
        <v>-4542246</v>
      </c>
      <c r="K23" s="239">
        <v>-204434</v>
      </c>
      <c r="L23" s="239">
        <v>-4746680</v>
      </c>
      <c r="M23" s="239">
        <v>1893141</v>
      </c>
      <c r="N23" s="239">
        <v>1893141</v>
      </c>
      <c r="O23" s="239">
        <v>0</v>
      </c>
      <c r="P23" s="239">
        <v>35351</v>
      </c>
      <c r="Q23" s="239">
        <v>1524577</v>
      </c>
      <c r="R23" s="239">
        <v>-1489226</v>
      </c>
      <c r="S23" s="239">
        <v>0</v>
      </c>
      <c r="T23" s="239">
        <v>0</v>
      </c>
      <c r="U23" s="239">
        <v>0</v>
      </c>
      <c r="V23" s="239">
        <v>0</v>
      </c>
      <c r="W23" s="239">
        <v>0</v>
      </c>
      <c r="X23" s="239">
        <v>0</v>
      </c>
      <c r="Y23" s="239">
        <v>0</v>
      </c>
      <c r="Z23" s="239">
        <v>0</v>
      </c>
      <c r="AA23" s="239">
        <v>0</v>
      </c>
      <c r="AB23" s="239">
        <v>0</v>
      </c>
      <c r="AC23" s="239">
        <v>0</v>
      </c>
      <c r="AD23" s="239">
        <v>0</v>
      </c>
      <c r="AE23" s="239">
        <v>0</v>
      </c>
      <c r="AF23" s="239">
        <v>0</v>
      </c>
      <c r="AG23" s="239">
        <v>0</v>
      </c>
      <c r="AH23" s="239">
        <v>0</v>
      </c>
      <c r="AI23" s="239">
        <v>0</v>
      </c>
      <c r="AJ23" s="239">
        <v>0</v>
      </c>
      <c r="AK23" s="239">
        <v>0</v>
      </c>
      <c r="AL23" s="239">
        <v>0</v>
      </c>
      <c r="AM23" s="239">
        <v>0</v>
      </c>
      <c r="AN23" s="239">
        <v>0</v>
      </c>
      <c r="AO23" s="239">
        <v>0</v>
      </c>
      <c r="AP23" s="239">
        <v>0</v>
      </c>
      <c r="AQ23" s="239">
        <v>0</v>
      </c>
      <c r="AR23" s="239">
        <v>0</v>
      </c>
      <c r="AS23" s="239">
        <v>0</v>
      </c>
      <c r="AT23" s="239">
        <v>0</v>
      </c>
      <c r="AU23" s="239">
        <v>0</v>
      </c>
      <c r="AV23" s="239">
        <v>0</v>
      </c>
      <c r="AW23" s="239">
        <v>0</v>
      </c>
      <c r="AX23" s="239">
        <v>0</v>
      </c>
      <c r="AY23" s="239">
        <v>0</v>
      </c>
      <c r="AZ23" s="239">
        <v>0</v>
      </c>
      <c r="BA23" s="239">
        <v>0</v>
      </c>
      <c r="BB23" s="239">
        <v>0</v>
      </c>
      <c r="BC23" s="239">
        <v>24427547</v>
      </c>
      <c r="BD23" s="239">
        <v>0</v>
      </c>
      <c r="BE23" s="239">
        <v>241710</v>
      </c>
      <c r="BF23" s="239">
        <v>23879716.323524896</v>
      </c>
      <c r="BG23" s="239">
        <v>0</v>
      </c>
      <c r="BH23" s="239">
        <v>236282.02596866951</v>
      </c>
      <c r="BI23" s="239">
        <v>1723515.5739763947</v>
      </c>
      <c r="BJ23" s="239">
        <v>0</v>
      </c>
      <c r="BK23" s="239">
        <v>16912.692547210296</v>
      </c>
      <c r="BL23" s="239">
        <v>23982195</v>
      </c>
      <c r="BM23" s="239">
        <v>0</v>
      </c>
      <c r="BN23" s="239">
        <v>171536</v>
      </c>
      <c r="BO23" s="239">
        <v>445352</v>
      </c>
      <c r="BP23" s="239">
        <v>0</v>
      </c>
      <c r="BQ23" s="239">
        <v>70174</v>
      </c>
      <c r="BR23" s="239">
        <v>88060</v>
      </c>
      <c r="BS23" s="239">
        <v>0</v>
      </c>
      <c r="BT23" s="239">
        <v>924</v>
      </c>
      <c r="BU23" s="239">
        <v>0</v>
      </c>
      <c r="BV23" s="239">
        <v>0</v>
      </c>
      <c r="BW23" s="239">
        <v>0</v>
      </c>
      <c r="BX23" s="239">
        <v>88060</v>
      </c>
      <c r="BY23" s="239">
        <v>0</v>
      </c>
      <c r="BZ23" s="239">
        <v>924</v>
      </c>
      <c r="CA23" s="239">
        <v>204743</v>
      </c>
      <c r="CB23" s="239">
        <v>0</v>
      </c>
      <c r="CC23" s="239">
        <v>1727</v>
      </c>
      <c r="CD23" s="239">
        <v>0</v>
      </c>
      <c r="CE23" s="239">
        <v>0</v>
      </c>
      <c r="CF23" s="239">
        <v>0</v>
      </c>
      <c r="CG23" s="239">
        <v>204743</v>
      </c>
      <c r="CH23" s="239">
        <v>0</v>
      </c>
      <c r="CI23" s="239">
        <v>1727</v>
      </c>
      <c r="CJ23" s="239">
        <v>281965</v>
      </c>
      <c r="CK23" s="239">
        <v>0</v>
      </c>
      <c r="CL23" s="239">
        <v>2848</v>
      </c>
      <c r="CM23" s="239">
        <v>0</v>
      </c>
      <c r="CN23" s="239">
        <v>0</v>
      </c>
      <c r="CO23" s="239">
        <v>0</v>
      </c>
      <c r="CP23" s="239">
        <v>281965</v>
      </c>
      <c r="CQ23" s="239">
        <v>0</v>
      </c>
      <c r="CR23" s="239">
        <v>2848</v>
      </c>
      <c r="CS23" s="239">
        <v>-44542</v>
      </c>
      <c r="CT23" s="239">
        <v>0</v>
      </c>
      <c r="CU23" s="239">
        <v>-421</v>
      </c>
      <c r="CV23" s="239">
        <v>0</v>
      </c>
      <c r="CW23" s="239">
        <v>0</v>
      </c>
      <c r="CX23" s="239">
        <v>0</v>
      </c>
      <c r="CY23" s="239">
        <v>0</v>
      </c>
      <c r="CZ23" s="239">
        <v>0</v>
      </c>
      <c r="DA23" s="239">
        <v>0</v>
      </c>
      <c r="DB23" s="239">
        <v>0</v>
      </c>
      <c r="DC23" s="239">
        <v>0</v>
      </c>
      <c r="DD23" s="239">
        <v>0</v>
      </c>
      <c r="DE23" s="239">
        <v>0</v>
      </c>
      <c r="DF23" s="239">
        <v>0</v>
      </c>
      <c r="DG23" s="239">
        <v>0</v>
      </c>
      <c r="DH23" s="239">
        <v>0</v>
      </c>
      <c r="DI23" s="239">
        <v>0</v>
      </c>
      <c r="DJ23" s="239">
        <v>0</v>
      </c>
      <c r="DK23" s="239">
        <v>0</v>
      </c>
      <c r="DL23" s="239">
        <v>0</v>
      </c>
      <c r="DM23" s="239">
        <v>0</v>
      </c>
      <c r="DN23" s="239">
        <v>0</v>
      </c>
      <c r="DO23" s="239">
        <v>0</v>
      </c>
      <c r="DP23" s="239">
        <v>0</v>
      </c>
      <c r="DQ23" s="239">
        <v>0</v>
      </c>
      <c r="DR23" s="239">
        <v>0</v>
      </c>
      <c r="DS23" s="239">
        <v>0</v>
      </c>
      <c r="DT23" s="239">
        <v>0</v>
      </c>
      <c r="DU23" s="239">
        <v>0</v>
      </c>
      <c r="DV23" s="239">
        <v>0</v>
      </c>
      <c r="DW23" s="239">
        <v>0</v>
      </c>
      <c r="DX23" s="239">
        <v>0</v>
      </c>
      <c r="DY23" s="239">
        <v>0</v>
      </c>
      <c r="DZ23" s="239">
        <v>508507</v>
      </c>
      <c r="EA23" s="239">
        <v>0</v>
      </c>
      <c r="EB23" s="239">
        <v>5111</v>
      </c>
      <c r="EC23" s="239">
        <v>523724</v>
      </c>
      <c r="ED23" s="239">
        <v>0</v>
      </c>
      <c r="EE23" s="239">
        <v>0</v>
      </c>
      <c r="EF23" s="239">
        <v>-15217</v>
      </c>
      <c r="EG23" s="239">
        <v>0</v>
      </c>
      <c r="EH23" s="239">
        <v>5111</v>
      </c>
      <c r="EI23" s="239">
        <v>2446555</v>
      </c>
      <c r="EJ23" s="239">
        <v>0</v>
      </c>
      <c r="EK23" s="239">
        <v>23738</v>
      </c>
      <c r="EL23" s="239">
        <v>2626977</v>
      </c>
      <c r="EM23" s="239">
        <v>0</v>
      </c>
      <c r="EN23" s="239">
        <v>0</v>
      </c>
      <c r="EO23" s="239">
        <v>-180422</v>
      </c>
      <c r="EP23" s="239">
        <v>0</v>
      </c>
      <c r="EQ23" s="239">
        <v>23738</v>
      </c>
      <c r="ER23" s="239">
        <v>184193</v>
      </c>
      <c r="ES23" s="239">
        <v>0</v>
      </c>
      <c r="ET23" s="239">
        <v>1810</v>
      </c>
      <c r="EU23" s="239">
        <v>189577</v>
      </c>
      <c r="EV23" s="239">
        <v>0</v>
      </c>
      <c r="EW23" s="239">
        <v>0</v>
      </c>
      <c r="EX23" s="239">
        <v>-5384</v>
      </c>
      <c r="EY23" s="239">
        <v>0</v>
      </c>
      <c r="EZ23" s="239">
        <v>1810</v>
      </c>
      <c r="FA23" s="239">
        <v>6286915</v>
      </c>
      <c r="FB23" s="239">
        <v>0</v>
      </c>
      <c r="FC23" s="239">
        <v>63499</v>
      </c>
      <c r="FD23" s="239">
        <v>6021003</v>
      </c>
      <c r="FE23" s="239">
        <v>0</v>
      </c>
      <c r="FF23" s="239">
        <v>60587</v>
      </c>
      <c r="FG23" s="239">
        <v>265912</v>
      </c>
      <c r="FH23" s="239">
        <v>0</v>
      </c>
      <c r="FI23" s="239">
        <v>2912</v>
      </c>
      <c r="FJ23" s="239">
        <v>631960</v>
      </c>
      <c r="FK23" s="239">
        <v>0</v>
      </c>
      <c r="FL23" s="239">
        <v>0</v>
      </c>
      <c r="FM23" s="239">
        <v>845610</v>
      </c>
      <c r="FN23" s="239">
        <v>0</v>
      </c>
      <c r="FO23" s="239">
        <v>0</v>
      </c>
      <c r="FP23" s="239">
        <v>-213650</v>
      </c>
      <c r="FQ23" s="239">
        <v>0</v>
      </c>
      <c r="FR23" s="239">
        <v>0</v>
      </c>
      <c r="FS23" s="239">
        <v>0</v>
      </c>
      <c r="FT23" s="239">
        <v>0</v>
      </c>
      <c r="FU23" s="239">
        <v>0</v>
      </c>
      <c r="FV23" s="239">
        <v>35015903</v>
      </c>
      <c r="FW23" s="239">
        <v>0</v>
      </c>
      <c r="FX23" s="239">
        <v>340946</v>
      </c>
      <c r="FY23" s="834">
        <v>0</v>
      </c>
      <c r="FZ23" s="834">
        <v>0.99</v>
      </c>
      <c r="GA23" s="834">
        <v>0</v>
      </c>
      <c r="GB23" s="834">
        <v>0.01</v>
      </c>
      <c r="GC23" s="214" t="s">
        <v>1160</v>
      </c>
    </row>
    <row r="24" spans="2:185" s="214" customFormat="1" x14ac:dyDescent="0.2">
      <c r="B24" s="602" t="s">
        <v>131</v>
      </c>
      <c r="C24" s="602" t="s">
        <v>130</v>
      </c>
      <c r="D24" s="239">
        <v>-144265</v>
      </c>
      <c r="E24" s="239">
        <v>0</v>
      </c>
      <c r="F24" s="239">
        <v>-144265</v>
      </c>
      <c r="G24" s="239">
        <v>220792</v>
      </c>
      <c r="H24" s="239">
        <v>0</v>
      </c>
      <c r="I24" s="239">
        <v>220792</v>
      </c>
      <c r="J24" s="239">
        <v>-365057</v>
      </c>
      <c r="K24" s="239">
        <v>0</v>
      </c>
      <c r="L24" s="239">
        <v>-365057</v>
      </c>
      <c r="M24" s="239">
        <v>101839</v>
      </c>
      <c r="N24" s="239">
        <v>101839</v>
      </c>
      <c r="O24" s="239">
        <v>0</v>
      </c>
      <c r="P24" s="239">
        <v>0</v>
      </c>
      <c r="Q24" s="239">
        <v>0</v>
      </c>
      <c r="R24" s="239">
        <v>0</v>
      </c>
      <c r="S24" s="239">
        <v>0</v>
      </c>
      <c r="T24" s="239">
        <v>0</v>
      </c>
      <c r="U24" s="239">
        <v>0</v>
      </c>
      <c r="V24" s="239">
        <v>0</v>
      </c>
      <c r="W24" s="239">
        <v>0</v>
      </c>
      <c r="X24" s="239">
        <v>0</v>
      </c>
      <c r="Y24" s="239">
        <v>0</v>
      </c>
      <c r="Z24" s="239">
        <v>0</v>
      </c>
      <c r="AA24" s="239">
        <v>0</v>
      </c>
      <c r="AB24" s="239">
        <v>0</v>
      </c>
      <c r="AC24" s="239">
        <v>0</v>
      </c>
      <c r="AD24" s="239">
        <v>0</v>
      </c>
      <c r="AE24" s="239">
        <v>0</v>
      </c>
      <c r="AF24" s="239">
        <v>0</v>
      </c>
      <c r="AG24" s="239">
        <v>0</v>
      </c>
      <c r="AH24" s="239">
        <v>0</v>
      </c>
      <c r="AI24" s="239">
        <v>0</v>
      </c>
      <c r="AJ24" s="239">
        <v>0</v>
      </c>
      <c r="AK24" s="239">
        <v>0</v>
      </c>
      <c r="AL24" s="239">
        <v>0</v>
      </c>
      <c r="AM24" s="239">
        <v>0</v>
      </c>
      <c r="AN24" s="239">
        <v>0</v>
      </c>
      <c r="AO24" s="239">
        <v>0</v>
      </c>
      <c r="AP24" s="239">
        <v>0</v>
      </c>
      <c r="AQ24" s="239">
        <v>0</v>
      </c>
      <c r="AR24" s="239">
        <v>0</v>
      </c>
      <c r="AS24" s="239">
        <v>0</v>
      </c>
      <c r="AT24" s="239">
        <v>0</v>
      </c>
      <c r="AU24" s="239">
        <v>0</v>
      </c>
      <c r="AV24" s="239">
        <v>0</v>
      </c>
      <c r="AW24" s="239">
        <v>0</v>
      </c>
      <c r="AX24" s="239">
        <v>0</v>
      </c>
      <c r="AY24" s="239">
        <v>0</v>
      </c>
      <c r="AZ24" s="239">
        <v>0</v>
      </c>
      <c r="BA24" s="239">
        <v>0</v>
      </c>
      <c r="BB24" s="239">
        <v>0</v>
      </c>
      <c r="BC24" s="239">
        <v>558902</v>
      </c>
      <c r="BD24" s="239">
        <v>125753</v>
      </c>
      <c r="BE24" s="239">
        <v>13973</v>
      </c>
      <c r="BF24" s="239">
        <v>543475.32927467814</v>
      </c>
      <c r="BG24" s="239">
        <v>122281.94908680258</v>
      </c>
      <c r="BH24" s="239">
        <v>13586.883231866952</v>
      </c>
      <c r="BI24" s="239">
        <v>52478.416180257511</v>
      </c>
      <c r="BJ24" s="239">
        <v>11807.643640557939</v>
      </c>
      <c r="BK24" s="239">
        <v>1311.9604045064377</v>
      </c>
      <c r="BL24" s="239">
        <v>521352</v>
      </c>
      <c r="BM24" s="239">
        <v>77301</v>
      </c>
      <c r="BN24" s="239">
        <v>8589</v>
      </c>
      <c r="BO24" s="239">
        <v>37550</v>
      </c>
      <c r="BP24" s="239">
        <v>48452</v>
      </c>
      <c r="BQ24" s="239">
        <v>5384</v>
      </c>
      <c r="BR24" s="239">
        <v>2999</v>
      </c>
      <c r="BS24" s="239">
        <v>675</v>
      </c>
      <c r="BT24" s="239">
        <v>75</v>
      </c>
      <c r="BU24" s="239">
        <v>1229</v>
      </c>
      <c r="BV24" s="239">
        <v>277</v>
      </c>
      <c r="BW24" s="239">
        <v>31</v>
      </c>
      <c r="BX24" s="239">
        <v>1770</v>
      </c>
      <c r="BY24" s="239">
        <v>398</v>
      </c>
      <c r="BZ24" s="239">
        <v>44</v>
      </c>
      <c r="CA24" s="239">
        <v>1536</v>
      </c>
      <c r="CB24" s="239">
        <v>346</v>
      </c>
      <c r="CC24" s="239">
        <v>38</v>
      </c>
      <c r="CD24" s="239">
        <v>10696</v>
      </c>
      <c r="CE24" s="239">
        <v>2407</v>
      </c>
      <c r="CF24" s="239">
        <v>267</v>
      </c>
      <c r="CG24" s="239">
        <v>-9160</v>
      </c>
      <c r="CH24" s="239">
        <v>-2061</v>
      </c>
      <c r="CI24" s="239">
        <v>-229</v>
      </c>
      <c r="CJ24" s="239">
        <v>0</v>
      </c>
      <c r="CK24" s="239">
        <v>0</v>
      </c>
      <c r="CL24" s="239">
        <v>0</v>
      </c>
      <c r="CM24" s="239">
        <v>0</v>
      </c>
      <c r="CN24" s="239">
        <v>0</v>
      </c>
      <c r="CO24" s="239">
        <v>0</v>
      </c>
      <c r="CP24" s="239">
        <v>0</v>
      </c>
      <c r="CQ24" s="239">
        <v>0</v>
      </c>
      <c r="CR24" s="239">
        <v>0</v>
      </c>
      <c r="CS24" s="239">
        <v>108</v>
      </c>
      <c r="CT24" s="239">
        <v>24</v>
      </c>
      <c r="CU24" s="239">
        <v>3</v>
      </c>
      <c r="CV24" s="239">
        <v>0</v>
      </c>
      <c r="CW24" s="239">
        <v>0</v>
      </c>
      <c r="CX24" s="239">
        <v>0</v>
      </c>
      <c r="CY24" s="239">
        <v>0</v>
      </c>
      <c r="CZ24" s="239">
        <v>0</v>
      </c>
      <c r="DA24" s="239">
        <v>0</v>
      </c>
      <c r="DB24" s="239">
        <v>0</v>
      </c>
      <c r="DC24" s="239">
        <v>0</v>
      </c>
      <c r="DD24" s="239">
        <v>0</v>
      </c>
      <c r="DE24" s="239">
        <v>0</v>
      </c>
      <c r="DF24" s="239">
        <v>0</v>
      </c>
      <c r="DG24" s="239">
        <v>0</v>
      </c>
      <c r="DH24" s="239">
        <v>0</v>
      </c>
      <c r="DI24" s="239">
        <v>0</v>
      </c>
      <c r="DJ24" s="239">
        <v>0</v>
      </c>
      <c r="DK24" s="239">
        <v>0</v>
      </c>
      <c r="DL24" s="239">
        <v>0</v>
      </c>
      <c r="DM24" s="239">
        <v>0</v>
      </c>
      <c r="DN24" s="239">
        <v>0</v>
      </c>
      <c r="DO24" s="239">
        <v>0</v>
      </c>
      <c r="DP24" s="239">
        <v>0</v>
      </c>
      <c r="DQ24" s="239">
        <v>0</v>
      </c>
      <c r="DR24" s="239">
        <v>0</v>
      </c>
      <c r="DS24" s="239">
        <v>0</v>
      </c>
      <c r="DT24" s="239">
        <v>0</v>
      </c>
      <c r="DU24" s="239">
        <v>0</v>
      </c>
      <c r="DV24" s="239">
        <v>0</v>
      </c>
      <c r="DW24" s="239">
        <v>0</v>
      </c>
      <c r="DX24" s="239">
        <v>0</v>
      </c>
      <c r="DY24" s="239">
        <v>0</v>
      </c>
      <c r="DZ24" s="239">
        <v>6387</v>
      </c>
      <c r="EA24" s="239">
        <v>1437</v>
      </c>
      <c r="EB24" s="239">
        <v>160</v>
      </c>
      <c r="EC24" s="239">
        <v>7208</v>
      </c>
      <c r="ED24" s="239">
        <v>0</v>
      </c>
      <c r="EE24" s="239">
        <v>0</v>
      </c>
      <c r="EF24" s="239">
        <v>-821</v>
      </c>
      <c r="EG24" s="239">
        <v>1437</v>
      </c>
      <c r="EH24" s="239">
        <v>160</v>
      </c>
      <c r="EI24" s="239">
        <v>75229</v>
      </c>
      <c r="EJ24" s="239">
        <v>16926</v>
      </c>
      <c r="EK24" s="239">
        <v>1881</v>
      </c>
      <c r="EL24" s="239">
        <v>97850</v>
      </c>
      <c r="EM24" s="239">
        <v>0</v>
      </c>
      <c r="EN24" s="239">
        <v>0</v>
      </c>
      <c r="EO24" s="239">
        <v>-22621</v>
      </c>
      <c r="EP24" s="239">
        <v>16926</v>
      </c>
      <c r="EQ24" s="239">
        <v>1881</v>
      </c>
      <c r="ER24" s="239">
        <v>12119</v>
      </c>
      <c r="ES24" s="239">
        <v>2727</v>
      </c>
      <c r="ET24" s="239">
        <v>303</v>
      </c>
      <c r="EU24" s="239">
        <v>15733</v>
      </c>
      <c r="EV24" s="239">
        <v>0</v>
      </c>
      <c r="EW24" s="239">
        <v>0</v>
      </c>
      <c r="EX24" s="239">
        <v>-3614</v>
      </c>
      <c r="EY24" s="239">
        <v>2727</v>
      </c>
      <c r="EZ24" s="239">
        <v>303</v>
      </c>
      <c r="FA24" s="239">
        <v>247197</v>
      </c>
      <c r="FB24" s="239">
        <v>55619</v>
      </c>
      <c r="FC24" s="239">
        <v>6180</v>
      </c>
      <c r="FD24" s="239">
        <v>258551</v>
      </c>
      <c r="FE24" s="239">
        <v>58174</v>
      </c>
      <c r="FF24" s="239">
        <v>6464</v>
      </c>
      <c r="FG24" s="239">
        <v>-11354</v>
      </c>
      <c r="FH24" s="239">
        <v>-2555</v>
      </c>
      <c r="FI24" s="239">
        <v>-284</v>
      </c>
      <c r="FJ24" s="239">
        <v>0</v>
      </c>
      <c r="FK24" s="239">
        <v>0</v>
      </c>
      <c r="FL24" s="239">
        <v>0</v>
      </c>
      <c r="FM24" s="239">
        <v>0</v>
      </c>
      <c r="FN24" s="239">
        <v>0</v>
      </c>
      <c r="FO24" s="239">
        <v>0</v>
      </c>
      <c r="FP24" s="239">
        <v>0</v>
      </c>
      <c r="FQ24" s="239">
        <v>0</v>
      </c>
      <c r="FR24" s="239">
        <v>0</v>
      </c>
      <c r="FS24" s="239">
        <v>0</v>
      </c>
      <c r="FT24" s="239">
        <v>0</v>
      </c>
      <c r="FU24" s="239">
        <v>0</v>
      </c>
      <c r="FV24" s="239">
        <v>904477</v>
      </c>
      <c r="FW24" s="239">
        <v>203507</v>
      </c>
      <c r="FX24" s="239">
        <v>22613</v>
      </c>
      <c r="FY24" s="834">
        <v>0.5</v>
      </c>
      <c r="FZ24" s="834">
        <v>0.4</v>
      </c>
      <c r="GA24" s="834">
        <v>0.09</v>
      </c>
      <c r="GB24" s="834">
        <v>0.01</v>
      </c>
      <c r="GC24" s="214" t="s">
        <v>1158</v>
      </c>
    </row>
    <row r="25" spans="2:185" s="214" customFormat="1" x14ac:dyDescent="0.2">
      <c r="B25" s="602" t="s">
        <v>133</v>
      </c>
      <c r="C25" s="602" t="s">
        <v>132</v>
      </c>
      <c r="D25" s="239">
        <v>-5232836</v>
      </c>
      <c r="E25" s="239">
        <v>0</v>
      </c>
      <c r="F25" s="239">
        <v>-5232836</v>
      </c>
      <c r="G25" s="239">
        <v>-5000000</v>
      </c>
      <c r="H25" s="239">
        <v>0</v>
      </c>
      <c r="I25" s="239">
        <v>-5000000</v>
      </c>
      <c r="J25" s="239">
        <v>-232836</v>
      </c>
      <c r="K25" s="239">
        <v>0</v>
      </c>
      <c r="L25" s="239">
        <v>-232836</v>
      </c>
      <c r="M25" s="239">
        <v>247772</v>
      </c>
      <c r="N25" s="239">
        <v>247772</v>
      </c>
      <c r="O25" s="239">
        <v>0</v>
      </c>
      <c r="P25" s="239">
        <v>0</v>
      </c>
      <c r="Q25" s="239">
        <v>0</v>
      </c>
      <c r="R25" s="239">
        <v>0</v>
      </c>
      <c r="S25" s="239">
        <v>0</v>
      </c>
      <c r="T25" s="239">
        <v>0</v>
      </c>
      <c r="U25" s="239">
        <v>0</v>
      </c>
      <c r="V25" s="239">
        <v>0</v>
      </c>
      <c r="W25" s="239">
        <v>0</v>
      </c>
      <c r="X25" s="239">
        <v>0</v>
      </c>
      <c r="Y25" s="239">
        <v>0</v>
      </c>
      <c r="Z25" s="239">
        <v>0</v>
      </c>
      <c r="AA25" s="239">
        <v>0</v>
      </c>
      <c r="AB25" s="239">
        <v>0</v>
      </c>
      <c r="AC25" s="239">
        <v>0</v>
      </c>
      <c r="AD25" s="239">
        <v>0</v>
      </c>
      <c r="AE25" s="239">
        <v>0</v>
      </c>
      <c r="AF25" s="239">
        <v>0</v>
      </c>
      <c r="AG25" s="239">
        <v>0</v>
      </c>
      <c r="AH25" s="239">
        <v>0</v>
      </c>
      <c r="AI25" s="239">
        <v>0</v>
      </c>
      <c r="AJ25" s="239">
        <v>0</v>
      </c>
      <c r="AK25" s="239">
        <v>0</v>
      </c>
      <c r="AL25" s="239">
        <v>0</v>
      </c>
      <c r="AM25" s="239">
        <v>0</v>
      </c>
      <c r="AN25" s="239">
        <v>0</v>
      </c>
      <c r="AO25" s="239">
        <v>0</v>
      </c>
      <c r="AP25" s="239">
        <v>0</v>
      </c>
      <c r="AQ25" s="239">
        <v>0</v>
      </c>
      <c r="AR25" s="239">
        <v>0</v>
      </c>
      <c r="AS25" s="239">
        <v>0</v>
      </c>
      <c r="AT25" s="239">
        <v>0</v>
      </c>
      <c r="AU25" s="239">
        <v>0</v>
      </c>
      <c r="AV25" s="239">
        <v>0</v>
      </c>
      <c r="AW25" s="239">
        <v>0</v>
      </c>
      <c r="AX25" s="239">
        <v>0</v>
      </c>
      <c r="AY25" s="239">
        <v>0</v>
      </c>
      <c r="AZ25" s="239">
        <v>0</v>
      </c>
      <c r="BA25" s="239">
        <v>0</v>
      </c>
      <c r="BB25" s="239">
        <v>0</v>
      </c>
      <c r="BC25" s="239">
        <v>2260745</v>
      </c>
      <c r="BD25" s="239">
        <v>0</v>
      </c>
      <c r="BE25" s="239">
        <v>46138</v>
      </c>
      <c r="BF25" s="239">
        <v>2222300.4783659442</v>
      </c>
      <c r="BG25" s="239">
        <v>0</v>
      </c>
      <c r="BH25" s="239">
        <v>45353.070987060084</v>
      </c>
      <c r="BI25" s="239">
        <v>33282.122263948491</v>
      </c>
      <c r="BJ25" s="239">
        <v>0</v>
      </c>
      <c r="BK25" s="239">
        <v>679.22698497854083</v>
      </c>
      <c r="BL25" s="239">
        <v>2073461</v>
      </c>
      <c r="BM25" s="239">
        <v>0</v>
      </c>
      <c r="BN25" s="239">
        <v>32912</v>
      </c>
      <c r="BO25" s="239">
        <v>187284</v>
      </c>
      <c r="BP25" s="239">
        <v>0</v>
      </c>
      <c r="BQ25" s="239">
        <v>13226</v>
      </c>
      <c r="BR25" s="239">
        <v>17889</v>
      </c>
      <c r="BS25" s="239">
        <v>0</v>
      </c>
      <c r="BT25" s="239">
        <v>365</v>
      </c>
      <c r="BU25" s="239">
        <v>7461</v>
      </c>
      <c r="BV25" s="239">
        <v>0</v>
      </c>
      <c r="BW25" s="239">
        <v>152</v>
      </c>
      <c r="BX25" s="239">
        <v>10428</v>
      </c>
      <c r="BY25" s="239">
        <v>0</v>
      </c>
      <c r="BZ25" s="239">
        <v>213</v>
      </c>
      <c r="CA25" s="239">
        <v>16126</v>
      </c>
      <c r="CB25" s="239">
        <v>0</v>
      </c>
      <c r="CC25" s="239">
        <v>329</v>
      </c>
      <c r="CD25" s="239">
        <v>99472</v>
      </c>
      <c r="CE25" s="239">
        <v>0</v>
      </c>
      <c r="CF25" s="239">
        <v>2030</v>
      </c>
      <c r="CG25" s="239">
        <v>-83346</v>
      </c>
      <c r="CH25" s="239">
        <v>0</v>
      </c>
      <c r="CI25" s="239">
        <v>-1701</v>
      </c>
      <c r="CJ25" s="239">
        <v>1752</v>
      </c>
      <c r="CK25" s="239">
        <v>0</v>
      </c>
      <c r="CL25" s="239">
        <v>36</v>
      </c>
      <c r="CM25" s="239">
        <v>24868</v>
      </c>
      <c r="CN25" s="239">
        <v>0</v>
      </c>
      <c r="CO25" s="239">
        <v>508</v>
      </c>
      <c r="CP25" s="239">
        <v>-23116</v>
      </c>
      <c r="CQ25" s="239">
        <v>0</v>
      </c>
      <c r="CR25" s="239">
        <v>-472</v>
      </c>
      <c r="CS25" s="239">
        <v>-3509</v>
      </c>
      <c r="CT25" s="239">
        <v>0</v>
      </c>
      <c r="CU25" s="239">
        <v>-72</v>
      </c>
      <c r="CV25" s="239">
        <v>0</v>
      </c>
      <c r="CW25" s="239">
        <v>0</v>
      </c>
      <c r="CX25" s="239">
        <v>0</v>
      </c>
      <c r="CY25" s="239">
        <v>0</v>
      </c>
      <c r="CZ25" s="239">
        <v>0</v>
      </c>
      <c r="DA25" s="239">
        <v>0</v>
      </c>
      <c r="DB25" s="239">
        <v>0</v>
      </c>
      <c r="DC25" s="239">
        <v>0</v>
      </c>
      <c r="DD25" s="239">
        <v>0</v>
      </c>
      <c r="DE25" s="239">
        <v>0</v>
      </c>
      <c r="DF25" s="239">
        <v>0</v>
      </c>
      <c r="DG25" s="239">
        <v>0</v>
      </c>
      <c r="DH25" s="239">
        <v>0</v>
      </c>
      <c r="DI25" s="239">
        <v>0</v>
      </c>
      <c r="DJ25" s="239">
        <v>0</v>
      </c>
      <c r="DK25" s="239">
        <v>0</v>
      </c>
      <c r="DL25" s="239">
        <v>0</v>
      </c>
      <c r="DM25" s="239">
        <v>0</v>
      </c>
      <c r="DN25" s="239">
        <v>0</v>
      </c>
      <c r="DO25" s="239">
        <v>0</v>
      </c>
      <c r="DP25" s="239">
        <v>0</v>
      </c>
      <c r="DQ25" s="239">
        <v>4</v>
      </c>
      <c r="DR25" s="239">
        <v>0</v>
      </c>
      <c r="DS25" s="239">
        <v>0</v>
      </c>
      <c r="DT25" s="239">
        <v>0</v>
      </c>
      <c r="DU25" s="239">
        <v>0</v>
      </c>
      <c r="DV25" s="239">
        <v>0</v>
      </c>
      <c r="DW25" s="239">
        <v>4</v>
      </c>
      <c r="DX25" s="239">
        <v>0</v>
      </c>
      <c r="DY25" s="239">
        <v>0</v>
      </c>
      <c r="DZ25" s="239">
        <v>7332</v>
      </c>
      <c r="EA25" s="239">
        <v>0</v>
      </c>
      <c r="EB25" s="239">
        <v>150</v>
      </c>
      <c r="EC25" s="239">
        <v>0</v>
      </c>
      <c r="ED25" s="239">
        <v>0</v>
      </c>
      <c r="EE25" s="239">
        <v>0</v>
      </c>
      <c r="EF25" s="239">
        <v>7332</v>
      </c>
      <c r="EG25" s="239">
        <v>0</v>
      </c>
      <c r="EH25" s="239">
        <v>150</v>
      </c>
      <c r="EI25" s="239">
        <v>50803</v>
      </c>
      <c r="EJ25" s="239">
        <v>0</v>
      </c>
      <c r="EK25" s="239">
        <v>1037</v>
      </c>
      <c r="EL25" s="239">
        <v>88113</v>
      </c>
      <c r="EM25" s="239">
        <v>0</v>
      </c>
      <c r="EN25" s="239">
        <v>0</v>
      </c>
      <c r="EO25" s="239">
        <v>-37310</v>
      </c>
      <c r="EP25" s="239">
        <v>0</v>
      </c>
      <c r="EQ25" s="239">
        <v>1037</v>
      </c>
      <c r="ER25" s="239">
        <v>29504</v>
      </c>
      <c r="ES25" s="239">
        <v>0</v>
      </c>
      <c r="ET25" s="239">
        <v>602</v>
      </c>
      <c r="EU25" s="239">
        <v>0</v>
      </c>
      <c r="EV25" s="239">
        <v>0</v>
      </c>
      <c r="EW25" s="239">
        <v>0</v>
      </c>
      <c r="EX25" s="239">
        <v>29504</v>
      </c>
      <c r="EY25" s="239">
        <v>0</v>
      </c>
      <c r="EZ25" s="239">
        <v>602</v>
      </c>
      <c r="FA25" s="239">
        <v>310088</v>
      </c>
      <c r="FB25" s="239">
        <v>0</v>
      </c>
      <c r="FC25" s="239">
        <v>6328</v>
      </c>
      <c r="FD25" s="239">
        <v>289629</v>
      </c>
      <c r="FE25" s="239">
        <v>0</v>
      </c>
      <c r="FF25" s="239">
        <v>5911</v>
      </c>
      <c r="FG25" s="239">
        <v>20459</v>
      </c>
      <c r="FH25" s="239">
        <v>0</v>
      </c>
      <c r="FI25" s="239">
        <v>417</v>
      </c>
      <c r="FJ25" s="239">
        <v>0</v>
      </c>
      <c r="FK25" s="239">
        <v>0</v>
      </c>
      <c r="FL25" s="239">
        <v>0</v>
      </c>
      <c r="FM25" s="239">
        <v>0</v>
      </c>
      <c r="FN25" s="239">
        <v>0</v>
      </c>
      <c r="FO25" s="239">
        <v>0</v>
      </c>
      <c r="FP25" s="239">
        <v>0</v>
      </c>
      <c r="FQ25" s="239">
        <v>0</v>
      </c>
      <c r="FR25" s="239">
        <v>0</v>
      </c>
      <c r="FS25" s="239">
        <v>0</v>
      </c>
      <c r="FT25" s="239">
        <v>0</v>
      </c>
      <c r="FU25" s="239">
        <v>0</v>
      </c>
      <c r="FV25" s="239">
        <v>2690734</v>
      </c>
      <c r="FW25" s="239">
        <v>0</v>
      </c>
      <c r="FX25" s="239">
        <v>54913</v>
      </c>
      <c r="FY25" s="834">
        <v>0.5</v>
      </c>
      <c r="FZ25" s="834">
        <v>0.49</v>
      </c>
      <c r="GA25" s="834">
        <v>0</v>
      </c>
      <c r="GB25" s="834">
        <v>0.01</v>
      </c>
      <c r="GC25" s="214" t="s">
        <v>746</v>
      </c>
    </row>
    <row r="26" spans="2:185" s="214" customFormat="1" x14ac:dyDescent="0.2">
      <c r="B26" s="602" t="s">
        <v>135</v>
      </c>
      <c r="C26" s="602" t="s">
        <v>134</v>
      </c>
      <c r="D26" s="239">
        <v>-4425578</v>
      </c>
      <c r="E26" s="239">
        <v>-164175</v>
      </c>
      <c r="F26" s="239">
        <v>-4589753</v>
      </c>
      <c r="G26" s="239">
        <v>-3823333</v>
      </c>
      <c r="H26" s="239">
        <v>-135660</v>
      </c>
      <c r="I26" s="239">
        <v>-3958993</v>
      </c>
      <c r="J26" s="239">
        <v>-602245</v>
      </c>
      <c r="K26" s="239">
        <v>-28515</v>
      </c>
      <c r="L26" s="239">
        <v>-630760</v>
      </c>
      <c r="M26" s="239">
        <v>261549</v>
      </c>
      <c r="N26" s="239">
        <v>261549</v>
      </c>
      <c r="O26" s="239">
        <v>0</v>
      </c>
      <c r="P26" s="239">
        <v>384189</v>
      </c>
      <c r="Q26" s="239">
        <v>199308</v>
      </c>
      <c r="R26" s="239">
        <v>184881</v>
      </c>
      <c r="S26" s="239">
        <v>0</v>
      </c>
      <c r="T26" s="239">
        <v>0</v>
      </c>
      <c r="U26" s="239">
        <v>0</v>
      </c>
      <c r="V26" s="239">
        <v>0</v>
      </c>
      <c r="W26" s="239">
        <v>0</v>
      </c>
      <c r="X26" s="239">
        <v>0</v>
      </c>
      <c r="Y26" s="239">
        <v>207604</v>
      </c>
      <c r="Z26" s="239">
        <v>207604</v>
      </c>
      <c r="AA26" s="239">
        <v>0</v>
      </c>
      <c r="AB26" s="239">
        <v>0</v>
      </c>
      <c r="AC26" s="239">
        <v>20508</v>
      </c>
      <c r="AD26" s="239">
        <v>20508</v>
      </c>
      <c r="AE26" s="239">
        <v>0</v>
      </c>
      <c r="AF26" s="239">
        <v>0</v>
      </c>
      <c r="AG26" s="239">
        <v>187096</v>
      </c>
      <c r="AH26" s="239">
        <v>187096</v>
      </c>
      <c r="AI26" s="239">
        <v>0</v>
      </c>
      <c r="AJ26" s="239">
        <v>0</v>
      </c>
      <c r="AK26" s="239">
        <v>0</v>
      </c>
      <c r="AL26" s="239">
        <v>0</v>
      </c>
      <c r="AM26" s="239">
        <v>0</v>
      </c>
      <c r="AN26" s="239">
        <v>0</v>
      </c>
      <c r="AO26" s="239">
        <v>0</v>
      </c>
      <c r="AP26" s="239">
        <v>0</v>
      </c>
      <c r="AQ26" s="239">
        <v>0</v>
      </c>
      <c r="AR26" s="239">
        <v>0</v>
      </c>
      <c r="AS26" s="239">
        <v>0</v>
      </c>
      <c r="AT26" s="239">
        <v>0</v>
      </c>
      <c r="AU26" s="239">
        <v>0</v>
      </c>
      <c r="AV26" s="239">
        <v>0</v>
      </c>
      <c r="AW26" s="239">
        <v>0</v>
      </c>
      <c r="AX26" s="239">
        <v>0</v>
      </c>
      <c r="AY26" s="239">
        <v>0</v>
      </c>
      <c r="AZ26" s="239">
        <v>0</v>
      </c>
      <c r="BA26" s="239">
        <v>0</v>
      </c>
      <c r="BB26" s="239">
        <v>0</v>
      </c>
      <c r="BC26" s="239">
        <v>2940349</v>
      </c>
      <c r="BD26" s="239">
        <v>0</v>
      </c>
      <c r="BE26" s="239">
        <v>56986</v>
      </c>
      <c r="BF26" s="239">
        <v>2895965.3367648069</v>
      </c>
      <c r="BG26" s="239">
        <v>0</v>
      </c>
      <c r="BH26" s="239">
        <v>56124.942891845494</v>
      </c>
      <c r="BI26" s="239">
        <v>110842.15769849785</v>
      </c>
      <c r="BJ26" s="239">
        <v>0</v>
      </c>
      <c r="BK26" s="239">
        <v>1985.7245439914163</v>
      </c>
      <c r="BL26" s="239">
        <v>2540887</v>
      </c>
      <c r="BM26" s="239">
        <v>0</v>
      </c>
      <c r="BN26" s="239">
        <v>38472</v>
      </c>
      <c r="BO26" s="239">
        <v>399462</v>
      </c>
      <c r="BP26" s="239">
        <v>0</v>
      </c>
      <c r="BQ26" s="239">
        <v>18514</v>
      </c>
      <c r="BR26" s="239">
        <v>761</v>
      </c>
      <c r="BS26" s="239">
        <v>0</v>
      </c>
      <c r="BT26" s="239">
        <v>16</v>
      </c>
      <c r="BU26" s="239">
        <v>2202</v>
      </c>
      <c r="BV26" s="239">
        <v>0</v>
      </c>
      <c r="BW26" s="239">
        <v>45</v>
      </c>
      <c r="BX26" s="239">
        <v>-1441</v>
      </c>
      <c r="BY26" s="239">
        <v>0</v>
      </c>
      <c r="BZ26" s="239">
        <v>-29</v>
      </c>
      <c r="CA26" s="239">
        <v>0</v>
      </c>
      <c r="CB26" s="239">
        <v>0</v>
      </c>
      <c r="CC26" s="239">
        <v>0</v>
      </c>
      <c r="CD26" s="239">
        <v>0</v>
      </c>
      <c r="CE26" s="239">
        <v>0</v>
      </c>
      <c r="CF26" s="239">
        <v>0</v>
      </c>
      <c r="CG26" s="239">
        <v>0</v>
      </c>
      <c r="CH26" s="239">
        <v>0</v>
      </c>
      <c r="CI26" s="239">
        <v>0</v>
      </c>
      <c r="CJ26" s="239">
        <v>7065</v>
      </c>
      <c r="CK26" s="239">
        <v>0</v>
      </c>
      <c r="CL26" s="239">
        <v>144</v>
      </c>
      <c r="CM26" s="239">
        <v>11692</v>
      </c>
      <c r="CN26" s="239">
        <v>0</v>
      </c>
      <c r="CO26" s="239">
        <v>239</v>
      </c>
      <c r="CP26" s="239">
        <v>-4627</v>
      </c>
      <c r="CQ26" s="239">
        <v>0</v>
      </c>
      <c r="CR26" s="239">
        <v>-95</v>
      </c>
      <c r="CS26" s="239">
        <v>-5443</v>
      </c>
      <c r="CT26" s="239">
        <v>0</v>
      </c>
      <c r="CU26" s="239">
        <v>-111</v>
      </c>
      <c r="CV26" s="239">
        <v>0</v>
      </c>
      <c r="CW26" s="239">
        <v>0</v>
      </c>
      <c r="CX26" s="239">
        <v>0</v>
      </c>
      <c r="CY26" s="239">
        <v>0</v>
      </c>
      <c r="CZ26" s="239">
        <v>0</v>
      </c>
      <c r="DA26" s="239">
        <v>0</v>
      </c>
      <c r="DB26" s="239">
        <v>0</v>
      </c>
      <c r="DC26" s="239">
        <v>0</v>
      </c>
      <c r="DD26" s="239">
        <v>0</v>
      </c>
      <c r="DE26" s="239">
        <v>-1240</v>
      </c>
      <c r="DF26" s="239">
        <v>0</v>
      </c>
      <c r="DG26" s="239">
        <v>-25</v>
      </c>
      <c r="DH26" s="239">
        <v>0</v>
      </c>
      <c r="DI26" s="239">
        <v>0</v>
      </c>
      <c r="DJ26" s="239">
        <v>0</v>
      </c>
      <c r="DK26" s="239">
        <v>0</v>
      </c>
      <c r="DL26" s="239">
        <v>0</v>
      </c>
      <c r="DM26" s="239">
        <v>0</v>
      </c>
      <c r="DN26" s="239">
        <v>0</v>
      </c>
      <c r="DO26" s="239">
        <v>0</v>
      </c>
      <c r="DP26" s="239">
        <v>0</v>
      </c>
      <c r="DQ26" s="239">
        <v>0</v>
      </c>
      <c r="DR26" s="239">
        <v>0</v>
      </c>
      <c r="DS26" s="239">
        <v>0</v>
      </c>
      <c r="DT26" s="239">
        <v>0</v>
      </c>
      <c r="DU26" s="239">
        <v>0</v>
      </c>
      <c r="DV26" s="239">
        <v>0</v>
      </c>
      <c r="DW26" s="239">
        <v>0</v>
      </c>
      <c r="DX26" s="239">
        <v>0</v>
      </c>
      <c r="DY26" s="239">
        <v>0</v>
      </c>
      <c r="DZ26" s="239">
        <v>6845</v>
      </c>
      <c r="EA26" s="239">
        <v>0</v>
      </c>
      <c r="EB26" s="239">
        <v>140</v>
      </c>
      <c r="EC26" s="239">
        <v>5537</v>
      </c>
      <c r="ED26" s="239">
        <v>0</v>
      </c>
      <c r="EE26" s="239">
        <v>0</v>
      </c>
      <c r="EF26" s="239">
        <v>1308</v>
      </c>
      <c r="EG26" s="239">
        <v>0</v>
      </c>
      <c r="EH26" s="239">
        <v>140</v>
      </c>
      <c r="EI26" s="239">
        <v>110612</v>
      </c>
      <c r="EJ26" s="239">
        <v>0</v>
      </c>
      <c r="EK26" s="239">
        <v>2233</v>
      </c>
      <c r="EL26" s="239">
        <v>114479</v>
      </c>
      <c r="EM26" s="239">
        <v>0</v>
      </c>
      <c r="EN26" s="239">
        <v>0</v>
      </c>
      <c r="EO26" s="239">
        <v>-3867</v>
      </c>
      <c r="EP26" s="239">
        <v>0</v>
      </c>
      <c r="EQ26" s="239">
        <v>2233</v>
      </c>
      <c r="ER26" s="239">
        <v>16011</v>
      </c>
      <c r="ES26" s="239">
        <v>0</v>
      </c>
      <c r="ET26" s="239">
        <v>327</v>
      </c>
      <c r="EU26" s="239">
        <v>13294</v>
      </c>
      <c r="EV26" s="239">
        <v>0</v>
      </c>
      <c r="EW26" s="239">
        <v>0</v>
      </c>
      <c r="EX26" s="239">
        <v>2717</v>
      </c>
      <c r="EY26" s="239">
        <v>0</v>
      </c>
      <c r="EZ26" s="239">
        <v>327</v>
      </c>
      <c r="FA26" s="239">
        <v>282501</v>
      </c>
      <c r="FB26" s="239">
        <v>0</v>
      </c>
      <c r="FC26" s="239">
        <v>5648</v>
      </c>
      <c r="FD26" s="239">
        <v>318160</v>
      </c>
      <c r="FE26" s="239">
        <v>0</v>
      </c>
      <c r="FF26" s="239">
        <v>6426</v>
      </c>
      <c r="FG26" s="239">
        <v>-35659</v>
      </c>
      <c r="FH26" s="239">
        <v>0</v>
      </c>
      <c r="FI26" s="239">
        <v>-778</v>
      </c>
      <c r="FJ26" s="239">
        <v>0</v>
      </c>
      <c r="FK26" s="239">
        <v>0</v>
      </c>
      <c r="FL26" s="239">
        <v>0</v>
      </c>
      <c r="FM26" s="239">
        <v>0</v>
      </c>
      <c r="FN26" s="239">
        <v>0</v>
      </c>
      <c r="FO26" s="239">
        <v>0</v>
      </c>
      <c r="FP26" s="239">
        <v>0</v>
      </c>
      <c r="FQ26" s="239">
        <v>0</v>
      </c>
      <c r="FR26" s="239">
        <v>0</v>
      </c>
      <c r="FS26" s="239">
        <v>0</v>
      </c>
      <c r="FT26" s="239">
        <v>0</v>
      </c>
      <c r="FU26" s="239">
        <v>0</v>
      </c>
      <c r="FV26" s="239">
        <v>3357461</v>
      </c>
      <c r="FW26" s="239">
        <v>0</v>
      </c>
      <c r="FX26" s="239">
        <v>65358</v>
      </c>
      <c r="FY26" s="834">
        <v>0.5</v>
      </c>
      <c r="FZ26" s="834">
        <v>0.49</v>
      </c>
      <c r="GA26" s="834">
        <v>0</v>
      </c>
      <c r="GB26" s="834">
        <v>0.01</v>
      </c>
      <c r="GC26" s="214" t="s">
        <v>746</v>
      </c>
    </row>
    <row r="27" spans="2:185" s="214" customFormat="1" x14ac:dyDescent="0.2">
      <c r="B27" s="602" t="s">
        <v>137</v>
      </c>
      <c r="C27" s="602" t="s">
        <v>136</v>
      </c>
      <c r="D27" s="239">
        <v>-34819</v>
      </c>
      <c r="E27" s="239">
        <v>0</v>
      </c>
      <c r="F27" s="239">
        <v>-34819</v>
      </c>
      <c r="G27" s="239">
        <v>145527</v>
      </c>
      <c r="H27" s="239">
        <v>0</v>
      </c>
      <c r="I27" s="239">
        <v>145527</v>
      </c>
      <c r="J27" s="239">
        <v>-180346</v>
      </c>
      <c r="K27" s="239">
        <v>0</v>
      </c>
      <c r="L27" s="239">
        <v>-180346</v>
      </c>
      <c r="M27" s="239">
        <v>96880</v>
      </c>
      <c r="N27" s="239">
        <v>96880</v>
      </c>
      <c r="O27" s="239">
        <v>0</v>
      </c>
      <c r="P27" s="239">
        <v>0</v>
      </c>
      <c r="Q27" s="239">
        <v>0</v>
      </c>
      <c r="R27" s="239">
        <v>0</v>
      </c>
      <c r="S27" s="239">
        <v>67866</v>
      </c>
      <c r="T27" s="239">
        <v>0</v>
      </c>
      <c r="U27" s="239">
        <v>43541</v>
      </c>
      <c r="V27" s="239">
        <v>0</v>
      </c>
      <c r="W27" s="239">
        <v>24325</v>
      </c>
      <c r="X27" s="239">
        <v>0</v>
      </c>
      <c r="Y27" s="239">
        <v>0</v>
      </c>
      <c r="Z27" s="239">
        <v>0</v>
      </c>
      <c r="AA27" s="239">
        <v>0</v>
      </c>
      <c r="AB27" s="239">
        <v>0</v>
      </c>
      <c r="AC27" s="239">
        <v>0</v>
      </c>
      <c r="AD27" s="239">
        <v>0</v>
      </c>
      <c r="AE27" s="239">
        <v>0</v>
      </c>
      <c r="AF27" s="239">
        <v>0</v>
      </c>
      <c r="AG27" s="239">
        <v>0</v>
      </c>
      <c r="AH27" s="239">
        <v>0</v>
      </c>
      <c r="AI27" s="239">
        <v>0</v>
      </c>
      <c r="AJ27" s="239">
        <v>0</v>
      </c>
      <c r="AK27" s="239">
        <v>0</v>
      </c>
      <c r="AL27" s="239">
        <v>0</v>
      </c>
      <c r="AM27" s="239">
        <v>0</v>
      </c>
      <c r="AN27" s="239">
        <v>0</v>
      </c>
      <c r="AO27" s="239">
        <v>0</v>
      </c>
      <c r="AP27" s="239">
        <v>0</v>
      </c>
      <c r="AQ27" s="239">
        <v>0</v>
      </c>
      <c r="AR27" s="239">
        <v>0</v>
      </c>
      <c r="AS27" s="239">
        <v>0</v>
      </c>
      <c r="AT27" s="239">
        <v>0</v>
      </c>
      <c r="AU27" s="239">
        <v>0</v>
      </c>
      <c r="AV27" s="239">
        <v>0</v>
      </c>
      <c r="AW27" s="239">
        <v>0</v>
      </c>
      <c r="AX27" s="239">
        <v>0</v>
      </c>
      <c r="AY27" s="239">
        <v>0</v>
      </c>
      <c r="AZ27" s="239">
        <v>0</v>
      </c>
      <c r="BA27" s="239">
        <v>0</v>
      </c>
      <c r="BB27" s="239">
        <v>0</v>
      </c>
      <c r="BC27" s="239">
        <v>492166</v>
      </c>
      <c r="BD27" s="239">
        <v>110737</v>
      </c>
      <c r="BE27" s="239">
        <v>12304</v>
      </c>
      <c r="BF27" s="239">
        <v>481273.87434334768</v>
      </c>
      <c r="BG27" s="239">
        <v>108286.62172725321</v>
      </c>
      <c r="BH27" s="239">
        <v>12031.846858583691</v>
      </c>
      <c r="BI27" s="239">
        <v>39641.25708154506</v>
      </c>
      <c r="BJ27" s="239">
        <v>8919.2828433476388</v>
      </c>
      <c r="BK27" s="239">
        <v>991.03142703862659</v>
      </c>
      <c r="BL27" s="239">
        <v>465796</v>
      </c>
      <c r="BM27" s="239">
        <v>74329</v>
      </c>
      <c r="BN27" s="239">
        <v>8259</v>
      </c>
      <c r="BO27" s="239">
        <v>26370</v>
      </c>
      <c r="BP27" s="239">
        <v>36408</v>
      </c>
      <c r="BQ27" s="239">
        <v>4045</v>
      </c>
      <c r="BR27" s="239">
        <v>4586</v>
      </c>
      <c r="BS27" s="239">
        <v>1032</v>
      </c>
      <c r="BT27" s="239">
        <v>115</v>
      </c>
      <c r="BU27" s="239">
        <v>0</v>
      </c>
      <c r="BV27" s="239">
        <v>0</v>
      </c>
      <c r="BW27" s="239">
        <v>0</v>
      </c>
      <c r="BX27" s="239">
        <v>4586</v>
      </c>
      <c r="BY27" s="239">
        <v>1032</v>
      </c>
      <c r="BZ27" s="239">
        <v>115</v>
      </c>
      <c r="CA27" s="239">
        <v>0</v>
      </c>
      <c r="CB27" s="239">
        <v>0</v>
      </c>
      <c r="CC27" s="239">
        <v>0</v>
      </c>
      <c r="CD27" s="239">
        <v>0</v>
      </c>
      <c r="CE27" s="239">
        <v>0</v>
      </c>
      <c r="CF27" s="239">
        <v>0</v>
      </c>
      <c r="CG27" s="239">
        <v>0</v>
      </c>
      <c r="CH27" s="239">
        <v>0</v>
      </c>
      <c r="CI27" s="239">
        <v>0</v>
      </c>
      <c r="CJ27" s="239">
        <v>0</v>
      </c>
      <c r="CK27" s="239">
        <v>0</v>
      </c>
      <c r="CL27" s="239">
        <v>0</v>
      </c>
      <c r="CM27" s="239">
        <v>0</v>
      </c>
      <c r="CN27" s="239">
        <v>0</v>
      </c>
      <c r="CO27" s="239">
        <v>0</v>
      </c>
      <c r="CP27" s="239">
        <v>0</v>
      </c>
      <c r="CQ27" s="239">
        <v>0</v>
      </c>
      <c r="CR27" s="239">
        <v>0</v>
      </c>
      <c r="CS27" s="239">
        <v>-1547</v>
      </c>
      <c r="CT27" s="239">
        <v>-348</v>
      </c>
      <c r="CU27" s="239">
        <v>-39</v>
      </c>
      <c r="CV27" s="239">
        <v>0</v>
      </c>
      <c r="CW27" s="239">
        <v>0</v>
      </c>
      <c r="CX27" s="239">
        <v>0</v>
      </c>
      <c r="CY27" s="239">
        <v>0</v>
      </c>
      <c r="CZ27" s="239">
        <v>0</v>
      </c>
      <c r="DA27" s="239">
        <v>0</v>
      </c>
      <c r="DB27" s="239">
        <v>0</v>
      </c>
      <c r="DC27" s="239">
        <v>0</v>
      </c>
      <c r="DD27" s="239">
        <v>0</v>
      </c>
      <c r="DE27" s="239">
        <v>0</v>
      </c>
      <c r="DF27" s="239">
        <v>0</v>
      </c>
      <c r="DG27" s="239">
        <v>0</v>
      </c>
      <c r="DH27" s="239">
        <v>3343</v>
      </c>
      <c r="DI27" s="239">
        <v>752</v>
      </c>
      <c r="DJ27" s="239">
        <v>84</v>
      </c>
      <c r="DK27" s="239">
        <v>2906</v>
      </c>
      <c r="DL27" s="239">
        <v>654</v>
      </c>
      <c r="DM27" s="239">
        <v>73</v>
      </c>
      <c r="DN27" s="239">
        <v>437</v>
      </c>
      <c r="DO27" s="239">
        <v>98</v>
      </c>
      <c r="DP27" s="239">
        <v>11</v>
      </c>
      <c r="DQ27" s="239">
        <v>0</v>
      </c>
      <c r="DR27" s="239">
        <v>0</v>
      </c>
      <c r="DS27" s="239">
        <v>0</v>
      </c>
      <c r="DT27" s="239">
        <v>0</v>
      </c>
      <c r="DU27" s="239">
        <v>0</v>
      </c>
      <c r="DV27" s="239">
        <v>0</v>
      </c>
      <c r="DW27" s="239">
        <v>0</v>
      </c>
      <c r="DX27" s="239">
        <v>0</v>
      </c>
      <c r="DY27" s="239">
        <v>0</v>
      </c>
      <c r="DZ27" s="239">
        <v>4827</v>
      </c>
      <c r="EA27" s="239">
        <v>1086</v>
      </c>
      <c r="EB27" s="239">
        <v>121</v>
      </c>
      <c r="EC27" s="239">
        <v>6034</v>
      </c>
      <c r="ED27" s="239">
        <v>0</v>
      </c>
      <c r="EE27" s="239">
        <v>0</v>
      </c>
      <c r="EF27" s="239">
        <v>-1207</v>
      </c>
      <c r="EG27" s="239">
        <v>1086</v>
      </c>
      <c r="EH27" s="239">
        <v>121</v>
      </c>
      <c r="EI27" s="239">
        <v>83567</v>
      </c>
      <c r="EJ27" s="239">
        <v>18803</v>
      </c>
      <c r="EK27" s="239">
        <v>2089</v>
      </c>
      <c r="EL27" s="239">
        <v>118718</v>
      </c>
      <c r="EM27" s="239">
        <v>0</v>
      </c>
      <c r="EN27" s="239">
        <v>0</v>
      </c>
      <c r="EO27" s="239">
        <v>-35151</v>
      </c>
      <c r="EP27" s="239">
        <v>18803</v>
      </c>
      <c r="EQ27" s="239">
        <v>2089</v>
      </c>
      <c r="ER27" s="239">
        <v>6009</v>
      </c>
      <c r="ES27" s="239">
        <v>1352</v>
      </c>
      <c r="ET27" s="239">
        <v>150</v>
      </c>
      <c r="EU27" s="239">
        <v>7733</v>
      </c>
      <c r="EV27" s="239">
        <v>0</v>
      </c>
      <c r="EW27" s="239">
        <v>0</v>
      </c>
      <c r="EX27" s="239">
        <v>-1724</v>
      </c>
      <c r="EY27" s="239">
        <v>1352</v>
      </c>
      <c r="EZ27" s="239">
        <v>150</v>
      </c>
      <c r="FA27" s="239">
        <v>130724</v>
      </c>
      <c r="FB27" s="239">
        <v>29183</v>
      </c>
      <c r="FC27" s="239">
        <v>3243</v>
      </c>
      <c r="FD27" s="239">
        <v>149453</v>
      </c>
      <c r="FE27" s="239">
        <v>33480</v>
      </c>
      <c r="FF27" s="239">
        <v>3720</v>
      </c>
      <c r="FG27" s="239">
        <v>-18729</v>
      </c>
      <c r="FH27" s="239">
        <v>-4297</v>
      </c>
      <c r="FI27" s="239">
        <v>-477</v>
      </c>
      <c r="FJ27" s="239">
        <v>0</v>
      </c>
      <c r="FK27" s="239">
        <v>0</v>
      </c>
      <c r="FL27" s="239">
        <v>0</v>
      </c>
      <c r="FM27" s="239">
        <v>0</v>
      </c>
      <c r="FN27" s="239">
        <v>0</v>
      </c>
      <c r="FO27" s="239">
        <v>0</v>
      </c>
      <c r="FP27" s="239">
        <v>0</v>
      </c>
      <c r="FQ27" s="239">
        <v>0</v>
      </c>
      <c r="FR27" s="239">
        <v>0</v>
      </c>
      <c r="FS27" s="239">
        <v>0</v>
      </c>
      <c r="FT27" s="239">
        <v>0</v>
      </c>
      <c r="FU27" s="239">
        <v>0</v>
      </c>
      <c r="FV27" s="239">
        <v>723675</v>
      </c>
      <c r="FW27" s="239">
        <v>162597</v>
      </c>
      <c r="FX27" s="239">
        <v>18067</v>
      </c>
      <c r="FY27" s="834">
        <v>0.5</v>
      </c>
      <c r="FZ27" s="834">
        <v>0.4</v>
      </c>
      <c r="GA27" s="834">
        <v>0.09</v>
      </c>
      <c r="GB27" s="834">
        <v>0.01</v>
      </c>
      <c r="GC27" s="214" t="s">
        <v>1158</v>
      </c>
    </row>
    <row r="28" spans="2:185" s="214" customFormat="1" x14ac:dyDescent="0.2">
      <c r="B28" s="602" t="s">
        <v>139</v>
      </c>
      <c r="C28" s="602" t="s">
        <v>138</v>
      </c>
      <c r="D28" s="239">
        <v>-5593151</v>
      </c>
      <c r="E28" s="239">
        <v>0</v>
      </c>
      <c r="F28" s="239">
        <v>-5593151</v>
      </c>
      <c r="G28" s="239">
        <v>-5046000</v>
      </c>
      <c r="H28" s="239">
        <v>0</v>
      </c>
      <c r="I28" s="239">
        <v>-5046000</v>
      </c>
      <c r="J28" s="239">
        <v>-547151</v>
      </c>
      <c r="K28" s="239">
        <v>0</v>
      </c>
      <c r="L28" s="239">
        <v>-547151</v>
      </c>
      <c r="M28" s="239">
        <v>393126</v>
      </c>
      <c r="N28" s="239">
        <v>393126</v>
      </c>
      <c r="O28" s="239">
        <v>0</v>
      </c>
      <c r="P28" s="239">
        <v>0</v>
      </c>
      <c r="Q28" s="239">
        <v>0</v>
      </c>
      <c r="R28" s="239">
        <v>0</v>
      </c>
      <c r="S28" s="239">
        <v>0</v>
      </c>
      <c r="T28" s="239">
        <v>0</v>
      </c>
      <c r="U28" s="239">
        <v>0</v>
      </c>
      <c r="V28" s="239">
        <v>0</v>
      </c>
      <c r="W28" s="239">
        <v>0</v>
      </c>
      <c r="X28" s="239">
        <v>0</v>
      </c>
      <c r="Y28" s="239">
        <v>0</v>
      </c>
      <c r="Z28" s="239">
        <v>0</v>
      </c>
      <c r="AA28" s="239">
        <v>0</v>
      </c>
      <c r="AB28" s="239">
        <v>0</v>
      </c>
      <c r="AC28" s="239">
        <v>0</v>
      </c>
      <c r="AD28" s="239">
        <v>0</v>
      </c>
      <c r="AE28" s="239">
        <v>0</v>
      </c>
      <c r="AF28" s="239">
        <v>0</v>
      </c>
      <c r="AG28" s="239">
        <v>0</v>
      </c>
      <c r="AH28" s="239">
        <v>0</v>
      </c>
      <c r="AI28" s="239">
        <v>0</v>
      </c>
      <c r="AJ28" s="239">
        <v>0</v>
      </c>
      <c r="AK28" s="239">
        <v>0</v>
      </c>
      <c r="AL28" s="239">
        <v>0</v>
      </c>
      <c r="AM28" s="239">
        <v>0</v>
      </c>
      <c r="AN28" s="239">
        <v>0</v>
      </c>
      <c r="AO28" s="239">
        <v>0</v>
      </c>
      <c r="AP28" s="239">
        <v>0</v>
      </c>
      <c r="AQ28" s="239">
        <v>0</v>
      </c>
      <c r="AR28" s="239">
        <v>0</v>
      </c>
      <c r="AS28" s="239">
        <v>0</v>
      </c>
      <c r="AT28" s="239">
        <v>0</v>
      </c>
      <c r="AU28" s="239">
        <v>0</v>
      </c>
      <c r="AV28" s="239">
        <v>0</v>
      </c>
      <c r="AW28" s="239">
        <v>0</v>
      </c>
      <c r="AX28" s="239">
        <v>0</v>
      </c>
      <c r="AY28" s="239">
        <v>0</v>
      </c>
      <c r="AZ28" s="239">
        <v>0</v>
      </c>
      <c r="BA28" s="239">
        <v>0</v>
      </c>
      <c r="BB28" s="239">
        <v>0</v>
      </c>
      <c r="BC28" s="239">
        <v>7558302</v>
      </c>
      <c r="BD28" s="239">
        <v>0</v>
      </c>
      <c r="BE28" s="239">
        <v>76346</v>
      </c>
      <c r="BF28" s="239">
        <v>7402689.293440558</v>
      </c>
      <c r="BG28" s="239">
        <v>0</v>
      </c>
      <c r="BH28" s="239">
        <v>74774.639327682409</v>
      </c>
      <c r="BI28" s="239">
        <v>380371.40005364805</v>
      </c>
      <c r="BJ28" s="239">
        <v>0</v>
      </c>
      <c r="BK28" s="239">
        <v>3842.1353540772534</v>
      </c>
      <c r="BL28" s="239">
        <v>7413717</v>
      </c>
      <c r="BM28" s="239">
        <v>0</v>
      </c>
      <c r="BN28" s="239">
        <v>55826</v>
      </c>
      <c r="BO28" s="239">
        <v>144585</v>
      </c>
      <c r="BP28" s="239">
        <v>0</v>
      </c>
      <c r="BQ28" s="239">
        <v>20520</v>
      </c>
      <c r="BR28" s="239">
        <v>616</v>
      </c>
      <c r="BS28" s="239">
        <v>0</v>
      </c>
      <c r="BT28" s="239">
        <v>6</v>
      </c>
      <c r="BU28" s="239">
        <v>0</v>
      </c>
      <c r="BV28" s="239">
        <v>0</v>
      </c>
      <c r="BW28" s="239">
        <v>0</v>
      </c>
      <c r="BX28" s="239">
        <v>616</v>
      </c>
      <c r="BY28" s="239">
        <v>0</v>
      </c>
      <c r="BZ28" s="239">
        <v>6</v>
      </c>
      <c r="CA28" s="239">
        <v>-5149</v>
      </c>
      <c r="CB28" s="239">
        <v>0</v>
      </c>
      <c r="CC28" s="239">
        <v>-52</v>
      </c>
      <c r="CD28" s="239">
        <v>37180</v>
      </c>
      <c r="CE28" s="239">
        <v>0</v>
      </c>
      <c r="CF28" s="239">
        <v>376</v>
      </c>
      <c r="CG28" s="239">
        <v>-42329</v>
      </c>
      <c r="CH28" s="239">
        <v>0</v>
      </c>
      <c r="CI28" s="239">
        <v>-428</v>
      </c>
      <c r="CJ28" s="239">
        <v>3438</v>
      </c>
      <c r="CK28" s="239">
        <v>0</v>
      </c>
      <c r="CL28" s="239">
        <v>35</v>
      </c>
      <c r="CM28" s="239">
        <v>5024</v>
      </c>
      <c r="CN28" s="239">
        <v>0</v>
      </c>
      <c r="CO28" s="239">
        <v>51</v>
      </c>
      <c r="CP28" s="239">
        <v>-1586</v>
      </c>
      <c r="CQ28" s="239">
        <v>0</v>
      </c>
      <c r="CR28" s="239">
        <v>-16</v>
      </c>
      <c r="CS28" s="239">
        <v>-14277</v>
      </c>
      <c r="CT28" s="239">
        <v>0</v>
      </c>
      <c r="CU28" s="239">
        <v>-144</v>
      </c>
      <c r="CV28" s="239">
        <v>0</v>
      </c>
      <c r="CW28" s="239">
        <v>0</v>
      </c>
      <c r="CX28" s="239">
        <v>0</v>
      </c>
      <c r="CY28" s="239">
        <v>0</v>
      </c>
      <c r="CZ28" s="239">
        <v>0</v>
      </c>
      <c r="DA28" s="239">
        <v>0</v>
      </c>
      <c r="DB28" s="239">
        <v>0</v>
      </c>
      <c r="DC28" s="239">
        <v>0</v>
      </c>
      <c r="DD28" s="239">
        <v>0</v>
      </c>
      <c r="DE28" s="239">
        <v>0</v>
      </c>
      <c r="DF28" s="239">
        <v>0</v>
      </c>
      <c r="DG28" s="239">
        <v>0</v>
      </c>
      <c r="DH28" s="239">
        <v>0</v>
      </c>
      <c r="DI28" s="239">
        <v>0</v>
      </c>
      <c r="DJ28" s="239">
        <v>0</v>
      </c>
      <c r="DK28" s="239">
        <v>0</v>
      </c>
      <c r="DL28" s="239">
        <v>0</v>
      </c>
      <c r="DM28" s="239">
        <v>0</v>
      </c>
      <c r="DN28" s="239">
        <v>0</v>
      </c>
      <c r="DO28" s="239">
        <v>0</v>
      </c>
      <c r="DP28" s="239">
        <v>0</v>
      </c>
      <c r="DQ28" s="239">
        <v>1507</v>
      </c>
      <c r="DR28" s="239">
        <v>0</v>
      </c>
      <c r="DS28" s="239">
        <v>15</v>
      </c>
      <c r="DT28" s="239">
        <v>1508</v>
      </c>
      <c r="DU28" s="239">
        <v>0</v>
      </c>
      <c r="DV28" s="239">
        <v>15</v>
      </c>
      <c r="DW28" s="239">
        <v>-1</v>
      </c>
      <c r="DX28" s="239">
        <v>0</v>
      </c>
      <c r="DY28" s="239">
        <v>0</v>
      </c>
      <c r="DZ28" s="239">
        <v>51614</v>
      </c>
      <c r="EA28" s="239">
        <v>0</v>
      </c>
      <c r="EB28" s="239">
        <v>521</v>
      </c>
      <c r="EC28" s="239">
        <v>48721</v>
      </c>
      <c r="ED28" s="239">
        <v>0</v>
      </c>
      <c r="EE28" s="239">
        <v>0</v>
      </c>
      <c r="EF28" s="239">
        <v>2893</v>
      </c>
      <c r="EG28" s="239">
        <v>0</v>
      </c>
      <c r="EH28" s="239">
        <v>521</v>
      </c>
      <c r="EI28" s="239">
        <v>421366</v>
      </c>
      <c r="EJ28" s="239">
        <v>0</v>
      </c>
      <c r="EK28" s="239">
        <v>4256</v>
      </c>
      <c r="EL28" s="239">
        <v>419323</v>
      </c>
      <c r="EM28" s="239">
        <v>0</v>
      </c>
      <c r="EN28" s="239">
        <v>0</v>
      </c>
      <c r="EO28" s="239">
        <v>2043</v>
      </c>
      <c r="EP28" s="239">
        <v>0</v>
      </c>
      <c r="EQ28" s="239">
        <v>4256</v>
      </c>
      <c r="ER28" s="239">
        <v>88711</v>
      </c>
      <c r="ES28" s="239">
        <v>0</v>
      </c>
      <c r="ET28" s="239">
        <v>896</v>
      </c>
      <c r="EU28" s="239">
        <v>101502</v>
      </c>
      <c r="EV28" s="239">
        <v>0</v>
      </c>
      <c r="EW28" s="239">
        <v>0</v>
      </c>
      <c r="EX28" s="239">
        <v>-12791</v>
      </c>
      <c r="EY28" s="239">
        <v>0</v>
      </c>
      <c r="EZ28" s="239">
        <v>896</v>
      </c>
      <c r="FA28" s="239">
        <v>1158926</v>
      </c>
      <c r="FB28" s="239">
        <v>0</v>
      </c>
      <c r="FC28" s="239">
        <v>11706</v>
      </c>
      <c r="FD28" s="239">
        <v>1150980</v>
      </c>
      <c r="FE28" s="239">
        <v>0</v>
      </c>
      <c r="FF28" s="239">
        <v>11626</v>
      </c>
      <c r="FG28" s="239">
        <v>7946</v>
      </c>
      <c r="FH28" s="239">
        <v>0</v>
      </c>
      <c r="FI28" s="239">
        <v>80</v>
      </c>
      <c r="FJ28" s="239">
        <v>0</v>
      </c>
      <c r="FK28" s="239">
        <v>0</v>
      </c>
      <c r="FL28" s="239">
        <v>0</v>
      </c>
      <c r="FM28" s="239">
        <v>0</v>
      </c>
      <c r="FN28" s="239">
        <v>0</v>
      </c>
      <c r="FO28" s="239">
        <v>0</v>
      </c>
      <c r="FP28" s="239">
        <v>0</v>
      </c>
      <c r="FQ28" s="239">
        <v>0</v>
      </c>
      <c r="FR28" s="239">
        <v>0</v>
      </c>
      <c r="FS28" s="239">
        <v>0</v>
      </c>
      <c r="FT28" s="239">
        <v>0</v>
      </c>
      <c r="FU28" s="239">
        <v>0</v>
      </c>
      <c r="FV28" s="239">
        <v>9265054</v>
      </c>
      <c r="FW28" s="239">
        <v>0</v>
      </c>
      <c r="FX28" s="239">
        <v>93585</v>
      </c>
      <c r="FY28" s="834">
        <v>0</v>
      </c>
      <c r="FZ28" s="834">
        <v>0.99</v>
      </c>
      <c r="GA28" s="834">
        <v>0</v>
      </c>
      <c r="GB28" s="834">
        <v>0.01</v>
      </c>
      <c r="GC28" s="214" t="s">
        <v>1160</v>
      </c>
    </row>
    <row r="29" spans="2:185" s="214" customFormat="1" x14ac:dyDescent="0.2">
      <c r="B29" s="602" t="s">
        <v>141</v>
      </c>
      <c r="C29" s="602" t="s">
        <v>140</v>
      </c>
      <c r="D29" s="239">
        <v>76634</v>
      </c>
      <c r="E29" s="239">
        <v>0</v>
      </c>
      <c r="F29" s="239">
        <v>76634</v>
      </c>
      <c r="G29" s="239">
        <v>151158</v>
      </c>
      <c r="H29" s="239">
        <v>0</v>
      </c>
      <c r="I29" s="239">
        <v>151158</v>
      </c>
      <c r="J29" s="239">
        <v>-74524</v>
      </c>
      <c r="K29" s="239">
        <v>0</v>
      </c>
      <c r="L29" s="239">
        <v>-74524</v>
      </c>
      <c r="M29" s="239">
        <v>91296</v>
      </c>
      <c r="N29" s="239">
        <v>91296</v>
      </c>
      <c r="O29" s="239">
        <v>0</v>
      </c>
      <c r="P29" s="239">
        <v>0</v>
      </c>
      <c r="Q29" s="239">
        <v>0</v>
      </c>
      <c r="R29" s="239">
        <v>0</v>
      </c>
      <c r="S29" s="239">
        <v>148595</v>
      </c>
      <c r="T29" s="239">
        <v>0</v>
      </c>
      <c r="U29" s="239">
        <v>188057</v>
      </c>
      <c r="V29" s="239">
        <v>0</v>
      </c>
      <c r="W29" s="239">
        <v>-39462</v>
      </c>
      <c r="X29" s="239">
        <v>0</v>
      </c>
      <c r="Y29" s="239">
        <v>0</v>
      </c>
      <c r="Z29" s="239">
        <v>0</v>
      </c>
      <c r="AA29" s="239">
        <v>0</v>
      </c>
      <c r="AB29" s="239">
        <v>0</v>
      </c>
      <c r="AC29" s="239">
        <v>0</v>
      </c>
      <c r="AD29" s="239">
        <v>0</v>
      </c>
      <c r="AE29" s="239">
        <v>0</v>
      </c>
      <c r="AF29" s="239">
        <v>0</v>
      </c>
      <c r="AG29" s="239">
        <v>0</v>
      </c>
      <c r="AH29" s="239">
        <v>0</v>
      </c>
      <c r="AI29" s="239">
        <v>0</v>
      </c>
      <c r="AJ29" s="239">
        <v>0</v>
      </c>
      <c r="AK29" s="239">
        <v>0</v>
      </c>
      <c r="AL29" s="239">
        <v>0</v>
      </c>
      <c r="AM29" s="239">
        <v>0</v>
      </c>
      <c r="AN29" s="239">
        <v>0</v>
      </c>
      <c r="AO29" s="239">
        <v>0</v>
      </c>
      <c r="AP29" s="239">
        <v>0</v>
      </c>
      <c r="AQ29" s="239">
        <v>0</v>
      </c>
      <c r="AR29" s="239">
        <v>0</v>
      </c>
      <c r="AS29" s="239">
        <v>0</v>
      </c>
      <c r="AT29" s="239">
        <v>0</v>
      </c>
      <c r="AU29" s="239">
        <v>0</v>
      </c>
      <c r="AV29" s="239">
        <v>0</v>
      </c>
      <c r="AW29" s="239">
        <v>0</v>
      </c>
      <c r="AX29" s="239">
        <v>0</v>
      </c>
      <c r="AY29" s="239">
        <v>0</v>
      </c>
      <c r="AZ29" s="239">
        <v>0</v>
      </c>
      <c r="BA29" s="239">
        <v>0</v>
      </c>
      <c r="BB29" s="239">
        <v>0</v>
      </c>
      <c r="BC29" s="239">
        <v>629901</v>
      </c>
      <c r="BD29" s="239">
        <v>157475</v>
      </c>
      <c r="BE29" s="239">
        <v>0</v>
      </c>
      <c r="BF29" s="239">
        <v>616318.53552618029</v>
      </c>
      <c r="BG29" s="239">
        <v>154079.63388154507</v>
      </c>
      <c r="BH29" s="239">
        <v>0</v>
      </c>
      <c r="BI29" s="239">
        <v>40258.532231759651</v>
      </c>
      <c r="BJ29" s="239">
        <v>10064.633057939913</v>
      </c>
      <c r="BK29" s="239">
        <v>0</v>
      </c>
      <c r="BL29" s="239">
        <v>571454</v>
      </c>
      <c r="BM29" s="239">
        <v>98867</v>
      </c>
      <c r="BN29" s="239">
        <v>0</v>
      </c>
      <c r="BO29" s="239">
        <v>58447</v>
      </c>
      <c r="BP29" s="239">
        <v>58608</v>
      </c>
      <c r="BQ29" s="239">
        <v>0</v>
      </c>
      <c r="BR29" s="239">
        <v>5882</v>
      </c>
      <c r="BS29" s="239">
        <v>1471</v>
      </c>
      <c r="BT29" s="239">
        <v>0</v>
      </c>
      <c r="BU29" s="239">
        <v>1741</v>
      </c>
      <c r="BV29" s="239">
        <v>435</v>
      </c>
      <c r="BW29" s="239">
        <v>0</v>
      </c>
      <c r="BX29" s="239">
        <v>4141</v>
      </c>
      <c r="BY29" s="239">
        <v>1036</v>
      </c>
      <c r="BZ29" s="239">
        <v>0</v>
      </c>
      <c r="CA29" s="239">
        <v>0</v>
      </c>
      <c r="CB29" s="239">
        <v>0</v>
      </c>
      <c r="CC29" s="239">
        <v>0</v>
      </c>
      <c r="CD29" s="239">
        <v>0</v>
      </c>
      <c r="CE29" s="239">
        <v>0</v>
      </c>
      <c r="CF29" s="239">
        <v>0</v>
      </c>
      <c r="CG29" s="239">
        <v>0</v>
      </c>
      <c r="CH29" s="239">
        <v>0</v>
      </c>
      <c r="CI29" s="239">
        <v>0</v>
      </c>
      <c r="CJ29" s="239">
        <v>1186</v>
      </c>
      <c r="CK29" s="239">
        <v>296</v>
      </c>
      <c r="CL29" s="239">
        <v>0</v>
      </c>
      <c r="CM29" s="239">
        <v>4109</v>
      </c>
      <c r="CN29" s="239">
        <v>1027</v>
      </c>
      <c r="CO29" s="239">
        <v>0</v>
      </c>
      <c r="CP29" s="239">
        <v>-2923</v>
      </c>
      <c r="CQ29" s="239">
        <v>-731</v>
      </c>
      <c r="CR29" s="239">
        <v>0</v>
      </c>
      <c r="CS29" s="239">
        <v>-1424</v>
      </c>
      <c r="CT29" s="239">
        <v>-356</v>
      </c>
      <c r="CU29" s="239">
        <v>0</v>
      </c>
      <c r="CV29" s="239">
        <v>0</v>
      </c>
      <c r="CW29" s="239">
        <v>0</v>
      </c>
      <c r="CX29" s="239">
        <v>0</v>
      </c>
      <c r="CY29" s="239">
        <v>0</v>
      </c>
      <c r="CZ29" s="239">
        <v>0</v>
      </c>
      <c r="DA29" s="239">
        <v>0</v>
      </c>
      <c r="DB29" s="239">
        <v>0</v>
      </c>
      <c r="DC29" s="239">
        <v>0</v>
      </c>
      <c r="DD29" s="239">
        <v>0</v>
      </c>
      <c r="DE29" s="239">
        <v>0</v>
      </c>
      <c r="DF29" s="239">
        <v>0</v>
      </c>
      <c r="DG29" s="239">
        <v>0</v>
      </c>
      <c r="DH29" s="239">
        <v>6780</v>
      </c>
      <c r="DI29" s="239">
        <v>1695</v>
      </c>
      <c r="DJ29" s="239">
        <v>0</v>
      </c>
      <c r="DK29" s="239">
        <v>6942</v>
      </c>
      <c r="DL29" s="239">
        <v>1735</v>
      </c>
      <c r="DM29" s="239">
        <v>0</v>
      </c>
      <c r="DN29" s="239">
        <v>-162</v>
      </c>
      <c r="DO29" s="239">
        <v>-40</v>
      </c>
      <c r="DP29" s="239">
        <v>0</v>
      </c>
      <c r="DQ29" s="239">
        <v>1218</v>
      </c>
      <c r="DR29" s="239">
        <v>305</v>
      </c>
      <c r="DS29" s="239">
        <v>0</v>
      </c>
      <c r="DT29" s="239">
        <v>1218</v>
      </c>
      <c r="DU29" s="239">
        <v>305</v>
      </c>
      <c r="DV29" s="239">
        <v>0</v>
      </c>
      <c r="DW29" s="239">
        <v>0</v>
      </c>
      <c r="DX29" s="239">
        <v>0</v>
      </c>
      <c r="DY29" s="239">
        <v>0</v>
      </c>
      <c r="DZ29" s="239">
        <v>2454</v>
      </c>
      <c r="EA29" s="239">
        <v>613</v>
      </c>
      <c r="EB29" s="239">
        <v>0</v>
      </c>
      <c r="EC29" s="239">
        <v>5585</v>
      </c>
      <c r="ED29" s="239">
        <v>0</v>
      </c>
      <c r="EE29" s="239">
        <v>0</v>
      </c>
      <c r="EF29" s="239">
        <v>-3131</v>
      </c>
      <c r="EG29" s="239">
        <v>613</v>
      </c>
      <c r="EH29" s="239">
        <v>0</v>
      </c>
      <c r="EI29" s="239">
        <v>54071</v>
      </c>
      <c r="EJ29" s="239">
        <v>13518</v>
      </c>
      <c r="EK29" s="239">
        <v>0</v>
      </c>
      <c r="EL29" s="239">
        <v>66595</v>
      </c>
      <c r="EM29" s="239">
        <v>0</v>
      </c>
      <c r="EN29" s="239">
        <v>0</v>
      </c>
      <c r="EO29" s="239">
        <v>-12524</v>
      </c>
      <c r="EP29" s="239">
        <v>13518</v>
      </c>
      <c r="EQ29" s="239">
        <v>0</v>
      </c>
      <c r="ER29" s="239">
        <v>5645</v>
      </c>
      <c r="ES29" s="239">
        <v>1411</v>
      </c>
      <c r="ET29" s="239">
        <v>0</v>
      </c>
      <c r="EU29" s="239">
        <v>9870</v>
      </c>
      <c r="EV29" s="239">
        <v>0</v>
      </c>
      <c r="EW29" s="239">
        <v>0</v>
      </c>
      <c r="EX29" s="239">
        <v>-4225</v>
      </c>
      <c r="EY29" s="239">
        <v>1411</v>
      </c>
      <c r="EZ29" s="239">
        <v>0</v>
      </c>
      <c r="FA29" s="239">
        <v>113484</v>
      </c>
      <c r="FB29" s="239">
        <v>27813</v>
      </c>
      <c r="FC29" s="239">
        <v>0</v>
      </c>
      <c r="FD29" s="239">
        <v>117903</v>
      </c>
      <c r="FE29" s="239">
        <v>28770</v>
      </c>
      <c r="FF29" s="239">
        <v>0</v>
      </c>
      <c r="FG29" s="239">
        <v>-4419</v>
      </c>
      <c r="FH29" s="239">
        <v>-957</v>
      </c>
      <c r="FI29" s="239">
        <v>0</v>
      </c>
      <c r="FJ29" s="239">
        <v>0</v>
      </c>
      <c r="FK29" s="239">
        <v>0</v>
      </c>
      <c r="FL29" s="239">
        <v>0</v>
      </c>
      <c r="FM29" s="239">
        <v>0</v>
      </c>
      <c r="FN29" s="239">
        <v>0</v>
      </c>
      <c r="FO29" s="239">
        <v>0</v>
      </c>
      <c r="FP29" s="239">
        <v>0</v>
      </c>
      <c r="FQ29" s="239">
        <v>0</v>
      </c>
      <c r="FR29" s="239">
        <v>0</v>
      </c>
      <c r="FS29" s="239">
        <v>0</v>
      </c>
      <c r="FT29" s="239">
        <v>0</v>
      </c>
      <c r="FU29" s="239">
        <v>0</v>
      </c>
      <c r="FV29" s="239">
        <v>819197</v>
      </c>
      <c r="FW29" s="239">
        <v>204241</v>
      </c>
      <c r="FX29" s="239">
        <v>0</v>
      </c>
      <c r="FY29" s="834">
        <v>0.5</v>
      </c>
      <c r="FZ29" s="834">
        <v>0.4</v>
      </c>
      <c r="GA29" s="834">
        <v>0.1</v>
      </c>
      <c r="GB29" s="834">
        <v>0</v>
      </c>
      <c r="GC29" s="214" t="s">
        <v>1158</v>
      </c>
    </row>
    <row r="30" spans="2:185" s="214" customFormat="1" x14ac:dyDescent="0.2">
      <c r="B30" s="602" t="s">
        <v>143</v>
      </c>
      <c r="C30" s="602" t="s">
        <v>142</v>
      </c>
      <c r="D30" s="239">
        <v>-3463772</v>
      </c>
      <c r="E30" s="239">
        <v>0</v>
      </c>
      <c r="F30" s="239">
        <v>-3463772</v>
      </c>
      <c r="G30" s="239">
        <v>-3511960.15</v>
      </c>
      <c r="H30" s="239">
        <v>0</v>
      </c>
      <c r="I30" s="239">
        <v>-3511960.15</v>
      </c>
      <c r="J30" s="239">
        <v>48188.149999999907</v>
      </c>
      <c r="K30" s="239">
        <v>0</v>
      </c>
      <c r="L30" s="239">
        <v>48188.149999999907</v>
      </c>
      <c r="M30" s="239">
        <v>292496</v>
      </c>
      <c r="N30" s="239">
        <v>292496</v>
      </c>
      <c r="O30" s="239">
        <v>0</v>
      </c>
      <c r="P30" s="239">
        <v>0</v>
      </c>
      <c r="Q30" s="239">
        <v>0</v>
      </c>
      <c r="R30" s="239">
        <v>0</v>
      </c>
      <c r="S30" s="239">
        <v>204</v>
      </c>
      <c r="T30" s="239">
        <v>0</v>
      </c>
      <c r="U30" s="239">
        <v>204</v>
      </c>
      <c r="V30" s="239">
        <v>0</v>
      </c>
      <c r="W30" s="239">
        <v>0</v>
      </c>
      <c r="X30" s="239">
        <v>0</v>
      </c>
      <c r="Y30" s="239">
        <v>0</v>
      </c>
      <c r="Z30" s="239">
        <v>0</v>
      </c>
      <c r="AA30" s="239">
        <v>0</v>
      </c>
      <c r="AB30" s="239">
        <v>0</v>
      </c>
      <c r="AC30" s="239">
        <v>0</v>
      </c>
      <c r="AD30" s="239">
        <v>0</v>
      </c>
      <c r="AE30" s="239">
        <v>0</v>
      </c>
      <c r="AF30" s="239">
        <v>0</v>
      </c>
      <c r="AG30" s="239">
        <v>0</v>
      </c>
      <c r="AH30" s="239">
        <v>0</v>
      </c>
      <c r="AI30" s="239">
        <v>0</v>
      </c>
      <c r="AJ30" s="239">
        <v>0</v>
      </c>
      <c r="AK30" s="239">
        <v>0</v>
      </c>
      <c r="AL30" s="239">
        <v>0</v>
      </c>
      <c r="AM30" s="239">
        <v>0</v>
      </c>
      <c r="AN30" s="239">
        <v>0</v>
      </c>
      <c r="AO30" s="239">
        <v>0</v>
      </c>
      <c r="AP30" s="239">
        <v>0</v>
      </c>
      <c r="AQ30" s="239">
        <v>0</v>
      </c>
      <c r="AR30" s="239">
        <v>0</v>
      </c>
      <c r="AS30" s="239">
        <v>0</v>
      </c>
      <c r="AT30" s="239">
        <v>0</v>
      </c>
      <c r="AU30" s="239">
        <v>0</v>
      </c>
      <c r="AV30" s="239">
        <v>0</v>
      </c>
      <c r="AW30" s="239">
        <v>0</v>
      </c>
      <c r="AX30" s="239">
        <v>0</v>
      </c>
      <c r="AY30" s="239">
        <v>0</v>
      </c>
      <c r="AZ30" s="239">
        <v>0</v>
      </c>
      <c r="BA30" s="239">
        <v>0</v>
      </c>
      <c r="BB30" s="239">
        <v>0</v>
      </c>
      <c r="BC30" s="239">
        <v>2344834</v>
      </c>
      <c r="BD30" s="239">
        <v>0</v>
      </c>
      <c r="BE30" s="239">
        <v>47854</v>
      </c>
      <c r="BF30" s="239">
        <v>2295084.4663065234</v>
      </c>
      <c r="BG30" s="239">
        <v>0</v>
      </c>
      <c r="BH30" s="239">
        <v>46838.458496051513</v>
      </c>
      <c r="BI30" s="239">
        <v>137815.78862553646</v>
      </c>
      <c r="BJ30" s="239">
        <v>0</v>
      </c>
      <c r="BK30" s="239">
        <v>2812.5671148068668</v>
      </c>
      <c r="BL30" s="239">
        <v>1979202</v>
      </c>
      <c r="BM30" s="239">
        <v>0</v>
      </c>
      <c r="BN30" s="239">
        <v>28767</v>
      </c>
      <c r="BO30" s="239">
        <v>365632</v>
      </c>
      <c r="BP30" s="239">
        <v>0</v>
      </c>
      <c r="BQ30" s="239">
        <v>19087</v>
      </c>
      <c r="BR30" s="239">
        <v>12217</v>
      </c>
      <c r="BS30" s="239">
        <v>0</v>
      </c>
      <c r="BT30" s="239">
        <v>249</v>
      </c>
      <c r="BU30" s="239">
        <v>0</v>
      </c>
      <c r="BV30" s="239">
        <v>0</v>
      </c>
      <c r="BW30" s="239">
        <v>0</v>
      </c>
      <c r="BX30" s="239">
        <v>12217</v>
      </c>
      <c r="BY30" s="239">
        <v>0</v>
      </c>
      <c r="BZ30" s="239">
        <v>249</v>
      </c>
      <c r="CA30" s="239">
        <v>336</v>
      </c>
      <c r="CB30" s="239">
        <v>0</v>
      </c>
      <c r="CC30" s="239">
        <v>7</v>
      </c>
      <c r="CD30" s="239">
        <v>418</v>
      </c>
      <c r="CE30" s="239">
        <v>0</v>
      </c>
      <c r="CF30" s="239">
        <v>9</v>
      </c>
      <c r="CG30" s="239">
        <v>-82</v>
      </c>
      <c r="CH30" s="239">
        <v>0</v>
      </c>
      <c r="CI30" s="239">
        <v>-2</v>
      </c>
      <c r="CJ30" s="239">
        <v>27609</v>
      </c>
      <c r="CK30" s="239">
        <v>0</v>
      </c>
      <c r="CL30" s="239">
        <v>563</v>
      </c>
      <c r="CM30" s="239">
        <v>5063</v>
      </c>
      <c r="CN30" s="239">
        <v>0</v>
      </c>
      <c r="CO30" s="239">
        <v>103</v>
      </c>
      <c r="CP30" s="239">
        <v>22546</v>
      </c>
      <c r="CQ30" s="239">
        <v>0</v>
      </c>
      <c r="CR30" s="239">
        <v>460</v>
      </c>
      <c r="CS30" s="239">
        <v>-5557</v>
      </c>
      <c r="CT30" s="239">
        <v>0</v>
      </c>
      <c r="CU30" s="239">
        <v>-113</v>
      </c>
      <c r="CV30" s="239">
        <v>0</v>
      </c>
      <c r="CW30" s="239">
        <v>0</v>
      </c>
      <c r="CX30" s="239">
        <v>0</v>
      </c>
      <c r="CY30" s="239">
        <v>0</v>
      </c>
      <c r="CZ30" s="239">
        <v>0</v>
      </c>
      <c r="DA30" s="239">
        <v>0</v>
      </c>
      <c r="DB30" s="239">
        <v>0</v>
      </c>
      <c r="DC30" s="239">
        <v>0</v>
      </c>
      <c r="DD30" s="239">
        <v>0</v>
      </c>
      <c r="DE30" s="239">
        <v>-504</v>
      </c>
      <c r="DF30" s="239">
        <v>0</v>
      </c>
      <c r="DG30" s="239">
        <v>-10</v>
      </c>
      <c r="DH30" s="239">
        <v>0</v>
      </c>
      <c r="DI30" s="239">
        <v>0</v>
      </c>
      <c r="DJ30" s="239">
        <v>0</v>
      </c>
      <c r="DK30" s="239">
        <v>0</v>
      </c>
      <c r="DL30" s="239">
        <v>0</v>
      </c>
      <c r="DM30" s="239">
        <v>0</v>
      </c>
      <c r="DN30" s="239">
        <v>0</v>
      </c>
      <c r="DO30" s="239">
        <v>0</v>
      </c>
      <c r="DP30" s="239">
        <v>0</v>
      </c>
      <c r="DQ30" s="239">
        <v>0</v>
      </c>
      <c r="DR30" s="239">
        <v>0</v>
      </c>
      <c r="DS30" s="239">
        <v>0</v>
      </c>
      <c r="DT30" s="239">
        <v>746</v>
      </c>
      <c r="DU30" s="239">
        <v>0</v>
      </c>
      <c r="DV30" s="239">
        <v>15</v>
      </c>
      <c r="DW30" s="239">
        <v>-746</v>
      </c>
      <c r="DX30" s="239">
        <v>0</v>
      </c>
      <c r="DY30" s="239">
        <v>-15</v>
      </c>
      <c r="DZ30" s="239">
        <v>32566</v>
      </c>
      <c r="EA30" s="239">
        <v>0</v>
      </c>
      <c r="EB30" s="239">
        <v>665</v>
      </c>
      <c r="EC30" s="239">
        <v>33027</v>
      </c>
      <c r="ED30" s="239">
        <v>0</v>
      </c>
      <c r="EE30" s="239">
        <v>0</v>
      </c>
      <c r="EF30" s="239">
        <v>-461</v>
      </c>
      <c r="EG30" s="239">
        <v>0</v>
      </c>
      <c r="EH30" s="239">
        <v>665</v>
      </c>
      <c r="EI30" s="239">
        <v>160650</v>
      </c>
      <c r="EJ30" s="239">
        <v>0</v>
      </c>
      <c r="EK30" s="239">
        <v>3279</v>
      </c>
      <c r="EL30" s="239">
        <v>182857</v>
      </c>
      <c r="EM30" s="239">
        <v>0</v>
      </c>
      <c r="EN30" s="239">
        <v>0</v>
      </c>
      <c r="EO30" s="239">
        <v>-22207</v>
      </c>
      <c r="EP30" s="239">
        <v>0</v>
      </c>
      <c r="EQ30" s="239">
        <v>3279</v>
      </c>
      <c r="ER30" s="239">
        <v>7050</v>
      </c>
      <c r="ES30" s="239">
        <v>0</v>
      </c>
      <c r="ET30" s="239">
        <v>144</v>
      </c>
      <c r="EU30" s="239">
        <v>7613</v>
      </c>
      <c r="EV30" s="239">
        <v>0</v>
      </c>
      <c r="EW30" s="239">
        <v>0</v>
      </c>
      <c r="EX30" s="239">
        <v>-563</v>
      </c>
      <c r="EY30" s="239">
        <v>0</v>
      </c>
      <c r="EZ30" s="239">
        <v>144</v>
      </c>
      <c r="FA30" s="239">
        <v>450120</v>
      </c>
      <c r="FB30" s="239">
        <v>0</v>
      </c>
      <c r="FC30" s="239">
        <v>9186</v>
      </c>
      <c r="FD30" s="239">
        <v>477927</v>
      </c>
      <c r="FE30" s="239">
        <v>0</v>
      </c>
      <c r="FF30" s="239">
        <v>9754</v>
      </c>
      <c r="FG30" s="239">
        <v>-27807</v>
      </c>
      <c r="FH30" s="239">
        <v>0</v>
      </c>
      <c r="FI30" s="239">
        <v>-568</v>
      </c>
      <c r="FJ30" s="239">
        <v>0</v>
      </c>
      <c r="FK30" s="239">
        <v>0</v>
      </c>
      <c r="FL30" s="239">
        <v>0</v>
      </c>
      <c r="FM30" s="239">
        <v>0</v>
      </c>
      <c r="FN30" s="239">
        <v>0</v>
      </c>
      <c r="FO30" s="239">
        <v>0</v>
      </c>
      <c r="FP30" s="239">
        <v>0</v>
      </c>
      <c r="FQ30" s="239">
        <v>0</v>
      </c>
      <c r="FR30" s="239">
        <v>0</v>
      </c>
      <c r="FS30" s="239">
        <v>0</v>
      </c>
      <c r="FT30" s="239">
        <v>0</v>
      </c>
      <c r="FU30" s="239">
        <v>0</v>
      </c>
      <c r="FV30" s="239">
        <v>3029321</v>
      </c>
      <c r="FW30" s="239">
        <v>0</v>
      </c>
      <c r="FX30" s="239">
        <v>61824</v>
      </c>
      <c r="FY30" s="834">
        <v>0.5</v>
      </c>
      <c r="FZ30" s="834">
        <v>0.49</v>
      </c>
      <c r="GA30" s="834">
        <v>0</v>
      </c>
      <c r="GB30" s="834">
        <v>0.01</v>
      </c>
      <c r="GC30" s="214" t="s">
        <v>746</v>
      </c>
    </row>
    <row r="31" spans="2:185" s="214" customFormat="1" x14ac:dyDescent="0.2">
      <c r="B31" s="602" t="s">
        <v>145</v>
      </c>
      <c r="C31" s="602" t="s">
        <v>144</v>
      </c>
      <c r="D31" s="239">
        <v>-1418757</v>
      </c>
      <c r="E31" s="239">
        <v>0</v>
      </c>
      <c r="F31" s="239">
        <v>-1418757</v>
      </c>
      <c r="G31" s="239">
        <v>-1910966</v>
      </c>
      <c r="H31" s="239">
        <v>0</v>
      </c>
      <c r="I31" s="239">
        <v>-1910966</v>
      </c>
      <c r="J31" s="239">
        <v>492209</v>
      </c>
      <c r="K31" s="239">
        <v>0</v>
      </c>
      <c r="L31" s="239">
        <v>492209</v>
      </c>
      <c r="M31" s="239">
        <v>144145</v>
      </c>
      <c r="N31" s="239">
        <v>144145</v>
      </c>
      <c r="O31" s="239">
        <v>0</v>
      </c>
      <c r="P31" s="239">
        <v>0</v>
      </c>
      <c r="Q31" s="239">
        <v>0</v>
      </c>
      <c r="R31" s="239">
        <v>0</v>
      </c>
      <c r="S31" s="239">
        <v>0</v>
      </c>
      <c r="T31" s="239">
        <v>0</v>
      </c>
      <c r="U31" s="239">
        <v>708</v>
      </c>
      <c r="V31" s="239">
        <v>0</v>
      </c>
      <c r="W31" s="239">
        <v>-708</v>
      </c>
      <c r="X31" s="239">
        <v>0</v>
      </c>
      <c r="Y31" s="239">
        <v>0</v>
      </c>
      <c r="Z31" s="239">
        <v>0</v>
      </c>
      <c r="AA31" s="239">
        <v>0</v>
      </c>
      <c r="AB31" s="239">
        <v>0</v>
      </c>
      <c r="AC31" s="239">
        <v>0</v>
      </c>
      <c r="AD31" s="239">
        <v>0</v>
      </c>
      <c r="AE31" s="239">
        <v>0</v>
      </c>
      <c r="AF31" s="239">
        <v>0</v>
      </c>
      <c r="AG31" s="239">
        <v>0</v>
      </c>
      <c r="AH31" s="239">
        <v>0</v>
      </c>
      <c r="AI31" s="239">
        <v>0</v>
      </c>
      <c r="AJ31" s="239">
        <v>0</v>
      </c>
      <c r="AK31" s="239">
        <v>0</v>
      </c>
      <c r="AL31" s="239">
        <v>0</v>
      </c>
      <c r="AM31" s="239">
        <v>0</v>
      </c>
      <c r="AN31" s="239">
        <v>0</v>
      </c>
      <c r="AO31" s="239">
        <v>0</v>
      </c>
      <c r="AP31" s="239">
        <v>0</v>
      </c>
      <c r="AQ31" s="239">
        <v>0</v>
      </c>
      <c r="AR31" s="239">
        <v>0</v>
      </c>
      <c r="AS31" s="239">
        <v>0</v>
      </c>
      <c r="AT31" s="239">
        <v>0</v>
      </c>
      <c r="AU31" s="239">
        <v>0</v>
      </c>
      <c r="AV31" s="239">
        <v>0</v>
      </c>
      <c r="AW31" s="239">
        <v>0</v>
      </c>
      <c r="AX31" s="239">
        <v>0</v>
      </c>
      <c r="AY31" s="239">
        <v>0</v>
      </c>
      <c r="AZ31" s="239">
        <v>0</v>
      </c>
      <c r="BA31" s="239">
        <v>0</v>
      </c>
      <c r="BB31" s="239">
        <v>0</v>
      </c>
      <c r="BC31" s="239">
        <v>499224</v>
      </c>
      <c r="BD31" s="239">
        <v>0</v>
      </c>
      <c r="BE31" s="239">
        <v>10188</v>
      </c>
      <c r="BF31" s="239">
        <v>479585.69871163083</v>
      </c>
      <c r="BG31" s="239">
        <v>0</v>
      </c>
      <c r="BH31" s="239">
        <v>9787.4632390128754</v>
      </c>
      <c r="BI31" s="239">
        <v>61924.467755364807</v>
      </c>
      <c r="BJ31" s="239">
        <v>0</v>
      </c>
      <c r="BK31" s="239">
        <v>1263.7646480686694</v>
      </c>
      <c r="BL31" s="239">
        <v>502792</v>
      </c>
      <c r="BM31" s="239">
        <v>0</v>
      </c>
      <c r="BN31" s="239">
        <v>6686</v>
      </c>
      <c r="BO31" s="239">
        <v>-3568</v>
      </c>
      <c r="BP31" s="239">
        <v>0</v>
      </c>
      <c r="BQ31" s="239">
        <v>3502</v>
      </c>
      <c r="BR31" s="239">
        <v>1995</v>
      </c>
      <c r="BS31" s="239">
        <v>0</v>
      </c>
      <c r="BT31" s="239">
        <v>41</v>
      </c>
      <c r="BU31" s="239">
        <v>3916</v>
      </c>
      <c r="BV31" s="239">
        <v>0</v>
      </c>
      <c r="BW31" s="239">
        <v>80</v>
      </c>
      <c r="BX31" s="239">
        <v>-1921</v>
      </c>
      <c r="BY31" s="239">
        <v>0</v>
      </c>
      <c r="BZ31" s="239">
        <v>-39</v>
      </c>
      <c r="CA31" s="239">
        <v>0</v>
      </c>
      <c r="CB31" s="239">
        <v>0</v>
      </c>
      <c r="CC31" s="239">
        <v>0</v>
      </c>
      <c r="CD31" s="239">
        <v>0</v>
      </c>
      <c r="CE31" s="239">
        <v>0</v>
      </c>
      <c r="CF31" s="239">
        <v>0</v>
      </c>
      <c r="CG31" s="239">
        <v>0</v>
      </c>
      <c r="CH31" s="239">
        <v>0</v>
      </c>
      <c r="CI31" s="239">
        <v>0</v>
      </c>
      <c r="CJ31" s="239">
        <v>0</v>
      </c>
      <c r="CK31" s="239">
        <v>0</v>
      </c>
      <c r="CL31" s="239">
        <v>0</v>
      </c>
      <c r="CM31" s="239">
        <v>735</v>
      </c>
      <c r="CN31" s="239">
        <v>0</v>
      </c>
      <c r="CO31" s="239">
        <v>15</v>
      </c>
      <c r="CP31" s="239">
        <v>-735</v>
      </c>
      <c r="CQ31" s="239">
        <v>0</v>
      </c>
      <c r="CR31" s="239">
        <v>-15</v>
      </c>
      <c r="CS31" s="239">
        <v>776</v>
      </c>
      <c r="CT31" s="239">
        <v>0</v>
      </c>
      <c r="CU31" s="239">
        <v>16</v>
      </c>
      <c r="CV31" s="239">
        <v>0</v>
      </c>
      <c r="CW31" s="239">
        <v>0</v>
      </c>
      <c r="CX31" s="239">
        <v>0</v>
      </c>
      <c r="CY31" s="239">
        <v>0</v>
      </c>
      <c r="CZ31" s="239">
        <v>0</v>
      </c>
      <c r="DA31" s="239">
        <v>0</v>
      </c>
      <c r="DB31" s="239">
        <v>0</v>
      </c>
      <c r="DC31" s="239">
        <v>0</v>
      </c>
      <c r="DD31" s="239">
        <v>0</v>
      </c>
      <c r="DE31" s="239">
        <v>0</v>
      </c>
      <c r="DF31" s="239">
        <v>0</v>
      </c>
      <c r="DG31" s="239">
        <v>0</v>
      </c>
      <c r="DH31" s="239">
        <v>0</v>
      </c>
      <c r="DI31" s="239">
        <v>0</v>
      </c>
      <c r="DJ31" s="239">
        <v>0</v>
      </c>
      <c r="DK31" s="239">
        <v>0</v>
      </c>
      <c r="DL31" s="239">
        <v>0</v>
      </c>
      <c r="DM31" s="239">
        <v>0</v>
      </c>
      <c r="DN31" s="239">
        <v>0</v>
      </c>
      <c r="DO31" s="239">
        <v>0</v>
      </c>
      <c r="DP31" s="239">
        <v>0</v>
      </c>
      <c r="DQ31" s="239">
        <v>0</v>
      </c>
      <c r="DR31" s="239">
        <v>0</v>
      </c>
      <c r="DS31" s="239">
        <v>0</v>
      </c>
      <c r="DT31" s="239">
        <v>0</v>
      </c>
      <c r="DU31" s="239">
        <v>0</v>
      </c>
      <c r="DV31" s="239">
        <v>0</v>
      </c>
      <c r="DW31" s="239">
        <v>0</v>
      </c>
      <c r="DX31" s="239">
        <v>0</v>
      </c>
      <c r="DY31" s="239">
        <v>0</v>
      </c>
      <c r="DZ31" s="239">
        <v>14489</v>
      </c>
      <c r="EA31" s="239">
        <v>0</v>
      </c>
      <c r="EB31" s="239">
        <v>296</v>
      </c>
      <c r="EC31" s="239">
        <v>14789</v>
      </c>
      <c r="ED31" s="239">
        <v>0</v>
      </c>
      <c r="EE31" s="239">
        <v>0</v>
      </c>
      <c r="EF31" s="239">
        <v>-300</v>
      </c>
      <c r="EG31" s="239">
        <v>0</v>
      </c>
      <c r="EH31" s="239">
        <v>296</v>
      </c>
      <c r="EI31" s="239">
        <v>57926</v>
      </c>
      <c r="EJ31" s="239">
        <v>0</v>
      </c>
      <c r="EK31" s="239">
        <v>1182</v>
      </c>
      <c r="EL31" s="239">
        <v>117496</v>
      </c>
      <c r="EM31" s="239">
        <v>0</v>
      </c>
      <c r="EN31" s="239">
        <v>0</v>
      </c>
      <c r="EO31" s="239">
        <v>-59570</v>
      </c>
      <c r="EP31" s="239">
        <v>0</v>
      </c>
      <c r="EQ31" s="239">
        <v>1182</v>
      </c>
      <c r="ER31" s="239">
        <v>10031</v>
      </c>
      <c r="ES31" s="239">
        <v>0</v>
      </c>
      <c r="ET31" s="239">
        <v>205</v>
      </c>
      <c r="EU31" s="239">
        <v>10353</v>
      </c>
      <c r="EV31" s="239">
        <v>0</v>
      </c>
      <c r="EW31" s="239">
        <v>0</v>
      </c>
      <c r="EX31" s="239">
        <v>-322</v>
      </c>
      <c r="EY31" s="239">
        <v>0</v>
      </c>
      <c r="EZ31" s="239">
        <v>205</v>
      </c>
      <c r="FA31" s="239">
        <v>470987</v>
      </c>
      <c r="FB31" s="239">
        <v>0</v>
      </c>
      <c r="FC31" s="239">
        <v>9612</v>
      </c>
      <c r="FD31" s="239">
        <v>448320</v>
      </c>
      <c r="FE31" s="239">
        <v>0</v>
      </c>
      <c r="FF31" s="239">
        <v>9149</v>
      </c>
      <c r="FG31" s="239">
        <v>22667</v>
      </c>
      <c r="FH31" s="239">
        <v>0</v>
      </c>
      <c r="FI31" s="239">
        <v>463</v>
      </c>
      <c r="FJ31" s="239">
        <v>0</v>
      </c>
      <c r="FK31" s="239">
        <v>0</v>
      </c>
      <c r="FL31" s="239">
        <v>0</v>
      </c>
      <c r="FM31" s="239">
        <v>0</v>
      </c>
      <c r="FN31" s="239">
        <v>0</v>
      </c>
      <c r="FO31" s="239">
        <v>0</v>
      </c>
      <c r="FP31" s="239">
        <v>0</v>
      </c>
      <c r="FQ31" s="239">
        <v>0</v>
      </c>
      <c r="FR31" s="239">
        <v>0</v>
      </c>
      <c r="FS31" s="239">
        <v>0</v>
      </c>
      <c r="FT31" s="239">
        <v>0</v>
      </c>
      <c r="FU31" s="239">
        <v>0</v>
      </c>
      <c r="FV31" s="239">
        <v>1055428</v>
      </c>
      <c r="FW31" s="239">
        <v>0</v>
      </c>
      <c r="FX31" s="239">
        <v>21540</v>
      </c>
      <c r="FY31" s="834">
        <v>0.5</v>
      </c>
      <c r="FZ31" s="834">
        <v>0.49</v>
      </c>
      <c r="GA31" s="834">
        <v>0</v>
      </c>
      <c r="GB31" s="834">
        <v>0.01</v>
      </c>
      <c r="GC31" s="214" t="s">
        <v>746</v>
      </c>
    </row>
    <row r="32" spans="2:185" s="214" customFormat="1" x14ac:dyDescent="0.2">
      <c r="B32" s="602" t="s">
        <v>147</v>
      </c>
      <c r="C32" s="602" t="s">
        <v>146</v>
      </c>
      <c r="D32" s="239">
        <v>-3860931</v>
      </c>
      <c r="E32" s="239">
        <v>0</v>
      </c>
      <c r="F32" s="239">
        <v>-3860931</v>
      </c>
      <c r="G32" s="239">
        <v>-3828219</v>
      </c>
      <c r="H32" s="239">
        <v>0</v>
      </c>
      <c r="I32" s="239">
        <v>-3828219</v>
      </c>
      <c r="J32" s="239">
        <v>-32712</v>
      </c>
      <c r="K32" s="239">
        <v>0</v>
      </c>
      <c r="L32" s="239">
        <v>-32712</v>
      </c>
      <c r="M32" s="239">
        <v>736622</v>
      </c>
      <c r="N32" s="239">
        <v>736622</v>
      </c>
      <c r="O32" s="239">
        <v>0</v>
      </c>
      <c r="P32" s="239">
        <v>0</v>
      </c>
      <c r="Q32" s="239">
        <v>0</v>
      </c>
      <c r="R32" s="239">
        <v>0</v>
      </c>
      <c r="S32" s="239">
        <v>0</v>
      </c>
      <c r="T32" s="239">
        <v>0</v>
      </c>
      <c r="U32" s="239">
        <v>0</v>
      </c>
      <c r="V32" s="239">
        <v>0</v>
      </c>
      <c r="W32" s="239">
        <v>0</v>
      </c>
      <c r="X32" s="239">
        <v>0</v>
      </c>
      <c r="Y32" s="239">
        <v>0</v>
      </c>
      <c r="Z32" s="239">
        <v>0</v>
      </c>
      <c r="AA32" s="239">
        <v>0</v>
      </c>
      <c r="AB32" s="239">
        <v>0</v>
      </c>
      <c r="AC32" s="239">
        <v>0</v>
      </c>
      <c r="AD32" s="239">
        <v>0</v>
      </c>
      <c r="AE32" s="239">
        <v>0</v>
      </c>
      <c r="AF32" s="239">
        <v>0</v>
      </c>
      <c r="AG32" s="239">
        <v>0</v>
      </c>
      <c r="AH32" s="239">
        <v>0</v>
      </c>
      <c r="AI32" s="239">
        <v>0</v>
      </c>
      <c r="AJ32" s="239">
        <v>0</v>
      </c>
      <c r="AK32" s="239">
        <v>0</v>
      </c>
      <c r="AL32" s="239">
        <v>0</v>
      </c>
      <c r="AM32" s="239">
        <v>0</v>
      </c>
      <c r="AN32" s="239">
        <v>0</v>
      </c>
      <c r="AO32" s="239">
        <v>0</v>
      </c>
      <c r="AP32" s="239">
        <v>0</v>
      </c>
      <c r="AQ32" s="239">
        <v>0</v>
      </c>
      <c r="AR32" s="239">
        <v>0</v>
      </c>
      <c r="AS32" s="239">
        <v>0</v>
      </c>
      <c r="AT32" s="239">
        <v>0</v>
      </c>
      <c r="AU32" s="239">
        <v>0</v>
      </c>
      <c r="AV32" s="239">
        <v>0</v>
      </c>
      <c r="AW32" s="239">
        <v>0</v>
      </c>
      <c r="AX32" s="239">
        <v>0</v>
      </c>
      <c r="AY32" s="239">
        <v>0</v>
      </c>
      <c r="AZ32" s="239">
        <v>0</v>
      </c>
      <c r="BA32" s="239">
        <v>0</v>
      </c>
      <c r="BB32" s="239">
        <v>0</v>
      </c>
      <c r="BC32" s="239">
        <v>7507771</v>
      </c>
      <c r="BD32" s="239">
        <v>0</v>
      </c>
      <c r="BE32" s="239">
        <v>153220</v>
      </c>
      <c r="BF32" s="239">
        <v>7374662.5760747846</v>
      </c>
      <c r="BG32" s="239">
        <v>0</v>
      </c>
      <c r="BH32" s="239">
        <v>150503.31787907728</v>
      </c>
      <c r="BI32" s="239">
        <v>332394.3321411158</v>
      </c>
      <c r="BJ32" s="239">
        <v>0</v>
      </c>
      <c r="BK32" s="239">
        <v>6783.5577987982824</v>
      </c>
      <c r="BL32" s="239">
        <v>7267802</v>
      </c>
      <c r="BM32" s="239">
        <v>0</v>
      </c>
      <c r="BN32" s="239">
        <v>108963</v>
      </c>
      <c r="BO32" s="239">
        <v>239969</v>
      </c>
      <c r="BP32" s="239">
        <v>0</v>
      </c>
      <c r="BQ32" s="239">
        <v>44257</v>
      </c>
      <c r="BR32" s="239">
        <v>57453</v>
      </c>
      <c r="BS32" s="239">
        <v>0</v>
      </c>
      <c r="BT32" s="239">
        <v>1173</v>
      </c>
      <c r="BU32" s="239">
        <v>14920</v>
      </c>
      <c r="BV32" s="239">
        <v>0</v>
      </c>
      <c r="BW32" s="239">
        <v>305</v>
      </c>
      <c r="BX32" s="239">
        <v>42533</v>
      </c>
      <c r="BY32" s="239">
        <v>0</v>
      </c>
      <c r="BZ32" s="239">
        <v>868</v>
      </c>
      <c r="CA32" s="239">
        <v>249</v>
      </c>
      <c r="CB32" s="239">
        <v>0</v>
      </c>
      <c r="CC32" s="239">
        <v>5</v>
      </c>
      <c r="CD32" s="239">
        <v>2984</v>
      </c>
      <c r="CE32" s="239">
        <v>0</v>
      </c>
      <c r="CF32" s="239">
        <v>61</v>
      </c>
      <c r="CG32" s="239">
        <v>-2735</v>
      </c>
      <c r="CH32" s="239">
        <v>0</v>
      </c>
      <c r="CI32" s="239">
        <v>-56</v>
      </c>
      <c r="CJ32" s="239">
        <v>14592</v>
      </c>
      <c r="CK32" s="239">
        <v>0</v>
      </c>
      <c r="CL32" s="239">
        <v>298</v>
      </c>
      <c r="CM32" s="239">
        <v>2487</v>
      </c>
      <c r="CN32" s="239">
        <v>0</v>
      </c>
      <c r="CO32" s="239">
        <v>51</v>
      </c>
      <c r="CP32" s="239">
        <v>12105</v>
      </c>
      <c r="CQ32" s="239">
        <v>0</v>
      </c>
      <c r="CR32" s="239">
        <v>247</v>
      </c>
      <c r="CS32" s="239">
        <v>-4870</v>
      </c>
      <c r="CT32" s="239">
        <v>0</v>
      </c>
      <c r="CU32" s="239">
        <v>-99</v>
      </c>
      <c r="CV32" s="239">
        <v>-728</v>
      </c>
      <c r="CW32" s="239">
        <v>0</v>
      </c>
      <c r="CX32" s="239">
        <v>-15</v>
      </c>
      <c r="CY32" s="239">
        <v>0</v>
      </c>
      <c r="CZ32" s="239">
        <v>0</v>
      </c>
      <c r="DA32" s="239">
        <v>0</v>
      </c>
      <c r="DB32" s="239">
        <v>-728</v>
      </c>
      <c r="DC32" s="239">
        <v>0</v>
      </c>
      <c r="DD32" s="239">
        <v>-15</v>
      </c>
      <c r="DE32" s="239">
        <v>-239</v>
      </c>
      <c r="DF32" s="239">
        <v>0</v>
      </c>
      <c r="DG32" s="239">
        <v>-5</v>
      </c>
      <c r="DH32" s="239">
        <v>3022</v>
      </c>
      <c r="DI32" s="239">
        <v>0</v>
      </c>
      <c r="DJ32" s="239">
        <v>62</v>
      </c>
      <c r="DK32" s="239">
        <v>0</v>
      </c>
      <c r="DL32" s="239">
        <v>0</v>
      </c>
      <c r="DM32" s="239">
        <v>0</v>
      </c>
      <c r="DN32" s="239">
        <v>3022</v>
      </c>
      <c r="DO32" s="239">
        <v>0</v>
      </c>
      <c r="DP32" s="239">
        <v>62</v>
      </c>
      <c r="DQ32" s="239">
        <v>0</v>
      </c>
      <c r="DR32" s="239">
        <v>0</v>
      </c>
      <c r="DS32" s="239">
        <v>0</v>
      </c>
      <c r="DT32" s="239">
        <v>0</v>
      </c>
      <c r="DU32" s="239">
        <v>0</v>
      </c>
      <c r="DV32" s="239">
        <v>0</v>
      </c>
      <c r="DW32" s="239">
        <v>0</v>
      </c>
      <c r="DX32" s="239">
        <v>0</v>
      </c>
      <c r="DY32" s="239">
        <v>0</v>
      </c>
      <c r="DZ32" s="239">
        <v>35427</v>
      </c>
      <c r="EA32" s="239">
        <v>0</v>
      </c>
      <c r="EB32" s="239">
        <v>723</v>
      </c>
      <c r="EC32" s="239">
        <v>33137</v>
      </c>
      <c r="ED32" s="239">
        <v>0</v>
      </c>
      <c r="EE32" s="239">
        <v>0</v>
      </c>
      <c r="EF32" s="239">
        <v>2290</v>
      </c>
      <c r="EG32" s="239">
        <v>0</v>
      </c>
      <c r="EH32" s="239">
        <v>723</v>
      </c>
      <c r="EI32" s="239">
        <v>483635</v>
      </c>
      <c r="EJ32" s="239">
        <v>0</v>
      </c>
      <c r="EK32" s="239">
        <v>9870</v>
      </c>
      <c r="EL32" s="239">
        <v>498868</v>
      </c>
      <c r="EM32" s="239">
        <v>0</v>
      </c>
      <c r="EN32" s="239">
        <v>0</v>
      </c>
      <c r="EO32" s="239">
        <v>-15233</v>
      </c>
      <c r="EP32" s="239">
        <v>0</v>
      </c>
      <c r="EQ32" s="239">
        <v>9870</v>
      </c>
      <c r="ER32" s="239">
        <v>86615</v>
      </c>
      <c r="ES32" s="239">
        <v>0</v>
      </c>
      <c r="ET32" s="239">
        <v>1768</v>
      </c>
      <c r="EU32" s="239">
        <v>88119</v>
      </c>
      <c r="EV32" s="239">
        <v>0</v>
      </c>
      <c r="EW32" s="239">
        <v>0</v>
      </c>
      <c r="EX32" s="239">
        <v>-1504</v>
      </c>
      <c r="EY32" s="239">
        <v>0</v>
      </c>
      <c r="EZ32" s="239">
        <v>1768</v>
      </c>
      <c r="FA32" s="239">
        <v>925799</v>
      </c>
      <c r="FB32" s="239">
        <v>0</v>
      </c>
      <c r="FC32" s="239">
        <v>18894</v>
      </c>
      <c r="FD32" s="239">
        <v>953522</v>
      </c>
      <c r="FE32" s="239">
        <v>0</v>
      </c>
      <c r="FF32" s="239">
        <v>19460</v>
      </c>
      <c r="FG32" s="239">
        <v>-27723</v>
      </c>
      <c r="FH32" s="239">
        <v>0</v>
      </c>
      <c r="FI32" s="239">
        <v>-566</v>
      </c>
      <c r="FJ32" s="239">
        <v>0</v>
      </c>
      <c r="FK32" s="239">
        <v>0</v>
      </c>
      <c r="FL32" s="239">
        <v>0</v>
      </c>
      <c r="FM32" s="239">
        <v>0</v>
      </c>
      <c r="FN32" s="239">
        <v>0</v>
      </c>
      <c r="FO32" s="239">
        <v>0</v>
      </c>
      <c r="FP32" s="239">
        <v>0</v>
      </c>
      <c r="FQ32" s="239">
        <v>0</v>
      </c>
      <c r="FR32" s="239">
        <v>0</v>
      </c>
      <c r="FS32" s="239">
        <v>0</v>
      </c>
      <c r="FT32" s="239">
        <v>0</v>
      </c>
      <c r="FU32" s="239">
        <v>0</v>
      </c>
      <c r="FV32" s="239">
        <v>9108726</v>
      </c>
      <c r="FW32" s="239">
        <v>0</v>
      </c>
      <c r="FX32" s="239">
        <v>185894</v>
      </c>
      <c r="FY32" s="834">
        <v>0.5</v>
      </c>
      <c r="FZ32" s="834">
        <v>0.49</v>
      </c>
      <c r="GA32" s="834">
        <v>0</v>
      </c>
      <c r="GB32" s="834">
        <v>0.01</v>
      </c>
      <c r="GC32" s="214" t="s">
        <v>1160</v>
      </c>
    </row>
    <row r="33" spans="1:185" s="214" customFormat="1" x14ac:dyDescent="0.2">
      <c r="B33" s="602" t="s">
        <v>149</v>
      </c>
      <c r="C33" s="602" t="s">
        <v>148</v>
      </c>
      <c r="D33" s="239">
        <v>-101794</v>
      </c>
      <c r="E33" s="239">
        <v>0</v>
      </c>
      <c r="F33" s="239">
        <v>-101794</v>
      </c>
      <c r="G33" s="239">
        <v>48819</v>
      </c>
      <c r="H33" s="239">
        <v>0</v>
      </c>
      <c r="I33" s="239">
        <v>48819</v>
      </c>
      <c r="J33" s="239">
        <v>-150613</v>
      </c>
      <c r="K33" s="239">
        <v>0</v>
      </c>
      <c r="L33" s="239">
        <v>-150613</v>
      </c>
      <c r="M33" s="239">
        <v>192687</v>
      </c>
      <c r="N33" s="239">
        <v>192687</v>
      </c>
      <c r="O33" s="239">
        <v>0</v>
      </c>
      <c r="P33" s="239">
        <v>0</v>
      </c>
      <c r="Q33" s="239">
        <v>0</v>
      </c>
      <c r="R33" s="239">
        <v>0</v>
      </c>
      <c r="S33" s="239">
        <v>122339</v>
      </c>
      <c r="T33" s="239">
        <v>96838</v>
      </c>
      <c r="U33" s="239">
        <v>84807</v>
      </c>
      <c r="V33" s="239">
        <v>106338</v>
      </c>
      <c r="W33" s="239">
        <v>37532</v>
      </c>
      <c r="X33" s="239">
        <v>-9500</v>
      </c>
      <c r="Y33" s="239">
        <v>0</v>
      </c>
      <c r="Z33" s="239">
        <v>0</v>
      </c>
      <c r="AA33" s="239">
        <v>0</v>
      </c>
      <c r="AB33" s="239">
        <v>0</v>
      </c>
      <c r="AC33" s="239">
        <v>0</v>
      </c>
      <c r="AD33" s="239">
        <v>0</v>
      </c>
      <c r="AE33" s="239">
        <v>0</v>
      </c>
      <c r="AF33" s="239">
        <v>0</v>
      </c>
      <c r="AG33" s="239">
        <v>0</v>
      </c>
      <c r="AH33" s="239">
        <v>0</v>
      </c>
      <c r="AI33" s="239">
        <v>0</v>
      </c>
      <c r="AJ33" s="239">
        <v>0</v>
      </c>
      <c r="AK33" s="239">
        <v>0</v>
      </c>
      <c r="AL33" s="239">
        <v>0</v>
      </c>
      <c r="AM33" s="239">
        <v>0</v>
      </c>
      <c r="AN33" s="239">
        <v>0</v>
      </c>
      <c r="AO33" s="239">
        <v>0</v>
      </c>
      <c r="AP33" s="239">
        <v>0</v>
      </c>
      <c r="AQ33" s="239">
        <v>0</v>
      </c>
      <c r="AR33" s="239">
        <v>0</v>
      </c>
      <c r="AS33" s="239">
        <v>0</v>
      </c>
      <c r="AT33" s="239">
        <v>0</v>
      </c>
      <c r="AU33" s="239">
        <v>0</v>
      </c>
      <c r="AV33" s="239">
        <v>0</v>
      </c>
      <c r="AW33" s="239">
        <v>0</v>
      </c>
      <c r="AX33" s="239">
        <v>0</v>
      </c>
      <c r="AY33" s="239">
        <v>0</v>
      </c>
      <c r="AZ33" s="239">
        <v>0</v>
      </c>
      <c r="BA33" s="239">
        <v>0</v>
      </c>
      <c r="BB33" s="239">
        <v>0</v>
      </c>
      <c r="BC33" s="239">
        <v>1397763</v>
      </c>
      <c r="BD33" s="239">
        <v>314497</v>
      </c>
      <c r="BE33" s="239">
        <v>34944</v>
      </c>
      <c r="BF33" s="239">
        <v>1358816.3959553649</v>
      </c>
      <c r="BG33" s="239">
        <v>305733.68908995716</v>
      </c>
      <c r="BH33" s="239">
        <v>33970.409898884122</v>
      </c>
      <c r="BI33" s="239">
        <v>119756.39334763949</v>
      </c>
      <c r="BJ33" s="239">
        <v>26945.188503218884</v>
      </c>
      <c r="BK33" s="239">
        <v>2993.9098336909869</v>
      </c>
      <c r="BL33" s="239">
        <v>1296253</v>
      </c>
      <c r="BM33" s="239">
        <v>193150</v>
      </c>
      <c r="BN33" s="239">
        <v>21461</v>
      </c>
      <c r="BO33" s="239">
        <v>101510</v>
      </c>
      <c r="BP33" s="239">
        <v>121347</v>
      </c>
      <c r="BQ33" s="239">
        <v>13483</v>
      </c>
      <c r="BR33" s="239">
        <v>0</v>
      </c>
      <c r="BS33" s="239">
        <v>0</v>
      </c>
      <c r="BT33" s="239">
        <v>0</v>
      </c>
      <c r="BU33" s="239">
        <v>0</v>
      </c>
      <c r="BV33" s="239">
        <v>0</v>
      </c>
      <c r="BW33" s="239">
        <v>0</v>
      </c>
      <c r="BX33" s="239">
        <v>0</v>
      </c>
      <c r="BY33" s="239">
        <v>0</v>
      </c>
      <c r="BZ33" s="239">
        <v>0</v>
      </c>
      <c r="CA33" s="239">
        <v>-3208</v>
      </c>
      <c r="CB33" s="239">
        <v>-722</v>
      </c>
      <c r="CC33" s="239">
        <v>-80</v>
      </c>
      <c r="CD33" s="239">
        <v>0</v>
      </c>
      <c r="CE33" s="239">
        <v>0</v>
      </c>
      <c r="CF33" s="239">
        <v>0</v>
      </c>
      <c r="CG33" s="239">
        <v>-3208</v>
      </c>
      <c r="CH33" s="239">
        <v>-722</v>
      </c>
      <c r="CI33" s="239">
        <v>-80</v>
      </c>
      <c r="CJ33" s="239">
        <v>-182</v>
      </c>
      <c r="CK33" s="239">
        <v>-41</v>
      </c>
      <c r="CL33" s="239">
        <v>-5</v>
      </c>
      <c r="CM33" s="239">
        <v>1624</v>
      </c>
      <c r="CN33" s="239">
        <v>365</v>
      </c>
      <c r="CO33" s="239">
        <v>41</v>
      </c>
      <c r="CP33" s="239">
        <v>-1806</v>
      </c>
      <c r="CQ33" s="239">
        <v>-406</v>
      </c>
      <c r="CR33" s="239">
        <v>-46</v>
      </c>
      <c r="CS33" s="239">
        <v>-2030</v>
      </c>
      <c r="CT33" s="239">
        <v>-457</v>
      </c>
      <c r="CU33" s="239">
        <v>-51</v>
      </c>
      <c r="CV33" s="239">
        <v>0</v>
      </c>
      <c r="CW33" s="239">
        <v>0</v>
      </c>
      <c r="CX33" s="239">
        <v>0</v>
      </c>
      <c r="CY33" s="239">
        <v>0</v>
      </c>
      <c r="CZ33" s="239">
        <v>0</v>
      </c>
      <c r="DA33" s="239">
        <v>0</v>
      </c>
      <c r="DB33" s="239">
        <v>0</v>
      </c>
      <c r="DC33" s="239">
        <v>0</v>
      </c>
      <c r="DD33" s="239">
        <v>0</v>
      </c>
      <c r="DE33" s="239">
        <v>0</v>
      </c>
      <c r="DF33" s="239">
        <v>0</v>
      </c>
      <c r="DG33" s="239">
        <v>0</v>
      </c>
      <c r="DH33" s="239">
        <v>4216</v>
      </c>
      <c r="DI33" s="239">
        <v>949</v>
      </c>
      <c r="DJ33" s="239">
        <v>105</v>
      </c>
      <c r="DK33" s="239">
        <v>4822</v>
      </c>
      <c r="DL33" s="239">
        <v>1085</v>
      </c>
      <c r="DM33" s="239">
        <v>121</v>
      </c>
      <c r="DN33" s="239">
        <v>-606</v>
      </c>
      <c r="DO33" s="239">
        <v>-136</v>
      </c>
      <c r="DP33" s="239">
        <v>-16</v>
      </c>
      <c r="DQ33" s="239">
        <v>609</v>
      </c>
      <c r="DR33" s="239">
        <v>137</v>
      </c>
      <c r="DS33" s="239">
        <v>15</v>
      </c>
      <c r="DT33" s="239">
        <v>0</v>
      </c>
      <c r="DU33" s="239">
        <v>0</v>
      </c>
      <c r="DV33" s="239">
        <v>0</v>
      </c>
      <c r="DW33" s="239">
        <v>609</v>
      </c>
      <c r="DX33" s="239">
        <v>137</v>
      </c>
      <c r="DY33" s="239">
        <v>15</v>
      </c>
      <c r="DZ33" s="239">
        <v>10194</v>
      </c>
      <c r="EA33" s="239">
        <v>2294</v>
      </c>
      <c r="EB33" s="239">
        <v>255</v>
      </c>
      <c r="EC33" s="239">
        <v>16596</v>
      </c>
      <c r="ED33" s="239">
        <v>0</v>
      </c>
      <c r="EE33" s="239">
        <v>0</v>
      </c>
      <c r="EF33" s="239">
        <v>-6402</v>
      </c>
      <c r="EG33" s="239">
        <v>2294</v>
      </c>
      <c r="EH33" s="239">
        <v>255</v>
      </c>
      <c r="EI33" s="239">
        <v>115428</v>
      </c>
      <c r="EJ33" s="239">
        <v>25971</v>
      </c>
      <c r="EK33" s="239">
        <v>2886</v>
      </c>
      <c r="EL33" s="239">
        <v>143511</v>
      </c>
      <c r="EM33" s="239">
        <v>0</v>
      </c>
      <c r="EN33" s="239">
        <v>0</v>
      </c>
      <c r="EO33" s="239">
        <v>-28083</v>
      </c>
      <c r="EP33" s="239">
        <v>25971</v>
      </c>
      <c r="EQ33" s="239">
        <v>2886</v>
      </c>
      <c r="ER33" s="239">
        <v>24538</v>
      </c>
      <c r="ES33" s="239">
        <v>5521</v>
      </c>
      <c r="ET33" s="239">
        <v>613</v>
      </c>
      <c r="EU33" s="239">
        <v>30797</v>
      </c>
      <c r="EV33" s="239">
        <v>0</v>
      </c>
      <c r="EW33" s="239">
        <v>0</v>
      </c>
      <c r="EX33" s="239">
        <v>-6259</v>
      </c>
      <c r="EY33" s="239">
        <v>5521</v>
      </c>
      <c r="EZ33" s="239">
        <v>613</v>
      </c>
      <c r="FA33" s="239">
        <v>248721</v>
      </c>
      <c r="FB33" s="239">
        <v>57003</v>
      </c>
      <c r="FC33" s="239">
        <v>6172</v>
      </c>
      <c r="FD33" s="239">
        <v>244640</v>
      </c>
      <c r="FE33" s="239">
        <v>56355</v>
      </c>
      <c r="FF33" s="239">
        <v>6084</v>
      </c>
      <c r="FG33" s="239">
        <v>4081</v>
      </c>
      <c r="FH33" s="239">
        <v>648</v>
      </c>
      <c r="FI33" s="239">
        <v>88</v>
      </c>
      <c r="FJ33" s="239">
        <v>0</v>
      </c>
      <c r="FK33" s="239">
        <v>0</v>
      </c>
      <c r="FL33" s="239">
        <v>0</v>
      </c>
      <c r="FM33" s="239">
        <v>0</v>
      </c>
      <c r="FN33" s="239">
        <v>0</v>
      </c>
      <c r="FO33" s="239">
        <v>0</v>
      </c>
      <c r="FP33" s="239">
        <v>0</v>
      </c>
      <c r="FQ33" s="239">
        <v>0</v>
      </c>
      <c r="FR33" s="239">
        <v>0</v>
      </c>
      <c r="FS33" s="239">
        <v>0</v>
      </c>
      <c r="FT33" s="239">
        <v>0</v>
      </c>
      <c r="FU33" s="239">
        <v>0</v>
      </c>
      <c r="FV33" s="239">
        <v>1796049</v>
      </c>
      <c r="FW33" s="239">
        <v>405152</v>
      </c>
      <c r="FX33" s="239">
        <v>44854</v>
      </c>
      <c r="FY33" s="834">
        <v>0.5</v>
      </c>
      <c r="FZ33" s="834">
        <v>0.4</v>
      </c>
      <c r="GA33" s="834">
        <v>0.09</v>
      </c>
      <c r="GB33" s="834">
        <v>0.01</v>
      </c>
      <c r="GC33" s="214" t="s">
        <v>1158</v>
      </c>
    </row>
    <row r="34" spans="1:185" s="214" customFormat="1" x14ac:dyDescent="0.2">
      <c r="B34" s="602" t="s">
        <v>151</v>
      </c>
      <c r="C34" s="602" t="s">
        <v>150</v>
      </c>
      <c r="D34" s="239">
        <v>856503</v>
      </c>
      <c r="E34" s="239">
        <v>0</v>
      </c>
      <c r="F34" s="239">
        <v>856503</v>
      </c>
      <c r="G34" s="239">
        <v>977513</v>
      </c>
      <c r="H34" s="239">
        <v>0</v>
      </c>
      <c r="I34" s="239">
        <v>977513</v>
      </c>
      <c r="J34" s="239">
        <v>-121010</v>
      </c>
      <c r="K34" s="239">
        <v>0</v>
      </c>
      <c r="L34" s="239">
        <v>-121010</v>
      </c>
      <c r="M34" s="239">
        <v>163444</v>
      </c>
      <c r="N34" s="239">
        <v>163444</v>
      </c>
      <c r="O34" s="239">
        <v>0</v>
      </c>
      <c r="P34" s="239">
        <v>0</v>
      </c>
      <c r="Q34" s="239">
        <v>0</v>
      </c>
      <c r="R34" s="239">
        <v>0</v>
      </c>
      <c r="S34" s="239">
        <v>1217557</v>
      </c>
      <c r="T34" s="239">
        <v>0</v>
      </c>
      <c r="U34" s="239">
        <v>413975</v>
      </c>
      <c r="V34" s="239">
        <v>0</v>
      </c>
      <c r="W34" s="239">
        <v>803582</v>
      </c>
      <c r="X34" s="239">
        <v>0</v>
      </c>
      <c r="Y34" s="239">
        <v>0</v>
      </c>
      <c r="Z34" s="239">
        <v>0</v>
      </c>
      <c r="AA34" s="239">
        <v>0</v>
      </c>
      <c r="AB34" s="239">
        <v>0</v>
      </c>
      <c r="AC34" s="239">
        <v>0</v>
      </c>
      <c r="AD34" s="239">
        <v>0</v>
      </c>
      <c r="AE34" s="239">
        <v>0</v>
      </c>
      <c r="AF34" s="239">
        <v>0</v>
      </c>
      <c r="AG34" s="239">
        <v>0</v>
      </c>
      <c r="AH34" s="239">
        <v>0</v>
      </c>
      <c r="AI34" s="239">
        <v>0</v>
      </c>
      <c r="AJ34" s="239">
        <v>0</v>
      </c>
      <c r="AK34" s="239">
        <v>0</v>
      </c>
      <c r="AL34" s="239">
        <v>0</v>
      </c>
      <c r="AM34" s="239">
        <v>0</v>
      </c>
      <c r="AN34" s="239">
        <v>0</v>
      </c>
      <c r="AO34" s="239">
        <v>0</v>
      </c>
      <c r="AP34" s="239">
        <v>0</v>
      </c>
      <c r="AQ34" s="239">
        <v>0</v>
      </c>
      <c r="AR34" s="239">
        <v>0</v>
      </c>
      <c r="AS34" s="239">
        <v>0</v>
      </c>
      <c r="AT34" s="239">
        <v>0</v>
      </c>
      <c r="AU34" s="239">
        <v>0</v>
      </c>
      <c r="AV34" s="239">
        <v>0</v>
      </c>
      <c r="AW34" s="239">
        <v>0</v>
      </c>
      <c r="AX34" s="239">
        <v>0</v>
      </c>
      <c r="AY34" s="239">
        <v>0</v>
      </c>
      <c r="AZ34" s="239">
        <v>0</v>
      </c>
      <c r="BA34" s="239">
        <v>0</v>
      </c>
      <c r="BB34" s="239">
        <v>0</v>
      </c>
      <c r="BC34" s="239">
        <v>1245214</v>
      </c>
      <c r="BD34" s="239">
        <v>311303</v>
      </c>
      <c r="BE34" s="239">
        <v>0</v>
      </c>
      <c r="BF34" s="239">
        <v>1218663.2836154508</v>
      </c>
      <c r="BG34" s="239">
        <v>304665.82090386271</v>
      </c>
      <c r="BH34" s="239">
        <v>0</v>
      </c>
      <c r="BI34" s="239">
        <v>82989.199978540768</v>
      </c>
      <c r="BJ34" s="239">
        <v>20747.299994635192</v>
      </c>
      <c r="BK34" s="239">
        <v>0</v>
      </c>
      <c r="BL34" s="239">
        <v>1212219</v>
      </c>
      <c r="BM34" s="239">
        <v>204767</v>
      </c>
      <c r="BN34" s="239">
        <v>0</v>
      </c>
      <c r="BO34" s="239">
        <v>32995</v>
      </c>
      <c r="BP34" s="239">
        <v>106536</v>
      </c>
      <c r="BQ34" s="239">
        <v>0</v>
      </c>
      <c r="BR34" s="239">
        <v>0</v>
      </c>
      <c r="BS34" s="239">
        <v>0</v>
      </c>
      <c r="BT34" s="239">
        <v>0</v>
      </c>
      <c r="BU34" s="239">
        <v>0</v>
      </c>
      <c r="BV34" s="239">
        <v>0</v>
      </c>
      <c r="BW34" s="239">
        <v>0</v>
      </c>
      <c r="BX34" s="239">
        <v>0</v>
      </c>
      <c r="BY34" s="239">
        <v>0</v>
      </c>
      <c r="BZ34" s="239">
        <v>0</v>
      </c>
      <c r="CA34" s="239">
        <v>19867</v>
      </c>
      <c r="CB34" s="239">
        <v>4967</v>
      </c>
      <c r="CC34" s="239">
        <v>0</v>
      </c>
      <c r="CD34" s="239">
        <v>0</v>
      </c>
      <c r="CE34" s="239">
        <v>0</v>
      </c>
      <c r="CF34" s="239">
        <v>0</v>
      </c>
      <c r="CG34" s="239">
        <v>19867</v>
      </c>
      <c r="CH34" s="239">
        <v>4967</v>
      </c>
      <c r="CI34" s="239">
        <v>0</v>
      </c>
      <c r="CJ34" s="239">
        <v>253</v>
      </c>
      <c r="CK34" s="239">
        <v>63</v>
      </c>
      <c r="CL34" s="239">
        <v>0</v>
      </c>
      <c r="CM34" s="239">
        <v>1403</v>
      </c>
      <c r="CN34" s="239">
        <v>351</v>
      </c>
      <c r="CO34" s="239">
        <v>0</v>
      </c>
      <c r="CP34" s="239">
        <v>-1150</v>
      </c>
      <c r="CQ34" s="239">
        <v>-288</v>
      </c>
      <c r="CR34" s="239">
        <v>0</v>
      </c>
      <c r="CS34" s="239">
        <v>-1203</v>
      </c>
      <c r="CT34" s="239">
        <v>-301</v>
      </c>
      <c r="CU34" s="239">
        <v>0</v>
      </c>
      <c r="CV34" s="239">
        <v>0</v>
      </c>
      <c r="CW34" s="239">
        <v>0</v>
      </c>
      <c r="CX34" s="239">
        <v>0</v>
      </c>
      <c r="CY34" s="239">
        <v>0</v>
      </c>
      <c r="CZ34" s="239">
        <v>0</v>
      </c>
      <c r="DA34" s="239">
        <v>0</v>
      </c>
      <c r="DB34" s="239">
        <v>0</v>
      </c>
      <c r="DC34" s="239">
        <v>0</v>
      </c>
      <c r="DD34" s="239">
        <v>0</v>
      </c>
      <c r="DE34" s="239">
        <v>166</v>
      </c>
      <c r="DF34" s="239">
        <v>42</v>
      </c>
      <c r="DG34" s="239">
        <v>0</v>
      </c>
      <c r="DH34" s="239">
        <v>25261</v>
      </c>
      <c r="DI34" s="239">
        <v>6315</v>
      </c>
      <c r="DJ34" s="239">
        <v>0</v>
      </c>
      <c r="DK34" s="239">
        <v>26462</v>
      </c>
      <c r="DL34" s="239">
        <v>6615</v>
      </c>
      <c r="DM34" s="239">
        <v>0</v>
      </c>
      <c r="DN34" s="239">
        <v>-1201</v>
      </c>
      <c r="DO34" s="239">
        <v>-300</v>
      </c>
      <c r="DP34" s="239">
        <v>0</v>
      </c>
      <c r="DQ34" s="239">
        <v>1091</v>
      </c>
      <c r="DR34" s="239">
        <v>273</v>
      </c>
      <c r="DS34" s="239">
        <v>0</v>
      </c>
      <c r="DT34" s="239">
        <v>0</v>
      </c>
      <c r="DU34" s="239">
        <v>0</v>
      </c>
      <c r="DV34" s="239">
        <v>0</v>
      </c>
      <c r="DW34" s="239">
        <v>1091</v>
      </c>
      <c r="DX34" s="239">
        <v>273</v>
      </c>
      <c r="DY34" s="239">
        <v>0</v>
      </c>
      <c r="DZ34" s="239">
        <v>15747</v>
      </c>
      <c r="EA34" s="239">
        <v>3937</v>
      </c>
      <c r="EB34" s="239">
        <v>0</v>
      </c>
      <c r="EC34" s="239">
        <v>20176</v>
      </c>
      <c r="ED34" s="239">
        <v>0</v>
      </c>
      <c r="EE34" s="239">
        <v>0</v>
      </c>
      <c r="EF34" s="239">
        <v>-4429</v>
      </c>
      <c r="EG34" s="239">
        <v>3937</v>
      </c>
      <c r="EH34" s="239">
        <v>0</v>
      </c>
      <c r="EI34" s="239">
        <v>80244</v>
      </c>
      <c r="EJ34" s="239">
        <v>20061</v>
      </c>
      <c r="EK34" s="239">
        <v>0</v>
      </c>
      <c r="EL34" s="239">
        <v>160945</v>
      </c>
      <c r="EM34" s="239">
        <v>0</v>
      </c>
      <c r="EN34" s="239">
        <v>0</v>
      </c>
      <c r="EO34" s="239">
        <v>-80701</v>
      </c>
      <c r="EP34" s="239">
        <v>20061</v>
      </c>
      <c r="EQ34" s="239">
        <v>0</v>
      </c>
      <c r="ER34" s="239">
        <v>11396</v>
      </c>
      <c r="ES34" s="239">
        <v>2849</v>
      </c>
      <c r="ET34" s="239">
        <v>0</v>
      </c>
      <c r="EU34" s="239">
        <v>18421</v>
      </c>
      <c r="EV34" s="239">
        <v>0</v>
      </c>
      <c r="EW34" s="239">
        <v>0</v>
      </c>
      <c r="EX34" s="239">
        <v>-7025</v>
      </c>
      <c r="EY34" s="239">
        <v>2849</v>
      </c>
      <c r="EZ34" s="239">
        <v>0</v>
      </c>
      <c r="FA34" s="239">
        <v>206709</v>
      </c>
      <c r="FB34" s="239">
        <v>47105</v>
      </c>
      <c r="FC34" s="239">
        <v>0</v>
      </c>
      <c r="FD34" s="239">
        <v>189022</v>
      </c>
      <c r="FE34" s="239">
        <v>45701</v>
      </c>
      <c r="FF34" s="239">
        <v>0</v>
      </c>
      <c r="FG34" s="239">
        <v>17687</v>
      </c>
      <c r="FH34" s="239">
        <v>1404</v>
      </c>
      <c r="FI34" s="239">
        <v>0</v>
      </c>
      <c r="FJ34" s="239">
        <v>0</v>
      </c>
      <c r="FK34" s="239">
        <v>0</v>
      </c>
      <c r="FL34" s="239">
        <v>0</v>
      </c>
      <c r="FM34" s="239">
        <v>0</v>
      </c>
      <c r="FN34" s="239">
        <v>0</v>
      </c>
      <c r="FO34" s="239">
        <v>0</v>
      </c>
      <c r="FP34" s="239">
        <v>0</v>
      </c>
      <c r="FQ34" s="239">
        <v>0</v>
      </c>
      <c r="FR34" s="239">
        <v>0</v>
      </c>
      <c r="FS34" s="239">
        <v>0</v>
      </c>
      <c r="FT34" s="239">
        <v>0</v>
      </c>
      <c r="FU34" s="239">
        <v>0</v>
      </c>
      <c r="FV34" s="239">
        <v>1604745</v>
      </c>
      <c r="FW34" s="239">
        <v>396614</v>
      </c>
      <c r="FX34" s="239">
        <v>0</v>
      </c>
      <c r="FY34" s="834">
        <v>0.5</v>
      </c>
      <c r="FZ34" s="834">
        <v>0.4</v>
      </c>
      <c r="GA34" s="834">
        <v>0.1</v>
      </c>
      <c r="GB34" s="834">
        <v>0</v>
      </c>
      <c r="GC34" s="214" t="s">
        <v>1158</v>
      </c>
    </row>
    <row r="35" spans="1:185" s="214" customFormat="1" x14ac:dyDescent="0.2">
      <c r="B35" s="602" t="s">
        <v>153</v>
      </c>
      <c r="C35" s="602" t="s">
        <v>152</v>
      </c>
      <c r="D35" s="239">
        <v>3543330</v>
      </c>
      <c r="E35" s="239">
        <v>0</v>
      </c>
      <c r="F35" s="239">
        <v>3543330</v>
      </c>
      <c r="G35" s="239">
        <v>3692182</v>
      </c>
      <c r="H35" s="239">
        <v>0</v>
      </c>
      <c r="I35" s="239">
        <v>3692182</v>
      </c>
      <c r="J35" s="239">
        <v>-148852</v>
      </c>
      <c r="K35" s="239">
        <v>0</v>
      </c>
      <c r="L35" s="239">
        <v>-148852</v>
      </c>
      <c r="M35" s="239">
        <v>416255</v>
      </c>
      <c r="N35" s="239">
        <v>416255</v>
      </c>
      <c r="O35" s="239">
        <v>0</v>
      </c>
      <c r="P35" s="239">
        <v>0</v>
      </c>
      <c r="Q35" s="239">
        <v>0</v>
      </c>
      <c r="R35" s="239">
        <v>0</v>
      </c>
      <c r="S35" s="239">
        <v>0</v>
      </c>
      <c r="T35" s="239">
        <v>0</v>
      </c>
      <c r="U35" s="239">
        <v>0</v>
      </c>
      <c r="V35" s="239">
        <v>0</v>
      </c>
      <c r="W35" s="239">
        <v>0</v>
      </c>
      <c r="X35" s="239">
        <v>0</v>
      </c>
      <c r="Y35" s="239">
        <v>0</v>
      </c>
      <c r="Z35" s="239">
        <v>0</v>
      </c>
      <c r="AA35" s="239">
        <v>0</v>
      </c>
      <c r="AB35" s="239">
        <v>0</v>
      </c>
      <c r="AC35" s="239">
        <v>0</v>
      </c>
      <c r="AD35" s="239">
        <v>0</v>
      </c>
      <c r="AE35" s="239">
        <v>0</v>
      </c>
      <c r="AF35" s="239">
        <v>0</v>
      </c>
      <c r="AG35" s="239">
        <v>0</v>
      </c>
      <c r="AH35" s="239">
        <v>0</v>
      </c>
      <c r="AI35" s="239">
        <v>0</v>
      </c>
      <c r="AJ35" s="239">
        <v>0</v>
      </c>
      <c r="AK35" s="239">
        <v>0</v>
      </c>
      <c r="AL35" s="239">
        <v>0</v>
      </c>
      <c r="AM35" s="239">
        <v>0</v>
      </c>
      <c r="AN35" s="239">
        <v>0</v>
      </c>
      <c r="AO35" s="239">
        <v>0</v>
      </c>
      <c r="AP35" s="239">
        <v>0</v>
      </c>
      <c r="AQ35" s="239">
        <v>0</v>
      </c>
      <c r="AR35" s="239">
        <v>0</v>
      </c>
      <c r="AS35" s="239">
        <v>0</v>
      </c>
      <c r="AT35" s="239">
        <v>0</v>
      </c>
      <c r="AU35" s="239">
        <v>0</v>
      </c>
      <c r="AV35" s="239">
        <v>0</v>
      </c>
      <c r="AW35" s="239">
        <v>0</v>
      </c>
      <c r="AX35" s="239">
        <v>0</v>
      </c>
      <c r="AY35" s="239">
        <v>0</v>
      </c>
      <c r="AZ35" s="239">
        <v>0</v>
      </c>
      <c r="BA35" s="239">
        <v>0</v>
      </c>
      <c r="BB35" s="239">
        <v>0</v>
      </c>
      <c r="BC35" s="239">
        <v>1928893</v>
      </c>
      <c r="BD35" s="239">
        <v>2378968</v>
      </c>
      <c r="BE35" s="239">
        <v>0</v>
      </c>
      <c r="BF35" s="239">
        <v>1881465.2790386265</v>
      </c>
      <c r="BG35" s="239">
        <v>2320473.8441476393</v>
      </c>
      <c r="BH35" s="239">
        <v>0</v>
      </c>
      <c r="BI35" s="239">
        <v>144863.38052575107</v>
      </c>
      <c r="BJ35" s="239">
        <v>178664.83598175965</v>
      </c>
      <c r="BK35" s="239">
        <v>0</v>
      </c>
      <c r="BL35" s="239">
        <v>2508374</v>
      </c>
      <c r="BM35" s="239">
        <v>1322077</v>
      </c>
      <c r="BN35" s="239">
        <v>0</v>
      </c>
      <c r="BO35" s="239">
        <v>-579481</v>
      </c>
      <c r="BP35" s="239">
        <v>1056891</v>
      </c>
      <c r="BQ35" s="239">
        <v>0</v>
      </c>
      <c r="BR35" s="239">
        <v>1192</v>
      </c>
      <c r="BS35" s="239">
        <v>1470</v>
      </c>
      <c r="BT35" s="239">
        <v>0</v>
      </c>
      <c r="BU35" s="239">
        <v>0</v>
      </c>
      <c r="BV35" s="239">
        <v>0</v>
      </c>
      <c r="BW35" s="239">
        <v>0</v>
      </c>
      <c r="BX35" s="239">
        <v>1192</v>
      </c>
      <c r="BY35" s="239">
        <v>1470</v>
      </c>
      <c r="BZ35" s="239">
        <v>0</v>
      </c>
      <c r="CA35" s="239">
        <v>-8410</v>
      </c>
      <c r="CB35" s="239">
        <v>-10372</v>
      </c>
      <c r="CC35" s="239">
        <v>0</v>
      </c>
      <c r="CD35" s="239">
        <v>0</v>
      </c>
      <c r="CE35" s="239">
        <v>0</v>
      </c>
      <c r="CF35" s="239">
        <v>0</v>
      </c>
      <c r="CG35" s="239">
        <v>-8410</v>
      </c>
      <c r="CH35" s="239">
        <v>-10372</v>
      </c>
      <c r="CI35" s="239">
        <v>0</v>
      </c>
      <c r="CJ35" s="239">
        <v>69</v>
      </c>
      <c r="CK35" s="239">
        <v>86</v>
      </c>
      <c r="CL35" s="239">
        <v>0</v>
      </c>
      <c r="CM35" s="239">
        <v>229</v>
      </c>
      <c r="CN35" s="239">
        <v>282</v>
      </c>
      <c r="CO35" s="239">
        <v>0</v>
      </c>
      <c r="CP35" s="239">
        <v>-160</v>
      </c>
      <c r="CQ35" s="239">
        <v>-196</v>
      </c>
      <c r="CR35" s="239">
        <v>0</v>
      </c>
      <c r="CS35" s="239">
        <v>-2502</v>
      </c>
      <c r="CT35" s="239">
        <v>-3086</v>
      </c>
      <c r="CU35" s="239">
        <v>0</v>
      </c>
      <c r="CV35" s="239">
        <v>0</v>
      </c>
      <c r="CW35" s="239">
        <v>0</v>
      </c>
      <c r="CX35" s="239">
        <v>0</v>
      </c>
      <c r="CY35" s="239">
        <v>0</v>
      </c>
      <c r="CZ35" s="239">
        <v>0</v>
      </c>
      <c r="DA35" s="239">
        <v>0</v>
      </c>
      <c r="DB35" s="239">
        <v>0</v>
      </c>
      <c r="DC35" s="239">
        <v>0</v>
      </c>
      <c r="DD35" s="239">
        <v>0</v>
      </c>
      <c r="DE35" s="239">
        <v>-146</v>
      </c>
      <c r="DF35" s="239">
        <v>-180</v>
      </c>
      <c r="DG35" s="239">
        <v>0</v>
      </c>
      <c r="DH35" s="239">
        <v>0</v>
      </c>
      <c r="DI35" s="239">
        <v>0</v>
      </c>
      <c r="DJ35" s="239">
        <v>0</v>
      </c>
      <c r="DK35" s="239">
        <v>0</v>
      </c>
      <c r="DL35" s="239">
        <v>0</v>
      </c>
      <c r="DM35" s="239">
        <v>0</v>
      </c>
      <c r="DN35" s="239">
        <v>0</v>
      </c>
      <c r="DO35" s="239">
        <v>0</v>
      </c>
      <c r="DP35" s="239">
        <v>0</v>
      </c>
      <c r="DQ35" s="239">
        <v>0</v>
      </c>
      <c r="DR35" s="239">
        <v>0</v>
      </c>
      <c r="DS35" s="239">
        <v>0</v>
      </c>
      <c r="DT35" s="239">
        <v>0</v>
      </c>
      <c r="DU35" s="239">
        <v>0</v>
      </c>
      <c r="DV35" s="239">
        <v>0</v>
      </c>
      <c r="DW35" s="239">
        <v>0</v>
      </c>
      <c r="DX35" s="239">
        <v>0</v>
      </c>
      <c r="DY35" s="239">
        <v>0</v>
      </c>
      <c r="DZ35" s="239">
        <v>42421</v>
      </c>
      <c r="EA35" s="239">
        <v>52320</v>
      </c>
      <c r="EB35" s="239">
        <v>0</v>
      </c>
      <c r="EC35" s="239">
        <v>98275</v>
      </c>
      <c r="ED35" s="239">
        <v>0</v>
      </c>
      <c r="EE35" s="239">
        <v>0</v>
      </c>
      <c r="EF35" s="239">
        <v>-55854</v>
      </c>
      <c r="EG35" s="239">
        <v>52320</v>
      </c>
      <c r="EH35" s="239">
        <v>0</v>
      </c>
      <c r="EI35" s="239">
        <v>296644</v>
      </c>
      <c r="EJ35" s="239">
        <v>365861</v>
      </c>
      <c r="EK35" s="239">
        <v>0</v>
      </c>
      <c r="EL35" s="239">
        <v>734250</v>
      </c>
      <c r="EM35" s="239">
        <v>0</v>
      </c>
      <c r="EN35" s="239">
        <v>0</v>
      </c>
      <c r="EO35" s="239">
        <v>-437606</v>
      </c>
      <c r="EP35" s="239">
        <v>365861</v>
      </c>
      <c r="EQ35" s="239">
        <v>0</v>
      </c>
      <c r="ER35" s="239">
        <v>12302</v>
      </c>
      <c r="ES35" s="239">
        <v>15173</v>
      </c>
      <c r="ET35" s="239">
        <v>0</v>
      </c>
      <c r="EU35" s="239">
        <v>34003</v>
      </c>
      <c r="EV35" s="239">
        <v>0</v>
      </c>
      <c r="EW35" s="239">
        <v>0</v>
      </c>
      <c r="EX35" s="239">
        <v>-21701</v>
      </c>
      <c r="EY35" s="239">
        <v>15173</v>
      </c>
      <c r="EZ35" s="239">
        <v>0</v>
      </c>
      <c r="FA35" s="239">
        <v>542431</v>
      </c>
      <c r="FB35" s="239">
        <v>668998</v>
      </c>
      <c r="FC35" s="239">
        <v>0</v>
      </c>
      <c r="FD35" s="239">
        <v>565849</v>
      </c>
      <c r="FE35" s="239">
        <v>697881</v>
      </c>
      <c r="FF35" s="239">
        <v>0</v>
      </c>
      <c r="FG35" s="239">
        <v>-23418</v>
      </c>
      <c r="FH35" s="239">
        <v>-28883</v>
      </c>
      <c r="FI35" s="239">
        <v>0</v>
      </c>
      <c r="FJ35" s="239">
        <v>0</v>
      </c>
      <c r="FK35" s="239">
        <v>0</v>
      </c>
      <c r="FL35" s="239">
        <v>0</v>
      </c>
      <c r="FM35" s="239">
        <v>0</v>
      </c>
      <c r="FN35" s="239">
        <v>0</v>
      </c>
      <c r="FO35" s="239">
        <v>0</v>
      </c>
      <c r="FP35" s="239">
        <v>0</v>
      </c>
      <c r="FQ35" s="239">
        <v>0</v>
      </c>
      <c r="FR35" s="239">
        <v>0</v>
      </c>
      <c r="FS35" s="239">
        <v>0</v>
      </c>
      <c r="FT35" s="239">
        <v>0</v>
      </c>
      <c r="FU35" s="239">
        <v>0</v>
      </c>
      <c r="FV35" s="239">
        <v>2812894</v>
      </c>
      <c r="FW35" s="239">
        <v>3469238</v>
      </c>
      <c r="FX35" s="239">
        <v>0</v>
      </c>
      <c r="FY35" s="834">
        <v>0.33000000000000007</v>
      </c>
      <c r="FZ35" s="834">
        <v>0.3</v>
      </c>
      <c r="GA35" s="834">
        <v>0.37</v>
      </c>
      <c r="GB35" s="834">
        <v>0</v>
      </c>
      <c r="GC35" s="214" t="s">
        <v>1159</v>
      </c>
    </row>
    <row r="36" spans="1:185" s="214" customFormat="1" x14ac:dyDescent="0.2">
      <c r="B36" s="602" t="s">
        <v>155</v>
      </c>
      <c r="C36" s="602" t="s">
        <v>154</v>
      </c>
      <c r="D36" s="239">
        <v>-1265828</v>
      </c>
      <c r="E36" s="239">
        <v>0</v>
      </c>
      <c r="F36" s="239">
        <v>-1265828</v>
      </c>
      <c r="G36" s="239">
        <v>-1319227</v>
      </c>
      <c r="H36" s="239">
        <v>0</v>
      </c>
      <c r="I36" s="239">
        <v>-1319227</v>
      </c>
      <c r="J36" s="239">
        <v>53399</v>
      </c>
      <c r="K36" s="239">
        <v>0</v>
      </c>
      <c r="L36" s="239">
        <v>53399</v>
      </c>
      <c r="M36" s="239">
        <v>104595</v>
      </c>
      <c r="N36" s="239">
        <v>104595</v>
      </c>
      <c r="O36" s="239">
        <v>0</v>
      </c>
      <c r="P36" s="239">
        <v>0</v>
      </c>
      <c r="Q36" s="239">
        <v>0</v>
      </c>
      <c r="R36" s="239">
        <v>0</v>
      </c>
      <c r="S36" s="239">
        <v>0</v>
      </c>
      <c r="T36" s="239">
        <v>0</v>
      </c>
      <c r="U36" s="239">
        <v>0</v>
      </c>
      <c r="V36" s="239">
        <v>0</v>
      </c>
      <c r="W36" s="239">
        <v>0</v>
      </c>
      <c r="X36" s="239">
        <v>0</v>
      </c>
      <c r="Y36" s="239">
        <v>0</v>
      </c>
      <c r="Z36" s="239">
        <v>0</v>
      </c>
      <c r="AA36" s="239">
        <v>0</v>
      </c>
      <c r="AB36" s="239">
        <v>0</v>
      </c>
      <c r="AC36" s="239">
        <v>0</v>
      </c>
      <c r="AD36" s="239">
        <v>0</v>
      </c>
      <c r="AE36" s="239">
        <v>0</v>
      </c>
      <c r="AF36" s="239">
        <v>0</v>
      </c>
      <c r="AG36" s="239">
        <v>0</v>
      </c>
      <c r="AH36" s="239">
        <v>0</v>
      </c>
      <c r="AI36" s="239">
        <v>0</v>
      </c>
      <c r="AJ36" s="239">
        <v>0</v>
      </c>
      <c r="AK36" s="239">
        <v>0</v>
      </c>
      <c r="AL36" s="239">
        <v>0</v>
      </c>
      <c r="AM36" s="239">
        <v>0</v>
      </c>
      <c r="AN36" s="239">
        <v>0</v>
      </c>
      <c r="AO36" s="239">
        <v>0</v>
      </c>
      <c r="AP36" s="239">
        <v>0</v>
      </c>
      <c r="AQ36" s="239">
        <v>0</v>
      </c>
      <c r="AR36" s="239">
        <v>0</v>
      </c>
      <c r="AS36" s="239">
        <v>0</v>
      </c>
      <c r="AT36" s="239">
        <v>0</v>
      </c>
      <c r="AU36" s="239">
        <v>0</v>
      </c>
      <c r="AV36" s="239">
        <v>0</v>
      </c>
      <c r="AW36" s="239">
        <v>0</v>
      </c>
      <c r="AX36" s="239">
        <v>0</v>
      </c>
      <c r="AY36" s="239">
        <v>0</v>
      </c>
      <c r="AZ36" s="239">
        <v>0</v>
      </c>
      <c r="BA36" s="239">
        <v>0</v>
      </c>
      <c r="BB36" s="239">
        <v>0</v>
      </c>
      <c r="BC36" s="239">
        <v>683440</v>
      </c>
      <c r="BD36" s="239">
        <v>153774</v>
      </c>
      <c r="BE36" s="239">
        <v>17086</v>
      </c>
      <c r="BF36" s="239">
        <v>658998.74899227475</v>
      </c>
      <c r="BG36" s="239">
        <v>148274.71852326181</v>
      </c>
      <c r="BH36" s="239">
        <v>16474.968724806866</v>
      </c>
      <c r="BI36" s="239">
        <v>74869.221158798289</v>
      </c>
      <c r="BJ36" s="239">
        <v>16845.574760729614</v>
      </c>
      <c r="BK36" s="239">
        <v>1871.7305289699568</v>
      </c>
      <c r="BL36" s="239">
        <v>601409</v>
      </c>
      <c r="BM36" s="239">
        <v>82636</v>
      </c>
      <c r="BN36" s="239">
        <v>9182</v>
      </c>
      <c r="BO36" s="239">
        <v>82031</v>
      </c>
      <c r="BP36" s="239">
        <v>71138</v>
      </c>
      <c r="BQ36" s="239">
        <v>7904</v>
      </c>
      <c r="BR36" s="239">
        <v>0</v>
      </c>
      <c r="BS36" s="239">
        <v>0</v>
      </c>
      <c r="BT36" s="239">
        <v>0</v>
      </c>
      <c r="BU36" s="239">
        <v>0</v>
      </c>
      <c r="BV36" s="239">
        <v>0</v>
      </c>
      <c r="BW36" s="239">
        <v>0</v>
      </c>
      <c r="BX36" s="239">
        <v>0</v>
      </c>
      <c r="BY36" s="239">
        <v>0</v>
      </c>
      <c r="BZ36" s="239">
        <v>0</v>
      </c>
      <c r="CA36" s="239">
        <v>3112</v>
      </c>
      <c r="CB36" s="239">
        <v>700</v>
      </c>
      <c r="CC36" s="239">
        <v>78</v>
      </c>
      <c r="CD36" s="239">
        <v>5773</v>
      </c>
      <c r="CE36" s="239">
        <v>1299</v>
      </c>
      <c r="CF36" s="239">
        <v>144</v>
      </c>
      <c r="CG36" s="239">
        <v>-2661</v>
      </c>
      <c r="CH36" s="239">
        <v>-599</v>
      </c>
      <c r="CI36" s="239">
        <v>-66</v>
      </c>
      <c r="CJ36" s="239">
        <v>9243</v>
      </c>
      <c r="CK36" s="239">
        <v>2080</v>
      </c>
      <c r="CL36" s="239">
        <v>231</v>
      </c>
      <c r="CM36" s="239">
        <v>0</v>
      </c>
      <c r="CN36" s="239">
        <v>0</v>
      </c>
      <c r="CO36" s="239">
        <v>0</v>
      </c>
      <c r="CP36" s="239">
        <v>9243</v>
      </c>
      <c r="CQ36" s="239">
        <v>2080</v>
      </c>
      <c r="CR36" s="239">
        <v>231</v>
      </c>
      <c r="CS36" s="239">
        <v>-439</v>
      </c>
      <c r="CT36" s="239">
        <v>-99</v>
      </c>
      <c r="CU36" s="239">
        <v>-11</v>
      </c>
      <c r="CV36" s="239">
        <v>0</v>
      </c>
      <c r="CW36" s="239">
        <v>0</v>
      </c>
      <c r="CX36" s="239">
        <v>0</v>
      </c>
      <c r="CY36" s="239">
        <v>0</v>
      </c>
      <c r="CZ36" s="239">
        <v>0</v>
      </c>
      <c r="DA36" s="239">
        <v>0</v>
      </c>
      <c r="DB36" s="239">
        <v>0</v>
      </c>
      <c r="DC36" s="239">
        <v>0</v>
      </c>
      <c r="DD36" s="239">
        <v>0</v>
      </c>
      <c r="DE36" s="239">
        <v>0</v>
      </c>
      <c r="DF36" s="239">
        <v>0</v>
      </c>
      <c r="DG36" s="239">
        <v>0</v>
      </c>
      <c r="DH36" s="239">
        <v>0</v>
      </c>
      <c r="DI36" s="239">
        <v>0</v>
      </c>
      <c r="DJ36" s="239">
        <v>0</v>
      </c>
      <c r="DK36" s="239">
        <v>0</v>
      </c>
      <c r="DL36" s="239">
        <v>0</v>
      </c>
      <c r="DM36" s="239">
        <v>0</v>
      </c>
      <c r="DN36" s="239">
        <v>0</v>
      </c>
      <c r="DO36" s="239">
        <v>0</v>
      </c>
      <c r="DP36" s="239">
        <v>0</v>
      </c>
      <c r="DQ36" s="239">
        <v>0</v>
      </c>
      <c r="DR36" s="239">
        <v>0</v>
      </c>
      <c r="DS36" s="239">
        <v>0</v>
      </c>
      <c r="DT36" s="239">
        <v>0</v>
      </c>
      <c r="DU36" s="239">
        <v>0</v>
      </c>
      <c r="DV36" s="239">
        <v>0</v>
      </c>
      <c r="DW36" s="239">
        <v>0</v>
      </c>
      <c r="DX36" s="239">
        <v>0</v>
      </c>
      <c r="DY36" s="239">
        <v>0</v>
      </c>
      <c r="DZ36" s="239">
        <v>2145</v>
      </c>
      <c r="EA36" s="239">
        <v>483</v>
      </c>
      <c r="EB36" s="239">
        <v>54</v>
      </c>
      <c r="EC36" s="239">
        <v>7963</v>
      </c>
      <c r="ED36" s="239">
        <v>0</v>
      </c>
      <c r="EE36" s="239">
        <v>0</v>
      </c>
      <c r="EF36" s="239">
        <v>-5818</v>
      </c>
      <c r="EG36" s="239">
        <v>483</v>
      </c>
      <c r="EH36" s="239">
        <v>54</v>
      </c>
      <c r="EI36" s="239">
        <v>49763</v>
      </c>
      <c r="EJ36" s="239">
        <v>11197</v>
      </c>
      <c r="EK36" s="239">
        <v>1244</v>
      </c>
      <c r="EL36" s="239">
        <v>62674</v>
      </c>
      <c r="EM36" s="239">
        <v>0</v>
      </c>
      <c r="EN36" s="239">
        <v>0</v>
      </c>
      <c r="EO36" s="239">
        <v>-12911</v>
      </c>
      <c r="EP36" s="239">
        <v>11197</v>
      </c>
      <c r="EQ36" s="239">
        <v>1244</v>
      </c>
      <c r="ER36" s="239">
        <v>8008</v>
      </c>
      <c r="ES36" s="239">
        <v>1802</v>
      </c>
      <c r="ET36" s="239">
        <v>200</v>
      </c>
      <c r="EU36" s="239">
        <v>22838</v>
      </c>
      <c r="EV36" s="239">
        <v>0</v>
      </c>
      <c r="EW36" s="239">
        <v>0</v>
      </c>
      <c r="EX36" s="239">
        <v>-14830</v>
      </c>
      <c r="EY36" s="239">
        <v>1802</v>
      </c>
      <c r="EZ36" s="239">
        <v>200</v>
      </c>
      <c r="FA36" s="239">
        <v>168724</v>
      </c>
      <c r="FB36" s="239">
        <v>37963</v>
      </c>
      <c r="FC36" s="239">
        <v>4218</v>
      </c>
      <c r="FD36" s="239">
        <v>167535</v>
      </c>
      <c r="FE36" s="239">
        <v>37695</v>
      </c>
      <c r="FF36" s="239">
        <v>4188</v>
      </c>
      <c r="FG36" s="239">
        <v>1189</v>
      </c>
      <c r="FH36" s="239">
        <v>268</v>
      </c>
      <c r="FI36" s="239">
        <v>30</v>
      </c>
      <c r="FJ36" s="239">
        <v>0</v>
      </c>
      <c r="FK36" s="239">
        <v>0</v>
      </c>
      <c r="FL36" s="239">
        <v>0</v>
      </c>
      <c r="FM36" s="239">
        <v>0</v>
      </c>
      <c r="FN36" s="239">
        <v>0</v>
      </c>
      <c r="FO36" s="239">
        <v>0</v>
      </c>
      <c r="FP36" s="239">
        <v>0</v>
      </c>
      <c r="FQ36" s="239">
        <v>0</v>
      </c>
      <c r="FR36" s="239">
        <v>0</v>
      </c>
      <c r="FS36" s="239">
        <v>0</v>
      </c>
      <c r="FT36" s="239">
        <v>0</v>
      </c>
      <c r="FU36" s="239">
        <v>0</v>
      </c>
      <c r="FV36" s="239">
        <v>923996</v>
      </c>
      <c r="FW36" s="239">
        <v>207900</v>
      </c>
      <c r="FX36" s="239">
        <v>23100</v>
      </c>
      <c r="FY36" s="834">
        <v>0.5</v>
      </c>
      <c r="FZ36" s="834">
        <v>0.4</v>
      </c>
      <c r="GA36" s="834">
        <v>0.09</v>
      </c>
      <c r="GB36" s="834">
        <v>0.01</v>
      </c>
      <c r="GC36" s="214" t="s">
        <v>1158</v>
      </c>
    </row>
    <row r="37" spans="1:185" s="214" customFormat="1" x14ac:dyDescent="0.2">
      <c r="B37" s="602" t="s">
        <v>157</v>
      </c>
      <c r="C37" s="602" t="s">
        <v>156</v>
      </c>
      <c r="D37" s="239">
        <v>5961571</v>
      </c>
      <c r="E37" s="239">
        <v>0</v>
      </c>
      <c r="F37" s="239">
        <v>5961571</v>
      </c>
      <c r="G37" s="239">
        <v>7476586</v>
      </c>
      <c r="H37" s="239">
        <v>0</v>
      </c>
      <c r="I37" s="239">
        <v>7476586</v>
      </c>
      <c r="J37" s="239">
        <v>-1515015</v>
      </c>
      <c r="K37" s="239">
        <v>0</v>
      </c>
      <c r="L37" s="239">
        <v>-1515015</v>
      </c>
      <c r="M37" s="239">
        <v>432307</v>
      </c>
      <c r="N37" s="239">
        <v>432307</v>
      </c>
      <c r="O37" s="239">
        <v>0</v>
      </c>
      <c r="P37" s="239">
        <v>0</v>
      </c>
      <c r="Q37" s="239">
        <v>0</v>
      </c>
      <c r="R37" s="239">
        <v>0</v>
      </c>
      <c r="S37" s="239">
        <v>0</v>
      </c>
      <c r="T37" s="239">
        <v>0</v>
      </c>
      <c r="U37" s="239">
        <v>0</v>
      </c>
      <c r="V37" s="239">
        <v>0</v>
      </c>
      <c r="W37" s="239">
        <v>0</v>
      </c>
      <c r="X37" s="239">
        <v>0</v>
      </c>
      <c r="Y37" s="239">
        <v>0</v>
      </c>
      <c r="Z37" s="239">
        <v>0</v>
      </c>
      <c r="AA37" s="239">
        <v>0</v>
      </c>
      <c r="AB37" s="239">
        <v>0</v>
      </c>
      <c r="AC37" s="239">
        <v>0</v>
      </c>
      <c r="AD37" s="239">
        <v>0</v>
      </c>
      <c r="AE37" s="239">
        <v>0</v>
      </c>
      <c r="AF37" s="239">
        <v>0</v>
      </c>
      <c r="AG37" s="239">
        <v>0</v>
      </c>
      <c r="AH37" s="239">
        <v>0</v>
      </c>
      <c r="AI37" s="239">
        <v>0</v>
      </c>
      <c r="AJ37" s="239">
        <v>0</v>
      </c>
      <c r="AK37" s="239">
        <v>0</v>
      </c>
      <c r="AL37" s="239">
        <v>0</v>
      </c>
      <c r="AM37" s="239">
        <v>0</v>
      </c>
      <c r="AN37" s="239">
        <v>0</v>
      </c>
      <c r="AO37" s="239">
        <v>0</v>
      </c>
      <c r="AP37" s="239">
        <v>0</v>
      </c>
      <c r="AQ37" s="239">
        <v>0</v>
      </c>
      <c r="AR37" s="239">
        <v>0</v>
      </c>
      <c r="AS37" s="239">
        <v>0</v>
      </c>
      <c r="AT37" s="239">
        <v>0</v>
      </c>
      <c r="AU37" s="239">
        <v>0</v>
      </c>
      <c r="AV37" s="239">
        <v>0</v>
      </c>
      <c r="AW37" s="239">
        <v>0</v>
      </c>
      <c r="AX37" s="239">
        <v>0</v>
      </c>
      <c r="AY37" s="239">
        <v>0</v>
      </c>
      <c r="AZ37" s="239">
        <v>0</v>
      </c>
      <c r="BA37" s="239">
        <v>0</v>
      </c>
      <c r="BB37" s="239">
        <v>0</v>
      </c>
      <c r="BC37" s="239">
        <v>3660869</v>
      </c>
      <c r="BD37" s="239">
        <v>0</v>
      </c>
      <c r="BE37" s="239">
        <v>74712</v>
      </c>
      <c r="BF37" s="239">
        <v>3547274.3334965878</v>
      </c>
      <c r="BG37" s="239">
        <v>0</v>
      </c>
      <c r="BH37" s="239">
        <v>72393.353744828317</v>
      </c>
      <c r="BI37" s="239">
        <v>321386.33243454935</v>
      </c>
      <c r="BJ37" s="239">
        <v>0</v>
      </c>
      <c r="BK37" s="239">
        <v>6558.9047435622315</v>
      </c>
      <c r="BL37" s="239">
        <v>3465490</v>
      </c>
      <c r="BM37" s="239">
        <v>0</v>
      </c>
      <c r="BN37" s="239">
        <v>48536</v>
      </c>
      <c r="BO37" s="239">
        <v>195379</v>
      </c>
      <c r="BP37" s="239">
        <v>0</v>
      </c>
      <c r="BQ37" s="239">
        <v>26176</v>
      </c>
      <c r="BR37" s="239">
        <v>22770</v>
      </c>
      <c r="BS37" s="239">
        <v>0</v>
      </c>
      <c r="BT37" s="239">
        <v>465</v>
      </c>
      <c r="BU37" s="239">
        <v>8320</v>
      </c>
      <c r="BV37" s="239">
        <v>0</v>
      </c>
      <c r="BW37" s="239">
        <v>170</v>
      </c>
      <c r="BX37" s="239">
        <v>14450</v>
      </c>
      <c r="BY37" s="239">
        <v>0</v>
      </c>
      <c r="BZ37" s="239">
        <v>295</v>
      </c>
      <c r="CA37" s="239">
        <v>12628</v>
      </c>
      <c r="CB37" s="239">
        <v>0</v>
      </c>
      <c r="CC37" s="239">
        <v>258</v>
      </c>
      <c r="CD37" s="239">
        <v>1791</v>
      </c>
      <c r="CE37" s="239">
        <v>0</v>
      </c>
      <c r="CF37" s="239">
        <v>37</v>
      </c>
      <c r="CG37" s="239">
        <v>10837</v>
      </c>
      <c r="CH37" s="239">
        <v>0</v>
      </c>
      <c r="CI37" s="239">
        <v>221</v>
      </c>
      <c r="CJ37" s="239">
        <v>12545</v>
      </c>
      <c r="CK37" s="239">
        <v>0</v>
      </c>
      <c r="CL37" s="239">
        <v>256</v>
      </c>
      <c r="CM37" s="239">
        <v>322</v>
      </c>
      <c r="CN37" s="239">
        <v>0</v>
      </c>
      <c r="CO37" s="239">
        <v>7</v>
      </c>
      <c r="CP37" s="239">
        <v>12223</v>
      </c>
      <c r="CQ37" s="239">
        <v>0</v>
      </c>
      <c r="CR37" s="239">
        <v>249</v>
      </c>
      <c r="CS37" s="239">
        <v>-8572</v>
      </c>
      <c r="CT37" s="239">
        <v>0</v>
      </c>
      <c r="CU37" s="239">
        <v>-175</v>
      </c>
      <c r="CV37" s="239">
        <v>3</v>
      </c>
      <c r="CW37" s="239">
        <v>0</v>
      </c>
      <c r="CX37" s="239">
        <v>0</v>
      </c>
      <c r="CY37" s="239">
        <v>0</v>
      </c>
      <c r="CZ37" s="239">
        <v>0</v>
      </c>
      <c r="DA37" s="239">
        <v>0</v>
      </c>
      <c r="DB37" s="239">
        <v>3</v>
      </c>
      <c r="DC37" s="239">
        <v>0</v>
      </c>
      <c r="DD37" s="239">
        <v>0</v>
      </c>
      <c r="DE37" s="239">
        <v>0</v>
      </c>
      <c r="DF37" s="239">
        <v>0</v>
      </c>
      <c r="DG37" s="239">
        <v>0</v>
      </c>
      <c r="DH37" s="239">
        <v>0</v>
      </c>
      <c r="DI37" s="239">
        <v>0</v>
      </c>
      <c r="DJ37" s="239">
        <v>0</v>
      </c>
      <c r="DK37" s="239">
        <v>0</v>
      </c>
      <c r="DL37" s="239">
        <v>0</v>
      </c>
      <c r="DM37" s="239">
        <v>0</v>
      </c>
      <c r="DN37" s="239">
        <v>0</v>
      </c>
      <c r="DO37" s="239">
        <v>0</v>
      </c>
      <c r="DP37" s="239">
        <v>0</v>
      </c>
      <c r="DQ37" s="239">
        <v>0</v>
      </c>
      <c r="DR37" s="239">
        <v>0</v>
      </c>
      <c r="DS37" s="239">
        <v>0</v>
      </c>
      <c r="DT37" s="239">
        <v>0</v>
      </c>
      <c r="DU37" s="239">
        <v>0</v>
      </c>
      <c r="DV37" s="239">
        <v>0</v>
      </c>
      <c r="DW37" s="239">
        <v>0</v>
      </c>
      <c r="DX37" s="239">
        <v>0</v>
      </c>
      <c r="DY37" s="239">
        <v>0</v>
      </c>
      <c r="DZ37" s="239">
        <v>69102</v>
      </c>
      <c r="EA37" s="239">
        <v>0</v>
      </c>
      <c r="EB37" s="239">
        <v>1410</v>
      </c>
      <c r="EC37" s="239">
        <v>76711</v>
      </c>
      <c r="ED37" s="239">
        <v>0</v>
      </c>
      <c r="EE37" s="239">
        <v>0</v>
      </c>
      <c r="EF37" s="239">
        <v>-7609</v>
      </c>
      <c r="EG37" s="239">
        <v>0</v>
      </c>
      <c r="EH37" s="239">
        <v>1410</v>
      </c>
      <c r="EI37" s="239">
        <v>463027</v>
      </c>
      <c r="EJ37" s="239">
        <v>0</v>
      </c>
      <c r="EK37" s="239">
        <v>9450</v>
      </c>
      <c r="EL37" s="239">
        <v>561694</v>
      </c>
      <c r="EM37" s="239">
        <v>0</v>
      </c>
      <c r="EN37" s="239">
        <v>0</v>
      </c>
      <c r="EO37" s="239">
        <v>-98667</v>
      </c>
      <c r="EP37" s="239">
        <v>0</v>
      </c>
      <c r="EQ37" s="239">
        <v>9450</v>
      </c>
      <c r="ER37" s="239">
        <v>100343</v>
      </c>
      <c r="ES37" s="239">
        <v>0</v>
      </c>
      <c r="ET37" s="239">
        <v>2048</v>
      </c>
      <c r="EU37" s="239">
        <v>102524</v>
      </c>
      <c r="EV37" s="239">
        <v>0</v>
      </c>
      <c r="EW37" s="239">
        <v>0</v>
      </c>
      <c r="EX37" s="239">
        <v>-2181</v>
      </c>
      <c r="EY37" s="239">
        <v>0</v>
      </c>
      <c r="EZ37" s="239">
        <v>2048</v>
      </c>
      <c r="FA37" s="239">
        <v>827406</v>
      </c>
      <c r="FB37" s="239">
        <v>0</v>
      </c>
      <c r="FC37" s="239">
        <v>16886</v>
      </c>
      <c r="FD37" s="239">
        <v>854372</v>
      </c>
      <c r="FE37" s="239">
        <v>0</v>
      </c>
      <c r="FF37" s="239">
        <v>17436</v>
      </c>
      <c r="FG37" s="239">
        <v>-26966</v>
      </c>
      <c r="FH37" s="239">
        <v>0</v>
      </c>
      <c r="FI37" s="239">
        <v>-550</v>
      </c>
      <c r="FJ37" s="239">
        <v>0</v>
      </c>
      <c r="FK37" s="239">
        <v>0</v>
      </c>
      <c r="FL37" s="239">
        <v>0</v>
      </c>
      <c r="FM37" s="239">
        <v>0</v>
      </c>
      <c r="FN37" s="239">
        <v>0</v>
      </c>
      <c r="FO37" s="239">
        <v>0</v>
      </c>
      <c r="FP37" s="239">
        <v>0</v>
      </c>
      <c r="FQ37" s="239">
        <v>0</v>
      </c>
      <c r="FR37" s="239">
        <v>0</v>
      </c>
      <c r="FS37" s="239">
        <v>0</v>
      </c>
      <c r="FT37" s="239">
        <v>0</v>
      </c>
      <c r="FU37" s="239">
        <v>0</v>
      </c>
      <c r="FV37" s="239">
        <v>5160121</v>
      </c>
      <c r="FW37" s="239">
        <v>0</v>
      </c>
      <c r="FX37" s="239">
        <v>105310</v>
      </c>
      <c r="FY37" s="834">
        <v>0.5</v>
      </c>
      <c r="FZ37" s="834">
        <v>0.49</v>
      </c>
      <c r="GA37" s="834">
        <v>0</v>
      </c>
      <c r="GB37" s="834">
        <v>0.01</v>
      </c>
      <c r="GC37" s="214" t="s">
        <v>746</v>
      </c>
    </row>
    <row r="38" spans="1:185" s="214" customFormat="1" x14ac:dyDescent="0.2">
      <c r="B38" s="602" t="s">
        <v>159</v>
      </c>
      <c r="C38" s="602" t="s">
        <v>158</v>
      </c>
      <c r="D38" s="239">
        <v>-5690988</v>
      </c>
      <c r="E38" s="239">
        <v>-358808</v>
      </c>
      <c r="F38" s="239">
        <v>-6049796</v>
      </c>
      <c r="G38" s="239">
        <v>-6692172</v>
      </c>
      <c r="H38" s="239">
        <v>-239923</v>
      </c>
      <c r="I38" s="239">
        <v>-6932095</v>
      </c>
      <c r="J38" s="239">
        <v>1001184</v>
      </c>
      <c r="K38" s="239">
        <v>-118885</v>
      </c>
      <c r="L38" s="239">
        <v>882299</v>
      </c>
      <c r="M38" s="239">
        <v>715969</v>
      </c>
      <c r="N38" s="239">
        <v>715969</v>
      </c>
      <c r="O38" s="239">
        <v>0</v>
      </c>
      <c r="P38" s="239">
        <v>3240095</v>
      </c>
      <c r="Q38" s="239">
        <v>4280807</v>
      </c>
      <c r="R38" s="239">
        <v>-1040712</v>
      </c>
      <c r="S38" s="239">
        <v>205327</v>
      </c>
      <c r="T38" s="239">
        <v>0</v>
      </c>
      <c r="U38" s="239">
        <v>139958</v>
      </c>
      <c r="V38" s="239">
        <v>0</v>
      </c>
      <c r="W38" s="239">
        <v>65369</v>
      </c>
      <c r="X38" s="239">
        <v>0</v>
      </c>
      <c r="Y38" s="239">
        <v>0</v>
      </c>
      <c r="Z38" s="239">
        <v>0</v>
      </c>
      <c r="AA38" s="239">
        <v>0</v>
      </c>
      <c r="AB38" s="239">
        <v>0</v>
      </c>
      <c r="AC38" s="239">
        <v>0</v>
      </c>
      <c r="AD38" s="239">
        <v>0</v>
      </c>
      <c r="AE38" s="239">
        <v>0</v>
      </c>
      <c r="AF38" s="239">
        <v>0</v>
      </c>
      <c r="AG38" s="239">
        <v>0</v>
      </c>
      <c r="AH38" s="239">
        <v>0</v>
      </c>
      <c r="AI38" s="239">
        <v>0</v>
      </c>
      <c r="AJ38" s="239">
        <v>0</v>
      </c>
      <c r="AK38" s="239">
        <v>0</v>
      </c>
      <c r="AL38" s="239">
        <v>0</v>
      </c>
      <c r="AM38" s="239">
        <v>0</v>
      </c>
      <c r="AN38" s="239">
        <v>0</v>
      </c>
      <c r="AO38" s="239">
        <v>0</v>
      </c>
      <c r="AP38" s="239">
        <v>0</v>
      </c>
      <c r="AQ38" s="239">
        <v>0</v>
      </c>
      <c r="AR38" s="239">
        <v>0</v>
      </c>
      <c r="AS38" s="239">
        <v>0</v>
      </c>
      <c r="AT38" s="239">
        <v>0</v>
      </c>
      <c r="AU38" s="239">
        <v>0</v>
      </c>
      <c r="AV38" s="239">
        <v>0</v>
      </c>
      <c r="AW38" s="239">
        <v>0</v>
      </c>
      <c r="AX38" s="239">
        <v>0</v>
      </c>
      <c r="AY38" s="239">
        <v>0</v>
      </c>
      <c r="AZ38" s="239">
        <v>0</v>
      </c>
      <c r="BA38" s="239">
        <v>0</v>
      </c>
      <c r="BB38" s="239">
        <v>0</v>
      </c>
      <c r="BC38" s="239">
        <v>9213733</v>
      </c>
      <c r="BD38" s="239">
        <v>479983</v>
      </c>
      <c r="BE38" s="239">
        <v>95997</v>
      </c>
      <c r="BF38" s="239">
        <v>8948876.528054934</v>
      </c>
      <c r="BG38" s="239">
        <v>466189.19484334765</v>
      </c>
      <c r="BH38" s="239">
        <v>93237.838968669515</v>
      </c>
      <c r="BI38" s="239">
        <v>870958.46575321874</v>
      </c>
      <c r="BJ38" s="239">
        <v>42830.127162017161</v>
      </c>
      <c r="BK38" s="239">
        <v>8566.0254324034322</v>
      </c>
      <c r="BL38" s="239">
        <v>8041151</v>
      </c>
      <c r="BM38" s="239">
        <v>287326</v>
      </c>
      <c r="BN38" s="239">
        <v>57465</v>
      </c>
      <c r="BO38" s="239">
        <v>1172582</v>
      </c>
      <c r="BP38" s="239">
        <v>192657</v>
      </c>
      <c r="BQ38" s="239">
        <v>38532</v>
      </c>
      <c r="BR38" s="239">
        <v>56751</v>
      </c>
      <c r="BS38" s="239">
        <v>2956</v>
      </c>
      <c r="BT38" s="239">
        <v>591</v>
      </c>
      <c r="BU38" s="239">
        <v>29146</v>
      </c>
      <c r="BV38" s="239">
        <v>1550</v>
      </c>
      <c r="BW38" s="239">
        <v>310</v>
      </c>
      <c r="BX38" s="239">
        <v>27605</v>
      </c>
      <c r="BY38" s="239">
        <v>1406</v>
      </c>
      <c r="BZ38" s="239">
        <v>281</v>
      </c>
      <c r="CA38" s="239">
        <v>0</v>
      </c>
      <c r="CB38" s="239">
        <v>0</v>
      </c>
      <c r="CC38" s="239">
        <v>0</v>
      </c>
      <c r="CD38" s="239">
        <v>0</v>
      </c>
      <c r="CE38" s="239">
        <v>0</v>
      </c>
      <c r="CF38" s="239">
        <v>0</v>
      </c>
      <c r="CG38" s="239">
        <v>0</v>
      </c>
      <c r="CH38" s="239">
        <v>0</v>
      </c>
      <c r="CI38" s="239">
        <v>0</v>
      </c>
      <c r="CJ38" s="239">
        <v>24134</v>
      </c>
      <c r="CK38" s="239">
        <v>1284</v>
      </c>
      <c r="CL38" s="239">
        <v>257</v>
      </c>
      <c r="CM38" s="239">
        <v>24837</v>
      </c>
      <c r="CN38" s="239">
        <v>1321</v>
      </c>
      <c r="CO38" s="239">
        <v>264</v>
      </c>
      <c r="CP38" s="239">
        <v>-703</v>
      </c>
      <c r="CQ38" s="239">
        <v>-37</v>
      </c>
      <c r="CR38" s="239">
        <v>-7</v>
      </c>
      <c r="CS38" s="239">
        <v>-1175</v>
      </c>
      <c r="CT38" s="239">
        <v>-63</v>
      </c>
      <c r="CU38" s="239">
        <v>-13</v>
      </c>
      <c r="CV38" s="239">
        <v>0</v>
      </c>
      <c r="CW38" s="239">
        <v>0</v>
      </c>
      <c r="CX38" s="239">
        <v>0</v>
      </c>
      <c r="CY38" s="239">
        <v>0</v>
      </c>
      <c r="CZ38" s="239">
        <v>0</v>
      </c>
      <c r="DA38" s="239">
        <v>0</v>
      </c>
      <c r="DB38" s="239">
        <v>0</v>
      </c>
      <c r="DC38" s="239">
        <v>0</v>
      </c>
      <c r="DD38" s="239">
        <v>0</v>
      </c>
      <c r="DE38" s="239">
        <v>-387</v>
      </c>
      <c r="DF38" s="239">
        <v>0</v>
      </c>
      <c r="DG38" s="239">
        <v>0</v>
      </c>
      <c r="DH38" s="239">
        <v>0</v>
      </c>
      <c r="DI38" s="239">
        <v>0</v>
      </c>
      <c r="DJ38" s="239">
        <v>0</v>
      </c>
      <c r="DK38" s="239">
        <v>0</v>
      </c>
      <c r="DL38" s="239">
        <v>0</v>
      </c>
      <c r="DM38" s="239">
        <v>0</v>
      </c>
      <c r="DN38" s="239">
        <v>0</v>
      </c>
      <c r="DO38" s="239">
        <v>0</v>
      </c>
      <c r="DP38" s="239">
        <v>0</v>
      </c>
      <c r="DQ38" s="239">
        <v>0</v>
      </c>
      <c r="DR38" s="239">
        <v>0</v>
      </c>
      <c r="DS38" s="239">
        <v>0</v>
      </c>
      <c r="DT38" s="239">
        <v>0</v>
      </c>
      <c r="DU38" s="239">
        <v>0</v>
      </c>
      <c r="DV38" s="239">
        <v>0</v>
      </c>
      <c r="DW38" s="239">
        <v>0</v>
      </c>
      <c r="DX38" s="239">
        <v>0</v>
      </c>
      <c r="DY38" s="239">
        <v>0</v>
      </c>
      <c r="DZ38" s="239">
        <v>108592</v>
      </c>
      <c r="EA38" s="239">
        <v>5727</v>
      </c>
      <c r="EB38" s="239">
        <v>1145</v>
      </c>
      <c r="EC38" s="239">
        <v>55826</v>
      </c>
      <c r="ED38" s="239">
        <v>0</v>
      </c>
      <c r="EE38" s="239">
        <v>0</v>
      </c>
      <c r="EF38" s="239">
        <v>52766</v>
      </c>
      <c r="EG38" s="239">
        <v>5727</v>
      </c>
      <c r="EH38" s="239">
        <v>1145</v>
      </c>
      <c r="EI38" s="239">
        <v>897132</v>
      </c>
      <c r="EJ38" s="239">
        <v>43701</v>
      </c>
      <c r="EK38" s="239">
        <v>8740</v>
      </c>
      <c r="EL38" s="239">
        <v>975779</v>
      </c>
      <c r="EM38" s="239">
        <v>0</v>
      </c>
      <c r="EN38" s="239">
        <v>0</v>
      </c>
      <c r="EO38" s="239">
        <v>-78647</v>
      </c>
      <c r="EP38" s="239">
        <v>43701</v>
      </c>
      <c r="EQ38" s="239">
        <v>8740</v>
      </c>
      <c r="ER38" s="239">
        <v>189940</v>
      </c>
      <c r="ES38" s="239">
        <v>10096</v>
      </c>
      <c r="ET38" s="239">
        <v>2019</v>
      </c>
      <c r="EU38" s="239">
        <v>182704</v>
      </c>
      <c r="EV38" s="239">
        <v>0</v>
      </c>
      <c r="EW38" s="239">
        <v>0</v>
      </c>
      <c r="EX38" s="239">
        <v>7236</v>
      </c>
      <c r="EY38" s="239">
        <v>10096</v>
      </c>
      <c r="EZ38" s="239">
        <v>2019</v>
      </c>
      <c r="FA38" s="239">
        <v>2946735</v>
      </c>
      <c r="FB38" s="239">
        <v>153988</v>
      </c>
      <c r="FC38" s="239">
        <v>30798</v>
      </c>
      <c r="FD38" s="239">
        <v>2956474</v>
      </c>
      <c r="FE38" s="239">
        <v>153727</v>
      </c>
      <c r="FF38" s="239">
        <v>30745</v>
      </c>
      <c r="FG38" s="239">
        <v>-9739</v>
      </c>
      <c r="FH38" s="239">
        <v>261</v>
      </c>
      <c r="FI38" s="239">
        <v>53</v>
      </c>
      <c r="FJ38" s="239">
        <v>1169698</v>
      </c>
      <c r="FK38" s="239">
        <v>0</v>
      </c>
      <c r="FL38" s="239">
        <v>0</v>
      </c>
      <c r="FM38" s="239">
        <v>1498718</v>
      </c>
      <c r="FN38" s="239">
        <v>0</v>
      </c>
      <c r="FO38" s="239">
        <v>0</v>
      </c>
      <c r="FP38" s="239">
        <v>-329020</v>
      </c>
      <c r="FQ38" s="239">
        <v>0</v>
      </c>
      <c r="FR38" s="239">
        <v>0</v>
      </c>
      <c r="FS38" s="239">
        <v>0</v>
      </c>
      <c r="FT38" s="239">
        <v>0</v>
      </c>
      <c r="FU38" s="239">
        <v>0</v>
      </c>
      <c r="FV38" s="239">
        <v>14605153</v>
      </c>
      <c r="FW38" s="239">
        <v>697672</v>
      </c>
      <c r="FX38" s="239">
        <v>139534</v>
      </c>
      <c r="FY38" s="834">
        <v>0</v>
      </c>
      <c r="FZ38" s="834">
        <v>0.94</v>
      </c>
      <c r="GA38" s="834">
        <v>0.05</v>
      </c>
      <c r="GB38" s="834">
        <v>0.01</v>
      </c>
      <c r="GC38" s="214" t="s">
        <v>746</v>
      </c>
    </row>
    <row r="39" spans="1:185" s="214" customFormat="1" x14ac:dyDescent="0.2">
      <c r="B39" s="602" t="s">
        <v>161</v>
      </c>
      <c r="C39" s="602" t="s">
        <v>160</v>
      </c>
      <c r="D39" s="239">
        <v>-704639</v>
      </c>
      <c r="E39" s="239">
        <v>0</v>
      </c>
      <c r="F39" s="239">
        <v>-704639</v>
      </c>
      <c r="G39" s="239">
        <v>-436237</v>
      </c>
      <c r="H39" s="239">
        <v>0</v>
      </c>
      <c r="I39" s="239">
        <v>-436237</v>
      </c>
      <c r="J39" s="239">
        <v>-268402</v>
      </c>
      <c r="K39" s="239">
        <v>0</v>
      </c>
      <c r="L39" s="239">
        <v>-268402</v>
      </c>
      <c r="M39" s="239">
        <v>139831</v>
      </c>
      <c r="N39" s="239">
        <v>139831</v>
      </c>
      <c r="O39" s="239">
        <v>0</v>
      </c>
      <c r="P39" s="239">
        <v>0</v>
      </c>
      <c r="Q39" s="239">
        <v>0</v>
      </c>
      <c r="R39" s="239">
        <v>0</v>
      </c>
      <c r="S39" s="239">
        <v>146976</v>
      </c>
      <c r="T39" s="239">
        <v>0</v>
      </c>
      <c r="U39" s="239">
        <v>150362</v>
      </c>
      <c r="V39" s="239">
        <v>0</v>
      </c>
      <c r="W39" s="239">
        <v>-3386</v>
      </c>
      <c r="X39" s="239">
        <v>0</v>
      </c>
      <c r="Y39" s="239">
        <v>0</v>
      </c>
      <c r="Z39" s="239">
        <v>0</v>
      </c>
      <c r="AA39" s="239">
        <v>0</v>
      </c>
      <c r="AB39" s="239">
        <v>0</v>
      </c>
      <c r="AC39" s="239">
        <v>0</v>
      </c>
      <c r="AD39" s="239">
        <v>0</v>
      </c>
      <c r="AE39" s="239">
        <v>0</v>
      </c>
      <c r="AF39" s="239">
        <v>0</v>
      </c>
      <c r="AG39" s="239">
        <v>0</v>
      </c>
      <c r="AH39" s="239">
        <v>0</v>
      </c>
      <c r="AI39" s="239">
        <v>0</v>
      </c>
      <c r="AJ39" s="239">
        <v>0</v>
      </c>
      <c r="AK39" s="239">
        <v>0</v>
      </c>
      <c r="AL39" s="239">
        <v>0</v>
      </c>
      <c r="AM39" s="239">
        <v>0</v>
      </c>
      <c r="AN39" s="239">
        <v>0</v>
      </c>
      <c r="AO39" s="239">
        <v>0</v>
      </c>
      <c r="AP39" s="239">
        <v>0</v>
      </c>
      <c r="AQ39" s="239">
        <v>0</v>
      </c>
      <c r="AR39" s="239">
        <v>0</v>
      </c>
      <c r="AS39" s="239">
        <v>0</v>
      </c>
      <c r="AT39" s="239">
        <v>0</v>
      </c>
      <c r="AU39" s="239">
        <v>0</v>
      </c>
      <c r="AV39" s="239">
        <v>0</v>
      </c>
      <c r="AW39" s="239">
        <v>0</v>
      </c>
      <c r="AX39" s="239">
        <v>0</v>
      </c>
      <c r="AY39" s="239">
        <v>0</v>
      </c>
      <c r="AZ39" s="239">
        <v>0</v>
      </c>
      <c r="BA39" s="239">
        <v>0</v>
      </c>
      <c r="BB39" s="239">
        <v>0</v>
      </c>
      <c r="BC39" s="239">
        <v>1031023</v>
      </c>
      <c r="BD39" s="239">
        <v>257756</v>
      </c>
      <c r="BE39" s="239">
        <v>0</v>
      </c>
      <c r="BF39" s="239">
        <v>1008608.2828403434</v>
      </c>
      <c r="BG39" s="239">
        <v>252152.07071008586</v>
      </c>
      <c r="BH39" s="239">
        <v>0</v>
      </c>
      <c r="BI39" s="239">
        <v>66750.656872961365</v>
      </c>
      <c r="BJ39" s="239">
        <v>16687.664218240341</v>
      </c>
      <c r="BK39" s="239">
        <v>0</v>
      </c>
      <c r="BL39" s="239">
        <v>964711</v>
      </c>
      <c r="BM39" s="239">
        <v>169843</v>
      </c>
      <c r="BN39" s="239">
        <v>0</v>
      </c>
      <c r="BO39" s="239">
        <v>66312</v>
      </c>
      <c r="BP39" s="239">
        <v>87913</v>
      </c>
      <c r="BQ39" s="239">
        <v>0</v>
      </c>
      <c r="BR39" s="239">
        <v>5115</v>
      </c>
      <c r="BS39" s="239">
        <v>1279</v>
      </c>
      <c r="BT39" s="239">
        <v>0</v>
      </c>
      <c r="BU39" s="239">
        <v>1078</v>
      </c>
      <c r="BV39" s="239">
        <v>270</v>
      </c>
      <c r="BW39" s="239">
        <v>0</v>
      </c>
      <c r="BX39" s="239">
        <v>4037</v>
      </c>
      <c r="BY39" s="239">
        <v>1009</v>
      </c>
      <c r="BZ39" s="239">
        <v>0</v>
      </c>
      <c r="CA39" s="239">
        <v>100</v>
      </c>
      <c r="CB39" s="239">
        <v>25</v>
      </c>
      <c r="CC39" s="239">
        <v>0</v>
      </c>
      <c r="CD39" s="239">
        <v>0</v>
      </c>
      <c r="CE39" s="239">
        <v>0</v>
      </c>
      <c r="CF39" s="239">
        <v>0</v>
      </c>
      <c r="CG39" s="239">
        <v>100</v>
      </c>
      <c r="CH39" s="239">
        <v>25</v>
      </c>
      <c r="CI39" s="239">
        <v>0</v>
      </c>
      <c r="CJ39" s="239">
        <v>0</v>
      </c>
      <c r="CK39" s="239">
        <v>0</v>
      </c>
      <c r="CL39" s="239">
        <v>0</v>
      </c>
      <c r="CM39" s="239">
        <v>0</v>
      </c>
      <c r="CN39" s="239">
        <v>0</v>
      </c>
      <c r="CO39" s="239">
        <v>0</v>
      </c>
      <c r="CP39" s="239">
        <v>0</v>
      </c>
      <c r="CQ39" s="239">
        <v>0</v>
      </c>
      <c r="CR39" s="239">
        <v>0</v>
      </c>
      <c r="CS39" s="239">
        <v>0</v>
      </c>
      <c r="CT39" s="239">
        <v>0</v>
      </c>
      <c r="CU39" s="239">
        <v>0</v>
      </c>
      <c r="CV39" s="239">
        <v>0</v>
      </c>
      <c r="CW39" s="239">
        <v>0</v>
      </c>
      <c r="CX39" s="239">
        <v>0</v>
      </c>
      <c r="CY39" s="239">
        <v>0</v>
      </c>
      <c r="CZ39" s="239">
        <v>0</v>
      </c>
      <c r="DA39" s="239">
        <v>0</v>
      </c>
      <c r="DB39" s="239">
        <v>0</v>
      </c>
      <c r="DC39" s="239">
        <v>0</v>
      </c>
      <c r="DD39" s="239">
        <v>0</v>
      </c>
      <c r="DE39" s="239">
        <v>0</v>
      </c>
      <c r="DF39" s="239">
        <v>0</v>
      </c>
      <c r="DG39" s="239">
        <v>0</v>
      </c>
      <c r="DH39" s="239">
        <v>17801</v>
      </c>
      <c r="DI39" s="239">
        <v>4450</v>
      </c>
      <c r="DJ39" s="239">
        <v>0</v>
      </c>
      <c r="DK39" s="239">
        <v>19318</v>
      </c>
      <c r="DL39" s="239">
        <v>4830</v>
      </c>
      <c r="DM39" s="239">
        <v>0</v>
      </c>
      <c r="DN39" s="239">
        <v>-1517</v>
      </c>
      <c r="DO39" s="239">
        <v>-380</v>
      </c>
      <c r="DP39" s="239">
        <v>0</v>
      </c>
      <c r="DQ39" s="239">
        <v>0</v>
      </c>
      <c r="DR39" s="239">
        <v>0</v>
      </c>
      <c r="DS39" s="239">
        <v>0</v>
      </c>
      <c r="DT39" s="239">
        <v>0</v>
      </c>
      <c r="DU39" s="239">
        <v>0</v>
      </c>
      <c r="DV39" s="239">
        <v>0</v>
      </c>
      <c r="DW39" s="239">
        <v>0</v>
      </c>
      <c r="DX39" s="239">
        <v>0</v>
      </c>
      <c r="DY39" s="239">
        <v>0</v>
      </c>
      <c r="DZ39" s="239">
        <v>12957</v>
      </c>
      <c r="EA39" s="239">
        <v>3239</v>
      </c>
      <c r="EB39" s="239">
        <v>0</v>
      </c>
      <c r="EC39" s="239">
        <v>16240</v>
      </c>
      <c r="ED39" s="239">
        <v>0</v>
      </c>
      <c r="EE39" s="239">
        <v>0</v>
      </c>
      <c r="EF39" s="239">
        <v>-3283</v>
      </c>
      <c r="EG39" s="239">
        <v>3239</v>
      </c>
      <c r="EH39" s="239">
        <v>0</v>
      </c>
      <c r="EI39" s="239">
        <v>107115</v>
      </c>
      <c r="EJ39" s="239">
        <v>26779</v>
      </c>
      <c r="EK39" s="239">
        <v>0</v>
      </c>
      <c r="EL39" s="239">
        <v>146690</v>
      </c>
      <c r="EM39" s="239">
        <v>0</v>
      </c>
      <c r="EN39" s="239">
        <v>0</v>
      </c>
      <c r="EO39" s="239">
        <v>-39575</v>
      </c>
      <c r="EP39" s="239">
        <v>26779</v>
      </c>
      <c r="EQ39" s="239">
        <v>0</v>
      </c>
      <c r="ER39" s="239">
        <v>16791</v>
      </c>
      <c r="ES39" s="239">
        <v>4198</v>
      </c>
      <c r="ET39" s="239">
        <v>0</v>
      </c>
      <c r="EU39" s="239">
        <v>21315</v>
      </c>
      <c r="EV39" s="239">
        <v>0</v>
      </c>
      <c r="EW39" s="239">
        <v>0</v>
      </c>
      <c r="EX39" s="239">
        <v>-4524</v>
      </c>
      <c r="EY39" s="239">
        <v>4198</v>
      </c>
      <c r="EZ39" s="239">
        <v>0</v>
      </c>
      <c r="FA39" s="239">
        <v>170135</v>
      </c>
      <c r="FB39" s="239">
        <v>41982</v>
      </c>
      <c r="FC39" s="239">
        <v>0</v>
      </c>
      <c r="FD39" s="239">
        <v>179136</v>
      </c>
      <c r="FE39" s="239">
        <v>44219</v>
      </c>
      <c r="FF39" s="239">
        <v>0</v>
      </c>
      <c r="FG39" s="239">
        <v>-9001</v>
      </c>
      <c r="FH39" s="239">
        <v>-2237</v>
      </c>
      <c r="FI39" s="239">
        <v>0</v>
      </c>
      <c r="FJ39" s="239">
        <v>0</v>
      </c>
      <c r="FK39" s="239">
        <v>0</v>
      </c>
      <c r="FL39" s="239">
        <v>0</v>
      </c>
      <c r="FM39" s="239">
        <v>0</v>
      </c>
      <c r="FN39" s="239">
        <v>0</v>
      </c>
      <c r="FO39" s="239">
        <v>0</v>
      </c>
      <c r="FP39" s="239">
        <v>0</v>
      </c>
      <c r="FQ39" s="239">
        <v>0</v>
      </c>
      <c r="FR39" s="239">
        <v>0</v>
      </c>
      <c r="FS39" s="239">
        <v>0</v>
      </c>
      <c r="FT39" s="239">
        <v>0</v>
      </c>
      <c r="FU39" s="239">
        <v>0</v>
      </c>
      <c r="FV39" s="239">
        <v>1361037</v>
      </c>
      <c r="FW39" s="239">
        <v>339708</v>
      </c>
      <c r="FX39" s="239">
        <v>0</v>
      </c>
      <c r="FY39" s="834">
        <v>0.5</v>
      </c>
      <c r="FZ39" s="834">
        <v>0.4</v>
      </c>
      <c r="GA39" s="834">
        <v>0.1</v>
      </c>
      <c r="GB39" s="834">
        <v>0</v>
      </c>
      <c r="GC39" s="214" t="s">
        <v>1158</v>
      </c>
    </row>
    <row r="40" spans="1:185" s="214" customFormat="1" x14ac:dyDescent="0.2">
      <c r="B40" s="602" t="s">
        <v>163</v>
      </c>
      <c r="C40" s="602" t="s">
        <v>162</v>
      </c>
      <c r="D40" s="239">
        <v>5212356</v>
      </c>
      <c r="E40" s="239">
        <v>0</v>
      </c>
      <c r="F40" s="239">
        <v>5212356</v>
      </c>
      <c r="G40" s="239">
        <v>5959515</v>
      </c>
      <c r="H40" s="239">
        <v>0</v>
      </c>
      <c r="I40" s="239">
        <v>5959515</v>
      </c>
      <c r="J40" s="239">
        <v>-747159</v>
      </c>
      <c r="K40" s="239">
        <v>0</v>
      </c>
      <c r="L40" s="239">
        <v>-747159</v>
      </c>
      <c r="M40" s="239">
        <v>336429</v>
      </c>
      <c r="N40" s="239">
        <v>336429</v>
      </c>
      <c r="O40" s="239">
        <v>0</v>
      </c>
      <c r="P40" s="239">
        <v>0</v>
      </c>
      <c r="Q40" s="239">
        <v>0</v>
      </c>
      <c r="R40" s="239">
        <v>0</v>
      </c>
      <c r="S40" s="239">
        <v>0</v>
      </c>
      <c r="T40" s="239">
        <v>0</v>
      </c>
      <c r="U40" s="239">
        <v>0</v>
      </c>
      <c r="V40" s="239">
        <v>0</v>
      </c>
      <c r="W40" s="239">
        <v>0</v>
      </c>
      <c r="X40" s="239">
        <v>0</v>
      </c>
      <c r="Y40" s="239">
        <v>0</v>
      </c>
      <c r="Z40" s="239">
        <v>0</v>
      </c>
      <c r="AA40" s="239">
        <v>0</v>
      </c>
      <c r="AB40" s="239">
        <v>0</v>
      </c>
      <c r="AC40" s="239">
        <v>0</v>
      </c>
      <c r="AD40" s="239">
        <v>0</v>
      </c>
      <c r="AE40" s="239">
        <v>0</v>
      </c>
      <c r="AF40" s="239">
        <v>0</v>
      </c>
      <c r="AG40" s="239">
        <v>0</v>
      </c>
      <c r="AH40" s="239">
        <v>0</v>
      </c>
      <c r="AI40" s="239">
        <v>0</v>
      </c>
      <c r="AJ40" s="239">
        <v>0</v>
      </c>
      <c r="AK40" s="239">
        <v>0</v>
      </c>
      <c r="AL40" s="239">
        <v>0</v>
      </c>
      <c r="AM40" s="239">
        <v>0</v>
      </c>
      <c r="AN40" s="239">
        <v>0</v>
      </c>
      <c r="AO40" s="239">
        <v>0</v>
      </c>
      <c r="AP40" s="239">
        <v>0</v>
      </c>
      <c r="AQ40" s="239">
        <v>0</v>
      </c>
      <c r="AR40" s="239">
        <v>0</v>
      </c>
      <c r="AS40" s="239">
        <v>0</v>
      </c>
      <c r="AT40" s="239">
        <v>0</v>
      </c>
      <c r="AU40" s="239">
        <v>0</v>
      </c>
      <c r="AV40" s="239">
        <v>0</v>
      </c>
      <c r="AW40" s="239">
        <v>0</v>
      </c>
      <c r="AX40" s="239">
        <v>0</v>
      </c>
      <c r="AY40" s="239">
        <v>0</v>
      </c>
      <c r="AZ40" s="239">
        <v>0</v>
      </c>
      <c r="BA40" s="239">
        <v>0</v>
      </c>
      <c r="BB40" s="239">
        <v>0</v>
      </c>
      <c r="BC40" s="239">
        <v>1442737</v>
      </c>
      <c r="BD40" s="239">
        <v>1779376</v>
      </c>
      <c r="BE40" s="239">
        <v>0</v>
      </c>
      <c r="BF40" s="239">
        <v>1413314.2886806866</v>
      </c>
      <c r="BG40" s="239">
        <v>1743087.6227061804</v>
      </c>
      <c r="BH40" s="239">
        <v>0</v>
      </c>
      <c r="BI40" s="239">
        <v>95970.121641630889</v>
      </c>
      <c r="BJ40" s="239">
        <v>118363.15002467809</v>
      </c>
      <c r="BK40" s="239">
        <v>0</v>
      </c>
      <c r="BL40" s="239">
        <v>2857539</v>
      </c>
      <c r="BM40" s="239">
        <v>1591153</v>
      </c>
      <c r="BN40" s="239">
        <v>0</v>
      </c>
      <c r="BO40" s="239">
        <v>-1414802</v>
      </c>
      <c r="BP40" s="239">
        <v>188223</v>
      </c>
      <c r="BQ40" s="239">
        <v>0</v>
      </c>
      <c r="BR40" s="239">
        <v>0</v>
      </c>
      <c r="BS40" s="239">
        <v>0</v>
      </c>
      <c r="BT40" s="239">
        <v>0</v>
      </c>
      <c r="BU40" s="239">
        <v>0</v>
      </c>
      <c r="BV40" s="239">
        <v>0</v>
      </c>
      <c r="BW40" s="239">
        <v>0</v>
      </c>
      <c r="BX40" s="239">
        <v>0</v>
      </c>
      <c r="BY40" s="239">
        <v>0</v>
      </c>
      <c r="BZ40" s="239">
        <v>0</v>
      </c>
      <c r="CA40" s="239">
        <v>0</v>
      </c>
      <c r="CB40" s="239">
        <v>0</v>
      </c>
      <c r="CC40" s="239">
        <v>0</v>
      </c>
      <c r="CD40" s="239">
        <v>0</v>
      </c>
      <c r="CE40" s="239">
        <v>0</v>
      </c>
      <c r="CF40" s="239">
        <v>0</v>
      </c>
      <c r="CG40" s="239">
        <v>0</v>
      </c>
      <c r="CH40" s="239">
        <v>0</v>
      </c>
      <c r="CI40" s="239">
        <v>0</v>
      </c>
      <c r="CJ40" s="239">
        <v>7146</v>
      </c>
      <c r="CK40" s="239">
        <v>8814</v>
      </c>
      <c r="CL40" s="239">
        <v>0</v>
      </c>
      <c r="CM40" s="239">
        <v>10624</v>
      </c>
      <c r="CN40" s="239">
        <v>13102</v>
      </c>
      <c r="CO40" s="239">
        <v>0</v>
      </c>
      <c r="CP40" s="239">
        <v>-3478</v>
      </c>
      <c r="CQ40" s="239">
        <v>-4288</v>
      </c>
      <c r="CR40" s="239">
        <v>0</v>
      </c>
      <c r="CS40" s="239">
        <v>-1500</v>
      </c>
      <c r="CT40" s="239">
        <v>-1850</v>
      </c>
      <c r="CU40" s="239">
        <v>0</v>
      </c>
      <c r="CV40" s="239">
        <v>0</v>
      </c>
      <c r="CW40" s="239">
        <v>0</v>
      </c>
      <c r="CX40" s="239">
        <v>0</v>
      </c>
      <c r="CY40" s="239">
        <v>0</v>
      </c>
      <c r="CZ40" s="239">
        <v>0</v>
      </c>
      <c r="DA40" s="239">
        <v>0</v>
      </c>
      <c r="DB40" s="239">
        <v>0</v>
      </c>
      <c r="DC40" s="239">
        <v>0</v>
      </c>
      <c r="DD40" s="239">
        <v>0</v>
      </c>
      <c r="DE40" s="239">
        <v>0</v>
      </c>
      <c r="DF40" s="239">
        <v>0</v>
      </c>
      <c r="DG40" s="239">
        <v>0</v>
      </c>
      <c r="DH40" s="239">
        <v>0</v>
      </c>
      <c r="DI40" s="239">
        <v>0</v>
      </c>
      <c r="DJ40" s="239">
        <v>0</v>
      </c>
      <c r="DK40" s="239">
        <v>0</v>
      </c>
      <c r="DL40" s="239">
        <v>0</v>
      </c>
      <c r="DM40" s="239">
        <v>0</v>
      </c>
      <c r="DN40" s="239">
        <v>0</v>
      </c>
      <c r="DO40" s="239">
        <v>0</v>
      </c>
      <c r="DP40" s="239">
        <v>0</v>
      </c>
      <c r="DQ40" s="239">
        <v>0</v>
      </c>
      <c r="DR40" s="239">
        <v>0</v>
      </c>
      <c r="DS40" s="239">
        <v>0</v>
      </c>
      <c r="DT40" s="239">
        <v>913</v>
      </c>
      <c r="DU40" s="239">
        <v>1127</v>
      </c>
      <c r="DV40" s="239">
        <v>0</v>
      </c>
      <c r="DW40" s="239">
        <v>-913</v>
      </c>
      <c r="DX40" s="239">
        <v>-1127</v>
      </c>
      <c r="DY40" s="239">
        <v>0</v>
      </c>
      <c r="DZ40" s="239">
        <v>52136</v>
      </c>
      <c r="EA40" s="239">
        <v>64301</v>
      </c>
      <c r="EB40" s="239">
        <v>0</v>
      </c>
      <c r="EC40" s="239">
        <v>117978</v>
      </c>
      <c r="ED40" s="239">
        <v>0</v>
      </c>
      <c r="EE40" s="239">
        <v>0</v>
      </c>
      <c r="EF40" s="239">
        <v>-65842</v>
      </c>
      <c r="EG40" s="239">
        <v>64301</v>
      </c>
      <c r="EH40" s="239">
        <v>0</v>
      </c>
      <c r="EI40" s="239">
        <v>328949</v>
      </c>
      <c r="EJ40" s="239">
        <v>405703</v>
      </c>
      <c r="EK40" s="239">
        <v>0</v>
      </c>
      <c r="EL40" s="239">
        <v>941189</v>
      </c>
      <c r="EM40" s="239">
        <v>0</v>
      </c>
      <c r="EN40" s="239">
        <v>0</v>
      </c>
      <c r="EO40" s="239">
        <v>-612240</v>
      </c>
      <c r="EP40" s="239">
        <v>405703</v>
      </c>
      <c r="EQ40" s="239">
        <v>0</v>
      </c>
      <c r="ER40" s="239">
        <v>12159</v>
      </c>
      <c r="ES40" s="239">
        <v>14996</v>
      </c>
      <c r="ET40" s="239">
        <v>0</v>
      </c>
      <c r="EU40" s="239">
        <v>42164</v>
      </c>
      <c r="EV40" s="239">
        <v>0</v>
      </c>
      <c r="EW40" s="239">
        <v>0</v>
      </c>
      <c r="EX40" s="239">
        <v>-30005</v>
      </c>
      <c r="EY40" s="239">
        <v>14996</v>
      </c>
      <c r="EZ40" s="239">
        <v>0</v>
      </c>
      <c r="FA40" s="239">
        <v>401914</v>
      </c>
      <c r="FB40" s="239">
        <v>495694</v>
      </c>
      <c r="FC40" s="239">
        <v>0</v>
      </c>
      <c r="FD40" s="239">
        <v>408626</v>
      </c>
      <c r="FE40" s="239">
        <v>503972</v>
      </c>
      <c r="FF40" s="239">
        <v>0</v>
      </c>
      <c r="FG40" s="239">
        <v>-6712</v>
      </c>
      <c r="FH40" s="239">
        <v>-8278</v>
      </c>
      <c r="FI40" s="239">
        <v>0</v>
      </c>
      <c r="FJ40" s="239">
        <v>0</v>
      </c>
      <c r="FK40" s="239">
        <v>0</v>
      </c>
      <c r="FL40" s="239">
        <v>0</v>
      </c>
      <c r="FM40" s="239">
        <v>0</v>
      </c>
      <c r="FN40" s="239">
        <v>0</v>
      </c>
      <c r="FO40" s="239">
        <v>0</v>
      </c>
      <c r="FP40" s="239">
        <v>0</v>
      </c>
      <c r="FQ40" s="239">
        <v>0</v>
      </c>
      <c r="FR40" s="239">
        <v>0</v>
      </c>
      <c r="FS40" s="239">
        <v>0</v>
      </c>
      <c r="FT40" s="239">
        <v>0</v>
      </c>
      <c r="FU40" s="239">
        <v>0</v>
      </c>
      <c r="FV40" s="239">
        <v>2243541</v>
      </c>
      <c r="FW40" s="239">
        <v>2767034</v>
      </c>
      <c r="FX40" s="239">
        <v>0</v>
      </c>
      <c r="FY40" s="834">
        <v>0.33000000000000007</v>
      </c>
      <c r="FZ40" s="834">
        <v>0.3</v>
      </c>
      <c r="GA40" s="834">
        <v>0.37</v>
      </c>
      <c r="GB40" s="834">
        <v>0</v>
      </c>
      <c r="GC40" s="214" t="s">
        <v>1159</v>
      </c>
    </row>
    <row r="41" spans="1:185" s="214" customFormat="1" x14ac:dyDescent="0.2">
      <c r="B41" s="602" t="s">
        <v>165</v>
      </c>
      <c r="C41" s="602" t="s">
        <v>164</v>
      </c>
      <c r="D41" s="239">
        <v>-2093266</v>
      </c>
      <c r="E41" s="239">
        <v>0</v>
      </c>
      <c r="F41" s="239">
        <v>-2093266</v>
      </c>
      <c r="G41" s="239">
        <v>-2034695.91</v>
      </c>
      <c r="H41" s="239">
        <v>0</v>
      </c>
      <c r="I41" s="239">
        <v>-2034695.91</v>
      </c>
      <c r="J41" s="239">
        <v>-58570.090000000084</v>
      </c>
      <c r="K41" s="239">
        <v>0</v>
      </c>
      <c r="L41" s="239">
        <v>-58570.090000000084</v>
      </c>
      <c r="M41" s="239">
        <v>119076</v>
      </c>
      <c r="N41" s="239">
        <v>119076</v>
      </c>
      <c r="O41" s="239">
        <v>0</v>
      </c>
      <c r="P41" s="239">
        <v>0</v>
      </c>
      <c r="Q41" s="239">
        <v>0</v>
      </c>
      <c r="R41" s="239">
        <v>0</v>
      </c>
      <c r="S41" s="239">
        <v>0</v>
      </c>
      <c r="T41" s="239">
        <v>0</v>
      </c>
      <c r="U41" s="239">
        <v>0</v>
      </c>
      <c r="V41" s="239">
        <v>0</v>
      </c>
      <c r="W41" s="239">
        <v>0</v>
      </c>
      <c r="X41" s="239">
        <v>0</v>
      </c>
      <c r="Y41" s="239">
        <v>0</v>
      </c>
      <c r="Z41" s="239">
        <v>0</v>
      </c>
      <c r="AA41" s="239">
        <v>0</v>
      </c>
      <c r="AB41" s="239">
        <v>0</v>
      </c>
      <c r="AC41" s="239">
        <v>0</v>
      </c>
      <c r="AD41" s="239">
        <v>0</v>
      </c>
      <c r="AE41" s="239">
        <v>0</v>
      </c>
      <c r="AF41" s="239">
        <v>0</v>
      </c>
      <c r="AG41" s="239">
        <v>0</v>
      </c>
      <c r="AH41" s="239">
        <v>0</v>
      </c>
      <c r="AI41" s="239">
        <v>0</v>
      </c>
      <c r="AJ41" s="239">
        <v>0</v>
      </c>
      <c r="AK41" s="239">
        <v>0</v>
      </c>
      <c r="AL41" s="239">
        <v>0</v>
      </c>
      <c r="AM41" s="239">
        <v>0</v>
      </c>
      <c r="AN41" s="239">
        <v>0</v>
      </c>
      <c r="AO41" s="239">
        <v>0</v>
      </c>
      <c r="AP41" s="239">
        <v>0</v>
      </c>
      <c r="AQ41" s="239">
        <v>0</v>
      </c>
      <c r="AR41" s="239">
        <v>0</v>
      </c>
      <c r="AS41" s="239">
        <v>0</v>
      </c>
      <c r="AT41" s="239">
        <v>0</v>
      </c>
      <c r="AU41" s="239">
        <v>0</v>
      </c>
      <c r="AV41" s="239">
        <v>0</v>
      </c>
      <c r="AW41" s="239">
        <v>0</v>
      </c>
      <c r="AX41" s="239">
        <v>0</v>
      </c>
      <c r="AY41" s="239">
        <v>0</v>
      </c>
      <c r="AZ41" s="239">
        <v>0</v>
      </c>
      <c r="BA41" s="239">
        <v>0</v>
      </c>
      <c r="BB41" s="239">
        <v>0</v>
      </c>
      <c r="BC41" s="239">
        <v>1047374</v>
      </c>
      <c r="BD41" s="239">
        <v>235659</v>
      </c>
      <c r="BE41" s="239">
        <v>26184</v>
      </c>
      <c r="BF41" s="239">
        <v>1024736.1061871246</v>
      </c>
      <c r="BG41" s="239">
        <v>230565.623892103</v>
      </c>
      <c r="BH41" s="239">
        <v>25618.402654678113</v>
      </c>
      <c r="BI41" s="239">
        <v>22637.763759656507</v>
      </c>
      <c r="BJ41" s="239">
        <v>5093.4968459227139</v>
      </c>
      <c r="BK41" s="239">
        <v>565.9440939914125</v>
      </c>
      <c r="BL41" s="239">
        <v>1136132</v>
      </c>
      <c r="BM41" s="239">
        <v>172141</v>
      </c>
      <c r="BN41" s="239">
        <v>19127</v>
      </c>
      <c r="BO41" s="239">
        <v>-88758</v>
      </c>
      <c r="BP41" s="239">
        <v>63518</v>
      </c>
      <c r="BQ41" s="239">
        <v>7057</v>
      </c>
      <c r="BR41" s="239">
        <v>0</v>
      </c>
      <c r="BS41" s="239">
        <v>0</v>
      </c>
      <c r="BT41" s="239">
        <v>0</v>
      </c>
      <c r="BU41" s="239">
        <v>0</v>
      </c>
      <c r="BV41" s="239">
        <v>0</v>
      </c>
      <c r="BW41" s="239">
        <v>0</v>
      </c>
      <c r="BX41" s="239">
        <v>0</v>
      </c>
      <c r="BY41" s="239">
        <v>0</v>
      </c>
      <c r="BZ41" s="239">
        <v>0</v>
      </c>
      <c r="CA41" s="239">
        <v>0</v>
      </c>
      <c r="CB41" s="239">
        <v>0</v>
      </c>
      <c r="CC41" s="239">
        <v>0</v>
      </c>
      <c r="CD41" s="239">
        <v>0</v>
      </c>
      <c r="CE41" s="239">
        <v>0</v>
      </c>
      <c r="CF41" s="239">
        <v>0</v>
      </c>
      <c r="CG41" s="239">
        <v>0</v>
      </c>
      <c r="CH41" s="239">
        <v>0</v>
      </c>
      <c r="CI41" s="239">
        <v>0</v>
      </c>
      <c r="CJ41" s="239">
        <v>0</v>
      </c>
      <c r="CK41" s="239">
        <v>0</v>
      </c>
      <c r="CL41" s="239">
        <v>0</v>
      </c>
      <c r="CM41" s="239">
        <v>0</v>
      </c>
      <c r="CN41" s="239">
        <v>0</v>
      </c>
      <c r="CO41" s="239">
        <v>0</v>
      </c>
      <c r="CP41" s="239">
        <v>0</v>
      </c>
      <c r="CQ41" s="239">
        <v>0</v>
      </c>
      <c r="CR41" s="239">
        <v>0</v>
      </c>
      <c r="CS41" s="239">
        <v>-1589</v>
      </c>
      <c r="CT41" s="239">
        <v>-357</v>
      </c>
      <c r="CU41" s="239">
        <v>-40</v>
      </c>
      <c r="CV41" s="239">
        <v>0</v>
      </c>
      <c r="CW41" s="239">
        <v>0</v>
      </c>
      <c r="CX41" s="239">
        <v>0</v>
      </c>
      <c r="CY41" s="239">
        <v>0</v>
      </c>
      <c r="CZ41" s="239">
        <v>0</v>
      </c>
      <c r="DA41" s="239">
        <v>0</v>
      </c>
      <c r="DB41" s="239">
        <v>0</v>
      </c>
      <c r="DC41" s="239">
        <v>0</v>
      </c>
      <c r="DD41" s="239">
        <v>0</v>
      </c>
      <c r="DE41" s="239">
        <v>-266</v>
      </c>
      <c r="DF41" s="239">
        <v>-60</v>
      </c>
      <c r="DG41" s="239">
        <v>-7</v>
      </c>
      <c r="DH41" s="239">
        <v>437</v>
      </c>
      <c r="DI41" s="239">
        <v>98</v>
      </c>
      <c r="DJ41" s="239">
        <v>11</v>
      </c>
      <c r="DK41" s="239">
        <v>419</v>
      </c>
      <c r="DL41" s="239">
        <v>95</v>
      </c>
      <c r="DM41" s="239">
        <v>11</v>
      </c>
      <c r="DN41" s="239">
        <v>18</v>
      </c>
      <c r="DO41" s="239">
        <v>3</v>
      </c>
      <c r="DP41" s="239">
        <v>0</v>
      </c>
      <c r="DQ41" s="239">
        <v>0</v>
      </c>
      <c r="DR41" s="239">
        <v>0</v>
      </c>
      <c r="DS41" s="239">
        <v>0</v>
      </c>
      <c r="DT41" s="239">
        <v>609</v>
      </c>
      <c r="DU41" s="239">
        <v>137</v>
      </c>
      <c r="DV41" s="239">
        <v>15</v>
      </c>
      <c r="DW41" s="239">
        <v>-609</v>
      </c>
      <c r="DX41" s="239">
        <v>-137</v>
      </c>
      <c r="DY41" s="239">
        <v>-15</v>
      </c>
      <c r="DZ41" s="239">
        <v>7289</v>
      </c>
      <c r="EA41" s="239">
        <v>1640</v>
      </c>
      <c r="EB41" s="239">
        <v>182</v>
      </c>
      <c r="EC41" s="239">
        <v>9386</v>
      </c>
      <c r="ED41" s="239">
        <v>0</v>
      </c>
      <c r="EE41" s="239">
        <v>0</v>
      </c>
      <c r="EF41" s="239">
        <v>-2097</v>
      </c>
      <c r="EG41" s="239">
        <v>1640</v>
      </c>
      <c r="EH41" s="239">
        <v>182</v>
      </c>
      <c r="EI41" s="239">
        <v>18803</v>
      </c>
      <c r="EJ41" s="239">
        <v>4231</v>
      </c>
      <c r="EK41" s="239">
        <v>470</v>
      </c>
      <c r="EL41" s="239">
        <v>67263</v>
      </c>
      <c r="EM41" s="239">
        <v>0</v>
      </c>
      <c r="EN41" s="239">
        <v>0</v>
      </c>
      <c r="EO41" s="239">
        <v>-48460</v>
      </c>
      <c r="EP41" s="239">
        <v>4231</v>
      </c>
      <c r="EQ41" s="239">
        <v>470</v>
      </c>
      <c r="ER41" s="239">
        <v>16845</v>
      </c>
      <c r="ES41" s="239">
        <v>3790</v>
      </c>
      <c r="ET41" s="239">
        <v>421</v>
      </c>
      <c r="EU41" s="239">
        <v>22365</v>
      </c>
      <c r="EV41" s="239">
        <v>0</v>
      </c>
      <c r="EW41" s="239">
        <v>0</v>
      </c>
      <c r="EX41" s="239">
        <v>-5520</v>
      </c>
      <c r="EY41" s="239">
        <v>3790</v>
      </c>
      <c r="EZ41" s="239">
        <v>421</v>
      </c>
      <c r="FA41" s="239">
        <v>137376</v>
      </c>
      <c r="FB41" s="239">
        <v>30910</v>
      </c>
      <c r="FC41" s="239">
        <v>3434</v>
      </c>
      <c r="FD41" s="239">
        <v>134134</v>
      </c>
      <c r="FE41" s="239">
        <v>30180</v>
      </c>
      <c r="FF41" s="239">
        <v>3353</v>
      </c>
      <c r="FG41" s="239">
        <v>3242</v>
      </c>
      <c r="FH41" s="239">
        <v>730</v>
      </c>
      <c r="FI41" s="239">
        <v>81</v>
      </c>
      <c r="FJ41" s="239">
        <v>0</v>
      </c>
      <c r="FK41" s="239">
        <v>0</v>
      </c>
      <c r="FL41" s="239">
        <v>0</v>
      </c>
      <c r="FM41" s="239">
        <v>0</v>
      </c>
      <c r="FN41" s="239">
        <v>0</v>
      </c>
      <c r="FO41" s="239">
        <v>0</v>
      </c>
      <c r="FP41" s="239">
        <v>0</v>
      </c>
      <c r="FQ41" s="239">
        <v>0</v>
      </c>
      <c r="FR41" s="239">
        <v>0</v>
      </c>
      <c r="FS41" s="239">
        <v>0</v>
      </c>
      <c r="FT41" s="239">
        <v>0</v>
      </c>
      <c r="FU41" s="239">
        <v>0</v>
      </c>
      <c r="FV41" s="239">
        <v>1226269</v>
      </c>
      <c r="FW41" s="239">
        <v>275911</v>
      </c>
      <c r="FX41" s="239">
        <v>30655</v>
      </c>
      <c r="FY41" s="834">
        <v>0.5</v>
      </c>
      <c r="FZ41" s="834">
        <v>0.4</v>
      </c>
      <c r="GA41" s="834">
        <v>0.09</v>
      </c>
      <c r="GB41" s="834">
        <v>0.01</v>
      </c>
      <c r="GC41" s="214" t="s">
        <v>1158</v>
      </c>
    </row>
    <row r="42" spans="1:185" s="214" customFormat="1" x14ac:dyDescent="0.2">
      <c r="B42" s="602" t="s">
        <v>167</v>
      </c>
      <c r="C42" s="602" t="s">
        <v>166</v>
      </c>
      <c r="D42" s="239">
        <v>-1462638</v>
      </c>
      <c r="E42" s="239">
        <v>0</v>
      </c>
      <c r="F42" s="239">
        <v>-1462638</v>
      </c>
      <c r="G42" s="239">
        <v>-2038080</v>
      </c>
      <c r="H42" s="239">
        <v>0</v>
      </c>
      <c r="I42" s="239">
        <v>-2038080</v>
      </c>
      <c r="J42" s="239">
        <v>575442</v>
      </c>
      <c r="K42" s="239">
        <v>0</v>
      </c>
      <c r="L42" s="239">
        <v>575442</v>
      </c>
      <c r="M42" s="239">
        <v>111335</v>
      </c>
      <c r="N42" s="239">
        <v>111335</v>
      </c>
      <c r="O42" s="239">
        <v>0</v>
      </c>
      <c r="P42" s="239">
        <v>0</v>
      </c>
      <c r="Q42" s="239">
        <v>0</v>
      </c>
      <c r="R42" s="239">
        <v>0</v>
      </c>
      <c r="S42" s="239">
        <v>0</v>
      </c>
      <c r="T42" s="239">
        <v>0</v>
      </c>
      <c r="U42" s="239">
        <v>0</v>
      </c>
      <c r="V42" s="239">
        <v>0</v>
      </c>
      <c r="W42" s="239">
        <v>0</v>
      </c>
      <c r="X42" s="239">
        <v>0</v>
      </c>
      <c r="Y42" s="239">
        <v>0</v>
      </c>
      <c r="Z42" s="239">
        <v>0</v>
      </c>
      <c r="AA42" s="239">
        <v>0</v>
      </c>
      <c r="AB42" s="239">
        <v>0</v>
      </c>
      <c r="AC42" s="239">
        <v>0</v>
      </c>
      <c r="AD42" s="239">
        <v>0</v>
      </c>
      <c r="AE42" s="239">
        <v>0</v>
      </c>
      <c r="AF42" s="239">
        <v>0</v>
      </c>
      <c r="AG42" s="239">
        <v>0</v>
      </c>
      <c r="AH42" s="239">
        <v>0</v>
      </c>
      <c r="AI42" s="239">
        <v>0</v>
      </c>
      <c r="AJ42" s="239">
        <v>0</v>
      </c>
      <c r="AK42" s="239">
        <v>0</v>
      </c>
      <c r="AL42" s="239">
        <v>0</v>
      </c>
      <c r="AM42" s="239">
        <v>0</v>
      </c>
      <c r="AN42" s="239">
        <v>0</v>
      </c>
      <c r="AO42" s="239">
        <v>0</v>
      </c>
      <c r="AP42" s="239">
        <v>0</v>
      </c>
      <c r="AQ42" s="239">
        <v>0</v>
      </c>
      <c r="AR42" s="239">
        <v>0</v>
      </c>
      <c r="AS42" s="239">
        <v>0</v>
      </c>
      <c r="AT42" s="239">
        <v>0</v>
      </c>
      <c r="AU42" s="239">
        <v>0</v>
      </c>
      <c r="AV42" s="239">
        <v>0</v>
      </c>
      <c r="AW42" s="239">
        <v>0</v>
      </c>
      <c r="AX42" s="239">
        <v>0</v>
      </c>
      <c r="AY42" s="239">
        <v>0</v>
      </c>
      <c r="AZ42" s="239">
        <v>0</v>
      </c>
      <c r="BA42" s="239">
        <v>0</v>
      </c>
      <c r="BB42" s="239">
        <v>0</v>
      </c>
      <c r="BC42" s="239">
        <v>792839</v>
      </c>
      <c r="BD42" s="239">
        <v>198210</v>
      </c>
      <c r="BE42" s="239">
        <v>0</v>
      </c>
      <c r="BF42" s="239">
        <v>769519.94848068675</v>
      </c>
      <c r="BG42" s="239">
        <v>192379.98712017169</v>
      </c>
      <c r="BH42" s="239">
        <v>0</v>
      </c>
      <c r="BI42" s="239">
        <v>64103.456952789697</v>
      </c>
      <c r="BJ42" s="239">
        <v>16025.864238197424</v>
      </c>
      <c r="BK42" s="239">
        <v>0</v>
      </c>
      <c r="BL42" s="239">
        <v>837237</v>
      </c>
      <c r="BM42" s="239">
        <v>122762</v>
      </c>
      <c r="BN42" s="239">
        <v>0</v>
      </c>
      <c r="BO42" s="239">
        <v>-44398</v>
      </c>
      <c r="BP42" s="239">
        <v>75448</v>
      </c>
      <c r="BQ42" s="239">
        <v>0</v>
      </c>
      <c r="BR42" s="239">
        <v>0</v>
      </c>
      <c r="BS42" s="239">
        <v>0</v>
      </c>
      <c r="BT42" s="239">
        <v>0</v>
      </c>
      <c r="BU42" s="239">
        <v>0</v>
      </c>
      <c r="BV42" s="239">
        <v>0</v>
      </c>
      <c r="BW42" s="239">
        <v>0</v>
      </c>
      <c r="BX42" s="239">
        <v>0</v>
      </c>
      <c r="BY42" s="239">
        <v>0</v>
      </c>
      <c r="BZ42" s="239">
        <v>0</v>
      </c>
      <c r="CA42" s="239">
        <v>0</v>
      </c>
      <c r="CB42" s="239">
        <v>0</v>
      </c>
      <c r="CC42" s="239">
        <v>0</v>
      </c>
      <c r="CD42" s="239">
        <v>2371</v>
      </c>
      <c r="CE42" s="239">
        <v>593</v>
      </c>
      <c r="CF42" s="239">
        <v>0</v>
      </c>
      <c r="CG42" s="239">
        <v>-2371</v>
      </c>
      <c r="CH42" s="239">
        <v>-593</v>
      </c>
      <c r="CI42" s="239">
        <v>0</v>
      </c>
      <c r="CJ42" s="239">
        <v>463</v>
      </c>
      <c r="CK42" s="239">
        <v>116</v>
      </c>
      <c r="CL42" s="239">
        <v>0</v>
      </c>
      <c r="CM42" s="239">
        <v>877</v>
      </c>
      <c r="CN42" s="239">
        <v>219</v>
      </c>
      <c r="CO42" s="239">
        <v>0</v>
      </c>
      <c r="CP42" s="239">
        <v>-414</v>
      </c>
      <c r="CQ42" s="239">
        <v>-103</v>
      </c>
      <c r="CR42" s="239">
        <v>0</v>
      </c>
      <c r="CS42" s="239">
        <v>0</v>
      </c>
      <c r="CT42" s="239">
        <v>0</v>
      </c>
      <c r="CU42" s="239">
        <v>0</v>
      </c>
      <c r="CV42" s="239">
        <v>0</v>
      </c>
      <c r="CW42" s="239">
        <v>0</v>
      </c>
      <c r="CX42" s="239">
        <v>0</v>
      </c>
      <c r="CY42" s="239">
        <v>0</v>
      </c>
      <c r="CZ42" s="239">
        <v>0</v>
      </c>
      <c r="DA42" s="239">
        <v>0</v>
      </c>
      <c r="DB42" s="239">
        <v>0</v>
      </c>
      <c r="DC42" s="239">
        <v>0</v>
      </c>
      <c r="DD42" s="239">
        <v>0</v>
      </c>
      <c r="DE42" s="239">
        <v>0</v>
      </c>
      <c r="DF42" s="239">
        <v>0</v>
      </c>
      <c r="DG42" s="239">
        <v>0</v>
      </c>
      <c r="DH42" s="239">
        <v>0</v>
      </c>
      <c r="DI42" s="239">
        <v>0</v>
      </c>
      <c r="DJ42" s="239">
        <v>0</v>
      </c>
      <c r="DK42" s="239">
        <v>0</v>
      </c>
      <c r="DL42" s="239">
        <v>0</v>
      </c>
      <c r="DM42" s="239">
        <v>0</v>
      </c>
      <c r="DN42" s="239">
        <v>0</v>
      </c>
      <c r="DO42" s="239">
        <v>0</v>
      </c>
      <c r="DP42" s="239">
        <v>0</v>
      </c>
      <c r="DQ42" s="239">
        <v>0</v>
      </c>
      <c r="DR42" s="239">
        <v>0</v>
      </c>
      <c r="DS42" s="239">
        <v>0</v>
      </c>
      <c r="DT42" s="239">
        <v>0</v>
      </c>
      <c r="DU42" s="239">
        <v>0</v>
      </c>
      <c r="DV42" s="239">
        <v>0</v>
      </c>
      <c r="DW42" s="239">
        <v>0</v>
      </c>
      <c r="DX42" s="239">
        <v>0</v>
      </c>
      <c r="DY42" s="239">
        <v>0</v>
      </c>
      <c r="DZ42" s="239">
        <v>8875</v>
      </c>
      <c r="EA42" s="239">
        <v>2219</v>
      </c>
      <c r="EB42" s="239">
        <v>0</v>
      </c>
      <c r="EC42" s="239">
        <v>11389</v>
      </c>
      <c r="ED42" s="239">
        <v>0</v>
      </c>
      <c r="EE42" s="239">
        <v>0</v>
      </c>
      <c r="EF42" s="239">
        <v>-2514</v>
      </c>
      <c r="EG42" s="239">
        <v>2219</v>
      </c>
      <c r="EH42" s="239">
        <v>0</v>
      </c>
      <c r="EI42" s="239">
        <v>15290</v>
      </c>
      <c r="EJ42" s="239">
        <v>3822</v>
      </c>
      <c r="EK42" s="239">
        <v>0</v>
      </c>
      <c r="EL42" s="239">
        <v>106754</v>
      </c>
      <c r="EM42" s="239">
        <v>0</v>
      </c>
      <c r="EN42" s="239">
        <v>0</v>
      </c>
      <c r="EO42" s="239">
        <v>-91464</v>
      </c>
      <c r="EP42" s="239">
        <v>3822</v>
      </c>
      <c r="EQ42" s="239">
        <v>0</v>
      </c>
      <c r="ER42" s="239">
        <v>9744</v>
      </c>
      <c r="ES42" s="239">
        <v>2436</v>
      </c>
      <c r="ET42" s="239">
        <v>0</v>
      </c>
      <c r="EU42" s="239">
        <v>11531</v>
      </c>
      <c r="EV42" s="239">
        <v>0</v>
      </c>
      <c r="EW42" s="239">
        <v>0</v>
      </c>
      <c r="EX42" s="239">
        <v>-1787</v>
      </c>
      <c r="EY42" s="239">
        <v>2436</v>
      </c>
      <c r="EZ42" s="239">
        <v>0</v>
      </c>
      <c r="FA42" s="239">
        <v>235340</v>
      </c>
      <c r="FB42" s="239">
        <v>58835</v>
      </c>
      <c r="FC42" s="239">
        <v>0</v>
      </c>
      <c r="FD42" s="239">
        <v>236190</v>
      </c>
      <c r="FE42" s="239">
        <v>59047</v>
      </c>
      <c r="FF42" s="239">
        <v>0</v>
      </c>
      <c r="FG42" s="239">
        <v>-850</v>
      </c>
      <c r="FH42" s="239">
        <v>-212</v>
      </c>
      <c r="FI42" s="239">
        <v>0</v>
      </c>
      <c r="FJ42" s="239">
        <v>0</v>
      </c>
      <c r="FK42" s="239">
        <v>0</v>
      </c>
      <c r="FL42" s="239">
        <v>0</v>
      </c>
      <c r="FM42" s="239">
        <v>0</v>
      </c>
      <c r="FN42" s="239">
        <v>0</v>
      </c>
      <c r="FO42" s="239">
        <v>0</v>
      </c>
      <c r="FP42" s="239">
        <v>0</v>
      </c>
      <c r="FQ42" s="239">
        <v>0</v>
      </c>
      <c r="FR42" s="239">
        <v>0</v>
      </c>
      <c r="FS42" s="239">
        <v>0</v>
      </c>
      <c r="FT42" s="239">
        <v>0</v>
      </c>
      <c r="FU42" s="239">
        <v>0</v>
      </c>
      <c r="FV42" s="239">
        <v>1062551</v>
      </c>
      <c r="FW42" s="239">
        <v>265638</v>
      </c>
      <c r="FX42" s="239">
        <v>0</v>
      </c>
      <c r="FY42" s="834">
        <v>0.5</v>
      </c>
      <c r="FZ42" s="834">
        <v>0.4</v>
      </c>
      <c r="GA42" s="834">
        <v>0.1</v>
      </c>
      <c r="GB42" s="834">
        <v>0</v>
      </c>
      <c r="GC42" s="214" t="s">
        <v>1158</v>
      </c>
    </row>
    <row r="43" spans="1:185" s="214" customFormat="1" x14ac:dyDescent="0.2">
      <c r="A43" s="215"/>
      <c r="B43" s="602" t="s">
        <v>169</v>
      </c>
      <c r="C43" s="602" t="s">
        <v>168</v>
      </c>
      <c r="D43" s="239">
        <v>744391</v>
      </c>
      <c r="E43" s="239">
        <v>-21258</v>
      </c>
      <c r="F43" s="239">
        <v>723133</v>
      </c>
      <c r="G43" s="239">
        <v>356910.08999999997</v>
      </c>
      <c r="H43" s="239">
        <v>8895.1900000000023</v>
      </c>
      <c r="I43" s="239">
        <v>365805.27999999997</v>
      </c>
      <c r="J43" s="239">
        <v>387480.91000000003</v>
      </c>
      <c r="K43" s="239">
        <v>-30153.190000000002</v>
      </c>
      <c r="L43" s="239">
        <v>357327.72000000003</v>
      </c>
      <c r="M43" s="239">
        <v>106254</v>
      </c>
      <c r="N43" s="239">
        <v>106254</v>
      </c>
      <c r="O43" s="239">
        <v>0</v>
      </c>
      <c r="P43" s="239">
        <v>0</v>
      </c>
      <c r="Q43" s="239">
        <v>0</v>
      </c>
      <c r="R43" s="239">
        <v>0</v>
      </c>
      <c r="S43" s="239">
        <v>0</v>
      </c>
      <c r="T43" s="239">
        <v>2290.6799999999998</v>
      </c>
      <c r="U43" s="239">
        <v>0</v>
      </c>
      <c r="V43" s="239">
        <v>0</v>
      </c>
      <c r="W43" s="239">
        <v>0</v>
      </c>
      <c r="X43" s="239">
        <v>2290.6799999999998</v>
      </c>
      <c r="Y43" s="239">
        <v>111652</v>
      </c>
      <c r="Z43" s="239">
        <v>111652</v>
      </c>
      <c r="AA43" s="239">
        <v>0</v>
      </c>
      <c r="AB43" s="239">
        <v>0</v>
      </c>
      <c r="AC43" s="239">
        <v>110000</v>
      </c>
      <c r="AD43" s="239">
        <v>110000</v>
      </c>
      <c r="AE43" s="239">
        <v>0</v>
      </c>
      <c r="AF43" s="239">
        <v>0</v>
      </c>
      <c r="AG43" s="239">
        <v>1652</v>
      </c>
      <c r="AH43" s="239">
        <v>1652</v>
      </c>
      <c r="AI43" s="239">
        <v>0</v>
      </c>
      <c r="AJ43" s="239">
        <v>0</v>
      </c>
      <c r="AK43" s="239">
        <v>0</v>
      </c>
      <c r="AL43" s="239">
        <v>0</v>
      </c>
      <c r="AM43" s="239">
        <v>0</v>
      </c>
      <c r="AN43" s="239">
        <v>0</v>
      </c>
      <c r="AO43" s="239">
        <v>0</v>
      </c>
      <c r="AP43" s="239">
        <v>0</v>
      </c>
      <c r="AQ43" s="239">
        <v>0</v>
      </c>
      <c r="AR43" s="239">
        <v>0</v>
      </c>
      <c r="AS43" s="239">
        <v>0</v>
      </c>
      <c r="AT43" s="239">
        <v>0</v>
      </c>
      <c r="AU43" s="239">
        <v>0</v>
      </c>
      <c r="AV43" s="239">
        <v>0</v>
      </c>
      <c r="AW43" s="239">
        <v>0</v>
      </c>
      <c r="AX43" s="239">
        <v>0</v>
      </c>
      <c r="AY43" s="239">
        <v>0</v>
      </c>
      <c r="AZ43" s="239">
        <v>0</v>
      </c>
      <c r="BA43" s="239">
        <v>0</v>
      </c>
      <c r="BB43" s="239">
        <v>0</v>
      </c>
      <c r="BC43" s="239">
        <v>660228</v>
      </c>
      <c r="BD43" s="239">
        <v>148551</v>
      </c>
      <c r="BE43" s="239">
        <v>16506</v>
      </c>
      <c r="BF43" s="239">
        <v>644984.74031502148</v>
      </c>
      <c r="BG43" s="239">
        <v>145121.56657087983</v>
      </c>
      <c r="BH43" s="239">
        <v>16124.618507875537</v>
      </c>
      <c r="BI43" s="239">
        <v>47126.938841201714</v>
      </c>
      <c r="BJ43" s="239">
        <v>10603.561239270384</v>
      </c>
      <c r="BK43" s="239">
        <v>1178.1734710300429</v>
      </c>
      <c r="BL43" s="239">
        <v>701960</v>
      </c>
      <c r="BM43" s="239">
        <v>106537</v>
      </c>
      <c r="BN43" s="239">
        <v>11837</v>
      </c>
      <c r="BO43" s="239">
        <v>-41732</v>
      </c>
      <c r="BP43" s="239">
        <v>42014</v>
      </c>
      <c r="BQ43" s="239">
        <v>4669</v>
      </c>
      <c r="BR43" s="239">
        <v>0</v>
      </c>
      <c r="BS43" s="239">
        <v>0</v>
      </c>
      <c r="BT43" s="239">
        <v>0</v>
      </c>
      <c r="BU43" s="239">
        <v>0</v>
      </c>
      <c r="BV43" s="239">
        <v>0</v>
      </c>
      <c r="BW43" s="239">
        <v>0</v>
      </c>
      <c r="BX43" s="239">
        <v>0</v>
      </c>
      <c r="BY43" s="239">
        <v>0</v>
      </c>
      <c r="BZ43" s="239">
        <v>0</v>
      </c>
      <c r="CA43" s="239">
        <v>0</v>
      </c>
      <c r="CB43" s="239">
        <v>0</v>
      </c>
      <c r="CC43" s="239">
        <v>0</v>
      </c>
      <c r="CD43" s="239">
        <v>0</v>
      </c>
      <c r="CE43" s="239">
        <v>0</v>
      </c>
      <c r="CF43" s="239">
        <v>0</v>
      </c>
      <c r="CG43" s="239">
        <v>0</v>
      </c>
      <c r="CH43" s="239">
        <v>0</v>
      </c>
      <c r="CI43" s="239">
        <v>0</v>
      </c>
      <c r="CJ43" s="239">
        <v>700</v>
      </c>
      <c r="CK43" s="239">
        <v>157</v>
      </c>
      <c r="CL43" s="239">
        <v>17</v>
      </c>
      <c r="CM43" s="239">
        <v>0</v>
      </c>
      <c r="CN43" s="239">
        <v>0</v>
      </c>
      <c r="CO43" s="239">
        <v>0</v>
      </c>
      <c r="CP43" s="239">
        <v>700</v>
      </c>
      <c r="CQ43" s="239">
        <v>157</v>
      </c>
      <c r="CR43" s="239">
        <v>17</v>
      </c>
      <c r="CS43" s="239">
        <v>-807</v>
      </c>
      <c r="CT43" s="239">
        <v>-182</v>
      </c>
      <c r="CU43" s="239">
        <v>-20</v>
      </c>
      <c r="CV43" s="239">
        <v>0</v>
      </c>
      <c r="CW43" s="239">
        <v>0</v>
      </c>
      <c r="CX43" s="239">
        <v>0</v>
      </c>
      <c r="CY43" s="239">
        <v>0</v>
      </c>
      <c r="CZ43" s="239">
        <v>0</v>
      </c>
      <c r="DA43" s="239">
        <v>0</v>
      </c>
      <c r="DB43" s="239">
        <v>0</v>
      </c>
      <c r="DC43" s="239">
        <v>0</v>
      </c>
      <c r="DD43" s="239">
        <v>0</v>
      </c>
      <c r="DE43" s="239">
        <v>0</v>
      </c>
      <c r="DF43" s="239">
        <v>0</v>
      </c>
      <c r="DG43" s="239">
        <v>0</v>
      </c>
      <c r="DH43" s="239">
        <v>868</v>
      </c>
      <c r="DI43" s="239">
        <v>195</v>
      </c>
      <c r="DJ43" s="239">
        <v>22</v>
      </c>
      <c r="DK43" s="239">
        <v>869</v>
      </c>
      <c r="DL43" s="239">
        <v>195</v>
      </c>
      <c r="DM43" s="239">
        <v>22</v>
      </c>
      <c r="DN43" s="239">
        <v>-1</v>
      </c>
      <c r="DO43" s="239">
        <v>0</v>
      </c>
      <c r="DP43" s="239">
        <v>0</v>
      </c>
      <c r="DQ43" s="239">
        <v>0</v>
      </c>
      <c r="DR43" s="239">
        <v>0</v>
      </c>
      <c r="DS43" s="239">
        <v>0</v>
      </c>
      <c r="DT43" s="239">
        <v>0</v>
      </c>
      <c r="DU43" s="239">
        <v>0</v>
      </c>
      <c r="DV43" s="239">
        <v>0</v>
      </c>
      <c r="DW43" s="239">
        <v>0</v>
      </c>
      <c r="DX43" s="239">
        <v>0</v>
      </c>
      <c r="DY43" s="239">
        <v>0</v>
      </c>
      <c r="DZ43" s="239">
        <v>4330</v>
      </c>
      <c r="EA43" s="239">
        <v>974</v>
      </c>
      <c r="EB43" s="239">
        <v>108</v>
      </c>
      <c r="EC43" s="239">
        <v>5413</v>
      </c>
      <c r="ED43" s="239">
        <v>0</v>
      </c>
      <c r="EE43" s="239">
        <v>0</v>
      </c>
      <c r="EF43" s="239">
        <v>-1083</v>
      </c>
      <c r="EG43" s="239">
        <v>974</v>
      </c>
      <c r="EH43" s="239">
        <v>108</v>
      </c>
      <c r="EI43" s="239">
        <v>46396</v>
      </c>
      <c r="EJ43" s="239">
        <v>10439</v>
      </c>
      <c r="EK43" s="239">
        <v>1160</v>
      </c>
      <c r="EL43" s="239">
        <v>82104</v>
      </c>
      <c r="EM43" s="239">
        <v>0</v>
      </c>
      <c r="EN43" s="239">
        <v>0</v>
      </c>
      <c r="EO43" s="239">
        <v>-35708</v>
      </c>
      <c r="EP43" s="239">
        <v>10439</v>
      </c>
      <c r="EQ43" s="239">
        <v>1160</v>
      </c>
      <c r="ER43" s="239">
        <v>13675</v>
      </c>
      <c r="ES43" s="239">
        <v>3077</v>
      </c>
      <c r="ET43" s="239">
        <v>342</v>
      </c>
      <c r="EU43" s="239">
        <v>17700</v>
      </c>
      <c r="EV43" s="239">
        <v>0</v>
      </c>
      <c r="EW43" s="239">
        <v>0</v>
      </c>
      <c r="EX43" s="239">
        <v>-4025</v>
      </c>
      <c r="EY43" s="239">
        <v>3077</v>
      </c>
      <c r="EZ43" s="239">
        <v>342</v>
      </c>
      <c r="FA43" s="239">
        <v>160783</v>
      </c>
      <c r="FB43" s="239">
        <v>36211</v>
      </c>
      <c r="FC43" s="239">
        <v>4020</v>
      </c>
      <c r="FD43" s="239">
        <v>160511</v>
      </c>
      <c r="FE43" s="239">
        <v>35743</v>
      </c>
      <c r="FF43" s="239">
        <v>3971</v>
      </c>
      <c r="FG43" s="239">
        <v>272</v>
      </c>
      <c r="FH43" s="239">
        <v>468</v>
      </c>
      <c r="FI43" s="239">
        <v>49</v>
      </c>
      <c r="FJ43" s="239">
        <v>0</v>
      </c>
      <c r="FK43" s="239">
        <v>0</v>
      </c>
      <c r="FL43" s="239">
        <v>0</v>
      </c>
      <c r="FM43" s="239">
        <v>0</v>
      </c>
      <c r="FN43" s="239">
        <v>0</v>
      </c>
      <c r="FO43" s="239">
        <v>0</v>
      </c>
      <c r="FP43" s="239">
        <v>0</v>
      </c>
      <c r="FQ43" s="239">
        <v>0</v>
      </c>
      <c r="FR43" s="239">
        <v>0</v>
      </c>
      <c r="FS43" s="239">
        <v>0</v>
      </c>
      <c r="FT43" s="239">
        <v>0</v>
      </c>
      <c r="FU43" s="239">
        <v>0</v>
      </c>
      <c r="FV43" s="239">
        <v>886173</v>
      </c>
      <c r="FW43" s="239">
        <v>199422</v>
      </c>
      <c r="FX43" s="239">
        <v>22155</v>
      </c>
      <c r="FY43" s="834">
        <v>0.5</v>
      </c>
      <c r="FZ43" s="834">
        <v>0.4</v>
      </c>
      <c r="GA43" s="834">
        <v>0.09</v>
      </c>
      <c r="GB43" s="834">
        <v>0.01</v>
      </c>
      <c r="GC43" s="214" t="s">
        <v>1158</v>
      </c>
    </row>
    <row r="44" spans="1:185" s="214" customFormat="1" x14ac:dyDescent="0.2">
      <c r="B44" s="602" t="s">
        <v>171</v>
      </c>
      <c r="C44" s="602" t="s">
        <v>170</v>
      </c>
      <c r="D44" s="239">
        <v>-2093134</v>
      </c>
      <c r="E44" s="239">
        <v>0</v>
      </c>
      <c r="F44" s="239">
        <v>-2093134</v>
      </c>
      <c r="G44" s="239">
        <v>-2070334</v>
      </c>
      <c r="H44" s="239">
        <v>0</v>
      </c>
      <c r="I44" s="239">
        <v>-2070334</v>
      </c>
      <c r="J44" s="239">
        <v>-22800</v>
      </c>
      <c r="K44" s="239">
        <v>0</v>
      </c>
      <c r="L44" s="239">
        <v>-22800</v>
      </c>
      <c r="M44" s="239">
        <v>148995</v>
      </c>
      <c r="N44" s="239">
        <v>148995</v>
      </c>
      <c r="O44" s="239">
        <v>0</v>
      </c>
      <c r="P44" s="239">
        <v>0</v>
      </c>
      <c r="Q44" s="239">
        <v>0</v>
      </c>
      <c r="R44" s="239">
        <v>0</v>
      </c>
      <c r="S44" s="239">
        <v>234277</v>
      </c>
      <c r="T44" s="239">
        <v>0</v>
      </c>
      <c r="U44" s="239">
        <v>233252</v>
      </c>
      <c r="V44" s="239">
        <v>0</v>
      </c>
      <c r="W44" s="239">
        <v>1025</v>
      </c>
      <c r="X44" s="239">
        <v>0</v>
      </c>
      <c r="Y44" s="239">
        <v>0</v>
      </c>
      <c r="Z44" s="239">
        <v>0</v>
      </c>
      <c r="AA44" s="239">
        <v>0</v>
      </c>
      <c r="AB44" s="239">
        <v>0</v>
      </c>
      <c r="AC44" s="239">
        <v>0</v>
      </c>
      <c r="AD44" s="239">
        <v>0</v>
      </c>
      <c r="AE44" s="239">
        <v>0</v>
      </c>
      <c r="AF44" s="239">
        <v>0</v>
      </c>
      <c r="AG44" s="239">
        <v>0</v>
      </c>
      <c r="AH44" s="239">
        <v>0</v>
      </c>
      <c r="AI44" s="239">
        <v>0</v>
      </c>
      <c r="AJ44" s="239">
        <v>0</v>
      </c>
      <c r="AK44" s="239">
        <v>0</v>
      </c>
      <c r="AL44" s="239">
        <v>0</v>
      </c>
      <c r="AM44" s="239">
        <v>0</v>
      </c>
      <c r="AN44" s="239">
        <v>0</v>
      </c>
      <c r="AO44" s="239">
        <v>0</v>
      </c>
      <c r="AP44" s="239">
        <v>0</v>
      </c>
      <c r="AQ44" s="239">
        <v>0</v>
      </c>
      <c r="AR44" s="239">
        <v>0</v>
      </c>
      <c r="AS44" s="239">
        <v>0</v>
      </c>
      <c r="AT44" s="239">
        <v>0</v>
      </c>
      <c r="AU44" s="239">
        <v>0</v>
      </c>
      <c r="AV44" s="239">
        <v>0</v>
      </c>
      <c r="AW44" s="239">
        <v>0</v>
      </c>
      <c r="AX44" s="239">
        <v>0</v>
      </c>
      <c r="AY44" s="239">
        <v>0</v>
      </c>
      <c r="AZ44" s="239">
        <v>0</v>
      </c>
      <c r="BA44" s="239">
        <v>0</v>
      </c>
      <c r="BB44" s="239">
        <v>0</v>
      </c>
      <c r="BC44" s="239">
        <v>970665</v>
      </c>
      <c r="BD44" s="239">
        <v>218400</v>
      </c>
      <c r="BE44" s="239">
        <v>24267</v>
      </c>
      <c r="BF44" s="239">
        <v>954375.60872618027</v>
      </c>
      <c r="BG44" s="239">
        <v>214734.51196339054</v>
      </c>
      <c r="BH44" s="239">
        <v>23859.390218154505</v>
      </c>
      <c r="BI44" s="239">
        <v>49016.634742489274</v>
      </c>
      <c r="BJ44" s="239">
        <v>11028.742817060085</v>
      </c>
      <c r="BK44" s="239">
        <v>1225.4158685622317</v>
      </c>
      <c r="BL44" s="239">
        <v>929346</v>
      </c>
      <c r="BM44" s="239">
        <v>153470</v>
      </c>
      <c r="BN44" s="239">
        <v>17052</v>
      </c>
      <c r="BO44" s="239">
        <v>41319</v>
      </c>
      <c r="BP44" s="239">
        <v>64930</v>
      </c>
      <c r="BQ44" s="239">
        <v>7215</v>
      </c>
      <c r="BR44" s="239">
        <v>9054</v>
      </c>
      <c r="BS44" s="239">
        <v>2037</v>
      </c>
      <c r="BT44" s="239">
        <v>226</v>
      </c>
      <c r="BU44" s="239">
        <v>2857</v>
      </c>
      <c r="BV44" s="239">
        <v>643</v>
      </c>
      <c r="BW44" s="239">
        <v>71</v>
      </c>
      <c r="BX44" s="239">
        <v>6197</v>
      </c>
      <c r="BY44" s="239">
        <v>1394</v>
      </c>
      <c r="BZ44" s="239">
        <v>155</v>
      </c>
      <c r="CA44" s="239">
        <v>8370</v>
      </c>
      <c r="CB44" s="239">
        <v>1883</v>
      </c>
      <c r="CC44" s="239">
        <v>209</v>
      </c>
      <c r="CD44" s="239">
        <v>10150</v>
      </c>
      <c r="CE44" s="239">
        <v>2284</v>
      </c>
      <c r="CF44" s="239">
        <v>254</v>
      </c>
      <c r="CG44" s="239">
        <v>-1780</v>
      </c>
      <c r="CH44" s="239">
        <v>-401</v>
      </c>
      <c r="CI44" s="239">
        <v>-45</v>
      </c>
      <c r="CJ44" s="239">
        <v>0</v>
      </c>
      <c r="CK44" s="239">
        <v>0</v>
      </c>
      <c r="CL44" s="239">
        <v>0</v>
      </c>
      <c r="CM44" s="239">
        <v>0</v>
      </c>
      <c r="CN44" s="239">
        <v>0</v>
      </c>
      <c r="CO44" s="239">
        <v>0</v>
      </c>
      <c r="CP44" s="239">
        <v>0</v>
      </c>
      <c r="CQ44" s="239">
        <v>0</v>
      </c>
      <c r="CR44" s="239">
        <v>0</v>
      </c>
      <c r="CS44" s="239">
        <v>-16</v>
      </c>
      <c r="CT44" s="239">
        <v>-4</v>
      </c>
      <c r="CU44" s="239">
        <v>0</v>
      </c>
      <c r="CV44" s="239">
        <v>2966</v>
      </c>
      <c r="CW44" s="239">
        <v>667</v>
      </c>
      <c r="CX44" s="239">
        <v>74</v>
      </c>
      <c r="CY44" s="239">
        <v>0</v>
      </c>
      <c r="CZ44" s="239">
        <v>0</v>
      </c>
      <c r="DA44" s="239">
        <v>0</v>
      </c>
      <c r="DB44" s="239">
        <v>2966</v>
      </c>
      <c r="DC44" s="239">
        <v>667</v>
      </c>
      <c r="DD44" s="239">
        <v>74</v>
      </c>
      <c r="DE44" s="239">
        <v>0</v>
      </c>
      <c r="DF44" s="239">
        <v>0</v>
      </c>
      <c r="DG44" s="239">
        <v>0</v>
      </c>
      <c r="DH44" s="239">
        <v>257</v>
      </c>
      <c r="DI44" s="239">
        <v>58</v>
      </c>
      <c r="DJ44" s="239">
        <v>6</v>
      </c>
      <c r="DK44" s="239">
        <v>812</v>
      </c>
      <c r="DL44" s="239">
        <v>183</v>
      </c>
      <c r="DM44" s="239">
        <v>20</v>
      </c>
      <c r="DN44" s="239">
        <v>-555</v>
      </c>
      <c r="DO44" s="239">
        <v>-125</v>
      </c>
      <c r="DP44" s="239">
        <v>-14</v>
      </c>
      <c r="DQ44" s="239">
        <v>0</v>
      </c>
      <c r="DR44" s="239">
        <v>0</v>
      </c>
      <c r="DS44" s="239">
        <v>0</v>
      </c>
      <c r="DT44" s="239">
        <v>1219</v>
      </c>
      <c r="DU44" s="239">
        <v>274</v>
      </c>
      <c r="DV44" s="239">
        <v>30</v>
      </c>
      <c r="DW44" s="239">
        <v>-1219</v>
      </c>
      <c r="DX44" s="239">
        <v>-274</v>
      </c>
      <c r="DY44" s="239">
        <v>-30</v>
      </c>
      <c r="DZ44" s="239">
        <v>4289</v>
      </c>
      <c r="EA44" s="239">
        <v>965</v>
      </c>
      <c r="EB44" s="239">
        <v>107</v>
      </c>
      <c r="EC44" s="239">
        <v>5583</v>
      </c>
      <c r="ED44" s="239">
        <v>0</v>
      </c>
      <c r="EE44" s="239">
        <v>0</v>
      </c>
      <c r="EF44" s="239">
        <v>-1294</v>
      </c>
      <c r="EG44" s="239">
        <v>965</v>
      </c>
      <c r="EH44" s="239">
        <v>107</v>
      </c>
      <c r="EI44" s="239">
        <v>40470</v>
      </c>
      <c r="EJ44" s="239">
        <v>9106</v>
      </c>
      <c r="EK44" s="239">
        <v>1012</v>
      </c>
      <c r="EL44" s="239">
        <v>50000</v>
      </c>
      <c r="EM44" s="239">
        <v>0</v>
      </c>
      <c r="EN44" s="239">
        <v>0</v>
      </c>
      <c r="EO44" s="239">
        <v>-9530</v>
      </c>
      <c r="EP44" s="239">
        <v>9106</v>
      </c>
      <c r="EQ44" s="239">
        <v>1012</v>
      </c>
      <c r="ER44" s="239">
        <v>12977</v>
      </c>
      <c r="ES44" s="239">
        <v>2920</v>
      </c>
      <c r="ET44" s="239">
        <v>324</v>
      </c>
      <c r="EU44" s="239">
        <v>20300</v>
      </c>
      <c r="EV44" s="239">
        <v>0</v>
      </c>
      <c r="EW44" s="239">
        <v>0</v>
      </c>
      <c r="EX44" s="239">
        <v>-7323</v>
      </c>
      <c r="EY44" s="239">
        <v>2920</v>
      </c>
      <c r="EZ44" s="239">
        <v>324</v>
      </c>
      <c r="FA44" s="239">
        <v>149818</v>
      </c>
      <c r="FB44" s="239">
        <v>32917</v>
      </c>
      <c r="FC44" s="239">
        <v>3657</v>
      </c>
      <c r="FD44" s="239">
        <v>151698</v>
      </c>
      <c r="FE44" s="239">
        <v>33344</v>
      </c>
      <c r="FF44" s="239">
        <v>3705</v>
      </c>
      <c r="FG44" s="239">
        <v>-1880</v>
      </c>
      <c r="FH44" s="239">
        <v>-427</v>
      </c>
      <c r="FI44" s="239">
        <v>-48</v>
      </c>
      <c r="FJ44" s="239">
        <v>0</v>
      </c>
      <c r="FK44" s="239">
        <v>0</v>
      </c>
      <c r="FL44" s="239">
        <v>0</v>
      </c>
      <c r="FM44" s="239">
        <v>0</v>
      </c>
      <c r="FN44" s="239">
        <v>0</v>
      </c>
      <c r="FO44" s="239">
        <v>0</v>
      </c>
      <c r="FP44" s="239">
        <v>0</v>
      </c>
      <c r="FQ44" s="239">
        <v>0</v>
      </c>
      <c r="FR44" s="239">
        <v>0</v>
      </c>
      <c r="FS44" s="239">
        <v>0</v>
      </c>
      <c r="FT44" s="239">
        <v>0</v>
      </c>
      <c r="FU44" s="239">
        <v>0</v>
      </c>
      <c r="FV44" s="239">
        <v>1198850</v>
      </c>
      <c r="FW44" s="239">
        <v>268949</v>
      </c>
      <c r="FX44" s="239">
        <v>29882</v>
      </c>
      <c r="FY44" s="834">
        <v>0.5</v>
      </c>
      <c r="FZ44" s="834">
        <v>0.4</v>
      </c>
      <c r="GA44" s="834">
        <v>0.09</v>
      </c>
      <c r="GB44" s="834">
        <v>0.01</v>
      </c>
      <c r="GC44" s="214" t="s">
        <v>1158</v>
      </c>
    </row>
    <row r="45" spans="1:185" s="214" customFormat="1" x14ac:dyDescent="0.2">
      <c r="B45" s="602" t="s">
        <v>173</v>
      </c>
      <c r="C45" s="602" t="s">
        <v>172</v>
      </c>
      <c r="D45" s="239">
        <v>-1902430</v>
      </c>
      <c r="E45" s="239">
        <v>0</v>
      </c>
      <c r="F45" s="239">
        <v>-1902430</v>
      </c>
      <c r="G45" s="239">
        <v>-1770556</v>
      </c>
      <c r="H45" s="239">
        <v>0</v>
      </c>
      <c r="I45" s="239">
        <v>-1770556</v>
      </c>
      <c r="J45" s="239">
        <v>-131874</v>
      </c>
      <c r="K45" s="239">
        <v>0</v>
      </c>
      <c r="L45" s="239">
        <v>-131874</v>
      </c>
      <c r="M45" s="239">
        <v>238334</v>
      </c>
      <c r="N45" s="239">
        <v>238334</v>
      </c>
      <c r="O45" s="239">
        <v>0</v>
      </c>
      <c r="P45" s="239">
        <v>0</v>
      </c>
      <c r="Q45" s="239">
        <v>0</v>
      </c>
      <c r="R45" s="239">
        <v>0</v>
      </c>
      <c r="S45" s="239">
        <v>0</v>
      </c>
      <c r="T45" s="239">
        <v>0</v>
      </c>
      <c r="U45" s="239">
        <v>0</v>
      </c>
      <c r="V45" s="239">
        <v>0</v>
      </c>
      <c r="W45" s="239">
        <v>0</v>
      </c>
      <c r="X45" s="239">
        <v>0</v>
      </c>
      <c r="Y45" s="239">
        <v>0</v>
      </c>
      <c r="Z45" s="239">
        <v>0</v>
      </c>
      <c r="AA45" s="239">
        <v>0</v>
      </c>
      <c r="AB45" s="239">
        <v>0</v>
      </c>
      <c r="AC45" s="239">
        <v>0</v>
      </c>
      <c r="AD45" s="239">
        <v>0</v>
      </c>
      <c r="AE45" s="239">
        <v>0</v>
      </c>
      <c r="AF45" s="239">
        <v>0</v>
      </c>
      <c r="AG45" s="239">
        <v>0</v>
      </c>
      <c r="AH45" s="239">
        <v>0</v>
      </c>
      <c r="AI45" s="239">
        <v>0</v>
      </c>
      <c r="AJ45" s="239">
        <v>0</v>
      </c>
      <c r="AK45" s="239">
        <v>0</v>
      </c>
      <c r="AL45" s="239">
        <v>0</v>
      </c>
      <c r="AM45" s="239">
        <v>0</v>
      </c>
      <c r="AN45" s="239">
        <v>0</v>
      </c>
      <c r="AO45" s="239">
        <v>0</v>
      </c>
      <c r="AP45" s="239">
        <v>0</v>
      </c>
      <c r="AQ45" s="239">
        <v>0</v>
      </c>
      <c r="AR45" s="239">
        <v>0</v>
      </c>
      <c r="AS45" s="239">
        <v>0</v>
      </c>
      <c r="AT45" s="239">
        <v>0</v>
      </c>
      <c r="AU45" s="239">
        <v>0</v>
      </c>
      <c r="AV45" s="239">
        <v>0</v>
      </c>
      <c r="AW45" s="239">
        <v>0</v>
      </c>
      <c r="AX45" s="239">
        <v>0</v>
      </c>
      <c r="AY45" s="239">
        <v>0</v>
      </c>
      <c r="AZ45" s="239">
        <v>0</v>
      </c>
      <c r="BA45" s="239">
        <v>0</v>
      </c>
      <c r="BB45" s="239">
        <v>0</v>
      </c>
      <c r="BC45" s="239">
        <v>4973325</v>
      </c>
      <c r="BD45" s="239">
        <v>0</v>
      </c>
      <c r="BE45" s="239">
        <v>50236</v>
      </c>
      <c r="BF45" s="239">
        <v>4874049.9358118884</v>
      </c>
      <c r="BG45" s="239">
        <v>0</v>
      </c>
      <c r="BH45" s="239">
        <v>49232.827634463523</v>
      </c>
      <c r="BI45" s="239">
        <v>296179.67366111581</v>
      </c>
      <c r="BJ45" s="239">
        <v>0</v>
      </c>
      <c r="BK45" s="239">
        <v>2991.7138753648064</v>
      </c>
      <c r="BL45" s="239">
        <v>4275076</v>
      </c>
      <c r="BM45" s="239">
        <v>0</v>
      </c>
      <c r="BN45" s="239">
        <v>31296</v>
      </c>
      <c r="BO45" s="239">
        <v>698249</v>
      </c>
      <c r="BP45" s="239">
        <v>0</v>
      </c>
      <c r="BQ45" s="239">
        <v>18940</v>
      </c>
      <c r="BR45" s="239">
        <v>9638</v>
      </c>
      <c r="BS45" s="239">
        <v>0</v>
      </c>
      <c r="BT45" s="239">
        <v>97</v>
      </c>
      <c r="BU45" s="239">
        <v>0</v>
      </c>
      <c r="BV45" s="239">
        <v>0</v>
      </c>
      <c r="BW45" s="239">
        <v>0</v>
      </c>
      <c r="BX45" s="239">
        <v>9638</v>
      </c>
      <c r="BY45" s="239">
        <v>0</v>
      </c>
      <c r="BZ45" s="239">
        <v>97</v>
      </c>
      <c r="CA45" s="239">
        <v>87998</v>
      </c>
      <c r="CB45" s="239">
        <v>0</v>
      </c>
      <c r="CC45" s="239">
        <v>889</v>
      </c>
      <c r="CD45" s="239">
        <v>106167</v>
      </c>
      <c r="CE45" s="239">
        <v>0</v>
      </c>
      <c r="CF45" s="239">
        <v>1072</v>
      </c>
      <c r="CG45" s="239">
        <v>-18169</v>
      </c>
      <c r="CH45" s="239">
        <v>0</v>
      </c>
      <c r="CI45" s="239">
        <v>-183</v>
      </c>
      <c r="CJ45" s="239">
        <v>0</v>
      </c>
      <c r="CK45" s="239">
        <v>0</v>
      </c>
      <c r="CL45" s="239">
        <v>0</v>
      </c>
      <c r="CM45" s="239">
        <v>0</v>
      </c>
      <c r="CN45" s="239">
        <v>0</v>
      </c>
      <c r="CO45" s="239">
        <v>0</v>
      </c>
      <c r="CP45" s="239">
        <v>0</v>
      </c>
      <c r="CQ45" s="239">
        <v>0</v>
      </c>
      <c r="CR45" s="239">
        <v>0</v>
      </c>
      <c r="CS45" s="239">
        <v>-11411</v>
      </c>
      <c r="CT45" s="239">
        <v>0</v>
      </c>
      <c r="CU45" s="239">
        <v>-115</v>
      </c>
      <c r="CV45" s="239">
        <v>11450</v>
      </c>
      <c r="CW45" s="239">
        <v>0</v>
      </c>
      <c r="CX45" s="239">
        <v>116</v>
      </c>
      <c r="CY45" s="239">
        <v>0</v>
      </c>
      <c r="CZ45" s="239">
        <v>0</v>
      </c>
      <c r="DA45" s="239">
        <v>0</v>
      </c>
      <c r="DB45" s="239">
        <v>11450</v>
      </c>
      <c r="DC45" s="239">
        <v>0</v>
      </c>
      <c r="DD45" s="239">
        <v>116</v>
      </c>
      <c r="DE45" s="239">
        <v>-417</v>
      </c>
      <c r="DF45" s="239">
        <v>0</v>
      </c>
      <c r="DG45" s="239">
        <v>-4</v>
      </c>
      <c r="DH45" s="239">
        <v>1516</v>
      </c>
      <c r="DI45" s="239">
        <v>0</v>
      </c>
      <c r="DJ45" s="239">
        <v>15</v>
      </c>
      <c r="DK45" s="239">
        <v>1517</v>
      </c>
      <c r="DL45" s="239">
        <v>0</v>
      </c>
      <c r="DM45" s="239">
        <v>15</v>
      </c>
      <c r="DN45" s="239">
        <v>-1</v>
      </c>
      <c r="DO45" s="239">
        <v>0</v>
      </c>
      <c r="DP45" s="239">
        <v>0</v>
      </c>
      <c r="DQ45" s="239">
        <v>0</v>
      </c>
      <c r="DR45" s="239">
        <v>0</v>
      </c>
      <c r="DS45" s="239">
        <v>0</v>
      </c>
      <c r="DT45" s="239">
        <v>0</v>
      </c>
      <c r="DU45" s="239">
        <v>0</v>
      </c>
      <c r="DV45" s="239">
        <v>0</v>
      </c>
      <c r="DW45" s="239">
        <v>0</v>
      </c>
      <c r="DX45" s="239">
        <v>0</v>
      </c>
      <c r="DY45" s="239">
        <v>0</v>
      </c>
      <c r="DZ45" s="239">
        <v>41527</v>
      </c>
      <c r="EA45" s="239">
        <v>0</v>
      </c>
      <c r="EB45" s="239">
        <v>419</v>
      </c>
      <c r="EC45" s="239">
        <v>45270</v>
      </c>
      <c r="ED45" s="239">
        <v>0</v>
      </c>
      <c r="EE45" s="239">
        <v>0</v>
      </c>
      <c r="EF45" s="239">
        <v>-3743</v>
      </c>
      <c r="EG45" s="239">
        <v>0</v>
      </c>
      <c r="EH45" s="239">
        <v>419</v>
      </c>
      <c r="EI45" s="239">
        <v>381543</v>
      </c>
      <c r="EJ45" s="239">
        <v>0</v>
      </c>
      <c r="EK45" s="239">
        <v>3854</v>
      </c>
      <c r="EL45" s="239">
        <v>379693</v>
      </c>
      <c r="EM45" s="239">
        <v>0</v>
      </c>
      <c r="EN45" s="239">
        <v>0</v>
      </c>
      <c r="EO45" s="239">
        <v>1850</v>
      </c>
      <c r="EP45" s="239">
        <v>0</v>
      </c>
      <c r="EQ45" s="239">
        <v>3854</v>
      </c>
      <c r="ER45" s="239">
        <v>81950</v>
      </c>
      <c r="ES45" s="239">
        <v>0</v>
      </c>
      <c r="ET45" s="239">
        <v>828</v>
      </c>
      <c r="EU45" s="239">
        <v>87715</v>
      </c>
      <c r="EV45" s="239">
        <v>0</v>
      </c>
      <c r="EW45" s="239">
        <v>0</v>
      </c>
      <c r="EX45" s="239">
        <v>-5765</v>
      </c>
      <c r="EY45" s="239">
        <v>0</v>
      </c>
      <c r="EZ45" s="239">
        <v>828</v>
      </c>
      <c r="FA45" s="239">
        <v>616227</v>
      </c>
      <c r="FB45" s="239">
        <v>0</v>
      </c>
      <c r="FC45" s="239">
        <v>6225</v>
      </c>
      <c r="FD45" s="239">
        <v>694053</v>
      </c>
      <c r="FE45" s="239">
        <v>0</v>
      </c>
      <c r="FF45" s="239">
        <v>7011</v>
      </c>
      <c r="FG45" s="239">
        <v>-77826</v>
      </c>
      <c r="FH45" s="239">
        <v>0</v>
      </c>
      <c r="FI45" s="239">
        <v>-786</v>
      </c>
      <c r="FJ45" s="239">
        <v>0</v>
      </c>
      <c r="FK45" s="239">
        <v>0</v>
      </c>
      <c r="FL45" s="239">
        <v>0</v>
      </c>
      <c r="FM45" s="239">
        <v>0</v>
      </c>
      <c r="FN45" s="239">
        <v>0</v>
      </c>
      <c r="FO45" s="239">
        <v>0</v>
      </c>
      <c r="FP45" s="239">
        <v>0</v>
      </c>
      <c r="FQ45" s="239">
        <v>0</v>
      </c>
      <c r="FR45" s="239">
        <v>0</v>
      </c>
      <c r="FS45" s="239">
        <v>0</v>
      </c>
      <c r="FT45" s="239">
        <v>0</v>
      </c>
      <c r="FU45" s="239">
        <v>0</v>
      </c>
      <c r="FV45" s="239">
        <v>6193346</v>
      </c>
      <c r="FW45" s="239">
        <v>0</v>
      </c>
      <c r="FX45" s="239">
        <v>62560</v>
      </c>
      <c r="FY45" s="834">
        <v>0</v>
      </c>
      <c r="FZ45" s="834">
        <v>0.99</v>
      </c>
      <c r="GA45" s="834">
        <v>0</v>
      </c>
      <c r="GB45" s="834">
        <v>0.01</v>
      </c>
      <c r="GC45" s="214" t="s">
        <v>1160</v>
      </c>
    </row>
    <row r="46" spans="1:185" s="214" customFormat="1" x14ac:dyDescent="0.2">
      <c r="B46" s="602" t="s">
        <v>175</v>
      </c>
      <c r="C46" s="602" t="s">
        <v>174</v>
      </c>
      <c r="D46" s="239">
        <v>-1753128</v>
      </c>
      <c r="E46" s="239">
        <v>0</v>
      </c>
      <c r="F46" s="239">
        <v>-1753128</v>
      </c>
      <c r="G46" s="239">
        <v>-1606035</v>
      </c>
      <c r="H46" s="239">
        <v>0</v>
      </c>
      <c r="I46" s="239">
        <v>-1606035</v>
      </c>
      <c r="J46" s="239">
        <v>-147093</v>
      </c>
      <c r="K46" s="239">
        <v>0</v>
      </c>
      <c r="L46" s="239">
        <v>-147093</v>
      </c>
      <c r="M46" s="239">
        <v>349888</v>
      </c>
      <c r="N46" s="239">
        <v>349888</v>
      </c>
      <c r="O46" s="239">
        <v>0</v>
      </c>
      <c r="P46" s="239">
        <v>0</v>
      </c>
      <c r="Q46" s="239">
        <v>0</v>
      </c>
      <c r="R46" s="239">
        <v>0</v>
      </c>
      <c r="S46" s="239">
        <v>345565</v>
      </c>
      <c r="T46" s="239">
        <v>0</v>
      </c>
      <c r="U46" s="239">
        <v>218234</v>
      </c>
      <c r="V46" s="239">
        <v>0</v>
      </c>
      <c r="W46" s="239">
        <v>127331</v>
      </c>
      <c r="X46" s="239">
        <v>0</v>
      </c>
      <c r="Y46" s="239">
        <v>0</v>
      </c>
      <c r="Z46" s="239">
        <v>0</v>
      </c>
      <c r="AA46" s="239">
        <v>0</v>
      </c>
      <c r="AB46" s="239">
        <v>0</v>
      </c>
      <c r="AC46" s="239">
        <v>0</v>
      </c>
      <c r="AD46" s="239">
        <v>0</v>
      </c>
      <c r="AE46" s="239">
        <v>0</v>
      </c>
      <c r="AF46" s="239">
        <v>0</v>
      </c>
      <c r="AG46" s="239">
        <v>0</v>
      </c>
      <c r="AH46" s="239">
        <v>0</v>
      </c>
      <c r="AI46" s="239">
        <v>0</v>
      </c>
      <c r="AJ46" s="239">
        <v>0</v>
      </c>
      <c r="AK46" s="239">
        <v>0</v>
      </c>
      <c r="AL46" s="239">
        <v>0</v>
      </c>
      <c r="AM46" s="239">
        <v>0</v>
      </c>
      <c r="AN46" s="239">
        <v>0</v>
      </c>
      <c r="AO46" s="239">
        <v>0</v>
      </c>
      <c r="AP46" s="239">
        <v>0</v>
      </c>
      <c r="AQ46" s="239">
        <v>0</v>
      </c>
      <c r="AR46" s="239">
        <v>0</v>
      </c>
      <c r="AS46" s="239">
        <v>0</v>
      </c>
      <c r="AT46" s="239">
        <v>0</v>
      </c>
      <c r="AU46" s="239">
        <v>0</v>
      </c>
      <c r="AV46" s="239">
        <v>0</v>
      </c>
      <c r="AW46" s="239">
        <v>0</v>
      </c>
      <c r="AX46" s="239">
        <v>0</v>
      </c>
      <c r="AY46" s="239">
        <v>0</v>
      </c>
      <c r="AZ46" s="239">
        <v>0</v>
      </c>
      <c r="BA46" s="239">
        <v>0</v>
      </c>
      <c r="BB46" s="239">
        <v>0</v>
      </c>
      <c r="BC46" s="239">
        <v>3304091</v>
      </c>
      <c r="BD46" s="239">
        <v>0</v>
      </c>
      <c r="BE46" s="239">
        <v>67430</v>
      </c>
      <c r="BF46" s="239">
        <v>3250358.5646390556</v>
      </c>
      <c r="BG46" s="239">
        <v>0</v>
      </c>
      <c r="BH46" s="239">
        <v>66333.848257939913</v>
      </c>
      <c r="BI46" s="239">
        <v>152874.69622317597</v>
      </c>
      <c r="BJ46" s="239">
        <v>0</v>
      </c>
      <c r="BK46" s="239">
        <v>3119.8917596566525</v>
      </c>
      <c r="BL46" s="239">
        <v>4135184</v>
      </c>
      <c r="BM46" s="239">
        <v>0</v>
      </c>
      <c r="BN46" s="239">
        <v>63326</v>
      </c>
      <c r="BO46" s="239">
        <v>-831093</v>
      </c>
      <c r="BP46" s="239">
        <v>0</v>
      </c>
      <c r="BQ46" s="239">
        <v>4104</v>
      </c>
      <c r="BR46" s="239">
        <v>0</v>
      </c>
      <c r="BS46" s="239">
        <v>0</v>
      </c>
      <c r="BT46" s="239">
        <v>0</v>
      </c>
      <c r="BU46" s="239">
        <v>0</v>
      </c>
      <c r="BV46" s="239">
        <v>0</v>
      </c>
      <c r="BW46" s="239">
        <v>0</v>
      </c>
      <c r="BX46" s="239">
        <v>0</v>
      </c>
      <c r="BY46" s="239">
        <v>0</v>
      </c>
      <c r="BZ46" s="239">
        <v>0</v>
      </c>
      <c r="CA46" s="239">
        <v>0</v>
      </c>
      <c r="CB46" s="239">
        <v>0</v>
      </c>
      <c r="CC46" s="239">
        <v>0</v>
      </c>
      <c r="CD46" s="239">
        <v>0</v>
      </c>
      <c r="CE46" s="239">
        <v>0</v>
      </c>
      <c r="CF46" s="239">
        <v>0</v>
      </c>
      <c r="CG46" s="239">
        <v>0</v>
      </c>
      <c r="CH46" s="239">
        <v>0</v>
      </c>
      <c r="CI46" s="239">
        <v>0</v>
      </c>
      <c r="CJ46" s="239">
        <v>614</v>
      </c>
      <c r="CK46" s="239">
        <v>0</v>
      </c>
      <c r="CL46" s="239">
        <v>13</v>
      </c>
      <c r="CM46" s="239">
        <v>0</v>
      </c>
      <c r="CN46" s="239">
        <v>0</v>
      </c>
      <c r="CO46" s="239">
        <v>0</v>
      </c>
      <c r="CP46" s="239">
        <v>614</v>
      </c>
      <c r="CQ46" s="239">
        <v>0</v>
      </c>
      <c r="CR46" s="239">
        <v>13</v>
      </c>
      <c r="CS46" s="239">
        <v>-3560</v>
      </c>
      <c r="CT46" s="239">
        <v>0</v>
      </c>
      <c r="CU46" s="239">
        <v>-73</v>
      </c>
      <c r="CV46" s="239">
        <v>584</v>
      </c>
      <c r="CW46" s="239">
        <v>0</v>
      </c>
      <c r="CX46" s="239">
        <v>12</v>
      </c>
      <c r="CY46" s="239">
        <v>0</v>
      </c>
      <c r="CZ46" s="239">
        <v>0</v>
      </c>
      <c r="DA46" s="239">
        <v>0</v>
      </c>
      <c r="DB46" s="239">
        <v>584</v>
      </c>
      <c r="DC46" s="239">
        <v>0</v>
      </c>
      <c r="DD46" s="239">
        <v>12</v>
      </c>
      <c r="DE46" s="239">
        <v>-1444</v>
      </c>
      <c r="DF46" s="239">
        <v>0</v>
      </c>
      <c r="DG46" s="239">
        <v>-29</v>
      </c>
      <c r="DH46" s="239">
        <v>3368</v>
      </c>
      <c r="DI46" s="239">
        <v>0</v>
      </c>
      <c r="DJ46" s="239">
        <v>69</v>
      </c>
      <c r="DK46" s="239">
        <v>0</v>
      </c>
      <c r="DL46" s="239">
        <v>0</v>
      </c>
      <c r="DM46" s="239">
        <v>0</v>
      </c>
      <c r="DN46" s="239">
        <v>3368</v>
      </c>
      <c r="DO46" s="239">
        <v>0</v>
      </c>
      <c r="DP46" s="239">
        <v>69</v>
      </c>
      <c r="DQ46" s="239">
        <v>0</v>
      </c>
      <c r="DR46" s="239">
        <v>0</v>
      </c>
      <c r="DS46" s="239">
        <v>0</v>
      </c>
      <c r="DT46" s="239">
        <v>0</v>
      </c>
      <c r="DU46" s="239">
        <v>0</v>
      </c>
      <c r="DV46" s="239">
        <v>0</v>
      </c>
      <c r="DW46" s="239">
        <v>0</v>
      </c>
      <c r="DX46" s="239">
        <v>0</v>
      </c>
      <c r="DY46" s="239">
        <v>0</v>
      </c>
      <c r="DZ46" s="239">
        <v>24384</v>
      </c>
      <c r="EA46" s="239">
        <v>0</v>
      </c>
      <c r="EB46" s="239">
        <v>498</v>
      </c>
      <c r="EC46" s="239">
        <v>27913</v>
      </c>
      <c r="ED46" s="239">
        <v>0</v>
      </c>
      <c r="EE46" s="239">
        <v>0</v>
      </c>
      <c r="EF46" s="239">
        <v>-3529</v>
      </c>
      <c r="EG46" s="239">
        <v>0</v>
      </c>
      <c r="EH46" s="239">
        <v>498</v>
      </c>
      <c r="EI46" s="239">
        <v>147853</v>
      </c>
      <c r="EJ46" s="239">
        <v>0</v>
      </c>
      <c r="EK46" s="239">
        <v>3017</v>
      </c>
      <c r="EL46" s="239">
        <v>158518</v>
      </c>
      <c r="EM46" s="239">
        <v>0</v>
      </c>
      <c r="EN46" s="239">
        <v>0</v>
      </c>
      <c r="EO46" s="239">
        <v>-10665</v>
      </c>
      <c r="EP46" s="239">
        <v>0</v>
      </c>
      <c r="EQ46" s="239">
        <v>3017</v>
      </c>
      <c r="ER46" s="239">
        <v>49723</v>
      </c>
      <c r="ES46" s="239">
        <v>0</v>
      </c>
      <c r="ET46" s="239">
        <v>1015</v>
      </c>
      <c r="EU46" s="239">
        <v>53289</v>
      </c>
      <c r="EV46" s="239">
        <v>0</v>
      </c>
      <c r="EW46" s="239">
        <v>0</v>
      </c>
      <c r="EX46" s="239">
        <v>-3566</v>
      </c>
      <c r="EY46" s="239">
        <v>0</v>
      </c>
      <c r="EZ46" s="239">
        <v>1015</v>
      </c>
      <c r="FA46" s="239">
        <v>390807</v>
      </c>
      <c r="FB46" s="239">
        <v>0</v>
      </c>
      <c r="FC46" s="239">
        <v>7870</v>
      </c>
      <c r="FD46" s="239">
        <v>384983</v>
      </c>
      <c r="FE46" s="239">
        <v>0</v>
      </c>
      <c r="FF46" s="239">
        <v>7790</v>
      </c>
      <c r="FG46" s="239">
        <v>5824</v>
      </c>
      <c r="FH46" s="239">
        <v>0</v>
      </c>
      <c r="FI46" s="239">
        <v>80</v>
      </c>
      <c r="FJ46" s="239">
        <v>0</v>
      </c>
      <c r="FK46" s="239">
        <v>0</v>
      </c>
      <c r="FL46" s="239">
        <v>0</v>
      </c>
      <c r="FM46" s="239">
        <v>0</v>
      </c>
      <c r="FN46" s="239">
        <v>0</v>
      </c>
      <c r="FO46" s="239">
        <v>0</v>
      </c>
      <c r="FP46" s="239">
        <v>0</v>
      </c>
      <c r="FQ46" s="239">
        <v>0</v>
      </c>
      <c r="FR46" s="239">
        <v>0</v>
      </c>
      <c r="FS46" s="239">
        <v>0</v>
      </c>
      <c r="FT46" s="239">
        <v>0</v>
      </c>
      <c r="FU46" s="239">
        <v>0</v>
      </c>
      <c r="FV46" s="239">
        <v>3916420</v>
      </c>
      <c r="FW46" s="239">
        <v>0</v>
      </c>
      <c r="FX46" s="239">
        <v>79822</v>
      </c>
      <c r="FY46" s="834">
        <v>0.5</v>
      </c>
      <c r="FZ46" s="834">
        <v>0.49</v>
      </c>
      <c r="GA46" s="834">
        <v>0</v>
      </c>
      <c r="GB46" s="834">
        <v>0.01</v>
      </c>
      <c r="GC46" s="214" t="s">
        <v>1160</v>
      </c>
    </row>
    <row r="47" spans="1:185" s="214" customFormat="1" x14ac:dyDescent="0.2">
      <c r="B47" s="602" t="s">
        <v>177</v>
      </c>
      <c r="C47" s="602" t="s">
        <v>176</v>
      </c>
      <c r="D47" s="239">
        <v>20456</v>
      </c>
      <c r="E47" s="239">
        <v>0</v>
      </c>
      <c r="F47" s="239">
        <v>20456</v>
      </c>
      <c r="G47" s="239">
        <v>618501</v>
      </c>
      <c r="H47" s="239">
        <v>0</v>
      </c>
      <c r="I47" s="239">
        <v>618501</v>
      </c>
      <c r="J47" s="239">
        <v>-598045</v>
      </c>
      <c r="K47" s="239">
        <v>0</v>
      </c>
      <c r="L47" s="239">
        <v>-598045</v>
      </c>
      <c r="M47" s="239">
        <v>226244</v>
      </c>
      <c r="N47" s="239">
        <v>226244</v>
      </c>
      <c r="O47" s="239">
        <v>0</v>
      </c>
      <c r="P47" s="239">
        <v>0</v>
      </c>
      <c r="Q47" s="239">
        <v>0</v>
      </c>
      <c r="R47" s="239">
        <v>0</v>
      </c>
      <c r="S47" s="239">
        <v>0</v>
      </c>
      <c r="T47" s="239">
        <v>0</v>
      </c>
      <c r="U47" s="239">
        <v>0</v>
      </c>
      <c r="V47" s="239">
        <v>0</v>
      </c>
      <c r="W47" s="239">
        <v>0</v>
      </c>
      <c r="X47" s="239">
        <v>0</v>
      </c>
      <c r="Y47" s="239">
        <v>0</v>
      </c>
      <c r="Z47" s="239">
        <v>0</v>
      </c>
      <c r="AA47" s="239">
        <v>0</v>
      </c>
      <c r="AB47" s="239">
        <v>0</v>
      </c>
      <c r="AC47" s="239">
        <v>0</v>
      </c>
      <c r="AD47" s="239">
        <v>0</v>
      </c>
      <c r="AE47" s="239">
        <v>0</v>
      </c>
      <c r="AF47" s="239">
        <v>0</v>
      </c>
      <c r="AG47" s="239">
        <v>0</v>
      </c>
      <c r="AH47" s="239">
        <v>0</v>
      </c>
      <c r="AI47" s="239">
        <v>0</v>
      </c>
      <c r="AJ47" s="239">
        <v>0</v>
      </c>
      <c r="AK47" s="239">
        <v>367158</v>
      </c>
      <c r="AL47" s="239">
        <v>293726</v>
      </c>
      <c r="AM47" s="239">
        <v>66088</v>
      </c>
      <c r="AN47" s="239">
        <v>7343</v>
      </c>
      <c r="AO47" s="239">
        <v>138887</v>
      </c>
      <c r="AP47" s="239">
        <v>111109</v>
      </c>
      <c r="AQ47" s="239">
        <v>25000</v>
      </c>
      <c r="AR47" s="239">
        <v>2778</v>
      </c>
      <c r="AS47" s="239">
        <v>228271</v>
      </c>
      <c r="AT47" s="239">
        <v>182617</v>
      </c>
      <c r="AU47" s="239">
        <v>41088</v>
      </c>
      <c r="AV47" s="239">
        <v>4565</v>
      </c>
      <c r="AW47" s="239">
        <v>0</v>
      </c>
      <c r="AX47" s="239">
        <v>0</v>
      </c>
      <c r="AY47" s="239">
        <v>0</v>
      </c>
      <c r="AZ47" s="239">
        <v>0</v>
      </c>
      <c r="BA47" s="239">
        <v>0</v>
      </c>
      <c r="BB47" s="239">
        <v>0</v>
      </c>
      <c r="BC47" s="239">
        <v>856683</v>
      </c>
      <c r="BD47" s="239">
        <v>192754</v>
      </c>
      <c r="BE47" s="239">
        <v>21417</v>
      </c>
      <c r="BF47" s="239">
        <v>812686.57647038624</v>
      </c>
      <c r="BG47" s="239">
        <v>182854.47970583691</v>
      </c>
      <c r="BH47" s="239">
        <v>20317.164411759652</v>
      </c>
      <c r="BI47" s="239">
        <v>130812.18978540774</v>
      </c>
      <c r="BJ47" s="239">
        <v>29432.742701716739</v>
      </c>
      <c r="BK47" s="239">
        <v>3270.3047446351934</v>
      </c>
      <c r="BL47" s="239">
        <v>842915</v>
      </c>
      <c r="BM47" s="239">
        <v>111891</v>
      </c>
      <c r="BN47" s="239">
        <v>12432</v>
      </c>
      <c r="BO47" s="239">
        <v>13768</v>
      </c>
      <c r="BP47" s="239">
        <v>80863</v>
      </c>
      <c r="BQ47" s="239">
        <v>8985</v>
      </c>
      <c r="BR47" s="239">
        <v>15854</v>
      </c>
      <c r="BS47" s="239">
        <v>3567</v>
      </c>
      <c r="BT47" s="239">
        <v>396</v>
      </c>
      <c r="BU47" s="239">
        <v>2030</v>
      </c>
      <c r="BV47" s="239">
        <v>457</v>
      </c>
      <c r="BW47" s="239">
        <v>51</v>
      </c>
      <c r="BX47" s="239">
        <v>13824</v>
      </c>
      <c r="BY47" s="239">
        <v>3110</v>
      </c>
      <c r="BZ47" s="239">
        <v>345</v>
      </c>
      <c r="CA47" s="239">
        <v>419</v>
      </c>
      <c r="CB47" s="239">
        <v>94</v>
      </c>
      <c r="CC47" s="239">
        <v>10</v>
      </c>
      <c r="CD47" s="239">
        <v>20300</v>
      </c>
      <c r="CE47" s="239">
        <v>4568</v>
      </c>
      <c r="CF47" s="239">
        <v>508</v>
      </c>
      <c r="CG47" s="239">
        <v>-19881</v>
      </c>
      <c r="CH47" s="239">
        <v>-4474</v>
      </c>
      <c r="CI47" s="239">
        <v>-498</v>
      </c>
      <c r="CJ47" s="239">
        <v>0</v>
      </c>
      <c r="CK47" s="239">
        <v>0</v>
      </c>
      <c r="CL47" s="239">
        <v>0</v>
      </c>
      <c r="CM47" s="239">
        <v>30451</v>
      </c>
      <c r="CN47" s="239">
        <v>6851</v>
      </c>
      <c r="CO47" s="239">
        <v>761</v>
      </c>
      <c r="CP47" s="239">
        <v>-30451</v>
      </c>
      <c r="CQ47" s="239">
        <v>-6851</v>
      </c>
      <c r="CR47" s="239">
        <v>-761</v>
      </c>
      <c r="CS47" s="239">
        <v>-25</v>
      </c>
      <c r="CT47" s="239">
        <v>-6</v>
      </c>
      <c r="CU47" s="239">
        <v>-1</v>
      </c>
      <c r="CV47" s="239">
        <v>0</v>
      </c>
      <c r="CW47" s="239">
        <v>0</v>
      </c>
      <c r="CX47" s="239">
        <v>0</v>
      </c>
      <c r="CY47" s="239">
        <v>0</v>
      </c>
      <c r="CZ47" s="239">
        <v>0</v>
      </c>
      <c r="DA47" s="239">
        <v>0</v>
      </c>
      <c r="DB47" s="239">
        <v>0</v>
      </c>
      <c r="DC47" s="239">
        <v>0</v>
      </c>
      <c r="DD47" s="239">
        <v>0</v>
      </c>
      <c r="DE47" s="239">
        <v>0</v>
      </c>
      <c r="DF47" s="239">
        <v>0</v>
      </c>
      <c r="DG47" s="239">
        <v>0</v>
      </c>
      <c r="DH47" s="239">
        <v>0</v>
      </c>
      <c r="DI47" s="239">
        <v>0</v>
      </c>
      <c r="DJ47" s="239">
        <v>0</v>
      </c>
      <c r="DK47" s="239">
        <v>0</v>
      </c>
      <c r="DL47" s="239">
        <v>0</v>
      </c>
      <c r="DM47" s="239">
        <v>0</v>
      </c>
      <c r="DN47" s="239">
        <v>0</v>
      </c>
      <c r="DO47" s="239">
        <v>0</v>
      </c>
      <c r="DP47" s="239">
        <v>0</v>
      </c>
      <c r="DQ47" s="239">
        <v>0</v>
      </c>
      <c r="DR47" s="239">
        <v>0</v>
      </c>
      <c r="DS47" s="239">
        <v>0</v>
      </c>
      <c r="DT47" s="239">
        <v>0</v>
      </c>
      <c r="DU47" s="239">
        <v>0</v>
      </c>
      <c r="DV47" s="239">
        <v>0</v>
      </c>
      <c r="DW47" s="239">
        <v>0</v>
      </c>
      <c r="DX47" s="239">
        <v>0</v>
      </c>
      <c r="DY47" s="239">
        <v>0</v>
      </c>
      <c r="DZ47" s="239">
        <v>4105</v>
      </c>
      <c r="EA47" s="239">
        <v>924</v>
      </c>
      <c r="EB47" s="239">
        <v>103</v>
      </c>
      <c r="EC47" s="239">
        <v>0</v>
      </c>
      <c r="ED47" s="239">
        <v>0</v>
      </c>
      <c r="EE47" s="239">
        <v>0</v>
      </c>
      <c r="EF47" s="239">
        <v>4105</v>
      </c>
      <c r="EG47" s="239">
        <v>924</v>
      </c>
      <c r="EH47" s="239">
        <v>103</v>
      </c>
      <c r="EI47" s="239">
        <v>178651</v>
      </c>
      <c r="EJ47" s="239">
        <v>40197</v>
      </c>
      <c r="EK47" s="239">
        <v>4466</v>
      </c>
      <c r="EL47" s="239">
        <v>220010</v>
      </c>
      <c r="EM47" s="239">
        <v>0</v>
      </c>
      <c r="EN47" s="239">
        <v>0</v>
      </c>
      <c r="EO47" s="239">
        <v>-41359</v>
      </c>
      <c r="EP47" s="239">
        <v>40197</v>
      </c>
      <c r="EQ47" s="239">
        <v>4466</v>
      </c>
      <c r="ER47" s="239">
        <v>23296</v>
      </c>
      <c r="ES47" s="239">
        <v>5242</v>
      </c>
      <c r="ET47" s="239">
        <v>582</v>
      </c>
      <c r="EU47" s="239">
        <v>0</v>
      </c>
      <c r="EV47" s="239">
        <v>0</v>
      </c>
      <c r="EW47" s="239">
        <v>0</v>
      </c>
      <c r="EX47" s="239">
        <v>23296</v>
      </c>
      <c r="EY47" s="239">
        <v>5242</v>
      </c>
      <c r="EZ47" s="239">
        <v>582</v>
      </c>
      <c r="FA47" s="239">
        <v>618133</v>
      </c>
      <c r="FB47" s="239">
        <v>139080</v>
      </c>
      <c r="FC47" s="239">
        <v>15453</v>
      </c>
      <c r="FD47" s="239">
        <v>615651</v>
      </c>
      <c r="FE47" s="239">
        <v>138521</v>
      </c>
      <c r="FF47" s="239">
        <v>15391</v>
      </c>
      <c r="FG47" s="239">
        <v>2482</v>
      </c>
      <c r="FH47" s="239">
        <v>559</v>
      </c>
      <c r="FI47" s="239">
        <v>62</v>
      </c>
      <c r="FJ47" s="239">
        <v>0</v>
      </c>
      <c r="FK47" s="239">
        <v>0</v>
      </c>
      <c r="FL47" s="239">
        <v>0</v>
      </c>
      <c r="FM47" s="239">
        <v>0</v>
      </c>
      <c r="FN47" s="239">
        <v>0</v>
      </c>
      <c r="FO47" s="239">
        <v>0</v>
      </c>
      <c r="FP47" s="239">
        <v>0</v>
      </c>
      <c r="FQ47" s="239">
        <v>0</v>
      </c>
      <c r="FR47" s="239">
        <v>0</v>
      </c>
      <c r="FS47" s="239">
        <v>0</v>
      </c>
      <c r="FT47" s="239">
        <v>0</v>
      </c>
      <c r="FU47" s="239">
        <v>0</v>
      </c>
      <c r="FV47" s="239">
        <v>1697116</v>
      </c>
      <c r="FW47" s="239">
        <v>381852</v>
      </c>
      <c r="FX47" s="239">
        <v>42426</v>
      </c>
      <c r="FY47" s="834">
        <v>0.5</v>
      </c>
      <c r="FZ47" s="834">
        <v>0.4</v>
      </c>
      <c r="GA47" s="834">
        <v>0.09</v>
      </c>
      <c r="GB47" s="834">
        <v>0.01</v>
      </c>
      <c r="GC47" s="214" t="s">
        <v>1158</v>
      </c>
    </row>
    <row r="48" spans="1:185" s="214" customFormat="1" x14ac:dyDescent="0.2">
      <c r="B48" s="602" t="s">
        <v>179</v>
      </c>
      <c r="C48" s="602" t="s">
        <v>178</v>
      </c>
      <c r="D48" s="239">
        <v>40225395</v>
      </c>
      <c r="E48" s="239">
        <v>0</v>
      </c>
      <c r="F48" s="239">
        <v>40225395</v>
      </c>
      <c r="G48" s="239">
        <v>42239009</v>
      </c>
      <c r="H48" s="239">
        <v>0</v>
      </c>
      <c r="I48" s="239">
        <v>42239009</v>
      </c>
      <c r="J48" s="239">
        <v>-2013614</v>
      </c>
      <c r="K48" s="239">
        <v>0</v>
      </c>
      <c r="L48" s="239">
        <v>-2013614</v>
      </c>
      <c r="M48" s="239">
        <v>1258806</v>
      </c>
      <c r="N48" s="239">
        <v>1258806</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0</v>
      </c>
      <c r="AR48" s="239">
        <v>0</v>
      </c>
      <c r="AS48" s="239">
        <v>0</v>
      </c>
      <c r="AT48" s="239">
        <v>0</v>
      </c>
      <c r="AU48" s="239">
        <v>0</v>
      </c>
      <c r="AV48" s="239">
        <v>0</v>
      </c>
      <c r="AW48" s="239">
        <v>0</v>
      </c>
      <c r="AX48" s="239">
        <v>0</v>
      </c>
      <c r="AY48" s="239">
        <v>0</v>
      </c>
      <c r="AZ48" s="239">
        <v>0</v>
      </c>
      <c r="BA48" s="239">
        <v>0</v>
      </c>
      <c r="BB48" s="239">
        <v>0</v>
      </c>
      <c r="BC48" s="239">
        <v>1160110</v>
      </c>
      <c r="BD48" s="239">
        <v>1430802</v>
      </c>
      <c r="BE48" s="239">
        <v>0</v>
      </c>
      <c r="BF48" s="239">
        <v>1101657.4587553649</v>
      </c>
      <c r="BG48" s="239">
        <v>1358710.8657982834</v>
      </c>
      <c r="BH48" s="239">
        <v>0</v>
      </c>
      <c r="BI48" s="239">
        <v>374299.3285300429</v>
      </c>
      <c r="BJ48" s="239">
        <v>461635.83852038626</v>
      </c>
      <c r="BK48" s="239">
        <v>0</v>
      </c>
      <c r="BL48" s="239">
        <v>1319006</v>
      </c>
      <c r="BM48" s="239">
        <v>743453</v>
      </c>
      <c r="BN48" s="239">
        <v>0</v>
      </c>
      <c r="BO48" s="239">
        <v>-158896</v>
      </c>
      <c r="BP48" s="239">
        <v>687349</v>
      </c>
      <c r="BQ48" s="239">
        <v>0</v>
      </c>
      <c r="BR48" s="239">
        <v>0</v>
      </c>
      <c r="BS48" s="239">
        <v>0</v>
      </c>
      <c r="BT48" s="239">
        <v>0</v>
      </c>
      <c r="BU48" s="239">
        <v>0</v>
      </c>
      <c r="BV48" s="239">
        <v>0</v>
      </c>
      <c r="BW48" s="239">
        <v>0</v>
      </c>
      <c r="BX48" s="239">
        <v>0</v>
      </c>
      <c r="BY48" s="239">
        <v>0</v>
      </c>
      <c r="BZ48" s="239">
        <v>0</v>
      </c>
      <c r="CA48" s="239">
        <v>0</v>
      </c>
      <c r="CB48" s="239">
        <v>0</v>
      </c>
      <c r="CC48" s="239">
        <v>0</v>
      </c>
      <c r="CD48" s="239">
        <v>0</v>
      </c>
      <c r="CE48" s="239">
        <v>0</v>
      </c>
      <c r="CF48" s="239">
        <v>0</v>
      </c>
      <c r="CG48" s="239">
        <v>0</v>
      </c>
      <c r="CH48" s="239">
        <v>0</v>
      </c>
      <c r="CI48" s="239">
        <v>0</v>
      </c>
      <c r="CJ48" s="239">
        <v>442</v>
      </c>
      <c r="CK48" s="239">
        <v>545</v>
      </c>
      <c r="CL48" s="239">
        <v>0</v>
      </c>
      <c r="CM48" s="239">
        <v>0</v>
      </c>
      <c r="CN48" s="239">
        <v>0</v>
      </c>
      <c r="CO48" s="239">
        <v>0</v>
      </c>
      <c r="CP48" s="239">
        <v>442</v>
      </c>
      <c r="CQ48" s="239">
        <v>545</v>
      </c>
      <c r="CR48" s="239">
        <v>0</v>
      </c>
      <c r="CS48" s="239">
        <v>-470</v>
      </c>
      <c r="CT48" s="239">
        <v>-580</v>
      </c>
      <c r="CU48" s="239">
        <v>0</v>
      </c>
      <c r="CV48" s="239">
        <v>0</v>
      </c>
      <c r="CW48" s="239">
        <v>0</v>
      </c>
      <c r="CX48" s="239">
        <v>0</v>
      </c>
      <c r="CY48" s="239">
        <v>0</v>
      </c>
      <c r="CZ48" s="239">
        <v>0</v>
      </c>
      <c r="DA48" s="239">
        <v>0</v>
      </c>
      <c r="DB48" s="239">
        <v>0</v>
      </c>
      <c r="DC48" s="239">
        <v>0</v>
      </c>
      <c r="DD48" s="239">
        <v>0</v>
      </c>
      <c r="DE48" s="239">
        <v>-175</v>
      </c>
      <c r="DF48" s="239">
        <v>-216</v>
      </c>
      <c r="DG48" s="239">
        <v>0</v>
      </c>
      <c r="DH48" s="239">
        <v>0</v>
      </c>
      <c r="DI48" s="239">
        <v>0</v>
      </c>
      <c r="DJ48" s="239">
        <v>0</v>
      </c>
      <c r="DK48" s="239">
        <v>0</v>
      </c>
      <c r="DL48" s="239">
        <v>0</v>
      </c>
      <c r="DM48" s="239">
        <v>0</v>
      </c>
      <c r="DN48" s="239">
        <v>0</v>
      </c>
      <c r="DO48" s="239">
        <v>0</v>
      </c>
      <c r="DP48" s="239">
        <v>0</v>
      </c>
      <c r="DQ48" s="239">
        <v>914</v>
      </c>
      <c r="DR48" s="239">
        <v>1127</v>
      </c>
      <c r="DS48" s="239">
        <v>0</v>
      </c>
      <c r="DT48" s="239">
        <v>913</v>
      </c>
      <c r="DU48" s="239">
        <v>1127</v>
      </c>
      <c r="DV48" s="239">
        <v>0</v>
      </c>
      <c r="DW48" s="239">
        <v>1</v>
      </c>
      <c r="DX48" s="239">
        <v>0</v>
      </c>
      <c r="DY48" s="239">
        <v>0</v>
      </c>
      <c r="DZ48" s="239">
        <v>61632</v>
      </c>
      <c r="EA48" s="239">
        <v>76013</v>
      </c>
      <c r="EB48" s="239">
        <v>0</v>
      </c>
      <c r="EC48" s="239">
        <v>0</v>
      </c>
      <c r="ED48" s="239">
        <v>0</v>
      </c>
      <c r="EE48" s="239">
        <v>0</v>
      </c>
      <c r="EF48" s="239">
        <v>61632</v>
      </c>
      <c r="EG48" s="239">
        <v>76013</v>
      </c>
      <c r="EH48" s="239">
        <v>0</v>
      </c>
      <c r="EI48" s="239">
        <v>1502392</v>
      </c>
      <c r="EJ48" s="239">
        <v>1852951</v>
      </c>
      <c r="EK48" s="239">
        <v>0</v>
      </c>
      <c r="EL48" s="239">
        <v>3772539</v>
      </c>
      <c r="EM48" s="239">
        <v>0</v>
      </c>
      <c r="EN48" s="239">
        <v>0</v>
      </c>
      <c r="EO48" s="239">
        <v>-2270147</v>
      </c>
      <c r="EP48" s="239">
        <v>1852951</v>
      </c>
      <c r="EQ48" s="239">
        <v>0</v>
      </c>
      <c r="ER48" s="239">
        <v>35128</v>
      </c>
      <c r="ES48" s="239">
        <v>43324</v>
      </c>
      <c r="ET48" s="239">
        <v>0</v>
      </c>
      <c r="EU48" s="239">
        <v>0</v>
      </c>
      <c r="EV48" s="239">
        <v>0</v>
      </c>
      <c r="EW48" s="239">
        <v>0</v>
      </c>
      <c r="EX48" s="239">
        <v>35128</v>
      </c>
      <c r="EY48" s="239">
        <v>43324</v>
      </c>
      <c r="EZ48" s="239">
        <v>0</v>
      </c>
      <c r="FA48" s="239">
        <v>2665510</v>
      </c>
      <c r="FB48" s="239">
        <v>3287463</v>
      </c>
      <c r="FC48" s="239">
        <v>0</v>
      </c>
      <c r="FD48" s="239">
        <v>2816524</v>
      </c>
      <c r="FE48" s="239">
        <v>3473712</v>
      </c>
      <c r="FF48" s="239">
        <v>0</v>
      </c>
      <c r="FG48" s="239">
        <v>-151014</v>
      </c>
      <c r="FH48" s="239">
        <v>-186249</v>
      </c>
      <c r="FI48" s="239">
        <v>0</v>
      </c>
      <c r="FJ48" s="239">
        <v>0</v>
      </c>
      <c r="FK48" s="239">
        <v>0</v>
      </c>
      <c r="FL48" s="239">
        <v>0</v>
      </c>
      <c r="FM48" s="239">
        <v>0</v>
      </c>
      <c r="FN48" s="239">
        <v>0</v>
      </c>
      <c r="FO48" s="239">
        <v>0</v>
      </c>
      <c r="FP48" s="239">
        <v>0</v>
      </c>
      <c r="FQ48" s="239">
        <v>0</v>
      </c>
      <c r="FR48" s="239">
        <v>0</v>
      </c>
      <c r="FS48" s="239">
        <v>0</v>
      </c>
      <c r="FT48" s="239">
        <v>0</v>
      </c>
      <c r="FU48" s="239">
        <v>0</v>
      </c>
      <c r="FV48" s="239">
        <v>5425483</v>
      </c>
      <c r="FW48" s="239">
        <v>6691429</v>
      </c>
      <c r="FX48" s="239">
        <v>0</v>
      </c>
      <c r="FY48" s="834">
        <v>0.33000000000000007</v>
      </c>
      <c r="FZ48" s="834">
        <v>0.3</v>
      </c>
      <c r="GA48" s="834">
        <v>0.37</v>
      </c>
      <c r="GB48" s="834">
        <v>0</v>
      </c>
      <c r="GC48" s="214" t="s">
        <v>1161</v>
      </c>
    </row>
    <row r="49" spans="2:185" s="214" customFormat="1" x14ac:dyDescent="0.2">
      <c r="B49" s="602" t="s">
        <v>181</v>
      </c>
      <c r="C49" s="602" t="s">
        <v>180</v>
      </c>
      <c r="D49" s="239">
        <v>-904781</v>
      </c>
      <c r="E49" s="239">
        <v>0</v>
      </c>
      <c r="F49" s="239">
        <v>-904781</v>
      </c>
      <c r="G49" s="239">
        <v>-2846788</v>
      </c>
      <c r="H49" s="239">
        <v>0</v>
      </c>
      <c r="I49" s="239">
        <v>-2846788</v>
      </c>
      <c r="J49" s="239">
        <v>1942007</v>
      </c>
      <c r="K49" s="239">
        <v>0</v>
      </c>
      <c r="L49" s="239">
        <v>1942007</v>
      </c>
      <c r="M49" s="239">
        <v>130851</v>
      </c>
      <c r="N49" s="239">
        <v>130851</v>
      </c>
      <c r="O49" s="239">
        <v>0</v>
      </c>
      <c r="P49" s="239">
        <v>0</v>
      </c>
      <c r="Q49" s="239">
        <v>0</v>
      </c>
      <c r="R49" s="239">
        <v>0</v>
      </c>
      <c r="S49" s="239">
        <v>0</v>
      </c>
      <c r="T49" s="239">
        <v>0</v>
      </c>
      <c r="U49" s="239">
        <v>0</v>
      </c>
      <c r="V49" s="239">
        <v>0</v>
      </c>
      <c r="W49" s="239">
        <v>0</v>
      </c>
      <c r="X49" s="239">
        <v>0</v>
      </c>
      <c r="Y49" s="239">
        <v>0</v>
      </c>
      <c r="Z49" s="239">
        <v>0</v>
      </c>
      <c r="AA49" s="239">
        <v>0</v>
      </c>
      <c r="AB49" s="239">
        <v>0</v>
      </c>
      <c r="AC49" s="239">
        <v>0</v>
      </c>
      <c r="AD49" s="239">
        <v>0</v>
      </c>
      <c r="AE49" s="239">
        <v>0</v>
      </c>
      <c r="AF49" s="239">
        <v>0</v>
      </c>
      <c r="AG49" s="239">
        <v>0</v>
      </c>
      <c r="AH49" s="239">
        <v>0</v>
      </c>
      <c r="AI49" s="239">
        <v>0</v>
      </c>
      <c r="AJ49" s="239">
        <v>0</v>
      </c>
      <c r="AK49" s="239">
        <v>0</v>
      </c>
      <c r="AL49" s="239">
        <v>0</v>
      </c>
      <c r="AM49" s="239">
        <v>0</v>
      </c>
      <c r="AN49" s="239">
        <v>0</v>
      </c>
      <c r="AO49" s="239">
        <v>0</v>
      </c>
      <c r="AP49" s="239">
        <v>0</v>
      </c>
      <c r="AQ49" s="239">
        <v>0</v>
      </c>
      <c r="AR49" s="239">
        <v>0</v>
      </c>
      <c r="AS49" s="239">
        <v>0</v>
      </c>
      <c r="AT49" s="239">
        <v>0</v>
      </c>
      <c r="AU49" s="239">
        <v>0</v>
      </c>
      <c r="AV49" s="239">
        <v>0</v>
      </c>
      <c r="AW49" s="239">
        <v>0</v>
      </c>
      <c r="AX49" s="239">
        <v>0</v>
      </c>
      <c r="AY49" s="239">
        <v>0</v>
      </c>
      <c r="AZ49" s="239">
        <v>0</v>
      </c>
      <c r="BA49" s="239">
        <v>0</v>
      </c>
      <c r="BB49" s="239">
        <v>0</v>
      </c>
      <c r="BC49" s="239">
        <v>1164715</v>
      </c>
      <c r="BD49" s="239">
        <v>262061</v>
      </c>
      <c r="BE49" s="239">
        <v>29118</v>
      </c>
      <c r="BF49" s="239">
        <v>1140518.9426532187</v>
      </c>
      <c r="BG49" s="239">
        <v>256616.76209697418</v>
      </c>
      <c r="BH49" s="239">
        <v>28512.973566330471</v>
      </c>
      <c r="BI49" s="239">
        <v>69658.933304721038</v>
      </c>
      <c r="BJ49" s="239">
        <v>15673.259993562231</v>
      </c>
      <c r="BK49" s="239">
        <v>1741.4733326180258</v>
      </c>
      <c r="BL49" s="239">
        <v>1107841</v>
      </c>
      <c r="BM49" s="239">
        <v>164531</v>
      </c>
      <c r="BN49" s="239">
        <v>18281</v>
      </c>
      <c r="BO49" s="239">
        <v>56874</v>
      </c>
      <c r="BP49" s="239">
        <v>97530</v>
      </c>
      <c r="BQ49" s="239">
        <v>10837</v>
      </c>
      <c r="BR49" s="239">
        <v>11825</v>
      </c>
      <c r="BS49" s="239">
        <v>2661</v>
      </c>
      <c r="BT49" s="239">
        <v>296</v>
      </c>
      <c r="BU49" s="239">
        <v>0</v>
      </c>
      <c r="BV49" s="239">
        <v>0</v>
      </c>
      <c r="BW49" s="239">
        <v>0</v>
      </c>
      <c r="BX49" s="239">
        <v>11825</v>
      </c>
      <c r="BY49" s="239">
        <v>2661</v>
      </c>
      <c r="BZ49" s="239">
        <v>296</v>
      </c>
      <c r="CA49" s="239">
        <v>0</v>
      </c>
      <c r="CB49" s="239">
        <v>0</v>
      </c>
      <c r="CC49" s="239">
        <v>0</v>
      </c>
      <c r="CD49" s="239">
        <v>0</v>
      </c>
      <c r="CE49" s="239">
        <v>0</v>
      </c>
      <c r="CF49" s="239">
        <v>0</v>
      </c>
      <c r="CG49" s="239">
        <v>0</v>
      </c>
      <c r="CH49" s="239">
        <v>0</v>
      </c>
      <c r="CI49" s="239">
        <v>0</v>
      </c>
      <c r="CJ49" s="239">
        <v>0</v>
      </c>
      <c r="CK49" s="239">
        <v>0</v>
      </c>
      <c r="CL49" s="239">
        <v>0</v>
      </c>
      <c r="CM49" s="239">
        <v>0</v>
      </c>
      <c r="CN49" s="239">
        <v>0</v>
      </c>
      <c r="CO49" s="239">
        <v>0</v>
      </c>
      <c r="CP49" s="239">
        <v>0</v>
      </c>
      <c r="CQ49" s="239">
        <v>0</v>
      </c>
      <c r="CR49" s="239">
        <v>0</v>
      </c>
      <c r="CS49" s="239">
        <v>-1899</v>
      </c>
      <c r="CT49" s="239">
        <v>-427</v>
      </c>
      <c r="CU49" s="239">
        <v>-47</v>
      </c>
      <c r="CV49" s="239">
        <v>0</v>
      </c>
      <c r="CW49" s="239">
        <v>0</v>
      </c>
      <c r="CX49" s="239">
        <v>0</v>
      </c>
      <c r="CY49" s="239">
        <v>0</v>
      </c>
      <c r="CZ49" s="239">
        <v>0</v>
      </c>
      <c r="DA49" s="239">
        <v>0</v>
      </c>
      <c r="DB49" s="239">
        <v>0</v>
      </c>
      <c r="DC49" s="239">
        <v>0</v>
      </c>
      <c r="DD49" s="239">
        <v>0</v>
      </c>
      <c r="DE49" s="239">
        <v>-117</v>
      </c>
      <c r="DF49" s="239">
        <v>-26</v>
      </c>
      <c r="DG49" s="239">
        <v>-3</v>
      </c>
      <c r="DH49" s="239">
        <v>0</v>
      </c>
      <c r="DI49" s="239">
        <v>0</v>
      </c>
      <c r="DJ49" s="239">
        <v>0</v>
      </c>
      <c r="DK49" s="239">
        <v>0</v>
      </c>
      <c r="DL49" s="239">
        <v>0</v>
      </c>
      <c r="DM49" s="239">
        <v>0</v>
      </c>
      <c r="DN49" s="239">
        <v>0</v>
      </c>
      <c r="DO49" s="239">
        <v>0</v>
      </c>
      <c r="DP49" s="239">
        <v>0</v>
      </c>
      <c r="DQ49" s="239">
        <v>609</v>
      </c>
      <c r="DR49" s="239">
        <v>137</v>
      </c>
      <c r="DS49" s="239">
        <v>15</v>
      </c>
      <c r="DT49" s="239">
        <v>0</v>
      </c>
      <c r="DU49" s="239">
        <v>0</v>
      </c>
      <c r="DV49" s="239">
        <v>0</v>
      </c>
      <c r="DW49" s="239">
        <v>609</v>
      </c>
      <c r="DX49" s="239">
        <v>137</v>
      </c>
      <c r="DY49" s="239">
        <v>15</v>
      </c>
      <c r="DZ49" s="239">
        <v>2670</v>
      </c>
      <c r="EA49" s="239">
        <v>601</v>
      </c>
      <c r="EB49" s="239">
        <v>67</v>
      </c>
      <c r="EC49" s="239">
        <v>3494</v>
      </c>
      <c r="ED49" s="239">
        <v>0</v>
      </c>
      <c r="EE49" s="239">
        <v>0</v>
      </c>
      <c r="EF49" s="239">
        <v>-824</v>
      </c>
      <c r="EG49" s="239">
        <v>601</v>
      </c>
      <c r="EH49" s="239">
        <v>67</v>
      </c>
      <c r="EI49" s="239">
        <v>36725</v>
      </c>
      <c r="EJ49" s="239">
        <v>8263</v>
      </c>
      <c r="EK49" s="239">
        <v>918</v>
      </c>
      <c r="EL49" s="239">
        <v>66277</v>
      </c>
      <c r="EM49" s="239">
        <v>0</v>
      </c>
      <c r="EN49" s="239">
        <v>0</v>
      </c>
      <c r="EO49" s="239">
        <v>-29552</v>
      </c>
      <c r="EP49" s="239">
        <v>8263</v>
      </c>
      <c r="EQ49" s="239">
        <v>918</v>
      </c>
      <c r="ER49" s="239">
        <v>7994</v>
      </c>
      <c r="ES49" s="239">
        <v>1799</v>
      </c>
      <c r="ET49" s="239">
        <v>200</v>
      </c>
      <c r="EU49" s="239">
        <v>18270</v>
      </c>
      <c r="EV49" s="239">
        <v>0</v>
      </c>
      <c r="EW49" s="239">
        <v>0</v>
      </c>
      <c r="EX49" s="239">
        <v>-10276</v>
      </c>
      <c r="EY49" s="239">
        <v>1799</v>
      </c>
      <c r="EZ49" s="239">
        <v>200</v>
      </c>
      <c r="FA49" s="239">
        <v>182281</v>
      </c>
      <c r="FB49" s="239">
        <v>41013</v>
      </c>
      <c r="FC49" s="239">
        <v>4557</v>
      </c>
      <c r="FD49" s="239">
        <v>180630</v>
      </c>
      <c r="FE49" s="239">
        <v>40642</v>
      </c>
      <c r="FF49" s="239">
        <v>4516</v>
      </c>
      <c r="FG49" s="239">
        <v>1651</v>
      </c>
      <c r="FH49" s="239">
        <v>371</v>
      </c>
      <c r="FI49" s="239">
        <v>41</v>
      </c>
      <c r="FJ49" s="239">
        <v>0</v>
      </c>
      <c r="FK49" s="239">
        <v>0</v>
      </c>
      <c r="FL49" s="239">
        <v>0</v>
      </c>
      <c r="FM49" s="239">
        <v>0</v>
      </c>
      <c r="FN49" s="239">
        <v>0</v>
      </c>
      <c r="FO49" s="239">
        <v>0</v>
      </c>
      <c r="FP49" s="239">
        <v>0</v>
      </c>
      <c r="FQ49" s="239">
        <v>0</v>
      </c>
      <c r="FR49" s="239">
        <v>0</v>
      </c>
      <c r="FS49" s="239">
        <v>0</v>
      </c>
      <c r="FT49" s="239">
        <v>0</v>
      </c>
      <c r="FU49" s="239">
        <v>0</v>
      </c>
      <c r="FV49" s="239">
        <v>1404803</v>
      </c>
      <c r="FW49" s="239">
        <v>316082</v>
      </c>
      <c r="FX49" s="239">
        <v>35121</v>
      </c>
      <c r="FY49" s="834">
        <v>0.5</v>
      </c>
      <c r="FZ49" s="834">
        <v>0.4</v>
      </c>
      <c r="GA49" s="834">
        <v>0.09</v>
      </c>
      <c r="GB49" s="834">
        <v>0.01</v>
      </c>
      <c r="GC49" s="214" t="s">
        <v>1158</v>
      </c>
    </row>
    <row r="50" spans="2:185" s="214" customFormat="1" x14ac:dyDescent="0.2">
      <c r="B50" s="602" t="s">
        <v>183</v>
      </c>
      <c r="C50" s="602" t="s">
        <v>182</v>
      </c>
      <c r="D50" s="239">
        <v>-2187298</v>
      </c>
      <c r="E50" s="239">
        <v>0</v>
      </c>
      <c r="F50" s="239">
        <v>-2187298</v>
      </c>
      <c r="G50" s="239">
        <v>-2040430</v>
      </c>
      <c r="H50" s="239">
        <v>0</v>
      </c>
      <c r="I50" s="239">
        <v>-2040430</v>
      </c>
      <c r="J50" s="239">
        <v>-146868</v>
      </c>
      <c r="K50" s="239">
        <v>0</v>
      </c>
      <c r="L50" s="239">
        <v>-146868</v>
      </c>
      <c r="M50" s="239">
        <v>228946</v>
      </c>
      <c r="N50" s="239">
        <v>228946</v>
      </c>
      <c r="O50" s="239">
        <v>0</v>
      </c>
      <c r="P50" s="239">
        <v>0</v>
      </c>
      <c r="Q50" s="239">
        <v>0</v>
      </c>
      <c r="R50" s="239">
        <v>0</v>
      </c>
      <c r="S50" s="239">
        <v>328566</v>
      </c>
      <c r="T50" s="239">
        <v>0</v>
      </c>
      <c r="U50" s="239">
        <v>328566</v>
      </c>
      <c r="V50" s="239">
        <v>0</v>
      </c>
      <c r="W50" s="239">
        <v>0</v>
      </c>
      <c r="X50" s="239">
        <v>0</v>
      </c>
      <c r="Y50" s="239">
        <v>0</v>
      </c>
      <c r="Z50" s="239">
        <v>0</v>
      </c>
      <c r="AA50" s="239">
        <v>0</v>
      </c>
      <c r="AB50" s="239">
        <v>0</v>
      </c>
      <c r="AC50" s="239">
        <v>0</v>
      </c>
      <c r="AD50" s="239">
        <v>0</v>
      </c>
      <c r="AE50" s="239">
        <v>0</v>
      </c>
      <c r="AF50" s="239">
        <v>0</v>
      </c>
      <c r="AG50" s="239">
        <v>0</v>
      </c>
      <c r="AH50" s="239">
        <v>0</v>
      </c>
      <c r="AI50" s="239">
        <v>0</v>
      </c>
      <c r="AJ50" s="239">
        <v>0</v>
      </c>
      <c r="AK50" s="239">
        <v>0</v>
      </c>
      <c r="AL50" s="239">
        <v>0</v>
      </c>
      <c r="AM50" s="239">
        <v>0</v>
      </c>
      <c r="AN50" s="239">
        <v>0</v>
      </c>
      <c r="AO50" s="239">
        <v>0</v>
      </c>
      <c r="AP50" s="239">
        <v>0</v>
      </c>
      <c r="AQ50" s="239">
        <v>0</v>
      </c>
      <c r="AR50" s="239">
        <v>0</v>
      </c>
      <c r="AS50" s="239">
        <v>0</v>
      </c>
      <c r="AT50" s="239">
        <v>0</v>
      </c>
      <c r="AU50" s="239">
        <v>0</v>
      </c>
      <c r="AV50" s="239">
        <v>0</v>
      </c>
      <c r="AW50" s="239">
        <v>0</v>
      </c>
      <c r="AX50" s="239">
        <v>0</v>
      </c>
      <c r="AY50" s="239">
        <v>0</v>
      </c>
      <c r="AZ50" s="239">
        <v>0</v>
      </c>
      <c r="BA50" s="239">
        <v>0</v>
      </c>
      <c r="BB50" s="239">
        <v>0</v>
      </c>
      <c r="BC50" s="239">
        <v>1436311</v>
      </c>
      <c r="BD50" s="239">
        <v>323170</v>
      </c>
      <c r="BE50" s="239">
        <v>35908</v>
      </c>
      <c r="BF50" s="239">
        <v>1404116.6575175966</v>
      </c>
      <c r="BG50" s="239">
        <v>315926.24794145918</v>
      </c>
      <c r="BH50" s="239">
        <v>35102.916437939915</v>
      </c>
      <c r="BI50" s="239">
        <v>103882.2088412017</v>
      </c>
      <c r="BJ50" s="239">
        <v>23373.496989270381</v>
      </c>
      <c r="BK50" s="239">
        <v>2597.0552210300425</v>
      </c>
      <c r="BL50" s="239">
        <v>1349424</v>
      </c>
      <c r="BM50" s="239">
        <v>202414</v>
      </c>
      <c r="BN50" s="239">
        <v>22490</v>
      </c>
      <c r="BO50" s="239">
        <v>86887</v>
      </c>
      <c r="BP50" s="239">
        <v>120756</v>
      </c>
      <c r="BQ50" s="239">
        <v>13418</v>
      </c>
      <c r="BR50" s="239">
        <v>4086</v>
      </c>
      <c r="BS50" s="239">
        <v>919</v>
      </c>
      <c r="BT50" s="239">
        <v>102</v>
      </c>
      <c r="BU50" s="239">
        <v>1273</v>
      </c>
      <c r="BV50" s="239">
        <v>286</v>
      </c>
      <c r="BW50" s="239">
        <v>32</v>
      </c>
      <c r="BX50" s="239">
        <v>2813</v>
      </c>
      <c r="BY50" s="239">
        <v>633</v>
      </c>
      <c r="BZ50" s="239">
        <v>70</v>
      </c>
      <c r="CA50" s="239">
        <v>6481</v>
      </c>
      <c r="CB50" s="239">
        <v>1458</v>
      </c>
      <c r="CC50" s="239">
        <v>162</v>
      </c>
      <c r="CD50" s="239">
        <v>0</v>
      </c>
      <c r="CE50" s="239">
        <v>0</v>
      </c>
      <c r="CF50" s="239">
        <v>0</v>
      </c>
      <c r="CG50" s="239">
        <v>6481</v>
      </c>
      <c r="CH50" s="239">
        <v>1458</v>
      </c>
      <c r="CI50" s="239">
        <v>162</v>
      </c>
      <c r="CJ50" s="239">
        <v>-1190</v>
      </c>
      <c r="CK50" s="239">
        <v>-268</v>
      </c>
      <c r="CL50" s="239">
        <v>-30</v>
      </c>
      <c r="CM50" s="239">
        <v>285</v>
      </c>
      <c r="CN50" s="239">
        <v>64</v>
      </c>
      <c r="CO50" s="239">
        <v>7</v>
      </c>
      <c r="CP50" s="239">
        <v>-1475</v>
      </c>
      <c r="CQ50" s="239">
        <v>-332</v>
      </c>
      <c r="CR50" s="239">
        <v>-37</v>
      </c>
      <c r="CS50" s="239">
        <v>-1488</v>
      </c>
      <c r="CT50" s="239">
        <v>-335</v>
      </c>
      <c r="CU50" s="239">
        <v>-37</v>
      </c>
      <c r="CV50" s="239">
        <v>0</v>
      </c>
      <c r="CW50" s="239">
        <v>0</v>
      </c>
      <c r="CX50" s="239">
        <v>0</v>
      </c>
      <c r="CY50" s="239">
        <v>0</v>
      </c>
      <c r="CZ50" s="239">
        <v>0</v>
      </c>
      <c r="DA50" s="239">
        <v>0</v>
      </c>
      <c r="DB50" s="239">
        <v>0</v>
      </c>
      <c r="DC50" s="239">
        <v>0</v>
      </c>
      <c r="DD50" s="239">
        <v>0</v>
      </c>
      <c r="DE50" s="239">
        <v>13</v>
      </c>
      <c r="DF50" s="239">
        <v>3</v>
      </c>
      <c r="DG50" s="239">
        <v>0</v>
      </c>
      <c r="DH50" s="239">
        <v>5368</v>
      </c>
      <c r="DI50" s="239">
        <v>1208</v>
      </c>
      <c r="DJ50" s="239">
        <v>134</v>
      </c>
      <c r="DK50" s="239">
        <v>0</v>
      </c>
      <c r="DL50" s="239">
        <v>0</v>
      </c>
      <c r="DM50" s="239">
        <v>0</v>
      </c>
      <c r="DN50" s="239">
        <v>5368</v>
      </c>
      <c r="DO50" s="239">
        <v>1208</v>
      </c>
      <c r="DP50" s="239">
        <v>134</v>
      </c>
      <c r="DQ50" s="239">
        <v>302</v>
      </c>
      <c r="DR50" s="239">
        <v>68</v>
      </c>
      <c r="DS50" s="239">
        <v>8</v>
      </c>
      <c r="DT50" s="239">
        <v>0</v>
      </c>
      <c r="DU50" s="239">
        <v>0</v>
      </c>
      <c r="DV50" s="239">
        <v>0</v>
      </c>
      <c r="DW50" s="239">
        <v>302</v>
      </c>
      <c r="DX50" s="239">
        <v>68</v>
      </c>
      <c r="DY50" s="239">
        <v>8</v>
      </c>
      <c r="DZ50" s="239">
        <v>35914</v>
      </c>
      <c r="EA50" s="239">
        <v>8081</v>
      </c>
      <c r="EB50" s="239">
        <v>898</v>
      </c>
      <c r="EC50" s="239">
        <v>45052</v>
      </c>
      <c r="ED50" s="239">
        <v>0</v>
      </c>
      <c r="EE50" s="239">
        <v>0</v>
      </c>
      <c r="EF50" s="239">
        <v>-9138</v>
      </c>
      <c r="EG50" s="239">
        <v>8081</v>
      </c>
      <c r="EH50" s="239">
        <v>898</v>
      </c>
      <c r="EI50" s="239">
        <v>123262</v>
      </c>
      <c r="EJ50" s="239">
        <v>27734</v>
      </c>
      <c r="EK50" s="239">
        <v>3082</v>
      </c>
      <c r="EL50" s="239">
        <v>212378</v>
      </c>
      <c r="EM50" s="239">
        <v>0</v>
      </c>
      <c r="EN50" s="239">
        <v>0</v>
      </c>
      <c r="EO50" s="239">
        <v>-89116</v>
      </c>
      <c r="EP50" s="239">
        <v>27734</v>
      </c>
      <c r="EQ50" s="239">
        <v>3082</v>
      </c>
      <c r="ER50" s="239">
        <v>33132</v>
      </c>
      <c r="ES50" s="239">
        <v>7455</v>
      </c>
      <c r="ET50" s="239">
        <v>828</v>
      </c>
      <c r="EU50" s="239">
        <v>34552</v>
      </c>
      <c r="EV50" s="239">
        <v>0</v>
      </c>
      <c r="EW50" s="239">
        <v>0</v>
      </c>
      <c r="EX50" s="239">
        <v>-1420</v>
      </c>
      <c r="EY50" s="239">
        <v>7455</v>
      </c>
      <c r="EZ50" s="239">
        <v>828</v>
      </c>
      <c r="FA50" s="239">
        <v>291851</v>
      </c>
      <c r="FB50" s="239">
        <v>64556</v>
      </c>
      <c r="FC50" s="239">
        <v>7173</v>
      </c>
      <c r="FD50" s="239">
        <v>294527</v>
      </c>
      <c r="FE50" s="239">
        <v>65158</v>
      </c>
      <c r="FF50" s="239">
        <v>7240</v>
      </c>
      <c r="FG50" s="239">
        <v>-2676</v>
      </c>
      <c r="FH50" s="239">
        <v>-602</v>
      </c>
      <c r="FI50" s="239">
        <v>-67</v>
      </c>
      <c r="FJ50" s="239">
        <v>0</v>
      </c>
      <c r="FK50" s="239">
        <v>0</v>
      </c>
      <c r="FL50" s="239">
        <v>0</v>
      </c>
      <c r="FM50" s="239">
        <v>0</v>
      </c>
      <c r="FN50" s="239">
        <v>0</v>
      </c>
      <c r="FO50" s="239">
        <v>0</v>
      </c>
      <c r="FP50" s="239">
        <v>0</v>
      </c>
      <c r="FQ50" s="239">
        <v>0</v>
      </c>
      <c r="FR50" s="239">
        <v>0</v>
      </c>
      <c r="FS50" s="239">
        <v>0</v>
      </c>
      <c r="FT50" s="239">
        <v>0</v>
      </c>
      <c r="FU50" s="239">
        <v>0</v>
      </c>
      <c r="FV50" s="239">
        <v>1934042</v>
      </c>
      <c r="FW50" s="239">
        <v>434049</v>
      </c>
      <c r="FX50" s="239">
        <v>48228</v>
      </c>
      <c r="FY50" s="834">
        <v>0.5</v>
      </c>
      <c r="FZ50" s="834">
        <v>0.4</v>
      </c>
      <c r="GA50" s="834">
        <v>0.09</v>
      </c>
      <c r="GB50" s="834">
        <v>0.01</v>
      </c>
      <c r="GC50" s="214" t="s">
        <v>1158</v>
      </c>
    </row>
    <row r="51" spans="2:185" s="214" customFormat="1" x14ac:dyDescent="0.2">
      <c r="B51" s="602" t="s">
        <v>185</v>
      </c>
      <c r="C51" s="602" t="s">
        <v>184</v>
      </c>
      <c r="D51" s="239">
        <v>-3007270</v>
      </c>
      <c r="E51" s="239">
        <v>-17624</v>
      </c>
      <c r="F51" s="239">
        <v>-3024894</v>
      </c>
      <c r="G51" s="239">
        <v>-2871967</v>
      </c>
      <c r="H51" s="239">
        <v>-27926</v>
      </c>
      <c r="I51" s="239">
        <v>-2899893</v>
      </c>
      <c r="J51" s="239">
        <v>-135303</v>
      </c>
      <c r="K51" s="239">
        <v>10302</v>
      </c>
      <c r="L51" s="239">
        <v>-125001</v>
      </c>
      <c r="M51" s="239">
        <v>176202</v>
      </c>
      <c r="N51" s="239">
        <v>176202</v>
      </c>
      <c r="O51" s="239">
        <v>0</v>
      </c>
      <c r="P51" s="239">
        <v>0</v>
      </c>
      <c r="Q51" s="239">
        <v>73700</v>
      </c>
      <c r="R51" s="239">
        <v>-73700</v>
      </c>
      <c r="S51" s="239">
        <v>334290</v>
      </c>
      <c r="T51" s="239">
        <v>0</v>
      </c>
      <c r="U51" s="239">
        <v>83705</v>
      </c>
      <c r="V51" s="239">
        <v>0</v>
      </c>
      <c r="W51" s="239">
        <v>250585</v>
      </c>
      <c r="X51" s="239">
        <v>0</v>
      </c>
      <c r="Y51" s="239">
        <v>40825</v>
      </c>
      <c r="Z51" s="239">
        <v>40825</v>
      </c>
      <c r="AA51" s="239">
        <v>0</v>
      </c>
      <c r="AB51" s="239">
        <v>0</v>
      </c>
      <c r="AC51" s="239">
        <v>0</v>
      </c>
      <c r="AD51" s="239">
        <v>0</v>
      </c>
      <c r="AE51" s="239">
        <v>0</v>
      </c>
      <c r="AF51" s="239">
        <v>0</v>
      </c>
      <c r="AG51" s="239">
        <v>40825</v>
      </c>
      <c r="AH51" s="239">
        <v>40825</v>
      </c>
      <c r="AI51" s="239">
        <v>0</v>
      </c>
      <c r="AJ51" s="239">
        <v>0</v>
      </c>
      <c r="AK51" s="239">
        <v>0</v>
      </c>
      <c r="AL51" s="239">
        <v>0</v>
      </c>
      <c r="AM51" s="239">
        <v>0</v>
      </c>
      <c r="AN51" s="239">
        <v>0</v>
      </c>
      <c r="AO51" s="239">
        <v>0</v>
      </c>
      <c r="AP51" s="239">
        <v>0</v>
      </c>
      <c r="AQ51" s="239">
        <v>0</v>
      </c>
      <c r="AR51" s="239">
        <v>0</v>
      </c>
      <c r="AS51" s="239">
        <v>0</v>
      </c>
      <c r="AT51" s="239">
        <v>0</v>
      </c>
      <c r="AU51" s="239">
        <v>0</v>
      </c>
      <c r="AV51" s="239">
        <v>0</v>
      </c>
      <c r="AW51" s="239">
        <v>0</v>
      </c>
      <c r="AX51" s="239">
        <v>0</v>
      </c>
      <c r="AY51" s="239">
        <v>0</v>
      </c>
      <c r="AZ51" s="239">
        <v>0</v>
      </c>
      <c r="BA51" s="239">
        <v>0</v>
      </c>
      <c r="BB51" s="239">
        <v>0</v>
      </c>
      <c r="BC51" s="239">
        <v>1124899</v>
      </c>
      <c r="BD51" s="239">
        <v>270169</v>
      </c>
      <c r="BE51" s="239">
        <v>0</v>
      </c>
      <c r="BF51" s="239">
        <v>1095942.3022725324</v>
      </c>
      <c r="BG51" s="239">
        <v>263212.02234120172</v>
      </c>
      <c r="BH51" s="239">
        <v>0</v>
      </c>
      <c r="BI51" s="239">
        <v>90850.947188841194</v>
      </c>
      <c r="BJ51" s="239">
        <v>21466.607639484977</v>
      </c>
      <c r="BK51" s="239">
        <v>0</v>
      </c>
      <c r="BL51" s="239">
        <v>1002902</v>
      </c>
      <c r="BM51" s="239">
        <v>164697</v>
      </c>
      <c r="BN51" s="239">
        <v>0</v>
      </c>
      <c r="BO51" s="239">
        <v>121997</v>
      </c>
      <c r="BP51" s="239">
        <v>105472</v>
      </c>
      <c r="BQ51" s="239">
        <v>0</v>
      </c>
      <c r="BR51" s="239">
        <v>10219</v>
      </c>
      <c r="BS51" s="239">
        <v>2252</v>
      </c>
      <c r="BT51" s="239">
        <v>0</v>
      </c>
      <c r="BU51" s="239">
        <v>21473</v>
      </c>
      <c r="BV51" s="239">
        <v>3659</v>
      </c>
      <c r="BW51" s="239">
        <v>0</v>
      </c>
      <c r="BX51" s="239">
        <v>-11254</v>
      </c>
      <c r="BY51" s="239">
        <v>-1407</v>
      </c>
      <c r="BZ51" s="239">
        <v>0</v>
      </c>
      <c r="CA51" s="239">
        <v>0</v>
      </c>
      <c r="CB51" s="239">
        <v>0</v>
      </c>
      <c r="CC51" s="239">
        <v>0</v>
      </c>
      <c r="CD51" s="239">
        <v>0</v>
      </c>
      <c r="CE51" s="239">
        <v>0</v>
      </c>
      <c r="CF51" s="239">
        <v>0</v>
      </c>
      <c r="CG51" s="239">
        <v>0</v>
      </c>
      <c r="CH51" s="239">
        <v>0</v>
      </c>
      <c r="CI51" s="239">
        <v>0</v>
      </c>
      <c r="CJ51" s="239">
        <v>713</v>
      </c>
      <c r="CK51" s="239">
        <v>178</v>
      </c>
      <c r="CL51" s="239">
        <v>0</v>
      </c>
      <c r="CM51" s="239">
        <v>0</v>
      </c>
      <c r="CN51" s="239">
        <v>0</v>
      </c>
      <c r="CO51" s="239">
        <v>0</v>
      </c>
      <c r="CP51" s="239">
        <v>713</v>
      </c>
      <c r="CQ51" s="239">
        <v>178</v>
      </c>
      <c r="CR51" s="239">
        <v>0</v>
      </c>
      <c r="CS51" s="239">
        <v>2037</v>
      </c>
      <c r="CT51" s="239">
        <v>509</v>
      </c>
      <c r="CU51" s="239">
        <v>0</v>
      </c>
      <c r="CV51" s="239">
        <v>59436</v>
      </c>
      <c r="CW51" s="239">
        <v>14859</v>
      </c>
      <c r="CX51" s="239">
        <v>0</v>
      </c>
      <c r="CY51" s="239">
        <v>0</v>
      </c>
      <c r="CZ51" s="239">
        <v>0</v>
      </c>
      <c r="DA51" s="239">
        <v>0</v>
      </c>
      <c r="DB51" s="239">
        <v>59436</v>
      </c>
      <c r="DC51" s="239">
        <v>14859</v>
      </c>
      <c r="DD51" s="239">
        <v>0</v>
      </c>
      <c r="DE51" s="239">
        <v>-263</v>
      </c>
      <c r="DF51" s="239">
        <v>-66</v>
      </c>
      <c r="DG51" s="239">
        <v>0</v>
      </c>
      <c r="DH51" s="239">
        <v>9780</v>
      </c>
      <c r="DI51" s="239">
        <v>2445</v>
      </c>
      <c r="DJ51" s="239">
        <v>0</v>
      </c>
      <c r="DK51" s="239">
        <v>0</v>
      </c>
      <c r="DL51" s="239">
        <v>0</v>
      </c>
      <c r="DM51" s="239">
        <v>0</v>
      </c>
      <c r="DN51" s="239">
        <v>9780</v>
      </c>
      <c r="DO51" s="239">
        <v>2445</v>
      </c>
      <c r="DP51" s="239">
        <v>0</v>
      </c>
      <c r="DQ51" s="239">
        <v>609</v>
      </c>
      <c r="DR51" s="239">
        <v>152</v>
      </c>
      <c r="DS51" s="239">
        <v>0</v>
      </c>
      <c r="DT51" s="239">
        <v>609</v>
      </c>
      <c r="DU51" s="239">
        <v>152</v>
      </c>
      <c r="DV51" s="239">
        <v>0</v>
      </c>
      <c r="DW51" s="239">
        <v>0</v>
      </c>
      <c r="DX51" s="239">
        <v>0</v>
      </c>
      <c r="DY51" s="239">
        <v>0</v>
      </c>
      <c r="DZ51" s="239">
        <v>6554</v>
      </c>
      <c r="EA51" s="239">
        <v>1638</v>
      </c>
      <c r="EB51" s="239">
        <v>0</v>
      </c>
      <c r="EC51" s="239">
        <v>8192</v>
      </c>
      <c r="ED51" s="239">
        <v>0</v>
      </c>
      <c r="EE51" s="239">
        <v>0</v>
      </c>
      <c r="EF51" s="239">
        <v>-1638</v>
      </c>
      <c r="EG51" s="239">
        <v>1638</v>
      </c>
      <c r="EH51" s="239">
        <v>0</v>
      </c>
      <c r="EI51" s="239">
        <v>73129</v>
      </c>
      <c r="EJ51" s="239">
        <v>15934</v>
      </c>
      <c r="EK51" s="239">
        <v>0</v>
      </c>
      <c r="EL51" s="239">
        <v>99239</v>
      </c>
      <c r="EM51" s="239">
        <v>0</v>
      </c>
      <c r="EN51" s="239">
        <v>0</v>
      </c>
      <c r="EO51" s="239">
        <v>-26110</v>
      </c>
      <c r="EP51" s="239">
        <v>15934</v>
      </c>
      <c r="EQ51" s="239">
        <v>0</v>
      </c>
      <c r="ER51" s="239">
        <v>17144</v>
      </c>
      <c r="ES51" s="239">
        <v>4286</v>
      </c>
      <c r="ET51" s="239">
        <v>0</v>
      </c>
      <c r="EU51" s="239">
        <v>21602</v>
      </c>
      <c r="EV51" s="239">
        <v>0</v>
      </c>
      <c r="EW51" s="239">
        <v>0</v>
      </c>
      <c r="EX51" s="239">
        <v>-4458</v>
      </c>
      <c r="EY51" s="239">
        <v>4286</v>
      </c>
      <c r="EZ51" s="239">
        <v>0</v>
      </c>
      <c r="FA51" s="239">
        <v>247357</v>
      </c>
      <c r="FB51" s="239">
        <v>60584</v>
      </c>
      <c r="FC51" s="239">
        <v>0</v>
      </c>
      <c r="FD51" s="239">
        <v>249965</v>
      </c>
      <c r="FE51" s="239">
        <v>61900</v>
      </c>
      <c r="FF51" s="239">
        <v>0</v>
      </c>
      <c r="FG51" s="239">
        <v>-2608</v>
      </c>
      <c r="FH51" s="239">
        <v>-1316</v>
      </c>
      <c r="FI51" s="239">
        <v>0</v>
      </c>
      <c r="FJ51" s="239">
        <v>0</v>
      </c>
      <c r="FK51" s="239">
        <v>0</v>
      </c>
      <c r="FL51" s="239">
        <v>0</v>
      </c>
      <c r="FM51" s="239">
        <v>0</v>
      </c>
      <c r="FN51" s="239">
        <v>0</v>
      </c>
      <c r="FO51" s="239">
        <v>0</v>
      </c>
      <c r="FP51" s="239">
        <v>0</v>
      </c>
      <c r="FQ51" s="239">
        <v>0</v>
      </c>
      <c r="FR51" s="239">
        <v>0</v>
      </c>
      <c r="FS51" s="239">
        <v>0</v>
      </c>
      <c r="FT51" s="239">
        <v>0</v>
      </c>
      <c r="FU51" s="239">
        <v>0</v>
      </c>
      <c r="FV51" s="239">
        <v>1551614</v>
      </c>
      <c r="FW51" s="239">
        <v>372940</v>
      </c>
      <c r="FX51" s="239">
        <v>0</v>
      </c>
      <c r="FY51" s="834">
        <v>0.5</v>
      </c>
      <c r="FZ51" s="834">
        <v>0.4</v>
      </c>
      <c r="GA51" s="834">
        <v>0.1</v>
      </c>
      <c r="GB51" s="834">
        <v>0</v>
      </c>
      <c r="GC51" s="214" t="s">
        <v>1158</v>
      </c>
    </row>
    <row r="52" spans="2:185" s="214" customFormat="1" x14ac:dyDescent="0.2">
      <c r="B52" s="602" t="s">
        <v>187</v>
      </c>
      <c r="C52" s="602" t="s">
        <v>186</v>
      </c>
      <c r="D52" s="239">
        <v>-881959</v>
      </c>
      <c r="E52" s="239">
        <v>0</v>
      </c>
      <c r="F52" s="239">
        <v>-881959</v>
      </c>
      <c r="G52" s="239">
        <v>-359708</v>
      </c>
      <c r="H52" s="239">
        <v>0</v>
      </c>
      <c r="I52" s="239">
        <v>-359708</v>
      </c>
      <c r="J52" s="239">
        <v>-522251</v>
      </c>
      <c r="K52" s="239">
        <v>0</v>
      </c>
      <c r="L52" s="239">
        <v>-522251</v>
      </c>
      <c r="M52" s="239">
        <v>78958</v>
      </c>
      <c r="N52" s="239">
        <v>78958</v>
      </c>
      <c r="O52" s="239">
        <v>0</v>
      </c>
      <c r="P52" s="239">
        <v>0</v>
      </c>
      <c r="Q52" s="239">
        <v>0</v>
      </c>
      <c r="R52" s="239">
        <v>0</v>
      </c>
      <c r="S52" s="239">
        <v>0</v>
      </c>
      <c r="T52" s="239">
        <v>0</v>
      </c>
      <c r="U52" s="239">
        <v>0</v>
      </c>
      <c r="V52" s="239">
        <v>0</v>
      </c>
      <c r="W52" s="239">
        <v>0</v>
      </c>
      <c r="X52" s="239">
        <v>0</v>
      </c>
      <c r="Y52" s="239">
        <v>0</v>
      </c>
      <c r="Z52" s="239">
        <v>0</v>
      </c>
      <c r="AA52" s="239">
        <v>0</v>
      </c>
      <c r="AB52" s="239">
        <v>0</v>
      </c>
      <c r="AC52" s="239">
        <v>0</v>
      </c>
      <c r="AD52" s="239">
        <v>0</v>
      </c>
      <c r="AE52" s="239">
        <v>0</v>
      </c>
      <c r="AF52" s="239">
        <v>0</v>
      </c>
      <c r="AG52" s="239">
        <v>0</v>
      </c>
      <c r="AH52" s="239">
        <v>0</v>
      </c>
      <c r="AI52" s="239">
        <v>0</v>
      </c>
      <c r="AJ52" s="239">
        <v>0</v>
      </c>
      <c r="AK52" s="239">
        <v>0</v>
      </c>
      <c r="AL52" s="239">
        <v>0</v>
      </c>
      <c r="AM52" s="239">
        <v>0</v>
      </c>
      <c r="AN52" s="239">
        <v>0</v>
      </c>
      <c r="AO52" s="239">
        <v>0</v>
      </c>
      <c r="AP52" s="239">
        <v>0</v>
      </c>
      <c r="AQ52" s="239">
        <v>0</v>
      </c>
      <c r="AR52" s="239">
        <v>0</v>
      </c>
      <c r="AS52" s="239">
        <v>0</v>
      </c>
      <c r="AT52" s="239">
        <v>0</v>
      </c>
      <c r="AU52" s="239">
        <v>0</v>
      </c>
      <c r="AV52" s="239">
        <v>0</v>
      </c>
      <c r="AW52" s="239">
        <v>0</v>
      </c>
      <c r="AX52" s="239">
        <v>0</v>
      </c>
      <c r="AY52" s="239">
        <v>0</v>
      </c>
      <c r="AZ52" s="239">
        <v>0</v>
      </c>
      <c r="BA52" s="239">
        <v>0</v>
      </c>
      <c r="BB52" s="239">
        <v>0</v>
      </c>
      <c r="BC52" s="239">
        <v>863958</v>
      </c>
      <c r="BD52" s="239">
        <v>194391</v>
      </c>
      <c r="BE52" s="239">
        <v>21599</v>
      </c>
      <c r="BF52" s="239">
        <v>849566.04136309016</v>
      </c>
      <c r="BG52" s="239">
        <v>191152.35930669523</v>
      </c>
      <c r="BH52" s="239">
        <v>21239.151034077251</v>
      </c>
      <c r="BI52" s="239">
        <v>34067.571244635197</v>
      </c>
      <c r="BJ52" s="239">
        <v>7665.2035300429179</v>
      </c>
      <c r="BK52" s="239">
        <v>851.68928111587979</v>
      </c>
      <c r="BL52" s="239">
        <v>731871</v>
      </c>
      <c r="BM52" s="239">
        <v>107981</v>
      </c>
      <c r="BN52" s="239">
        <v>11998</v>
      </c>
      <c r="BO52" s="239">
        <v>132087</v>
      </c>
      <c r="BP52" s="239">
        <v>86410</v>
      </c>
      <c r="BQ52" s="239">
        <v>9601</v>
      </c>
      <c r="BR52" s="239">
        <v>1283</v>
      </c>
      <c r="BS52" s="239">
        <v>289</v>
      </c>
      <c r="BT52" s="239">
        <v>32</v>
      </c>
      <c r="BU52" s="239">
        <v>1126</v>
      </c>
      <c r="BV52" s="239">
        <v>254</v>
      </c>
      <c r="BW52" s="239">
        <v>28</v>
      </c>
      <c r="BX52" s="239">
        <v>157</v>
      </c>
      <c r="BY52" s="239">
        <v>35</v>
      </c>
      <c r="BZ52" s="239">
        <v>4</v>
      </c>
      <c r="CA52" s="239">
        <v>0</v>
      </c>
      <c r="CB52" s="239">
        <v>0</v>
      </c>
      <c r="CC52" s="239">
        <v>0</v>
      </c>
      <c r="CD52" s="239">
        <v>0</v>
      </c>
      <c r="CE52" s="239">
        <v>0</v>
      </c>
      <c r="CF52" s="239">
        <v>0</v>
      </c>
      <c r="CG52" s="239">
        <v>0</v>
      </c>
      <c r="CH52" s="239">
        <v>0</v>
      </c>
      <c r="CI52" s="239">
        <v>0</v>
      </c>
      <c r="CJ52" s="239">
        <v>23</v>
      </c>
      <c r="CK52" s="239">
        <v>5</v>
      </c>
      <c r="CL52" s="239">
        <v>1</v>
      </c>
      <c r="CM52" s="239">
        <v>2007</v>
      </c>
      <c r="CN52" s="239">
        <v>451</v>
      </c>
      <c r="CO52" s="239">
        <v>50</v>
      </c>
      <c r="CP52" s="239">
        <v>-1984</v>
      </c>
      <c r="CQ52" s="239">
        <v>-446</v>
      </c>
      <c r="CR52" s="239">
        <v>-49</v>
      </c>
      <c r="CS52" s="239">
        <v>-246</v>
      </c>
      <c r="CT52" s="239">
        <v>-55</v>
      </c>
      <c r="CU52" s="239">
        <v>-6</v>
      </c>
      <c r="CV52" s="239">
        <v>0</v>
      </c>
      <c r="CW52" s="239">
        <v>0</v>
      </c>
      <c r="CX52" s="239">
        <v>0</v>
      </c>
      <c r="CY52" s="239">
        <v>0</v>
      </c>
      <c r="CZ52" s="239">
        <v>0</v>
      </c>
      <c r="DA52" s="239">
        <v>0</v>
      </c>
      <c r="DB52" s="239">
        <v>0</v>
      </c>
      <c r="DC52" s="239">
        <v>0</v>
      </c>
      <c r="DD52" s="239">
        <v>0</v>
      </c>
      <c r="DE52" s="239">
        <v>-861</v>
      </c>
      <c r="DF52" s="239">
        <v>-194</v>
      </c>
      <c r="DG52" s="239">
        <v>-22</v>
      </c>
      <c r="DH52" s="239">
        <v>0</v>
      </c>
      <c r="DI52" s="239">
        <v>0</v>
      </c>
      <c r="DJ52" s="239">
        <v>0</v>
      </c>
      <c r="DK52" s="239">
        <v>0</v>
      </c>
      <c r="DL52" s="239">
        <v>0</v>
      </c>
      <c r="DM52" s="239">
        <v>0</v>
      </c>
      <c r="DN52" s="239">
        <v>0</v>
      </c>
      <c r="DO52" s="239">
        <v>0</v>
      </c>
      <c r="DP52" s="239">
        <v>0</v>
      </c>
      <c r="DQ52" s="239">
        <v>0</v>
      </c>
      <c r="DR52" s="239">
        <v>0</v>
      </c>
      <c r="DS52" s="239">
        <v>0</v>
      </c>
      <c r="DT52" s="239">
        <v>0</v>
      </c>
      <c r="DU52" s="239">
        <v>0</v>
      </c>
      <c r="DV52" s="239">
        <v>0</v>
      </c>
      <c r="DW52" s="239">
        <v>0</v>
      </c>
      <c r="DX52" s="239">
        <v>0</v>
      </c>
      <c r="DY52" s="239">
        <v>0</v>
      </c>
      <c r="DZ52" s="239">
        <v>3268</v>
      </c>
      <c r="EA52" s="239">
        <v>735</v>
      </c>
      <c r="EB52" s="239">
        <v>82</v>
      </c>
      <c r="EC52" s="239">
        <v>4146</v>
      </c>
      <c r="ED52" s="239">
        <v>0</v>
      </c>
      <c r="EE52" s="239">
        <v>0</v>
      </c>
      <c r="EF52" s="239">
        <v>-878</v>
      </c>
      <c r="EG52" s="239">
        <v>735</v>
      </c>
      <c r="EH52" s="239">
        <v>82</v>
      </c>
      <c r="EI52" s="239">
        <v>15962</v>
      </c>
      <c r="EJ52" s="239">
        <v>3591</v>
      </c>
      <c r="EK52" s="239">
        <v>399</v>
      </c>
      <c r="EL52" s="239">
        <v>53217</v>
      </c>
      <c r="EM52" s="239">
        <v>0</v>
      </c>
      <c r="EN52" s="239">
        <v>0</v>
      </c>
      <c r="EO52" s="239">
        <v>-37255</v>
      </c>
      <c r="EP52" s="239">
        <v>3591</v>
      </c>
      <c r="EQ52" s="239">
        <v>399</v>
      </c>
      <c r="ER52" s="239">
        <v>3230</v>
      </c>
      <c r="ES52" s="239">
        <v>727</v>
      </c>
      <c r="ET52" s="239">
        <v>81</v>
      </c>
      <c r="EU52" s="239">
        <v>5583</v>
      </c>
      <c r="EV52" s="239">
        <v>0</v>
      </c>
      <c r="EW52" s="239">
        <v>0</v>
      </c>
      <c r="EX52" s="239">
        <v>-2353</v>
      </c>
      <c r="EY52" s="239">
        <v>727</v>
      </c>
      <c r="EZ52" s="239">
        <v>81</v>
      </c>
      <c r="FA52" s="239">
        <v>81641</v>
      </c>
      <c r="FB52" s="239">
        <v>18369</v>
      </c>
      <c r="FC52" s="239">
        <v>2041</v>
      </c>
      <c r="FD52" s="239">
        <v>83662</v>
      </c>
      <c r="FE52" s="239">
        <v>18824</v>
      </c>
      <c r="FF52" s="239">
        <v>2092</v>
      </c>
      <c r="FG52" s="239">
        <v>-2021</v>
      </c>
      <c r="FH52" s="239">
        <v>-455</v>
      </c>
      <c r="FI52" s="239">
        <v>-51</v>
      </c>
      <c r="FJ52" s="239">
        <v>0</v>
      </c>
      <c r="FK52" s="239">
        <v>0</v>
      </c>
      <c r="FL52" s="239">
        <v>0</v>
      </c>
      <c r="FM52" s="239">
        <v>0</v>
      </c>
      <c r="FN52" s="239">
        <v>0</v>
      </c>
      <c r="FO52" s="239">
        <v>0</v>
      </c>
      <c r="FP52" s="239">
        <v>0</v>
      </c>
      <c r="FQ52" s="239">
        <v>0</v>
      </c>
      <c r="FR52" s="239">
        <v>0</v>
      </c>
      <c r="FS52" s="239">
        <v>0</v>
      </c>
      <c r="FT52" s="239">
        <v>0</v>
      </c>
      <c r="FU52" s="239">
        <v>0</v>
      </c>
      <c r="FV52" s="239">
        <v>968258</v>
      </c>
      <c r="FW52" s="239">
        <v>217858</v>
      </c>
      <c r="FX52" s="239">
        <v>24207</v>
      </c>
      <c r="FY52" s="834">
        <v>0.5</v>
      </c>
      <c r="FZ52" s="834">
        <v>0.4</v>
      </c>
      <c r="GA52" s="834">
        <v>0.09</v>
      </c>
      <c r="GB52" s="834">
        <v>0.01</v>
      </c>
      <c r="GC52" s="214" t="s">
        <v>1158</v>
      </c>
    </row>
    <row r="53" spans="2:185" s="214" customFormat="1" x14ac:dyDescent="0.2">
      <c r="B53" s="602" t="s">
        <v>189</v>
      </c>
      <c r="C53" s="602" t="s">
        <v>188</v>
      </c>
      <c r="D53" s="239">
        <v>-2141210</v>
      </c>
      <c r="E53" s="239">
        <v>0</v>
      </c>
      <c r="F53" s="239">
        <v>-2141210</v>
      </c>
      <c r="G53" s="239">
        <v>-2260917</v>
      </c>
      <c r="H53" s="239">
        <v>0</v>
      </c>
      <c r="I53" s="239">
        <v>-2260917</v>
      </c>
      <c r="J53" s="239">
        <v>119707</v>
      </c>
      <c r="K53" s="239">
        <v>0</v>
      </c>
      <c r="L53" s="239">
        <v>119707</v>
      </c>
      <c r="M53" s="239">
        <v>305867</v>
      </c>
      <c r="N53" s="239">
        <v>305867</v>
      </c>
      <c r="O53" s="239">
        <v>0</v>
      </c>
      <c r="P53" s="239">
        <v>0</v>
      </c>
      <c r="Q53" s="239">
        <v>0</v>
      </c>
      <c r="R53" s="239">
        <v>0</v>
      </c>
      <c r="S53" s="239">
        <v>363795</v>
      </c>
      <c r="T53" s="239">
        <v>0</v>
      </c>
      <c r="U53" s="239">
        <v>294539</v>
      </c>
      <c r="V53" s="239">
        <v>0</v>
      </c>
      <c r="W53" s="239">
        <v>69256</v>
      </c>
      <c r="X53" s="239">
        <v>0</v>
      </c>
      <c r="Y53" s="239">
        <v>0</v>
      </c>
      <c r="Z53" s="239">
        <v>0</v>
      </c>
      <c r="AA53" s="239">
        <v>0</v>
      </c>
      <c r="AB53" s="239">
        <v>0</v>
      </c>
      <c r="AC53" s="239">
        <v>0</v>
      </c>
      <c r="AD53" s="239">
        <v>0</v>
      </c>
      <c r="AE53" s="239">
        <v>0</v>
      </c>
      <c r="AF53" s="239">
        <v>0</v>
      </c>
      <c r="AG53" s="239">
        <v>0</v>
      </c>
      <c r="AH53" s="239">
        <v>0</v>
      </c>
      <c r="AI53" s="239">
        <v>0</v>
      </c>
      <c r="AJ53" s="239">
        <v>0</v>
      </c>
      <c r="AK53" s="239">
        <v>0</v>
      </c>
      <c r="AL53" s="239">
        <v>0</v>
      </c>
      <c r="AM53" s="239">
        <v>0</v>
      </c>
      <c r="AN53" s="239">
        <v>0</v>
      </c>
      <c r="AO53" s="239">
        <v>0</v>
      </c>
      <c r="AP53" s="239">
        <v>0</v>
      </c>
      <c r="AQ53" s="239">
        <v>0</v>
      </c>
      <c r="AR53" s="239">
        <v>0</v>
      </c>
      <c r="AS53" s="239">
        <v>0</v>
      </c>
      <c r="AT53" s="239">
        <v>0</v>
      </c>
      <c r="AU53" s="239">
        <v>0</v>
      </c>
      <c r="AV53" s="239">
        <v>0</v>
      </c>
      <c r="AW53" s="239">
        <v>0</v>
      </c>
      <c r="AX53" s="239">
        <v>0</v>
      </c>
      <c r="AY53" s="239">
        <v>0</v>
      </c>
      <c r="AZ53" s="239">
        <v>0</v>
      </c>
      <c r="BA53" s="239">
        <v>0</v>
      </c>
      <c r="BB53" s="239">
        <v>0</v>
      </c>
      <c r="BC53" s="239">
        <v>2904056</v>
      </c>
      <c r="BD53" s="239">
        <v>0</v>
      </c>
      <c r="BE53" s="239">
        <v>59266</v>
      </c>
      <c r="BF53" s="239">
        <v>2836890.5752113299</v>
      </c>
      <c r="BG53" s="239">
        <v>0</v>
      </c>
      <c r="BH53" s="239">
        <v>57895.726024721029</v>
      </c>
      <c r="BI53" s="239">
        <v>200285.73298332613</v>
      </c>
      <c r="BJ53" s="239">
        <v>0</v>
      </c>
      <c r="BK53" s="239">
        <v>3976.6246722532183</v>
      </c>
      <c r="BL53" s="239">
        <v>2525757</v>
      </c>
      <c r="BM53" s="239">
        <v>0</v>
      </c>
      <c r="BN53" s="239">
        <v>35424</v>
      </c>
      <c r="BO53" s="239">
        <v>378299</v>
      </c>
      <c r="BP53" s="239">
        <v>0</v>
      </c>
      <c r="BQ53" s="239">
        <v>23842</v>
      </c>
      <c r="BR53" s="239">
        <v>0</v>
      </c>
      <c r="BS53" s="239">
        <v>0</v>
      </c>
      <c r="BT53" s="239">
        <v>0</v>
      </c>
      <c r="BU53" s="239">
        <v>0</v>
      </c>
      <c r="BV53" s="239">
        <v>0</v>
      </c>
      <c r="BW53" s="239">
        <v>0</v>
      </c>
      <c r="BX53" s="239">
        <v>0</v>
      </c>
      <c r="BY53" s="239">
        <v>0</v>
      </c>
      <c r="BZ53" s="239">
        <v>0</v>
      </c>
      <c r="CA53" s="239">
        <v>102905</v>
      </c>
      <c r="CB53" s="239">
        <v>0</v>
      </c>
      <c r="CC53" s="239">
        <v>2100</v>
      </c>
      <c r="CD53" s="239">
        <v>17432</v>
      </c>
      <c r="CE53" s="239">
        <v>0</v>
      </c>
      <c r="CF53" s="239">
        <v>356</v>
      </c>
      <c r="CG53" s="239">
        <v>85473</v>
      </c>
      <c r="CH53" s="239">
        <v>0</v>
      </c>
      <c r="CI53" s="239">
        <v>1744</v>
      </c>
      <c r="CJ53" s="239">
        <v>2839</v>
      </c>
      <c r="CK53" s="239">
        <v>0</v>
      </c>
      <c r="CL53" s="239">
        <v>58</v>
      </c>
      <c r="CM53" s="239">
        <v>1833</v>
      </c>
      <c r="CN53" s="239">
        <v>0</v>
      </c>
      <c r="CO53" s="239">
        <v>37</v>
      </c>
      <c r="CP53" s="239">
        <v>1006</v>
      </c>
      <c r="CQ53" s="239">
        <v>0</v>
      </c>
      <c r="CR53" s="239">
        <v>21</v>
      </c>
      <c r="CS53" s="239">
        <v>-183</v>
      </c>
      <c r="CT53" s="239">
        <v>0</v>
      </c>
      <c r="CU53" s="239">
        <v>-4</v>
      </c>
      <c r="CV53" s="239">
        <v>0</v>
      </c>
      <c r="CW53" s="239">
        <v>0</v>
      </c>
      <c r="CX53" s="239">
        <v>0</v>
      </c>
      <c r="CY53" s="239">
        <v>0</v>
      </c>
      <c r="CZ53" s="239">
        <v>0</v>
      </c>
      <c r="DA53" s="239">
        <v>0</v>
      </c>
      <c r="DB53" s="239">
        <v>0</v>
      </c>
      <c r="DC53" s="239">
        <v>0</v>
      </c>
      <c r="DD53" s="239">
        <v>0</v>
      </c>
      <c r="DE53" s="239">
        <v>-89</v>
      </c>
      <c r="DF53" s="239">
        <v>0</v>
      </c>
      <c r="DG53" s="239">
        <v>-2</v>
      </c>
      <c r="DH53" s="239">
        <v>1251</v>
      </c>
      <c r="DI53" s="239">
        <v>0</v>
      </c>
      <c r="DJ53" s="239">
        <v>26</v>
      </c>
      <c r="DK53" s="239">
        <v>15879</v>
      </c>
      <c r="DL53" s="239">
        <v>0</v>
      </c>
      <c r="DM53" s="239">
        <v>324</v>
      </c>
      <c r="DN53" s="239">
        <v>-14628</v>
      </c>
      <c r="DO53" s="239">
        <v>0</v>
      </c>
      <c r="DP53" s="239">
        <v>-298</v>
      </c>
      <c r="DQ53" s="239">
        <v>0</v>
      </c>
      <c r="DR53" s="239">
        <v>0</v>
      </c>
      <c r="DS53" s="239">
        <v>0</v>
      </c>
      <c r="DT53" s="239">
        <v>0</v>
      </c>
      <c r="DU53" s="239">
        <v>0</v>
      </c>
      <c r="DV53" s="239">
        <v>0</v>
      </c>
      <c r="DW53" s="239">
        <v>0</v>
      </c>
      <c r="DX53" s="239">
        <v>0</v>
      </c>
      <c r="DY53" s="239">
        <v>0</v>
      </c>
      <c r="DZ53" s="239">
        <v>10345</v>
      </c>
      <c r="EA53" s="239">
        <v>0</v>
      </c>
      <c r="EB53" s="239">
        <v>211</v>
      </c>
      <c r="EC53" s="239">
        <v>9914</v>
      </c>
      <c r="ED53" s="239">
        <v>0</v>
      </c>
      <c r="EE53" s="239">
        <v>0</v>
      </c>
      <c r="EF53" s="239">
        <v>431</v>
      </c>
      <c r="EG53" s="239">
        <v>0</v>
      </c>
      <c r="EH53" s="239">
        <v>211</v>
      </c>
      <c r="EI53" s="239">
        <v>160230</v>
      </c>
      <c r="EJ53" s="239">
        <v>0</v>
      </c>
      <c r="EK53" s="239">
        <v>3270</v>
      </c>
      <c r="EL53" s="239">
        <v>183156</v>
      </c>
      <c r="EM53" s="239">
        <v>0</v>
      </c>
      <c r="EN53" s="239">
        <v>0</v>
      </c>
      <c r="EO53" s="239">
        <v>-22926</v>
      </c>
      <c r="EP53" s="239">
        <v>0</v>
      </c>
      <c r="EQ53" s="239">
        <v>3270</v>
      </c>
      <c r="ER53" s="239">
        <v>65748</v>
      </c>
      <c r="ES53" s="239">
        <v>0</v>
      </c>
      <c r="ET53" s="239">
        <v>1342</v>
      </c>
      <c r="EU53" s="239">
        <v>65636</v>
      </c>
      <c r="EV53" s="239">
        <v>0</v>
      </c>
      <c r="EW53" s="239">
        <v>0</v>
      </c>
      <c r="EX53" s="239">
        <v>112</v>
      </c>
      <c r="EY53" s="239">
        <v>0</v>
      </c>
      <c r="EZ53" s="239">
        <v>1342</v>
      </c>
      <c r="FA53" s="239">
        <v>611218</v>
      </c>
      <c r="FB53" s="239">
        <v>0</v>
      </c>
      <c r="FC53" s="239">
        <v>12362</v>
      </c>
      <c r="FD53" s="239">
        <v>600776</v>
      </c>
      <c r="FE53" s="239">
        <v>0</v>
      </c>
      <c r="FF53" s="239">
        <v>12170</v>
      </c>
      <c r="FG53" s="239">
        <v>10442</v>
      </c>
      <c r="FH53" s="239">
        <v>0</v>
      </c>
      <c r="FI53" s="239">
        <v>192</v>
      </c>
      <c r="FJ53" s="239">
        <v>0</v>
      </c>
      <c r="FK53" s="239">
        <v>0</v>
      </c>
      <c r="FL53" s="239">
        <v>0</v>
      </c>
      <c r="FM53" s="239">
        <v>0</v>
      </c>
      <c r="FN53" s="239">
        <v>0</v>
      </c>
      <c r="FO53" s="239">
        <v>0</v>
      </c>
      <c r="FP53" s="239">
        <v>0</v>
      </c>
      <c r="FQ53" s="239">
        <v>0</v>
      </c>
      <c r="FR53" s="239">
        <v>0</v>
      </c>
      <c r="FS53" s="239">
        <v>0</v>
      </c>
      <c r="FT53" s="239">
        <v>0</v>
      </c>
      <c r="FU53" s="239">
        <v>0</v>
      </c>
      <c r="FV53" s="239">
        <v>3858320</v>
      </c>
      <c r="FW53" s="239">
        <v>0</v>
      </c>
      <c r="FX53" s="239">
        <v>78629</v>
      </c>
      <c r="FY53" s="834">
        <v>0.5</v>
      </c>
      <c r="FZ53" s="834">
        <v>0.49</v>
      </c>
      <c r="GA53" s="834">
        <v>0</v>
      </c>
      <c r="GB53" s="834">
        <v>0.01</v>
      </c>
      <c r="GC53" s="214" t="s">
        <v>746</v>
      </c>
    </row>
    <row r="54" spans="2:185" s="214" customFormat="1" x14ac:dyDescent="0.2">
      <c r="B54" s="602" t="s">
        <v>191</v>
      </c>
      <c r="C54" s="602" t="s">
        <v>190</v>
      </c>
      <c r="D54" s="239">
        <v>928521</v>
      </c>
      <c r="E54" s="239">
        <v>8996</v>
      </c>
      <c r="F54" s="239">
        <v>937517</v>
      </c>
      <c r="G54" s="239">
        <v>1035179</v>
      </c>
      <c r="H54" s="239">
        <v>8996</v>
      </c>
      <c r="I54" s="239">
        <v>1044175</v>
      </c>
      <c r="J54" s="239">
        <v>-106658</v>
      </c>
      <c r="K54" s="239">
        <v>0</v>
      </c>
      <c r="L54" s="239">
        <v>-106658</v>
      </c>
      <c r="M54" s="239">
        <v>193360</v>
      </c>
      <c r="N54" s="239">
        <v>193360</v>
      </c>
      <c r="O54" s="239">
        <v>0</v>
      </c>
      <c r="P54" s="239">
        <v>5540</v>
      </c>
      <c r="Q54" s="239">
        <v>80</v>
      </c>
      <c r="R54" s="239">
        <v>5460</v>
      </c>
      <c r="S54" s="239">
        <v>179125</v>
      </c>
      <c r="T54" s="239">
        <v>12686</v>
      </c>
      <c r="U54" s="239">
        <v>151810</v>
      </c>
      <c r="V54" s="239">
        <v>0</v>
      </c>
      <c r="W54" s="239">
        <v>27315</v>
      </c>
      <c r="X54" s="239">
        <v>12686</v>
      </c>
      <c r="Y54" s="239">
        <v>0</v>
      </c>
      <c r="Z54" s="239">
        <v>0</v>
      </c>
      <c r="AA54" s="239">
        <v>0</v>
      </c>
      <c r="AB54" s="239">
        <v>0</v>
      </c>
      <c r="AC54" s="239">
        <v>0</v>
      </c>
      <c r="AD54" s="239">
        <v>0</v>
      </c>
      <c r="AE54" s="239">
        <v>0</v>
      </c>
      <c r="AF54" s="239">
        <v>0</v>
      </c>
      <c r="AG54" s="239">
        <v>0</v>
      </c>
      <c r="AH54" s="239">
        <v>0</v>
      </c>
      <c r="AI54" s="239">
        <v>0</v>
      </c>
      <c r="AJ54" s="239">
        <v>0</v>
      </c>
      <c r="AK54" s="239">
        <v>0</v>
      </c>
      <c r="AL54" s="239">
        <v>0</v>
      </c>
      <c r="AM54" s="239">
        <v>0</v>
      </c>
      <c r="AN54" s="239">
        <v>0</v>
      </c>
      <c r="AO54" s="239">
        <v>0</v>
      </c>
      <c r="AP54" s="239">
        <v>0</v>
      </c>
      <c r="AQ54" s="239">
        <v>0</v>
      </c>
      <c r="AR54" s="239">
        <v>0</v>
      </c>
      <c r="AS54" s="239">
        <v>0</v>
      </c>
      <c r="AT54" s="239">
        <v>0</v>
      </c>
      <c r="AU54" s="239">
        <v>0</v>
      </c>
      <c r="AV54" s="239">
        <v>0</v>
      </c>
      <c r="AW54" s="239">
        <v>0</v>
      </c>
      <c r="AX54" s="239">
        <v>0</v>
      </c>
      <c r="AY54" s="239">
        <v>0</v>
      </c>
      <c r="AZ54" s="239">
        <v>0</v>
      </c>
      <c r="BA54" s="239">
        <v>0</v>
      </c>
      <c r="BB54" s="239">
        <v>0</v>
      </c>
      <c r="BC54" s="239">
        <v>1470548</v>
      </c>
      <c r="BD54" s="239">
        <v>330873</v>
      </c>
      <c r="BE54" s="239">
        <v>36764</v>
      </c>
      <c r="BF54" s="239">
        <v>1436385.9119948498</v>
      </c>
      <c r="BG54" s="239">
        <v>323186.83019884117</v>
      </c>
      <c r="BH54" s="239">
        <v>35909.647799871243</v>
      </c>
      <c r="BI54" s="239">
        <v>106329.93309012875</v>
      </c>
      <c r="BJ54" s="239">
        <v>23924.234945278968</v>
      </c>
      <c r="BK54" s="239">
        <v>2658.248327253219</v>
      </c>
      <c r="BL54" s="239">
        <v>1578562</v>
      </c>
      <c r="BM54" s="239">
        <v>229146</v>
      </c>
      <c r="BN54" s="239">
        <v>25461</v>
      </c>
      <c r="BO54" s="239">
        <v>-108014</v>
      </c>
      <c r="BP54" s="239">
        <v>101727</v>
      </c>
      <c r="BQ54" s="239">
        <v>11303</v>
      </c>
      <c r="BR54" s="239">
        <v>3780</v>
      </c>
      <c r="BS54" s="239">
        <v>851</v>
      </c>
      <c r="BT54" s="239">
        <v>95</v>
      </c>
      <c r="BU54" s="239">
        <v>1643</v>
      </c>
      <c r="BV54" s="239">
        <v>370</v>
      </c>
      <c r="BW54" s="239">
        <v>41</v>
      </c>
      <c r="BX54" s="239">
        <v>2137</v>
      </c>
      <c r="BY54" s="239">
        <v>481</v>
      </c>
      <c r="BZ54" s="239">
        <v>54</v>
      </c>
      <c r="CA54" s="239">
        <v>-16499</v>
      </c>
      <c r="CB54" s="239">
        <v>-3712</v>
      </c>
      <c r="CC54" s="239">
        <v>-412</v>
      </c>
      <c r="CD54" s="239">
        <v>605</v>
      </c>
      <c r="CE54" s="239">
        <v>136</v>
      </c>
      <c r="CF54" s="239">
        <v>15</v>
      </c>
      <c r="CG54" s="239">
        <v>-17104</v>
      </c>
      <c r="CH54" s="239">
        <v>-3848</v>
      </c>
      <c r="CI54" s="239">
        <v>-427</v>
      </c>
      <c r="CJ54" s="239">
        <v>-47</v>
      </c>
      <c r="CK54" s="239">
        <v>-11</v>
      </c>
      <c r="CL54" s="239">
        <v>-1</v>
      </c>
      <c r="CM54" s="239">
        <v>140</v>
      </c>
      <c r="CN54" s="239">
        <v>32</v>
      </c>
      <c r="CO54" s="239">
        <v>4</v>
      </c>
      <c r="CP54" s="239">
        <v>-187</v>
      </c>
      <c r="CQ54" s="239">
        <v>-43</v>
      </c>
      <c r="CR54" s="239">
        <v>-5</v>
      </c>
      <c r="CS54" s="239">
        <v>4</v>
      </c>
      <c r="CT54" s="239">
        <v>1</v>
      </c>
      <c r="CU54" s="239">
        <v>0</v>
      </c>
      <c r="CV54" s="239">
        <v>0</v>
      </c>
      <c r="CW54" s="239">
        <v>0</v>
      </c>
      <c r="CX54" s="239">
        <v>0</v>
      </c>
      <c r="CY54" s="239">
        <v>0</v>
      </c>
      <c r="CZ54" s="239">
        <v>0</v>
      </c>
      <c r="DA54" s="239">
        <v>0</v>
      </c>
      <c r="DB54" s="239">
        <v>0</v>
      </c>
      <c r="DC54" s="239">
        <v>0</v>
      </c>
      <c r="DD54" s="239">
        <v>0</v>
      </c>
      <c r="DE54" s="239">
        <v>0</v>
      </c>
      <c r="DF54" s="239">
        <v>0</v>
      </c>
      <c r="DG54" s="239">
        <v>0</v>
      </c>
      <c r="DH54" s="239">
        <v>726</v>
      </c>
      <c r="DI54" s="239">
        <v>163</v>
      </c>
      <c r="DJ54" s="239">
        <v>18</v>
      </c>
      <c r="DK54" s="239">
        <v>726</v>
      </c>
      <c r="DL54" s="239">
        <v>163</v>
      </c>
      <c r="DM54" s="239">
        <v>18</v>
      </c>
      <c r="DN54" s="239">
        <v>0</v>
      </c>
      <c r="DO54" s="239">
        <v>0</v>
      </c>
      <c r="DP54" s="239">
        <v>0</v>
      </c>
      <c r="DQ54" s="239">
        <v>609</v>
      </c>
      <c r="DR54" s="239">
        <v>137</v>
      </c>
      <c r="DS54" s="239">
        <v>15</v>
      </c>
      <c r="DT54" s="239">
        <v>609</v>
      </c>
      <c r="DU54" s="239">
        <v>137</v>
      </c>
      <c r="DV54" s="239">
        <v>15</v>
      </c>
      <c r="DW54" s="239">
        <v>0</v>
      </c>
      <c r="DX54" s="239">
        <v>0</v>
      </c>
      <c r="DY54" s="239">
        <v>0</v>
      </c>
      <c r="DZ54" s="239">
        <v>21667</v>
      </c>
      <c r="EA54" s="239">
        <v>4875</v>
      </c>
      <c r="EB54" s="239">
        <v>542</v>
      </c>
      <c r="EC54" s="239">
        <v>27893</v>
      </c>
      <c r="ED54" s="239">
        <v>0</v>
      </c>
      <c r="EE54" s="239">
        <v>0</v>
      </c>
      <c r="EF54" s="239">
        <v>-6226</v>
      </c>
      <c r="EG54" s="239">
        <v>4875</v>
      </c>
      <c r="EH54" s="239">
        <v>542</v>
      </c>
      <c r="EI54" s="239">
        <v>159192</v>
      </c>
      <c r="EJ54" s="239">
        <v>35818</v>
      </c>
      <c r="EK54" s="239">
        <v>3980</v>
      </c>
      <c r="EL54" s="239">
        <v>235314</v>
      </c>
      <c r="EM54" s="239">
        <v>0</v>
      </c>
      <c r="EN54" s="239">
        <v>0</v>
      </c>
      <c r="EO54" s="239">
        <v>-76122</v>
      </c>
      <c r="EP54" s="239">
        <v>35818</v>
      </c>
      <c r="EQ54" s="239">
        <v>3980</v>
      </c>
      <c r="ER54" s="239">
        <v>23338</v>
      </c>
      <c r="ES54" s="239">
        <v>5251</v>
      </c>
      <c r="ET54" s="239">
        <v>583</v>
      </c>
      <c r="EU54" s="239">
        <v>29918</v>
      </c>
      <c r="EV54" s="239">
        <v>0</v>
      </c>
      <c r="EW54" s="239">
        <v>0</v>
      </c>
      <c r="EX54" s="239">
        <v>-6580</v>
      </c>
      <c r="EY54" s="239">
        <v>5251</v>
      </c>
      <c r="EZ54" s="239">
        <v>583</v>
      </c>
      <c r="FA54" s="239">
        <v>268011</v>
      </c>
      <c r="FB54" s="239">
        <v>59869</v>
      </c>
      <c r="FC54" s="239">
        <v>6631</v>
      </c>
      <c r="FD54" s="239">
        <v>272844</v>
      </c>
      <c r="FE54" s="239">
        <v>60877</v>
      </c>
      <c r="FF54" s="239">
        <v>6764</v>
      </c>
      <c r="FG54" s="239">
        <v>-4833</v>
      </c>
      <c r="FH54" s="239">
        <v>-1008</v>
      </c>
      <c r="FI54" s="239">
        <v>-133</v>
      </c>
      <c r="FJ54" s="239">
        <v>0</v>
      </c>
      <c r="FK54" s="239">
        <v>0</v>
      </c>
      <c r="FL54" s="239">
        <v>0</v>
      </c>
      <c r="FM54" s="239">
        <v>0</v>
      </c>
      <c r="FN54" s="239">
        <v>0</v>
      </c>
      <c r="FO54" s="239">
        <v>0</v>
      </c>
      <c r="FP54" s="239">
        <v>0</v>
      </c>
      <c r="FQ54" s="239">
        <v>0</v>
      </c>
      <c r="FR54" s="239">
        <v>0</v>
      </c>
      <c r="FS54" s="239">
        <v>0</v>
      </c>
      <c r="FT54" s="239">
        <v>0</v>
      </c>
      <c r="FU54" s="239">
        <v>0</v>
      </c>
      <c r="FV54" s="239">
        <v>1931329</v>
      </c>
      <c r="FW54" s="239">
        <v>434115</v>
      </c>
      <c r="FX54" s="239">
        <v>48215</v>
      </c>
      <c r="FY54" s="834">
        <v>0.5</v>
      </c>
      <c r="FZ54" s="834">
        <v>0.4</v>
      </c>
      <c r="GA54" s="834">
        <v>0.09</v>
      </c>
      <c r="GB54" s="834">
        <v>0.01</v>
      </c>
      <c r="GC54" s="214" t="s">
        <v>1158</v>
      </c>
    </row>
    <row r="55" spans="2:185" s="214" customFormat="1" x14ac:dyDescent="0.2">
      <c r="B55" s="602" t="s">
        <v>193</v>
      </c>
      <c r="C55" s="602" t="s">
        <v>192</v>
      </c>
      <c r="D55" s="239">
        <v>-4420543</v>
      </c>
      <c r="E55" s="239">
        <v>0</v>
      </c>
      <c r="F55" s="239">
        <v>-4420543</v>
      </c>
      <c r="G55" s="239">
        <v>-4126045</v>
      </c>
      <c r="H55" s="239">
        <v>0</v>
      </c>
      <c r="I55" s="239">
        <v>-4126045</v>
      </c>
      <c r="J55" s="239">
        <v>-294498</v>
      </c>
      <c r="K55" s="239">
        <v>0</v>
      </c>
      <c r="L55" s="239">
        <v>-294498</v>
      </c>
      <c r="M55" s="239">
        <v>217330</v>
      </c>
      <c r="N55" s="239">
        <v>217330</v>
      </c>
      <c r="O55" s="239">
        <v>0</v>
      </c>
      <c r="P55" s="239">
        <v>0</v>
      </c>
      <c r="Q55" s="239">
        <v>0</v>
      </c>
      <c r="R55" s="239">
        <v>0</v>
      </c>
      <c r="S55" s="239">
        <v>0</v>
      </c>
      <c r="T55" s="239">
        <v>0</v>
      </c>
      <c r="U55" s="239">
        <v>0</v>
      </c>
      <c r="V55" s="239">
        <v>0</v>
      </c>
      <c r="W55" s="239">
        <v>0</v>
      </c>
      <c r="X55" s="239">
        <v>0</v>
      </c>
      <c r="Y55" s="239">
        <v>0</v>
      </c>
      <c r="Z55" s="239">
        <v>0</v>
      </c>
      <c r="AA55" s="239">
        <v>0</v>
      </c>
      <c r="AB55" s="239">
        <v>0</v>
      </c>
      <c r="AC55" s="239">
        <v>0</v>
      </c>
      <c r="AD55" s="239">
        <v>0</v>
      </c>
      <c r="AE55" s="239">
        <v>0</v>
      </c>
      <c r="AF55" s="239">
        <v>0</v>
      </c>
      <c r="AG55" s="239">
        <v>0</v>
      </c>
      <c r="AH55" s="239">
        <v>0</v>
      </c>
      <c r="AI55" s="239">
        <v>0</v>
      </c>
      <c r="AJ55" s="239">
        <v>0</v>
      </c>
      <c r="AK55" s="239">
        <v>0</v>
      </c>
      <c r="AL55" s="239">
        <v>0</v>
      </c>
      <c r="AM55" s="239">
        <v>0</v>
      </c>
      <c r="AN55" s="239">
        <v>0</v>
      </c>
      <c r="AO55" s="239">
        <v>0</v>
      </c>
      <c r="AP55" s="239">
        <v>0</v>
      </c>
      <c r="AQ55" s="239">
        <v>0</v>
      </c>
      <c r="AR55" s="239">
        <v>0</v>
      </c>
      <c r="AS55" s="239">
        <v>0</v>
      </c>
      <c r="AT55" s="239">
        <v>0</v>
      </c>
      <c r="AU55" s="239">
        <v>0</v>
      </c>
      <c r="AV55" s="239">
        <v>0</v>
      </c>
      <c r="AW55" s="239">
        <v>0</v>
      </c>
      <c r="AX55" s="239">
        <v>0</v>
      </c>
      <c r="AY55" s="239">
        <v>0</v>
      </c>
      <c r="AZ55" s="239">
        <v>0</v>
      </c>
      <c r="BA55" s="239">
        <v>0</v>
      </c>
      <c r="BB55" s="239">
        <v>0</v>
      </c>
      <c r="BC55" s="239">
        <v>1468092</v>
      </c>
      <c r="BD55" s="239">
        <v>330321</v>
      </c>
      <c r="BE55" s="239">
        <v>36702</v>
      </c>
      <c r="BF55" s="239">
        <v>1423144.836474678</v>
      </c>
      <c r="BG55" s="239">
        <v>320207.58820680255</v>
      </c>
      <c r="BH55" s="239">
        <v>35578.62091186695</v>
      </c>
      <c r="BI55" s="239">
        <v>127796.54072961373</v>
      </c>
      <c r="BJ55" s="239">
        <v>28754.221664163084</v>
      </c>
      <c r="BK55" s="239">
        <v>3194.9135182403429</v>
      </c>
      <c r="BL55" s="239">
        <v>1314448</v>
      </c>
      <c r="BM55" s="239">
        <v>186007</v>
      </c>
      <c r="BN55" s="239">
        <v>20667</v>
      </c>
      <c r="BO55" s="239">
        <v>153644</v>
      </c>
      <c r="BP55" s="239">
        <v>144314</v>
      </c>
      <c r="BQ55" s="239">
        <v>16035</v>
      </c>
      <c r="BR55" s="239">
        <v>0</v>
      </c>
      <c r="BS55" s="239">
        <v>0</v>
      </c>
      <c r="BT55" s="239">
        <v>0</v>
      </c>
      <c r="BU55" s="239">
        <v>0</v>
      </c>
      <c r="BV55" s="239">
        <v>0</v>
      </c>
      <c r="BW55" s="239">
        <v>0</v>
      </c>
      <c r="BX55" s="239">
        <v>0</v>
      </c>
      <c r="BY55" s="239">
        <v>0</v>
      </c>
      <c r="BZ55" s="239">
        <v>0</v>
      </c>
      <c r="CA55" s="239">
        <v>734</v>
      </c>
      <c r="CB55" s="239">
        <v>165</v>
      </c>
      <c r="CC55" s="239">
        <v>18</v>
      </c>
      <c r="CD55" s="239">
        <v>605</v>
      </c>
      <c r="CE55" s="239">
        <v>136</v>
      </c>
      <c r="CF55" s="239">
        <v>15</v>
      </c>
      <c r="CG55" s="239">
        <v>129</v>
      </c>
      <c r="CH55" s="239">
        <v>29</v>
      </c>
      <c r="CI55" s="239">
        <v>3</v>
      </c>
      <c r="CJ55" s="239">
        <v>59</v>
      </c>
      <c r="CK55" s="239">
        <v>13</v>
      </c>
      <c r="CL55" s="239">
        <v>1</v>
      </c>
      <c r="CM55" s="239">
        <v>381</v>
      </c>
      <c r="CN55" s="239">
        <v>86</v>
      </c>
      <c r="CO55" s="239">
        <v>10</v>
      </c>
      <c r="CP55" s="239">
        <v>-322</v>
      </c>
      <c r="CQ55" s="239">
        <v>-73</v>
      </c>
      <c r="CR55" s="239">
        <v>-9</v>
      </c>
      <c r="CS55" s="239">
        <v>-2066</v>
      </c>
      <c r="CT55" s="239">
        <v>-465</v>
      </c>
      <c r="CU55" s="239">
        <v>-52</v>
      </c>
      <c r="CV55" s="239">
        <v>0</v>
      </c>
      <c r="CW55" s="239">
        <v>0</v>
      </c>
      <c r="CX55" s="239">
        <v>0</v>
      </c>
      <c r="CY55" s="239">
        <v>0</v>
      </c>
      <c r="CZ55" s="239">
        <v>0</v>
      </c>
      <c r="DA55" s="239">
        <v>0</v>
      </c>
      <c r="DB55" s="239">
        <v>0</v>
      </c>
      <c r="DC55" s="239">
        <v>0</v>
      </c>
      <c r="DD55" s="239">
        <v>0</v>
      </c>
      <c r="DE55" s="239">
        <v>0</v>
      </c>
      <c r="DF55" s="239">
        <v>0</v>
      </c>
      <c r="DG55" s="239">
        <v>0</v>
      </c>
      <c r="DH55" s="239">
        <v>1950</v>
      </c>
      <c r="DI55" s="239">
        <v>439</v>
      </c>
      <c r="DJ55" s="239">
        <v>49</v>
      </c>
      <c r="DK55" s="239">
        <v>2382</v>
      </c>
      <c r="DL55" s="239">
        <v>536</v>
      </c>
      <c r="DM55" s="239">
        <v>60</v>
      </c>
      <c r="DN55" s="239">
        <v>-432</v>
      </c>
      <c r="DO55" s="239">
        <v>-97</v>
      </c>
      <c r="DP55" s="239">
        <v>-11</v>
      </c>
      <c r="DQ55" s="239">
        <v>609</v>
      </c>
      <c r="DR55" s="239">
        <v>137</v>
      </c>
      <c r="DS55" s="239">
        <v>15</v>
      </c>
      <c r="DT55" s="239">
        <v>0</v>
      </c>
      <c r="DU55" s="239">
        <v>0</v>
      </c>
      <c r="DV55" s="239">
        <v>0</v>
      </c>
      <c r="DW55" s="239">
        <v>609</v>
      </c>
      <c r="DX55" s="239">
        <v>137</v>
      </c>
      <c r="DY55" s="239">
        <v>15</v>
      </c>
      <c r="DZ55" s="239">
        <v>15102</v>
      </c>
      <c r="EA55" s="239">
        <v>3398</v>
      </c>
      <c r="EB55" s="239">
        <v>378</v>
      </c>
      <c r="EC55" s="239">
        <v>19793</v>
      </c>
      <c r="ED55" s="239">
        <v>0</v>
      </c>
      <c r="EE55" s="239">
        <v>0</v>
      </c>
      <c r="EF55" s="239">
        <v>-4691</v>
      </c>
      <c r="EG55" s="239">
        <v>3398</v>
      </c>
      <c r="EH55" s="239">
        <v>378</v>
      </c>
      <c r="EI55" s="239">
        <v>110071</v>
      </c>
      <c r="EJ55" s="239">
        <v>24766</v>
      </c>
      <c r="EK55" s="239">
        <v>2752</v>
      </c>
      <c r="EL55" s="239">
        <v>135857</v>
      </c>
      <c r="EM55" s="239">
        <v>0</v>
      </c>
      <c r="EN55" s="239">
        <v>0</v>
      </c>
      <c r="EO55" s="239">
        <v>-25786</v>
      </c>
      <c r="EP55" s="239">
        <v>24766</v>
      </c>
      <c r="EQ55" s="239">
        <v>2752</v>
      </c>
      <c r="ER55" s="239">
        <v>33377</v>
      </c>
      <c r="ES55" s="239">
        <v>7510</v>
      </c>
      <c r="ET55" s="239">
        <v>834</v>
      </c>
      <c r="EU55" s="239">
        <v>41616</v>
      </c>
      <c r="EV55" s="239">
        <v>0</v>
      </c>
      <c r="EW55" s="239">
        <v>0</v>
      </c>
      <c r="EX55" s="239">
        <v>-8239</v>
      </c>
      <c r="EY55" s="239">
        <v>7510</v>
      </c>
      <c r="EZ55" s="239">
        <v>834</v>
      </c>
      <c r="FA55" s="239">
        <v>459781</v>
      </c>
      <c r="FB55" s="239">
        <v>103451</v>
      </c>
      <c r="FC55" s="239">
        <v>11495</v>
      </c>
      <c r="FD55" s="239">
        <v>460343</v>
      </c>
      <c r="FE55" s="239">
        <v>103577</v>
      </c>
      <c r="FF55" s="239">
        <v>11509</v>
      </c>
      <c r="FG55" s="239">
        <v>-562</v>
      </c>
      <c r="FH55" s="239">
        <v>-126</v>
      </c>
      <c r="FI55" s="239">
        <v>-14</v>
      </c>
      <c r="FJ55" s="239">
        <v>0</v>
      </c>
      <c r="FK55" s="239">
        <v>0</v>
      </c>
      <c r="FL55" s="239">
        <v>0</v>
      </c>
      <c r="FM55" s="239">
        <v>0</v>
      </c>
      <c r="FN55" s="239">
        <v>0</v>
      </c>
      <c r="FO55" s="239">
        <v>0</v>
      </c>
      <c r="FP55" s="239">
        <v>0</v>
      </c>
      <c r="FQ55" s="239">
        <v>0</v>
      </c>
      <c r="FR55" s="239">
        <v>0</v>
      </c>
      <c r="FS55" s="239">
        <v>0</v>
      </c>
      <c r="FT55" s="239">
        <v>0</v>
      </c>
      <c r="FU55" s="239">
        <v>0</v>
      </c>
      <c r="FV55" s="239">
        <v>2087709</v>
      </c>
      <c r="FW55" s="239">
        <v>469735</v>
      </c>
      <c r="FX55" s="239">
        <v>52192</v>
      </c>
      <c r="FY55" s="834">
        <v>0.5</v>
      </c>
      <c r="FZ55" s="834">
        <v>0.4</v>
      </c>
      <c r="GA55" s="834">
        <v>0.09</v>
      </c>
      <c r="GB55" s="834">
        <v>0.01</v>
      </c>
      <c r="GC55" s="214" t="s">
        <v>1158</v>
      </c>
    </row>
    <row r="56" spans="2:185" s="214" customFormat="1" x14ac:dyDescent="0.2">
      <c r="B56" s="602" t="s">
        <v>195</v>
      </c>
      <c r="C56" s="602" t="s">
        <v>194</v>
      </c>
      <c r="D56" s="239">
        <v>-2287581</v>
      </c>
      <c r="E56" s="239">
        <v>0</v>
      </c>
      <c r="F56" s="239">
        <v>-2287581</v>
      </c>
      <c r="G56" s="239">
        <v>-2158783</v>
      </c>
      <c r="H56" s="239">
        <v>0</v>
      </c>
      <c r="I56" s="239">
        <v>-2158783</v>
      </c>
      <c r="J56" s="239">
        <v>-128798</v>
      </c>
      <c r="K56" s="239">
        <v>0</v>
      </c>
      <c r="L56" s="239">
        <v>-128798</v>
      </c>
      <c r="M56" s="239">
        <v>174255</v>
      </c>
      <c r="N56" s="239">
        <v>174255</v>
      </c>
      <c r="O56" s="239">
        <v>0</v>
      </c>
      <c r="P56" s="239">
        <v>0</v>
      </c>
      <c r="Q56" s="239">
        <v>0</v>
      </c>
      <c r="R56" s="239">
        <v>0</v>
      </c>
      <c r="S56" s="239">
        <v>0</v>
      </c>
      <c r="T56" s="239">
        <v>0</v>
      </c>
      <c r="U56" s="239">
        <v>0</v>
      </c>
      <c r="V56" s="239">
        <v>0</v>
      </c>
      <c r="W56" s="239">
        <v>0</v>
      </c>
      <c r="X56" s="239">
        <v>0</v>
      </c>
      <c r="Y56" s="239">
        <v>0</v>
      </c>
      <c r="Z56" s="239">
        <v>0</v>
      </c>
      <c r="AA56" s="239">
        <v>0</v>
      </c>
      <c r="AB56" s="239">
        <v>0</v>
      </c>
      <c r="AC56" s="239">
        <v>0</v>
      </c>
      <c r="AD56" s="239">
        <v>0</v>
      </c>
      <c r="AE56" s="239">
        <v>0</v>
      </c>
      <c r="AF56" s="239">
        <v>0</v>
      </c>
      <c r="AG56" s="239">
        <v>0</v>
      </c>
      <c r="AH56" s="239">
        <v>0</v>
      </c>
      <c r="AI56" s="239">
        <v>0</v>
      </c>
      <c r="AJ56" s="239">
        <v>0</v>
      </c>
      <c r="AK56" s="239">
        <v>0</v>
      </c>
      <c r="AL56" s="239">
        <v>0</v>
      </c>
      <c r="AM56" s="239">
        <v>0</v>
      </c>
      <c r="AN56" s="239">
        <v>0</v>
      </c>
      <c r="AO56" s="239">
        <v>0</v>
      </c>
      <c r="AP56" s="239">
        <v>0</v>
      </c>
      <c r="AQ56" s="239">
        <v>0</v>
      </c>
      <c r="AR56" s="239">
        <v>0</v>
      </c>
      <c r="AS56" s="239">
        <v>0</v>
      </c>
      <c r="AT56" s="239">
        <v>0</v>
      </c>
      <c r="AU56" s="239">
        <v>0</v>
      </c>
      <c r="AV56" s="239">
        <v>0</v>
      </c>
      <c r="AW56" s="239">
        <v>0</v>
      </c>
      <c r="AX56" s="239">
        <v>0</v>
      </c>
      <c r="AY56" s="239">
        <v>0</v>
      </c>
      <c r="AZ56" s="239">
        <v>0</v>
      </c>
      <c r="BA56" s="239">
        <v>0</v>
      </c>
      <c r="BB56" s="239">
        <v>0</v>
      </c>
      <c r="BC56" s="239">
        <v>1020051</v>
      </c>
      <c r="BD56" s="239">
        <v>255013</v>
      </c>
      <c r="BE56" s="239">
        <v>0</v>
      </c>
      <c r="BF56" s="239">
        <v>990143.80295278982</v>
      </c>
      <c r="BG56" s="239">
        <v>247535.95073819745</v>
      </c>
      <c r="BH56" s="239">
        <v>0</v>
      </c>
      <c r="BI56" s="239">
        <v>95185.992188841206</v>
      </c>
      <c r="BJ56" s="239">
        <v>23796.498047210302</v>
      </c>
      <c r="BK56" s="239">
        <v>0</v>
      </c>
      <c r="BL56" s="239">
        <v>941768</v>
      </c>
      <c r="BM56" s="239">
        <v>155151</v>
      </c>
      <c r="BN56" s="239">
        <v>0</v>
      </c>
      <c r="BO56" s="239">
        <v>78283</v>
      </c>
      <c r="BP56" s="239">
        <v>99862</v>
      </c>
      <c r="BQ56" s="239">
        <v>0</v>
      </c>
      <c r="BR56" s="239">
        <v>772</v>
      </c>
      <c r="BS56" s="239">
        <v>193</v>
      </c>
      <c r="BT56" s="239">
        <v>0</v>
      </c>
      <c r="BU56" s="239">
        <v>0</v>
      </c>
      <c r="BV56" s="239">
        <v>0</v>
      </c>
      <c r="BW56" s="239">
        <v>0</v>
      </c>
      <c r="BX56" s="239">
        <v>772</v>
      </c>
      <c r="BY56" s="239">
        <v>193</v>
      </c>
      <c r="BZ56" s="239">
        <v>0</v>
      </c>
      <c r="CA56" s="239">
        <v>0</v>
      </c>
      <c r="CB56" s="239">
        <v>0</v>
      </c>
      <c r="CC56" s="239">
        <v>0</v>
      </c>
      <c r="CD56" s="239">
        <v>0</v>
      </c>
      <c r="CE56" s="239">
        <v>0</v>
      </c>
      <c r="CF56" s="239">
        <v>0</v>
      </c>
      <c r="CG56" s="239">
        <v>0</v>
      </c>
      <c r="CH56" s="239">
        <v>0</v>
      </c>
      <c r="CI56" s="239">
        <v>0</v>
      </c>
      <c r="CJ56" s="239">
        <v>291</v>
      </c>
      <c r="CK56" s="239">
        <v>73</v>
      </c>
      <c r="CL56" s="239">
        <v>0</v>
      </c>
      <c r="CM56" s="239">
        <v>406</v>
      </c>
      <c r="CN56" s="239">
        <v>102</v>
      </c>
      <c r="CO56" s="239">
        <v>0</v>
      </c>
      <c r="CP56" s="239">
        <v>-115</v>
      </c>
      <c r="CQ56" s="239">
        <v>-29</v>
      </c>
      <c r="CR56" s="239">
        <v>0</v>
      </c>
      <c r="CS56" s="239">
        <v>-777</v>
      </c>
      <c r="CT56" s="239">
        <v>-194</v>
      </c>
      <c r="CU56" s="239">
        <v>0</v>
      </c>
      <c r="CV56" s="239">
        <v>0</v>
      </c>
      <c r="CW56" s="239">
        <v>0</v>
      </c>
      <c r="CX56" s="239">
        <v>0</v>
      </c>
      <c r="CY56" s="239">
        <v>0</v>
      </c>
      <c r="CZ56" s="239">
        <v>0</v>
      </c>
      <c r="DA56" s="239">
        <v>0</v>
      </c>
      <c r="DB56" s="239">
        <v>0</v>
      </c>
      <c r="DC56" s="239">
        <v>0</v>
      </c>
      <c r="DD56" s="239">
        <v>0</v>
      </c>
      <c r="DE56" s="239">
        <v>0</v>
      </c>
      <c r="DF56" s="239">
        <v>0</v>
      </c>
      <c r="DG56" s="239">
        <v>0</v>
      </c>
      <c r="DH56" s="239">
        <v>0</v>
      </c>
      <c r="DI56" s="239">
        <v>0</v>
      </c>
      <c r="DJ56" s="239">
        <v>0</v>
      </c>
      <c r="DK56" s="239">
        <v>0</v>
      </c>
      <c r="DL56" s="239">
        <v>0</v>
      </c>
      <c r="DM56" s="239">
        <v>0</v>
      </c>
      <c r="DN56" s="239">
        <v>0</v>
      </c>
      <c r="DO56" s="239">
        <v>0</v>
      </c>
      <c r="DP56" s="239">
        <v>0</v>
      </c>
      <c r="DQ56" s="239">
        <v>487</v>
      </c>
      <c r="DR56" s="239">
        <v>122</v>
      </c>
      <c r="DS56" s="239">
        <v>0</v>
      </c>
      <c r="DT56" s="239">
        <v>609</v>
      </c>
      <c r="DU56" s="239">
        <v>152</v>
      </c>
      <c r="DV56" s="239">
        <v>0</v>
      </c>
      <c r="DW56" s="239">
        <v>-122</v>
      </c>
      <c r="DX56" s="239">
        <v>-30</v>
      </c>
      <c r="DY56" s="239">
        <v>0</v>
      </c>
      <c r="DZ56" s="239">
        <v>5468</v>
      </c>
      <c r="EA56" s="239">
        <v>1367</v>
      </c>
      <c r="EB56" s="239">
        <v>0</v>
      </c>
      <c r="EC56" s="239">
        <v>6598</v>
      </c>
      <c r="ED56" s="239">
        <v>0</v>
      </c>
      <c r="EE56" s="239">
        <v>0</v>
      </c>
      <c r="EF56" s="239">
        <v>-1130</v>
      </c>
      <c r="EG56" s="239">
        <v>1367</v>
      </c>
      <c r="EH56" s="239">
        <v>0</v>
      </c>
      <c r="EI56" s="239">
        <v>95906</v>
      </c>
      <c r="EJ56" s="239">
        <v>23977</v>
      </c>
      <c r="EK56" s="239">
        <v>0</v>
      </c>
      <c r="EL56" s="239">
        <v>135380</v>
      </c>
      <c r="EM56" s="239">
        <v>0</v>
      </c>
      <c r="EN56" s="239">
        <v>0</v>
      </c>
      <c r="EO56" s="239">
        <v>-39474</v>
      </c>
      <c r="EP56" s="239">
        <v>23977</v>
      </c>
      <c r="EQ56" s="239">
        <v>0</v>
      </c>
      <c r="ER56" s="239">
        <v>13516</v>
      </c>
      <c r="ES56" s="239">
        <v>3379</v>
      </c>
      <c r="ET56" s="239">
        <v>0</v>
      </c>
      <c r="EU56" s="239">
        <v>17763</v>
      </c>
      <c r="EV56" s="239">
        <v>0</v>
      </c>
      <c r="EW56" s="239">
        <v>0</v>
      </c>
      <c r="EX56" s="239">
        <v>-4247</v>
      </c>
      <c r="EY56" s="239">
        <v>3379</v>
      </c>
      <c r="EZ56" s="239">
        <v>0</v>
      </c>
      <c r="FA56" s="239">
        <v>315949</v>
      </c>
      <c r="FB56" s="239">
        <v>78987</v>
      </c>
      <c r="FC56" s="239">
        <v>0</v>
      </c>
      <c r="FD56" s="239">
        <v>322515</v>
      </c>
      <c r="FE56" s="239">
        <v>80629</v>
      </c>
      <c r="FF56" s="239">
        <v>0</v>
      </c>
      <c r="FG56" s="239">
        <v>-6566</v>
      </c>
      <c r="FH56" s="239">
        <v>-1642</v>
      </c>
      <c r="FI56" s="239">
        <v>0</v>
      </c>
      <c r="FJ56" s="239">
        <v>0</v>
      </c>
      <c r="FK56" s="239">
        <v>0</v>
      </c>
      <c r="FL56" s="239">
        <v>0</v>
      </c>
      <c r="FM56" s="239">
        <v>0</v>
      </c>
      <c r="FN56" s="239">
        <v>0</v>
      </c>
      <c r="FO56" s="239">
        <v>0</v>
      </c>
      <c r="FP56" s="239">
        <v>0</v>
      </c>
      <c r="FQ56" s="239">
        <v>0</v>
      </c>
      <c r="FR56" s="239">
        <v>0</v>
      </c>
      <c r="FS56" s="239">
        <v>0</v>
      </c>
      <c r="FT56" s="239">
        <v>0</v>
      </c>
      <c r="FU56" s="239">
        <v>0</v>
      </c>
      <c r="FV56" s="239">
        <v>1451663</v>
      </c>
      <c r="FW56" s="239">
        <v>362917</v>
      </c>
      <c r="FX56" s="239">
        <v>0</v>
      </c>
      <c r="FY56" s="834">
        <v>0.5</v>
      </c>
      <c r="FZ56" s="834">
        <v>0.4</v>
      </c>
      <c r="GA56" s="834">
        <v>0.1</v>
      </c>
      <c r="GB56" s="834">
        <v>0</v>
      </c>
      <c r="GC56" s="214" t="s">
        <v>1158</v>
      </c>
    </row>
    <row r="57" spans="2:185" s="214" customFormat="1" x14ac:dyDescent="0.2">
      <c r="B57" s="602" t="s">
        <v>197</v>
      </c>
      <c r="C57" s="602" t="s">
        <v>196</v>
      </c>
      <c r="D57" s="239">
        <v>6862872</v>
      </c>
      <c r="E57" s="239">
        <v>0</v>
      </c>
      <c r="F57" s="239">
        <v>6862872</v>
      </c>
      <c r="G57" s="239">
        <v>6941903</v>
      </c>
      <c r="H57" s="239">
        <v>0</v>
      </c>
      <c r="I57" s="239">
        <v>6941903</v>
      </c>
      <c r="J57" s="239">
        <v>-79031</v>
      </c>
      <c r="K57" s="239">
        <v>0</v>
      </c>
      <c r="L57" s="239">
        <v>-79031</v>
      </c>
      <c r="M57" s="239">
        <v>227866</v>
      </c>
      <c r="N57" s="239">
        <v>227866</v>
      </c>
      <c r="O57" s="239">
        <v>0</v>
      </c>
      <c r="P57" s="239">
        <v>0</v>
      </c>
      <c r="Q57" s="239">
        <v>0</v>
      </c>
      <c r="R57" s="239">
        <v>0</v>
      </c>
      <c r="S57" s="239">
        <v>300118</v>
      </c>
      <c r="T57" s="239">
        <v>231117</v>
      </c>
      <c r="U57" s="239">
        <v>202114</v>
      </c>
      <c r="V57" s="239">
        <v>245727</v>
      </c>
      <c r="W57" s="239">
        <v>98004</v>
      </c>
      <c r="X57" s="239">
        <v>-14610</v>
      </c>
      <c r="Y57" s="239">
        <v>0</v>
      </c>
      <c r="Z57" s="239">
        <v>0</v>
      </c>
      <c r="AA57" s="239">
        <v>0</v>
      </c>
      <c r="AB57" s="239">
        <v>0</v>
      </c>
      <c r="AC57" s="239">
        <v>0</v>
      </c>
      <c r="AD57" s="239">
        <v>0</v>
      </c>
      <c r="AE57" s="239">
        <v>0</v>
      </c>
      <c r="AF57" s="239">
        <v>0</v>
      </c>
      <c r="AG57" s="239">
        <v>0</v>
      </c>
      <c r="AH57" s="239">
        <v>0</v>
      </c>
      <c r="AI57" s="239">
        <v>0</v>
      </c>
      <c r="AJ57" s="239">
        <v>0</v>
      </c>
      <c r="AK57" s="239">
        <v>0</v>
      </c>
      <c r="AL57" s="239">
        <v>0</v>
      </c>
      <c r="AM57" s="239">
        <v>0</v>
      </c>
      <c r="AN57" s="239">
        <v>0</v>
      </c>
      <c r="AO57" s="239">
        <v>0</v>
      </c>
      <c r="AP57" s="239">
        <v>0</v>
      </c>
      <c r="AQ57" s="239">
        <v>0</v>
      </c>
      <c r="AR57" s="239">
        <v>0</v>
      </c>
      <c r="AS57" s="239">
        <v>0</v>
      </c>
      <c r="AT57" s="239">
        <v>0</v>
      </c>
      <c r="AU57" s="239">
        <v>0</v>
      </c>
      <c r="AV57" s="239">
        <v>0</v>
      </c>
      <c r="AW57" s="239">
        <v>0</v>
      </c>
      <c r="AX57" s="239">
        <v>0</v>
      </c>
      <c r="AY57" s="239">
        <v>0</v>
      </c>
      <c r="AZ57" s="239">
        <v>0</v>
      </c>
      <c r="BA57" s="239">
        <v>0</v>
      </c>
      <c r="BB57" s="239">
        <v>0</v>
      </c>
      <c r="BC57" s="239">
        <v>1083036</v>
      </c>
      <c r="BD57" s="239">
        <v>270759</v>
      </c>
      <c r="BE57" s="239">
        <v>0</v>
      </c>
      <c r="BF57" s="239">
        <v>1045817.5700240344</v>
      </c>
      <c r="BG57" s="239">
        <v>261454.39250600859</v>
      </c>
      <c r="BH57" s="239">
        <v>0</v>
      </c>
      <c r="BI57" s="239">
        <v>137817.29948497855</v>
      </c>
      <c r="BJ57" s="239">
        <v>34454.324871244637</v>
      </c>
      <c r="BK57" s="239">
        <v>0</v>
      </c>
      <c r="BL57" s="239">
        <v>1051678</v>
      </c>
      <c r="BM57" s="239">
        <v>162296</v>
      </c>
      <c r="BN57" s="239">
        <v>0</v>
      </c>
      <c r="BO57" s="239">
        <v>31358</v>
      </c>
      <c r="BP57" s="239">
        <v>108463</v>
      </c>
      <c r="BQ57" s="239">
        <v>0</v>
      </c>
      <c r="BR57" s="239">
        <v>-2296</v>
      </c>
      <c r="BS57" s="239">
        <v>-574</v>
      </c>
      <c r="BT57" s="239">
        <v>0</v>
      </c>
      <c r="BU57" s="239">
        <v>0</v>
      </c>
      <c r="BV57" s="239">
        <v>0</v>
      </c>
      <c r="BW57" s="239">
        <v>0</v>
      </c>
      <c r="BX57" s="239">
        <v>-2296</v>
      </c>
      <c r="BY57" s="239">
        <v>-574</v>
      </c>
      <c r="BZ57" s="239">
        <v>0</v>
      </c>
      <c r="CA57" s="239">
        <v>-6639</v>
      </c>
      <c r="CB57" s="239">
        <v>-1660</v>
      </c>
      <c r="CC57" s="239">
        <v>0</v>
      </c>
      <c r="CD57" s="239">
        <v>0</v>
      </c>
      <c r="CE57" s="239">
        <v>0</v>
      </c>
      <c r="CF57" s="239">
        <v>0</v>
      </c>
      <c r="CG57" s="239">
        <v>-6639</v>
      </c>
      <c r="CH57" s="239">
        <v>-1660</v>
      </c>
      <c r="CI57" s="239">
        <v>0</v>
      </c>
      <c r="CJ57" s="239">
        <v>16703</v>
      </c>
      <c r="CK57" s="239">
        <v>4176</v>
      </c>
      <c r="CL57" s="239">
        <v>0</v>
      </c>
      <c r="CM57" s="239">
        <v>0</v>
      </c>
      <c r="CN57" s="239">
        <v>0</v>
      </c>
      <c r="CO57" s="239">
        <v>0</v>
      </c>
      <c r="CP57" s="239">
        <v>16703</v>
      </c>
      <c r="CQ57" s="239">
        <v>4176</v>
      </c>
      <c r="CR57" s="239">
        <v>0</v>
      </c>
      <c r="CS57" s="239">
        <v>-1015</v>
      </c>
      <c r="CT57" s="239">
        <v>-254</v>
      </c>
      <c r="CU57" s="239">
        <v>0</v>
      </c>
      <c r="CV57" s="239">
        <v>0</v>
      </c>
      <c r="CW57" s="239">
        <v>0</v>
      </c>
      <c r="CX57" s="239">
        <v>0</v>
      </c>
      <c r="CY57" s="239">
        <v>0</v>
      </c>
      <c r="CZ57" s="239">
        <v>0</v>
      </c>
      <c r="DA57" s="239">
        <v>0</v>
      </c>
      <c r="DB57" s="239">
        <v>0</v>
      </c>
      <c r="DC57" s="239">
        <v>0</v>
      </c>
      <c r="DD57" s="239">
        <v>0</v>
      </c>
      <c r="DE57" s="239">
        <v>-2556</v>
      </c>
      <c r="DF57" s="239">
        <v>-639</v>
      </c>
      <c r="DG57" s="239">
        <v>0</v>
      </c>
      <c r="DH57" s="239">
        <v>7357</v>
      </c>
      <c r="DI57" s="239">
        <v>1839</v>
      </c>
      <c r="DJ57" s="239">
        <v>0</v>
      </c>
      <c r="DK57" s="239">
        <v>13046</v>
      </c>
      <c r="DL57" s="239">
        <v>3261</v>
      </c>
      <c r="DM57" s="239">
        <v>0</v>
      </c>
      <c r="DN57" s="239">
        <v>-5689</v>
      </c>
      <c r="DO57" s="239">
        <v>-1422</v>
      </c>
      <c r="DP57" s="239">
        <v>0</v>
      </c>
      <c r="DQ57" s="239">
        <v>0</v>
      </c>
      <c r="DR57" s="239">
        <v>0</v>
      </c>
      <c r="DS57" s="239">
        <v>0</v>
      </c>
      <c r="DT57" s="239">
        <v>0</v>
      </c>
      <c r="DU57" s="239">
        <v>0</v>
      </c>
      <c r="DV57" s="239">
        <v>0</v>
      </c>
      <c r="DW57" s="239">
        <v>0</v>
      </c>
      <c r="DX57" s="239">
        <v>0</v>
      </c>
      <c r="DY57" s="239">
        <v>0</v>
      </c>
      <c r="DZ57" s="239">
        <v>21819</v>
      </c>
      <c r="EA57" s="239">
        <v>5455</v>
      </c>
      <c r="EB57" s="239">
        <v>0</v>
      </c>
      <c r="EC57" s="239">
        <v>25249</v>
      </c>
      <c r="ED57" s="239">
        <v>0</v>
      </c>
      <c r="EE57" s="239">
        <v>0</v>
      </c>
      <c r="EF57" s="239">
        <v>-3430</v>
      </c>
      <c r="EG57" s="239">
        <v>5455</v>
      </c>
      <c r="EH57" s="239">
        <v>0</v>
      </c>
      <c r="EI57" s="239">
        <v>283229</v>
      </c>
      <c r="EJ57" s="239">
        <v>70807</v>
      </c>
      <c r="EK57" s="239">
        <v>0</v>
      </c>
      <c r="EL57" s="239">
        <v>368230</v>
      </c>
      <c r="EM57" s="239">
        <v>0</v>
      </c>
      <c r="EN57" s="239">
        <v>0</v>
      </c>
      <c r="EO57" s="239">
        <v>-85001</v>
      </c>
      <c r="EP57" s="239">
        <v>70807</v>
      </c>
      <c r="EQ57" s="239">
        <v>0</v>
      </c>
      <c r="ER57" s="239">
        <v>28394</v>
      </c>
      <c r="ES57" s="239">
        <v>7099</v>
      </c>
      <c r="ET57" s="239">
        <v>0</v>
      </c>
      <c r="EU57" s="239">
        <v>35227</v>
      </c>
      <c r="EV57" s="239">
        <v>0</v>
      </c>
      <c r="EW57" s="239">
        <v>0</v>
      </c>
      <c r="EX57" s="239">
        <v>-6833</v>
      </c>
      <c r="EY57" s="239">
        <v>7099</v>
      </c>
      <c r="EZ57" s="239">
        <v>0</v>
      </c>
      <c r="FA57" s="239">
        <v>545323</v>
      </c>
      <c r="FB57" s="239">
        <v>138675</v>
      </c>
      <c r="FC57" s="239">
        <v>0</v>
      </c>
      <c r="FD57" s="239">
        <v>514936</v>
      </c>
      <c r="FE57" s="239">
        <v>131666</v>
      </c>
      <c r="FF57" s="239">
        <v>0</v>
      </c>
      <c r="FG57" s="239">
        <v>30387</v>
      </c>
      <c r="FH57" s="239">
        <v>7009</v>
      </c>
      <c r="FI57" s="239">
        <v>0</v>
      </c>
      <c r="FJ57" s="239">
        <v>0</v>
      </c>
      <c r="FK57" s="239">
        <v>0</v>
      </c>
      <c r="FL57" s="239">
        <v>0</v>
      </c>
      <c r="FM57" s="239">
        <v>0</v>
      </c>
      <c r="FN57" s="239">
        <v>0</v>
      </c>
      <c r="FO57" s="239">
        <v>0</v>
      </c>
      <c r="FP57" s="239">
        <v>0</v>
      </c>
      <c r="FQ57" s="239">
        <v>0</v>
      </c>
      <c r="FR57" s="239">
        <v>0</v>
      </c>
      <c r="FS57" s="239">
        <v>0</v>
      </c>
      <c r="FT57" s="239">
        <v>0</v>
      </c>
      <c r="FU57" s="239">
        <v>0</v>
      </c>
      <c r="FV57" s="239">
        <v>1973355</v>
      </c>
      <c r="FW57" s="239">
        <v>495683</v>
      </c>
      <c r="FX57" s="239">
        <v>0</v>
      </c>
      <c r="FY57" s="834">
        <v>0.5</v>
      </c>
      <c r="FZ57" s="834">
        <v>0.4</v>
      </c>
      <c r="GA57" s="834">
        <v>0.1</v>
      </c>
      <c r="GB57" s="834">
        <v>0</v>
      </c>
      <c r="GC57" s="214" t="s">
        <v>1158</v>
      </c>
    </row>
    <row r="58" spans="2:185" s="214" customFormat="1" x14ac:dyDescent="0.2">
      <c r="B58" s="602" t="s">
        <v>199</v>
      </c>
      <c r="C58" s="602" t="s">
        <v>198</v>
      </c>
      <c r="D58" s="239">
        <v>-4026571</v>
      </c>
      <c r="E58" s="239">
        <v>-220844</v>
      </c>
      <c r="F58" s="239">
        <v>-4247415</v>
      </c>
      <c r="G58" s="239">
        <v>-3673053</v>
      </c>
      <c r="H58" s="239">
        <v>-221003</v>
      </c>
      <c r="I58" s="239">
        <v>-3894056</v>
      </c>
      <c r="J58" s="239">
        <v>-353518</v>
      </c>
      <c r="K58" s="239">
        <v>159</v>
      </c>
      <c r="L58" s="239">
        <v>-353359</v>
      </c>
      <c r="M58" s="239">
        <v>563725</v>
      </c>
      <c r="N58" s="239">
        <v>563725</v>
      </c>
      <c r="O58" s="239">
        <v>0</v>
      </c>
      <c r="P58" s="239">
        <v>312749</v>
      </c>
      <c r="Q58" s="239">
        <v>368442</v>
      </c>
      <c r="R58" s="239">
        <v>-55693</v>
      </c>
      <c r="S58" s="239">
        <v>94085</v>
      </c>
      <c r="T58" s="239">
        <v>0</v>
      </c>
      <c r="U58" s="239">
        <v>68439</v>
      </c>
      <c r="V58" s="239">
        <v>0</v>
      </c>
      <c r="W58" s="239">
        <v>25646</v>
      </c>
      <c r="X58" s="239">
        <v>0</v>
      </c>
      <c r="Y58" s="239">
        <v>328128</v>
      </c>
      <c r="Z58" s="239">
        <v>328128</v>
      </c>
      <c r="AA58" s="239">
        <v>0</v>
      </c>
      <c r="AB58" s="239">
        <v>0</v>
      </c>
      <c r="AC58" s="239">
        <v>44846</v>
      </c>
      <c r="AD58" s="239">
        <v>44846</v>
      </c>
      <c r="AE58" s="239">
        <v>0</v>
      </c>
      <c r="AF58" s="239">
        <v>0</v>
      </c>
      <c r="AG58" s="239">
        <v>283282</v>
      </c>
      <c r="AH58" s="239">
        <v>283282</v>
      </c>
      <c r="AI58" s="239">
        <v>0</v>
      </c>
      <c r="AJ58" s="239">
        <v>0</v>
      </c>
      <c r="AK58" s="239">
        <v>147542</v>
      </c>
      <c r="AL58" s="239">
        <v>144591</v>
      </c>
      <c r="AM58" s="239">
        <v>0</v>
      </c>
      <c r="AN58" s="239">
        <v>2951</v>
      </c>
      <c r="AO58" s="239">
        <v>0</v>
      </c>
      <c r="AP58" s="239">
        <v>0</v>
      </c>
      <c r="AQ58" s="239">
        <v>0</v>
      </c>
      <c r="AR58" s="239">
        <v>0</v>
      </c>
      <c r="AS58" s="239">
        <v>147542</v>
      </c>
      <c r="AT58" s="239">
        <v>144591</v>
      </c>
      <c r="AU58" s="239">
        <v>0</v>
      </c>
      <c r="AV58" s="239">
        <v>2951</v>
      </c>
      <c r="AW58" s="239">
        <v>0</v>
      </c>
      <c r="AX58" s="239">
        <v>0</v>
      </c>
      <c r="AY58" s="239">
        <v>0</v>
      </c>
      <c r="AZ58" s="239">
        <v>0</v>
      </c>
      <c r="BA58" s="239">
        <v>0</v>
      </c>
      <c r="BB58" s="239">
        <v>0</v>
      </c>
      <c r="BC58" s="239">
        <v>4764936</v>
      </c>
      <c r="BD58" s="239">
        <v>0</v>
      </c>
      <c r="BE58" s="239">
        <v>96882</v>
      </c>
      <c r="BF58" s="239">
        <v>4644006.3259865241</v>
      </c>
      <c r="BG58" s="239">
        <v>0</v>
      </c>
      <c r="BH58" s="239">
        <v>94422.27213793993</v>
      </c>
      <c r="BI58" s="239">
        <v>354142.95271351933</v>
      </c>
      <c r="BJ58" s="239">
        <v>0</v>
      </c>
      <c r="BK58" s="239">
        <v>7179.7426190987117</v>
      </c>
      <c r="BL58" s="239">
        <v>3949133</v>
      </c>
      <c r="BM58" s="239">
        <v>0</v>
      </c>
      <c r="BN58" s="239">
        <v>57491</v>
      </c>
      <c r="BO58" s="239">
        <v>815803</v>
      </c>
      <c r="BP58" s="239">
        <v>0</v>
      </c>
      <c r="BQ58" s="239">
        <v>39391</v>
      </c>
      <c r="BR58" s="239">
        <v>32449</v>
      </c>
      <c r="BS58" s="239">
        <v>0</v>
      </c>
      <c r="BT58" s="239">
        <v>662</v>
      </c>
      <c r="BU58" s="239">
        <v>41972</v>
      </c>
      <c r="BV58" s="239">
        <v>0</v>
      </c>
      <c r="BW58" s="239">
        <v>857</v>
      </c>
      <c r="BX58" s="239">
        <v>-9523</v>
      </c>
      <c r="BY58" s="239">
        <v>0</v>
      </c>
      <c r="BZ58" s="239">
        <v>-195</v>
      </c>
      <c r="CA58" s="239">
        <v>5871</v>
      </c>
      <c r="CB58" s="239">
        <v>0</v>
      </c>
      <c r="CC58" s="239">
        <v>120</v>
      </c>
      <c r="CD58" s="239">
        <v>0</v>
      </c>
      <c r="CE58" s="239">
        <v>0</v>
      </c>
      <c r="CF58" s="239">
        <v>0</v>
      </c>
      <c r="CG58" s="239">
        <v>5871</v>
      </c>
      <c r="CH58" s="239">
        <v>0</v>
      </c>
      <c r="CI58" s="239">
        <v>120</v>
      </c>
      <c r="CJ58" s="239">
        <v>28604</v>
      </c>
      <c r="CK58" s="239">
        <v>0</v>
      </c>
      <c r="CL58" s="239">
        <v>584</v>
      </c>
      <c r="CM58" s="239">
        <v>42729</v>
      </c>
      <c r="CN58" s="239">
        <v>0</v>
      </c>
      <c r="CO58" s="239">
        <v>872</v>
      </c>
      <c r="CP58" s="239">
        <v>-14125</v>
      </c>
      <c r="CQ58" s="239">
        <v>0</v>
      </c>
      <c r="CR58" s="239">
        <v>-288</v>
      </c>
      <c r="CS58" s="239">
        <v>-5657</v>
      </c>
      <c r="CT58" s="239">
        <v>0</v>
      </c>
      <c r="CU58" s="239">
        <v>-115</v>
      </c>
      <c r="CV58" s="239">
        <v>0</v>
      </c>
      <c r="CW58" s="239">
        <v>0</v>
      </c>
      <c r="CX58" s="239">
        <v>0</v>
      </c>
      <c r="CY58" s="239">
        <v>0</v>
      </c>
      <c r="CZ58" s="239">
        <v>0</v>
      </c>
      <c r="DA58" s="239">
        <v>0</v>
      </c>
      <c r="DB58" s="239">
        <v>0</v>
      </c>
      <c r="DC58" s="239">
        <v>0</v>
      </c>
      <c r="DD58" s="239">
        <v>0</v>
      </c>
      <c r="DE58" s="239">
        <v>0</v>
      </c>
      <c r="DF58" s="239">
        <v>0</v>
      </c>
      <c r="DG58" s="239">
        <v>0</v>
      </c>
      <c r="DH58" s="239">
        <v>7038</v>
      </c>
      <c r="DI58" s="239">
        <v>0</v>
      </c>
      <c r="DJ58" s="239">
        <v>144</v>
      </c>
      <c r="DK58" s="239">
        <v>9348</v>
      </c>
      <c r="DL58" s="239">
        <v>0</v>
      </c>
      <c r="DM58" s="239">
        <v>191</v>
      </c>
      <c r="DN58" s="239">
        <v>-2310</v>
      </c>
      <c r="DO58" s="239">
        <v>0</v>
      </c>
      <c r="DP58" s="239">
        <v>-47</v>
      </c>
      <c r="DQ58" s="239">
        <v>746</v>
      </c>
      <c r="DR58" s="239">
        <v>0</v>
      </c>
      <c r="DS58" s="239">
        <v>15</v>
      </c>
      <c r="DT58" s="239">
        <v>1493</v>
      </c>
      <c r="DU58" s="239">
        <v>0</v>
      </c>
      <c r="DV58" s="239">
        <v>30</v>
      </c>
      <c r="DW58" s="239">
        <v>-747</v>
      </c>
      <c r="DX58" s="239">
        <v>0</v>
      </c>
      <c r="DY58" s="239">
        <v>-15</v>
      </c>
      <c r="DZ58" s="239">
        <v>34057</v>
      </c>
      <c r="EA58" s="239">
        <v>0</v>
      </c>
      <c r="EB58" s="239">
        <v>695</v>
      </c>
      <c r="EC58" s="239">
        <v>33702</v>
      </c>
      <c r="ED58" s="239">
        <v>0</v>
      </c>
      <c r="EE58" s="239">
        <v>0</v>
      </c>
      <c r="EF58" s="239">
        <v>355</v>
      </c>
      <c r="EG58" s="239">
        <v>0</v>
      </c>
      <c r="EH58" s="239">
        <v>695</v>
      </c>
      <c r="EI58" s="239">
        <v>372717</v>
      </c>
      <c r="EJ58" s="239">
        <v>0</v>
      </c>
      <c r="EK58" s="239">
        <v>7606</v>
      </c>
      <c r="EL58" s="239">
        <v>378271</v>
      </c>
      <c r="EM58" s="239">
        <v>0</v>
      </c>
      <c r="EN58" s="239">
        <v>0</v>
      </c>
      <c r="EO58" s="239">
        <v>-5554</v>
      </c>
      <c r="EP58" s="239">
        <v>0</v>
      </c>
      <c r="EQ58" s="239">
        <v>7606</v>
      </c>
      <c r="ER58" s="239">
        <v>91282</v>
      </c>
      <c r="ES58" s="239">
        <v>0</v>
      </c>
      <c r="ET58" s="239">
        <v>1863</v>
      </c>
      <c r="EU58" s="239">
        <v>92521</v>
      </c>
      <c r="EV58" s="239">
        <v>0</v>
      </c>
      <c r="EW58" s="239">
        <v>0</v>
      </c>
      <c r="EX58" s="239">
        <v>-1239</v>
      </c>
      <c r="EY58" s="239">
        <v>0</v>
      </c>
      <c r="EZ58" s="239">
        <v>1863</v>
      </c>
      <c r="FA58" s="239">
        <v>976948</v>
      </c>
      <c r="FB58" s="239">
        <v>0</v>
      </c>
      <c r="FC58" s="239">
        <v>19813</v>
      </c>
      <c r="FD58" s="239">
        <v>976064</v>
      </c>
      <c r="FE58" s="239">
        <v>0</v>
      </c>
      <c r="FF58" s="239">
        <v>19772</v>
      </c>
      <c r="FG58" s="239">
        <v>884</v>
      </c>
      <c r="FH58" s="239">
        <v>0</v>
      </c>
      <c r="FI58" s="239">
        <v>41</v>
      </c>
      <c r="FJ58" s="239">
        <v>0</v>
      </c>
      <c r="FK58" s="239">
        <v>0</v>
      </c>
      <c r="FL58" s="239">
        <v>0</v>
      </c>
      <c r="FM58" s="239">
        <v>0</v>
      </c>
      <c r="FN58" s="239">
        <v>0</v>
      </c>
      <c r="FO58" s="239">
        <v>0</v>
      </c>
      <c r="FP58" s="239">
        <v>0</v>
      </c>
      <c r="FQ58" s="239">
        <v>0</v>
      </c>
      <c r="FR58" s="239">
        <v>0</v>
      </c>
      <c r="FS58" s="239">
        <v>0</v>
      </c>
      <c r="FT58" s="239">
        <v>0</v>
      </c>
      <c r="FU58" s="239">
        <v>0</v>
      </c>
      <c r="FV58" s="239">
        <v>6308991</v>
      </c>
      <c r="FW58" s="239">
        <v>0</v>
      </c>
      <c r="FX58" s="239">
        <v>128269</v>
      </c>
      <c r="FY58" s="834">
        <v>0.5</v>
      </c>
      <c r="FZ58" s="834">
        <v>0.49</v>
      </c>
      <c r="GA58" s="834">
        <v>0</v>
      </c>
      <c r="GB58" s="834">
        <v>0.01</v>
      </c>
      <c r="GC58" s="214" t="s">
        <v>746</v>
      </c>
    </row>
    <row r="59" spans="2:185" s="214" customFormat="1" x14ac:dyDescent="0.2">
      <c r="B59" s="602" t="s">
        <v>201</v>
      </c>
      <c r="C59" s="602" t="s">
        <v>917</v>
      </c>
      <c r="D59" s="239">
        <v>-11314640</v>
      </c>
      <c r="E59" s="239">
        <v>-3156</v>
      </c>
      <c r="F59" s="239">
        <v>-11317796</v>
      </c>
      <c r="G59" s="239">
        <v>-11814530</v>
      </c>
      <c r="H59" s="239">
        <v>-3793</v>
      </c>
      <c r="I59" s="239">
        <v>-11818323</v>
      </c>
      <c r="J59" s="239">
        <v>499890</v>
      </c>
      <c r="K59" s="239">
        <v>637</v>
      </c>
      <c r="L59" s="239">
        <v>500527</v>
      </c>
      <c r="M59" s="239">
        <v>480131</v>
      </c>
      <c r="N59" s="239">
        <v>480131</v>
      </c>
      <c r="O59" s="239">
        <v>0</v>
      </c>
      <c r="P59" s="239">
        <v>11515</v>
      </c>
      <c r="Q59" s="239">
        <v>15118</v>
      </c>
      <c r="R59" s="239">
        <v>-3603</v>
      </c>
      <c r="S59" s="239">
        <v>389640</v>
      </c>
      <c r="T59" s="239">
        <v>0</v>
      </c>
      <c r="U59" s="239">
        <v>0</v>
      </c>
      <c r="V59" s="239">
        <v>0</v>
      </c>
      <c r="W59" s="239">
        <v>389640</v>
      </c>
      <c r="X59" s="239">
        <v>0</v>
      </c>
      <c r="Y59" s="239">
        <v>106647</v>
      </c>
      <c r="Z59" s="239">
        <v>106647</v>
      </c>
      <c r="AA59" s="239">
        <v>0</v>
      </c>
      <c r="AB59" s="239">
        <v>0</v>
      </c>
      <c r="AC59" s="239">
        <v>55000</v>
      </c>
      <c r="AD59" s="239">
        <v>55000</v>
      </c>
      <c r="AE59" s="239">
        <v>0</v>
      </c>
      <c r="AF59" s="239">
        <v>0</v>
      </c>
      <c r="AG59" s="239">
        <v>51647</v>
      </c>
      <c r="AH59" s="239">
        <v>51647</v>
      </c>
      <c r="AI59" s="239">
        <v>0</v>
      </c>
      <c r="AJ59" s="239">
        <v>0</v>
      </c>
      <c r="AK59" s="239">
        <v>0</v>
      </c>
      <c r="AL59" s="239">
        <v>0</v>
      </c>
      <c r="AM59" s="239">
        <v>0</v>
      </c>
      <c r="AN59" s="239">
        <v>0</v>
      </c>
      <c r="AO59" s="239">
        <v>0</v>
      </c>
      <c r="AP59" s="239">
        <v>0</v>
      </c>
      <c r="AQ59" s="239">
        <v>0</v>
      </c>
      <c r="AR59" s="239">
        <v>0</v>
      </c>
      <c r="AS59" s="239">
        <v>0</v>
      </c>
      <c r="AT59" s="239">
        <v>0</v>
      </c>
      <c r="AU59" s="239">
        <v>0</v>
      </c>
      <c r="AV59" s="239">
        <v>0</v>
      </c>
      <c r="AW59" s="239">
        <v>0</v>
      </c>
      <c r="AX59" s="239">
        <v>0</v>
      </c>
      <c r="AY59" s="239">
        <v>0</v>
      </c>
      <c r="AZ59" s="239">
        <v>0</v>
      </c>
      <c r="BA59" s="239">
        <v>0</v>
      </c>
      <c r="BB59" s="239">
        <v>0</v>
      </c>
      <c r="BC59" s="239">
        <v>3548636</v>
      </c>
      <c r="BD59" s="239">
        <v>0</v>
      </c>
      <c r="BE59" s="239">
        <v>72421</v>
      </c>
      <c r="BF59" s="239">
        <v>3455299.2215703004</v>
      </c>
      <c r="BG59" s="239">
        <v>0</v>
      </c>
      <c r="BH59" s="239">
        <v>70516.310644291836</v>
      </c>
      <c r="BI59" s="239">
        <v>279883.6767274678</v>
      </c>
      <c r="BJ59" s="239">
        <v>0</v>
      </c>
      <c r="BK59" s="239">
        <v>5698.4471995708154</v>
      </c>
      <c r="BL59" s="239">
        <v>3678844</v>
      </c>
      <c r="BM59" s="239">
        <v>0</v>
      </c>
      <c r="BN59" s="239">
        <v>52781</v>
      </c>
      <c r="BO59" s="239">
        <v>-130208</v>
      </c>
      <c r="BP59" s="239">
        <v>0</v>
      </c>
      <c r="BQ59" s="239">
        <v>19640</v>
      </c>
      <c r="BR59" s="239">
        <v>24253</v>
      </c>
      <c r="BS59" s="239">
        <v>0</v>
      </c>
      <c r="BT59" s="239">
        <v>495</v>
      </c>
      <c r="BU59" s="239">
        <v>0</v>
      </c>
      <c r="BV59" s="239">
        <v>0</v>
      </c>
      <c r="BW59" s="239">
        <v>0</v>
      </c>
      <c r="BX59" s="239">
        <v>24253</v>
      </c>
      <c r="BY59" s="239">
        <v>0</v>
      </c>
      <c r="BZ59" s="239">
        <v>495</v>
      </c>
      <c r="CA59" s="239">
        <v>0</v>
      </c>
      <c r="CB59" s="239">
        <v>0</v>
      </c>
      <c r="CC59" s="239">
        <v>0</v>
      </c>
      <c r="CD59" s="239">
        <v>0</v>
      </c>
      <c r="CE59" s="239">
        <v>0</v>
      </c>
      <c r="CF59" s="239">
        <v>0</v>
      </c>
      <c r="CG59" s="239">
        <v>0</v>
      </c>
      <c r="CH59" s="239">
        <v>0</v>
      </c>
      <c r="CI59" s="239">
        <v>0</v>
      </c>
      <c r="CJ59" s="239">
        <v>676</v>
      </c>
      <c r="CK59" s="239">
        <v>0</v>
      </c>
      <c r="CL59" s="239">
        <v>14</v>
      </c>
      <c r="CM59" s="239">
        <v>0</v>
      </c>
      <c r="CN59" s="239">
        <v>0</v>
      </c>
      <c r="CO59" s="239">
        <v>0</v>
      </c>
      <c r="CP59" s="239">
        <v>676</v>
      </c>
      <c r="CQ59" s="239">
        <v>0</v>
      </c>
      <c r="CR59" s="239">
        <v>14</v>
      </c>
      <c r="CS59" s="239">
        <v>-5842</v>
      </c>
      <c r="CT59" s="239">
        <v>0</v>
      </c>
      <c r="CU59" s="239">
        <v>-119</v>
      </c>
      <c r="CV59" s="239">
        <v>0</v>
      </c>
      <c r="CW59" s="239">
        <v>0</v>
      </c>
      <c r="CX59" s="239">
        <v>0</v>
      </c>
      <c r="CY59" s="239">
        <v>0</v>
      </c>
      <c r="CZ59" s="239">
        <v>0</v>
      </c>
      <c r="DA59" s="239">
        <v>0</v>
      </c>
      <c r="DB59" s="239">
        <v>0</v>
      </c>
      <c r="DC59" s="239">
        <v>0</v>
      </c>
      <c r="DD59" s="239">
        <v>0</v>
      </c>
      <c r="DE59" s="239">
        <v>812</v>
      </c>
      <c r="DF59" s="239">
        <v>0</v>
      </c>
      <c r="DG59" s="239">
        <v>17</v>
      </c>
      <c r="DH59" s="239">
        <v>2561</v>
      </c>
      <c r="DI59" s="239">
        <v>0</v>
      </c>
      <c r="DJ59" s="239">
        <v>52</v>
      </c>
      <c r="DK59" s="239">
        <v>27355</v>
      </c>
      <c r="DL59" s="239">
        <v>0</v>
      </c>
      <c r="DM59" s="239">
        <v>558</v>
      </c>
      <c r="DN59" s="239">
        <v>-24794</v>
      </c>
      <c r="DO59" s="239">
        <v>0</v>
      </c>
      <c r="DP59" s="239">
        <v>-506</v>
      </c>
      <c r="DQ59" s="239">
        <v>746</v>
      </c>
      <c r="DR59" s="239">
        <v>0</v>
      </c>
      <c r="DS59" s="239">
        <v>15</v>
      </c>
      <c r="DT59" s="239">
        <v>0</v>
      </c>
      <c r="DU59" s="239">
        <v>0</v>
      </c>
      <c r="DV59" s="239">
        <v>0</v>
      </c>
      <c r="DW59" s="239">
        <v>746</v>
      </c>
      <c r="DX59" s="239">
        <v>0</v>
      </c>
      <c r="DY59" s="239">
        <v>15</v>
      </c>
      <c r="DZ59" s="239">
        <v>30956</v>
      </c>
      <c r="EA59" s="239">
        <v>0</v>
      </c>
      <c r="EB59" s="239">
        <v>632</v>
      </c>
      <c r="EC59" s="239">
        <v>32988</v>
      </c>
      <c r="ED59" s="239">
        <v>0</v>
      </c>
      <c r="EE59" s="239">
        <v>0</v>
      </c>
      <c r="EF59" s="239">
        <v>-2032</v>
      </c>
      <c r="EG59" s="239">
        <v>0</v>
      </c>
      <c r="EH59" s="239">
        <v>632</v>
      </c>
      <c r="EI59" s="239">
        <v>446700</v>
      </c>
      <c r="EJ59" s="239">
        <v>0</v>
      </c>
      <c r="EK59" s="239">
        <v>9068</v>
      </c>
      <c r="EL59" s="239">
        <v>451777</v>
      </c>
      <c r="EM59" s="239">
        <v>0</v>
      </c>
      <c r="EN59" s="239">
        <v>0</v>
      </c>
      <c r="EO59" s="239">
        <v>-5077</v>
      </c>
      <c r="EP59" s="239">
        <v>0</v>
      </c>
      <c r="EQ59" s="239">
        <v>9068</v>
      </c>
      <c r="ER59" s="239">
        <v>75735</v>
      </c>
      <c r="ES59" s="239">
        <v>0</v>
      </c>
      <c r="ET59" s="239">
        <v>1546</v>
      </c>
      <c r="EU59" s="239">
        <v>73589</v>
      </c>
      <c r="EV59" s="239">
        <v>0</v>
      </c>
      <c r="EW59" s="239">
        <v>0</v>
      </c>
      <c r="EX59" s="239">
        <v>2146</v>
      </c>
      <c r="EY59" s="239">
        <v>0</v>
      </c>
      <c r="EZ59" s="239">
        <v>1546</v>
      </c>
      <c r="FA59" s="239">
        <v>971784</v>
      </c>
      <c r="FB59" s="239">
        <v>0</v>
      </c>
      <c r="FC59" s="239">
        <v>19709</v>
      </c>
      <c r="FD59" s="239">
        <v>1012424</v>
      </c>
      <c r="FE59" s="239">
        <v>0</v>
      </c>
      <c r="FF59" s="239">
        <v>20640</v>
      </c>
      <c r="FG59" s="239">
        <v>-40640</v>
      </c>
      <c r="FH59" s="239">
        <v>0</v>
      </c>
      <c r="FI59" s="239">
        <v>-931</v>
      </c>
      <c r="FJ59" s="239">
        <v>0</v>
      </c>
      <c r="FK59" s="239">
        <v>0</v>
      </c>
      <c r="FL59" s="239">
        <v>0</v>
      </c>
      <c r="FM59" s="239">
        <v>0</v>
      </c>
      <c r="FN59" s="239">
        <v>0</v>
      </c>
      <c r="FO59" s="239">
        <v>0</v>
      </c>
      <c r="FP59" s="239">
        <v>0</v>
      </c>
      <c r="FQ59" s="239">
        <v>0</v>
      </c>
      <c r="FR59" s="239">
        <v>0</v>
      </c>
      <c r="FS59" s="239">
        <v>0</v>
      </c>
      <c r="FT59" s="239">
        <v>0</v>
      </c>
      <c r="FU59" s="239">
        <v>0</v>
      </c>
      <c r="FV59" s="239">
        <v>5097017</v>
      </c>
      <c r="FW59" s="239">
        <v>0</v>
      </c>
      <c r="FX59" s="239">
        <v>103850</v>
      </c>
      <c r="FY59" s="834">
        <v>0.5</v>
      </c>
      <c r="FZ59" s="834">
        <v>0.49</v>
      </c>
      <c r="GA59" s="834">
        <v>0</v>
      </c>
      <c r="GB59" s="834">
        <v>0.01</v>
      </c>
      <c r="GC59" s="214" t="s">
        <v>746</v>
      </c>
    </row>
    <row r="60" spans="2:185" s="214" customFormat="1" x14ac:dyDescent="0.2">
      <c r="B60" s="602" t="s">
        <v>203</v>
      </c>
      <c r="C60" s="602" t="s">
        <v>202</v>
      </c>
      <c r="D60" s="239">
        <v>-657878</v>
      </c>
      <c r="E60" s="239">
        <v>0</v>
      </c>
      <c r="F60" s="239">
        <v>-657878</v>
      </c>
      <c r="G60" s="239">
        <v>153135</v>
      </c>
      <c r="H60" s="239">
        <v>-22006</v>
      </c>
      <c r="I60" s="239">
        <v>131129</v>
      </c>
      <c r="J60" s="239">
        <v>-811013</v>
      </c>
      <c r="K60" s="239">
        <v>22006</v>
      </c>
      <c r="L60" s="239">
        <v>-789007</v>
      </c>
      <c r="M60" s="239">
        <v>163817</v>
      </c>
      <c r="N60" s="239">
        <v>163817</v>
      </c>
      <c r="O60" s="239">
        <v>0</v>
      </c>
      <c r="P60" s="239">
        <v>886300</v>
      </c>
      <c r="Q60" s="239">
        <v>700059</v>
      </c>
      <c r="R60" s="239">
        <v>186241</v>
      </c>
      <c r="S60" s="239">
        <v>54963</v>
      </c>
      <c r="T60" s="239">
        <v>0</v>
      </c>
      <c r="U60" s="239">
        <v>55900</v>
      </c>
      <c r="V60" s="239">
        <v>0</v>
      </c>
      <c r="W60" s="239">
        <v>-937</v>
      </c>
      <c r="X60" s="239">
        <v>0</v>
      </c>
      <c r="Y60" s="239">
        <v>0</v>
      </c>
      <c r="Z60" s="239">
        <v>0</v>
      </c>
      <c r="AA60" s="239">
        <v>0</v>
      </c>
      <c r="AB60" s="239">
        <v>0</v>
      </c>
      <c r="AC60" s="239">
        <v>0</v>
      </c>
      <c r="AD60" s="239">
        <v>0</v>
      </c>
      <c r="AE60" s="239">
        <v>0</v>
      </c>
      <c r="AF60" s="239">
        <v>0</v>
      </c>
      <c r="AG60" s="239">
        <v>0</v>
      </c>
      <c r="AH60" s="239">
        <v>0</v>
      </c>
      <c r="AI60" s="239">
        <v>0</v>
      </c>
      <c r="AJ60" s="239">
        <v>0</v>
      </c>
      <c r="AK60" s="239">
        <v>0</v>
      </c>
      <c r="AL60" s="239">
        <v>0</v>
      </c>
      <c r="AM60" s="239">
        <v>0</v>
      </c>
      <c r="AN60" s="239">
        <v>0</v>
      </c>
      <c r="AO60" s="239">
        <v>0</v>
      </c>
      <c r="AP60" s="239">
        <v>0</v>
      </c>
      <c r="AQ60" s="239">
        <v>0</v>
      </c>
      <c r="AR60" s="239">
        <v>0</v>
      </c>
      <c r="AS60" s="239">
        <v>0</v>
      </c>
      <c r="AT60" s="239">
        <v>0</v>
      </c>
      <c r="AU60" s="239">
        <v>0</v>
      </c>
      <c r="AV60" s="239">
        <v>0</v>
      </c>
      <c r="AW60" s="239">
        <v>0</v>
      </c>
      <c r="AX60" s="239">
        <v>0</v>
      </c>
      <c r="AY60" s="239">
        <v>0</v>
      </c>
      <c r="AZ60" s="239">
        <v>0</v>
      </c>
      <c r="BA60" s="239">
        <v>0</v>
      </c>
      <c r="BB60" s="239">
        <v>0</v>
      </c>
      <c r="BC60" s="239">
        <v>1168559</v>
      </c>
      <c r="BD60" s="239">
        <v>262926</v>
      </c>
      <c r="BE60" s="239">
        <v>29214</v>
      </c>
      <c r="BF60" s="239">
        <v>1138853.8092875539</v>
      </c>
      <c r="BG60" s="239">
        <v>256242.10708969957</v>
      </c>
      <c r="BH60" s="239">
        <v>28471.34523218884</v>
      </c>
      <c r="BI60" s="239">
        <v>90478.70836909872</v>
      </c>
      <c r="BJ60" s="239">
        <v>20357.709383047208</v>
      </c>
      <c r="BK60" s="239">
        <v>2261.9677092274674</v>
      </c>
      <c r="BL60" s="239">
        <v>1117414</v>
      </c>
      <c r="BM60" s="239">
        <v>168173</v>
      </c>
      <c r="BN60" s="239">
        <v>18686</v>
      </c>
      <c r="BO60" s="239">
        <v>51145</v>
      </c>
      <c r="BP60" s="239">
        <v>94753</v>
      </c>
      <c r="BQ60" s="239">
        <v>10528</v>
      </c>
      <c r="BR60" s="239">
        <v>3332</v>
      </c>
      <c r="BS60" s="239">
        <v>750</v>
      </c>
      <c r="BT60" s="239">
        <v>83</v>
      </c>
      <c r="BU60" s="239">
        <v>4318</v>
      </c>
      <c r="BV60" s="239">
        <v>972</v>
      </c>
      <c r="BW60" s="239">
        <v>108</v>
      </c>
      <c r="BX60" s="239">
        <v>-986</v>
      </c>
      <c r="BY60" s="239">
        <v>-222</v>
      </c>
      <c r="BZ60" s="239">
        <v>-25</v>
      </c>
      <c r="CA60" s="239">
        <v>4672</v>
      </c>
      <c r="CB60" s="239">
        <v>1051</v>
      </c>
      <c r="CC60" s="239">
        <v>117</v>
      </c>
      <c r="CD60" s="239">
        <v>0</v>
      </c>
      <c r="CE60" s="239">
        <v>0</v>
      </c>
      <c r="CF60" s="239">
        <v>0</v>
      </c>
      <c r="CG60" s="239">
        <v>4672</v>
      </c>
      <c r="CH60" s="239">
        <v>1051</v>
      </c>
      <c r="CI60" s="239">
        <v>117</v>
      </c>
      <c r="CJ60" s="239">
        <v>1713</v>
      </c>
      <c r="CK60" s="239">
        <v>385</v>
      </c>
      <c r="CL60" s="239">
        <v>43</v>
      </c>
      <c r="CM60" s="239">
        <v>0</v>
      </c>
      <c r="CN60" s="239">
        <v>0</v>
      </c>
      <c r="CO60" s="239">
        <v>0</v>
      </c>
      <c r="CP60" s="239">
        <v>1713</v>
      </c>
      <c r="CQ60" s="239">
        <v>385</v>
      </c>
      <c r="CR60" s="239">
        <v>43</v>
      </c>
      <c r="CS60" s="239">
        <v>-4008</v>
      </c>
      <c r="CT60" s="239">
        <v>-902</v>
      </c>
      <c r="CU60" s="239">
        <v>-100</v>
      </c>
      <c r="CV60" s="239">
        <v>0</v>
      </c>
      <c r="CW60" s="239">
        <v>0</v>
      </c>
      <c r="CX60" s="239">
        <v>0</v>
      </c>
      <c r="CY60" s="239">
        <v>0</v>
      </c>
      <c r="CZ60" s="239">
        <v>0</v>
      </c>
      <c r="DA60" s="239">
        <v>0</v>
      </c>
      <c r="DB60" s="239">
        <v>0</v>
      </c>
      <c r="DC60" s="239">
        <v>0</v>
      </c>
      <c r="DD60" s="239">
        <v>0</v>
      </c>
      <c r="DE60" s="239">
        <v>0</v>
      </c>
      <c r="DF60" s="239">
        <v>0</v>
      </c>
      <c r="DG60" s="239">
        <v>0</v>
      </c>
      <c r="DH60" s="239">
        <v>1419</v>
      </c>
      <c r="DI60" s="239">
        <v>319</v>
      </c>
      <c r="DJ60" s="239">
        <v>35</v>
      </c>
      <c r="DK60" s="239">
        <v>1461</v>
      </c>
      <c r="DL60" s="239">
        <v>329</v>
      </c>
      <c r="DM60" s="239">
        <v>37</v>
      </c>
      <c r="DN60" s="239">
        <v>-42</v>
      </c>
      <c r="DO60" s="239">
        <v>-10</v>
      </c>
      <c r="DP60" s="239">
        <v>-2</v>
      </c>
      <c r="DQ60" s="239">
        <v>609</v>
      </c>
      <c r="DR60" s="239">
        <v>137</v>
      </c>
      <c r="DS60" s="239">
        <v>15</v>
      </c>
      <c r="DT60" s="239">
        <v>0</v>
      </c>
      <c r="DU60" s="239">
        <v>0</v>
      </c>
      <c r="DV60" s="239">
        <v>0</v>
      </c>
      <c r="DW60" s="239">
        <v>609</v>
      </c>
      <c r="DX60" s="239">
        <v>137</v>
      </c>
      <c r="DY60" s="239">
        <v>15</v>
      </c>
      <c r="DZ60" s="239">
        <v>7823</v>
      </c>
      <c r="EA60" s="239">
        <v>1760</v>
      </c>
      <c r="EB60" s="239">
        <v>196</v>
      </c>
      <c r="EC60" s="239">
        <v>9634</v>
      </c>
      <c r="ED60" s="239">
        <v>0</v>
      </c>
      <c r="EE60" s="239">
        <v>0</v>
      </c>
      <c r="EF60" s="239">
        <v>-1811</v>
      </c>
      <c r="EG60" s="239">
        <v>1760</v>
      </c>
      <c r="EH60" s="239">
        <v>196</v>
      </c>
      <c r="EI60" s="239">
        <v>116816</v>
      </c>
      <c r="EJ60" s="239">
        <v>26284</v>
      </c>
      <c r="EK60" s="239">
        <v>2920</v>
      </c>
      <c r="EL60" s="239">
        <v>156479</v>
      </c>
      <c r="EM60" s="239">
        <v>0</v>
      </c>
      <c r="EN60" s="239">
        <v>0</v>
      </c>
      <c r="EO60" s="239">
        <v>-39663</v>
      </c>
      <c r="EP60" s="239">
        <v>26284</v>
      </c>
      <c r="EQ60" s="239">
        <v>2920</v>
      </c>
      <c r="ER60" s="239">
        <v>20444</v>
      </c>
      <c r="ES60" s="239">
        <v>4600</v>
      </c>
      <c r="ET60" s="239">
        <v>511</v>
      </c>
      <c r="EU60" s="239">
        <v>37005</v>
      </c>
      <c r="EV60" s="239">
        <v>0</v>
      </c>
      <c r="EW60" s="239">
        <v>0</v>
      </c>
      <c r="EX60" s="239">
        <v>-16561</v>
      </c>
      <c r="EY60" s="239">
        <v>4600</v>
      </c>
      <c r="EZ60" s="239">
        <v>511</v>
      </c>
      <c r="FA60" s="239">
        <v>216938</v>
      </c>
      <c r="FB60" s="239">
        <v>45630</v>
      </c>
      <c r="FC60" s="239">
        <v>5070</v>
      </c>
      <c r="FD60" s="239">
        <v>233227</v>
      </c>
      <c r="FE60" s="239">
        <v>49921</v>
      </c>
      <c r="FF60" s="239">
        <v>5547</v>
      </c>
      <c r="FG60" s="239">
        <v>-16289</v>
      </c>
      <c r="FH60" s="239">
        <v>-4291</v>
      </c>
      <c r="FI60" s="239">
        <v>-477</v>
      </c>
      <c r="FJ60" s="239">
        <v>0</v>
      </c>
      <c r="FK60" s="239">
        <v>0</v>
      </c>
      <c r="FL60" s="239">
        <v>0</v>
      </c>
      <c r="FM60" s="239">
        <v>0</v>
      </c>
      <c r="FN60" s="239">
        <v>0</v>
      </c>
      <c r="FO60" s="239">
        <v>0</v>
      </c>
      <c r="FP60" s="239">
        <v>0</v>
      </c>
      <c r="FQ60" s="239">
        <v>0</v>
      </c>
      <c r="FR60" s="239">
        <v>0</v>
      </c>
      <c r="FS60" s="239">
        <v>0</v>
      </c>
      <c r="FT60" s="239">
        <v>0</v>
      </c>
      <c r="FU60" s="239">
        <v>0</v>
      </c>
      <c r="FV60" s="239">
        <v>1538317</v>
      </c>
      <c r="FW60" s="239">
        <v>342940</v>
      </c>
      <c r="FX60" s="239">
        <v>38104</v>
      </c>
      <c r="FY60" s="834">
        <v>0.5</v>
      </c>
      <c r="FZ60" s="834">
        <v>0.4</v>
      </c>
      <c r="GA60" s="834">
        <v>0.09</v>
      </c>
      <c r="GB60" s="834">
        <v>0.01</v>
      </c>
      <c r="GC60" s="214" t="s">
        <v>1158</v>
      </c>
    </row>
    <row r="61" spans="2:185" s="214" customFormat="1" x14ac:dyDescent="0.2">
      <c r="B61" s="602" t="s">
        <v>205</v>
      </c>
      <c r="C61" s="602" t="s">
        <v>204</v>
      </c>
      <c r="D61" s="239">
        <v>1501425</v>
      </c>
      <c r="E61" s="239">
        <v>0</v>
      </c>
      <c r="F61" s="239">
        <v>1501425</v>
      </c>
      <c r="G61" s="239">
        <v>1519770</v>
      </c>
      <c r="H61" s="239">
        <v>0</v>
      </c>
      <c r="I61" s="239">
        <v>1519770</v>
      </c>
      <c r="J61" s="239">
        <v>-18345</v>
      </c>
      <c r="K61" s="239">
        <v>0</v>
      </c>
      <c r="L61" s="239">
        <v>-18345</v>
      </c>
      <c r="M61" s="239">
        <v>197628</v>
      </c>
      <c r="N61" s="239">
        <v>197628</v>
      </c>
      <c r="O61" s="239">
        <v>0</v>
      </c>
      <c r="P61" s="239">
        <v>0</v>
      </c>
      <c r="Q61" s="239">
        <v>0</v>
      </c>
      <c r="R61" s="239">
        <v>0</v>
      </c>
      <c r="S61" s="239">
        <v>162512</v>
      </c>
      <c r="T61" s="239">
        <v>17217</v>
      </c>
      <c r="U61" s="239">
        <v>92994</v>
      </c>
      <c r="V61" s="239">
        <v>16879</v>
      </c>
      <c r="W61" s="239">
        <v>69518</v>
      </c>
      <c r="X61" s="239">
        <v>338</v>
      </c>
      <c r="Y61" s="239">
        <v>0</v>
      </c>
      <c r="Z61" s="239">
        <v>0</v>
      </c>
      <c r="AA61" s="239">
        <v>0</v>
      </c>
      <c r="AB61" s="239">
        <v>0</v>
      </c>
      <c r="AC61" s="239">
        <v>0</v>
      </c>
      <c r="AD61" s="239">
        <v>0</v>
      </c>
      <c r="AE61" s="239">
        <v>0</v>
      </c>
      <c r="AF61" s="239">
        <v>0</v>
      </c>
      <c r="AG61" s="239">
        <v>0</v>
      </c>
      <c r="AH61" s="239">
        <v>0</v>
      </c>
      <c r="AI61" s="239">
        <v>0</v>
      </c>
      <c r="AJ61" s="239">
        <v>0</v>
      </c>
      <c r="AK61" s="239">
        <v>0</v>
      </c>
      <c r="AL61" s="239">
        <v>0</v>
      </c>
      <c r="AM61" s="239">
        <v>0</v>
      </c>
      <c r="AN61" s="239">
        <v>0</v>
      </c>
      <c r="AO61" s="239">
        <v>0</v>
      </c>
      <c r="AP61" s="239">
        <v>0</v>
      </c>
      <c r="AQ61" s="239">
        <v>0</v>
      </c>
      <c r="AR61" s="239">
        <v>0</v>
      </c>
      <c r="AS61" s="239">
        <v>0</v>
      </c>
      <c r="AT61" s="239">
        <v>0</v>
      </c>
      <c r="AU61" s="239">
        <v>0</v>
      </c>
      <c r="AV61" s="239">
        <v>0</v>
      </c>
      <c r="AW61" s="239">
        <v>0</v>
      </c>
      <c r="AX61" s="239">
        <v>0</v>
      </c>
      <c r="AY61" s="239">
        <v>0</v>
      </c>
      <c r="AZ61" s="239">
        <v>0</v>
      </c>
      <c r="BA61" s="239">
        <v>0</v>
      </c>
      <c r="BB61" s="239">
        <v>0</v>
      </c>
      <c r="BC61" s="239">
        <v>1407258</v>
      </c>
      <c r="BD61" s="239">
        <v>351814</v>
      </c>
      <c r="BE61" s="239">
        <v>0</v>
      </c>
      <c r="BF61" s="239">
        <v>1374130.5078609444</v>
      </c>
      <c r="BG61" s="239">
        <v>343532.62696523609</v>
      </c>
      <c r="BH61" s="239">
        <v>0</v>
      </c>
      <c r="BI61" s="239">
        <v>103456.53441974249</v>
      </c>
      <c r="BJ61" s="239">
        <v>25864.133604935621</v>
      </c>
      <c r="BK61" s="239">
        <v>0</v>
      </c>
      <c r="BL61" s="239">
        <v>1340984</v>
      </c>
      <c r="BM61" s="239">
        <v>222385</v>
      </c>
      <c r="BN61" s="239">
        <v>0</v>
      </c>
      <c r="BO61" s="239">
        <v>66274</v>
      </c>
      <c r="BP61" s="239">
        <v>129429</v>
      </c>
      <c r="BQ61" s="239">
        <v>0</v>
      </c>
      <c r="BR61" s="239">
        <v>7830</v>
      </c>
      <c r="BS61" s="239">
        <v>1958</v>
      </c>
      <c r="BT61" s="239">
        <v>0</v>
      </c>
      <c r="BU61" s="239">
        <v>11130</v>
      </c>
      <c r="BV61" s="239">
        <v>2782</v>
      </c>
      <c r="BW61" s="239">
        <v>0</v>
      </c>
      <c r="BX61" s="239">
        <v>-3300</v>
      </c>
      <c r="BY61" s="239">
        <v>-824</v>
      </c>
      <c r="BZ61" s="239">
        <v>0</v>
      </c>
      <c r="CA61" s="239">
        <v>0</v>
      </c>
      <c r="CB61" s="239">
        <v>0</v>
      </c>
      <c r="CC61" s="239">
        <v>0</v>
      </c>
      <c r="CD61" s="239">
        <v>0</v>
      </c>
      <c r="CE61" s="239">
        <v>0</v>
      </c>
      <c r="CF61" s="239">
        <v>0</v>
      </c>
      <c r="CG61" s="239">
        <v>0</v>
      </c>
      <c r="CH61" s="239">
        <v>0</v>
      </c>
      <c r="CI61" s="239">
        <v>0</v>
      </c>
      <c r="CJ61" s="239">
        <v>57</v>
      </c>
      <c r="CK61" s="239">
        <v>14</v>
      </c>
      <c r="CL61" s="239">
        <v>0</v>
      </c>
      <c r="CM61" s="239">
        <v>0</v>
      </c>
      <c r="CN61" s="239">
        <v>0</v>
      </c>
      <c r="CO61" s="239">
        <v>0</v>
      </c>
      <c r="CP61" s="239">
        <v>57</v>
      </c>
      <c r="CQ61" s="239">
        <v>14</v>
      </c>
      <c r="CR61" s="239">
        <v>0</v>
      </c>
      <c r="CS61" s="239">
        <v>-3119</v>
      </c>
      <c r="CT61" s="239">
        <v>-780</v>
      </c>
      <c r="CU61" s="239">
        <v>0</v>
      </c>
      <c r="CV61" s="239">
        <v>0</v>
      </c>
      <c r="CW61" s="239">
        <v>0</v>
      </c>
      <c r="CX61" s="239">
        <v>0</v>
      </c>
      <c r="CY61" s="239">
        <v>0</v>
      </c>
      <c r="CZ61" s="239">
        <v>0</v>
      </c>
      <c r="DA61" s="239">
        <v>0</v>
      </c>
      <c r="DB61" s="239">
        <v>0</v>
      </c>
      <c r="DC61" s="239">
        <v>0</v>
      </c>
      <c r="DD61" s="239">
        <v>0</v>
      </c>
      <c r="DE61" s="239">
        <v>0</v>
      </c>
      <c r="DF61" s="239">
        <v>0</v>
      </c>
      <c r="DG61" s="239">
        <v>0</v>
      </c>
      <c r="DH61" s="239">
        <v>9296</v>
      </c>
      <c r="DI61" s="239">
        <v>2324</v>
      </c>
      <c r="DJ61" s="239">
        <v>0</v>
      </c>
      <c r="DK61" s="239">
        <v>18270</v>
      </c>
      <c r="DL61" s="239">
        <v>4568</v>
      </c>
      <c r="DM61" s="239">
        <v>0</v>
      </c>
      <c r="DN61" s="239">
        <v>-8974</v>
      </c>
      <c r="DO61" s="239">
        <v>-2244</v>
      </c>
      <c r="DP61" s="239">
        <v>0</v>
      </c>
      <c r="DQ61" s="239">
        <v>883</v>
      </c>
      <c r="DR61" s="239">
        <v>221</v>
      </c>
      <c r="DS61" s="239">
        <v>0</v>
      </c>
      <c r="DT61" s="239">
        <v>1218</v>
      </c>
      <c r="DU61" s="239">
        <v>305</v>
      </c>
      <c r="DV61" s="239">
        <v>0</v>
      </c>
      <c r="DW61" s="239">
        <v>-335</v>
      </c>
      <c r="DX61" s="239">
        <v>-84</v>
      </c>
      <c r="DY61" s="239">
        <v>0</v>
      </c>
      <c r="DZ61" s="239">
        <v>24826</v>
      </c>
      <c r="EA61" s="239">
        <v>6207</v>
      </c>
      <c r="EB61" s="239">
        <v>0</v>
      </c>
      <c r="EC61" s="239">
        <v>22522</v>
      </c>
      <c r="ED61" s="239">
        <v>0</v>
      </c>
      <c r="EE61" s="239">
        <v>0</v>
      </c>
      <c r="EF61" s="239">
        <v>2304</v>
      </c>
      <c r="EG61" s="239">
        <v>6207</v>
      </c>
      <c r="EH61" s="239">
        <v>0</v>
      </c>
      <c r="EI61" s="239">
        <v>110508</v>
      </c>
      <c r="EJ61" s="239">
        <v>27627</v>
      </c>
      <c r="EK61" s="239">
        <v>0</v>
      </c>
      <c r="EL61" s="239">
        <v>229223</v>
      </c>
      <c r="EM61" s="239">
        <v>0</v>
      </c>
      <c r="EN61" s="239">
        <v>0</v>
      </c>
      <c r="EO61" s="239">
        <v>-118715</v>
      </c>
      <c r="EP61" s="239">
        <v>27627</v>
      </c>
      <c r="EQ61" s="239">
        <v>0</v>
      </c>
      <c r="ER61" s="239">
        <v>38386</v>
      </c>
      <c r="ES61" s="239">
        <v>9597</v>
      </c>
      <c r="ET61" s="239">
        <v>0</v>
      </c>
      <c r="EU61" s="239">
        <v>48315</v>
      </c>
      <c r="EV61" s="239">
        <v>0</v>
      </c>
      <c r="EW61" s="239">
        <v>0</v>
      </c>
      <c r="EX61" s="239">
        <v>-9929</v>
      </c>
      <c r="EY61" s="239">
        <v>9597</v>
      </c>
      <c r="EZ61" s="239">
        <v>0</v>
      </c>
      <c r="FA61" s="239">
        <v>271722</v>
      </c>
      <c r="FB61" s="239">
        <v>67579</v>
      </c>
      <c r="FC61" s="239">
        <v>0</v>
      </c>
      <c r="FD61" s="239">
        <v>279337</v>
      </c>
      <c r="FE61" s="239">
        <v>69739</v>
      </c>
      <c r="FF61" s="239">
        <v>0</v>
      </c>
      <c r="FG61" s="239">
        <v>-7615</v>
      </c>
      <c r="FH61" s="239">
        <v>-2160</v>
      </c>
      <c r="FI61" s="239">
        <v>0</v>
      </c>
      <c r="FJ61" s="239">
        <v>0</v>
      </c>
      <c r="FK61" s="239">
        <v>0</v>
      </c>
      <c r="FL61" s="239">
        <v>0</v>
      </c>
      <c r="FM61" s="239">
        <v>0</v>
      </c>
      <c r="FN61" s="239">
        <v>0</v>
      </c>
      <c r="FO61" s="239">
        <v>0</v>
      </c>
      <c r="FP61" s="239">
        <v>0</v>
      </c>
      <c r="FQ61" s="239">
        <v>0</v>
      </c>
      <c r="FR61" s="239">
        <v>0</v>
      </c>
      <c r="FS61" s="239">
        <v>0</v>
      </c>
      <c r="FT61" s="239">
        <v>0</v>
      </c>
      <c r="FU61" s="239">
        <v>0</v>
      </c>
      <c r="FV61" s="239">
        <v>1867647</v>
      </c>
      <c r="FW61" s="239">
        <v>466561</v>
      </c>
      <c r="FX61" s="239">
        <v>0</v>
      </c>
      <c r="FY61" s="834">
        <v>0.5</v>
      </c>
      <c r="FZ61" s="834">
        <v>0.4</v>
      </c>
      <c r="GA61" s="834">
        <v>0.1</v>
      </c>
      <c r="GB61" s="834">
        <v>0</v>
      </c>
      <c r="GC61" s="214" t="s">
        <v>1158</v>
      </c>
    </row>
    <row r="62" spans="2:185" s="214" customFormat="1" x14ac:dyDescent="0.2">
      <c r="B62" s="602" t="s">
        <v>207</v>
      </c>
      <c r="C62" s="602" t="s">
        <v>206</v>
      </c>
      <c r="D62" s="239">
        <v>820573</v>
      </c>
      <c r="E62" s="239">
        <v>0</v>
      </c>
      <c r="F62" s="239">
        <v>820573</v>
      </c>
      <c r="G62" s="239">
        <v>833084</v>
      </c>
      <c r="H62" s="239">
        <v>0</v>
      </c>
      <c r="I62" s="239">
        <v>833084</v>
      </c>
      <c r="J62" s="239">
        <v>-12511</v>
      </c>
      <c r="K62" s="239">
        <v>0</v>
      </c>
      <c r="L62" s="239">
        <v>-12511</v>
      </c>
      <c r="M62" s="239">
        <v>112028</v>
      </c>
      <c r="N62" s="239">
        <v>112028</v>
      </c>
      <c r="O62" s="239">
        <v>0</v>
      </c>
      <c r="P62" s="239">
        <v>0</v>
      </c>
      <c r="Q62" s="239">
        <v>0</v>
      </c>
      <c r="R62" s="239">
        <v>0</v>
      </c>
      <c r="S62" s="239">
        <v>0</v>
      </c>
      <c r="T62" s="239">
        <v>0</v>
      </c>
      <c r="U62" s="239">
        <v>0</v>
      </c>
      <c r="V62" s="239">
        <v>0</v>
      </c>
      <c r="W62" s="239">
        <v>0</v>
      </c>
      <c r="X62" s="239">
        <v>0</v>
      </c>
      <c r="Y62" s="239">
        <v>0</v>
      </c>
      <c r="Z62" s="239">
        <v>0</v>
      </c>
      <c r="AA62" s="239">
        <v>0</v>
      </c>
      <c r="AB62" s="239">
        <v>0</v>
      </c>
      <c r="AC62" s="239">
        <v>0</v>
      </c>
      <c r="AD62" s="239">
        <v>0</v>
      </c>
      <c r="AE62" s="239">
        <v>0</v>
      </c>
      <c r="AF62" s="239">
        <v>0</v>
      </c>
      <c r="AG62" s="239">
        <v>0</v>
      </c>
      <c r="AH62" s="239">
        <v>0</v>
      </c>
      <c r="AI62" s="239">
        <v>0</v>
      </c>
      <c r="AJ62" s="239">
        <v>0</v>
      </c>
      <c r="AK62" s="239">
        <v>0</v>
      </c>
      <c r="AL62" s="239">
        <v>0</v>
      </c>
      <c r="AM62" s="239">
        <v>0</v>
      </c>
      <c r="AN62" s="239">
        <v>0</v>
      </c>
      <c r="AO62" s="239">
        <v>0</v>
      </c>
      <c r="AP62" s="239">
        <v>0</v>
      </c>
      <c r="AQ62" s="239">
        <v>0</v>
      </c>
      <c r="AR62" s="239">
        <v>0</v>
      </c>
      <c r="AS62" s="239">
        <v>0</v>
      </c>
      <c r="AT62" s="239">
        <v>0</v>
      </c>
      <c r="AU62" s="239">
        <v>0</v>
      </c>
      <c r="AV62" s="239">
        <v>0</v>
      </c>
      <c r="AW62" s="239">
        <v>0</v>
      </c>
      <c r="AX62" s="239">
        <v>0</v>
      </c>
      <c r="AY62" s="239">
        <v>0</v>
      </c>
      <c r="AZ62" s="239">
        <v>0</v>
      </c>
      <c r="BA62" s="239">
        <v>0</v>
      </c>
      <c r="BB62" s="239">
        <v>0</v>
      </c>
      <c r="BC62" s="239">
        <v>821583</v>
      </c>
      <c r="BD62" s="239">
        <v>184856</v>
      </c>
      <c r="BE62" s="239">
        <v>20540</v>
      </c>
      <c r="BF62" s="239">
        <v>799888.99102832621</v>
      </c>
      <c r="BG62" s="239">
        <v>179975.02298137339</v>
      </c>
      <c r="BH62" s="239">
        <v>19997.224775708153</v>
      </c>
      <c r="BI62" s="239">
        <v>73958.746909871246</v>
      </c>
      <c r="BJ62" s="239">
        <v>16640.71805472103</v>
      </c>
      <c r="BK62" s="239">
        <v>1848.9686727467808</v>
      </c>
      <c r="BL62" s="239">
        <v>742029</v>
      </c>
      <c r="BM62" s="239">
        <v>104675</v>
      </c>
      <c r="BN62" s="239">
        <v>11631</v>
      </c>
      <c r="BO62" s="239">
        <v>79554</v>
      </c>
      <c r="BP62" s="239">
        <v>80181</v>
      </c>
      <c r="BQ62" s="239">
        <v>8909</v>
      </c>
      <c r="BR62" s="239">
        <v>0</v>
      </c>
      <c r="BS62" s="239">
        <v>0</v>
      </c>
      <c r="BT62" s="239">
        <v>0</v>
      </c>
      <c r="BU62" s="239">
        <v>0</v>
      </c>
      <c r="BV62" s="239">
        <v>0</v>
      </c>
      <c r="BW62" s="239">
        <v>0</v>
      </c>
      <c r="BX62" s="239">
        <v>0</v>
      </c>
      <c r="BY62" s="239">
        <v>0</v>
      </c>
      <c r="BZ62" s="239">
        <v>0</v>
      </c>
      <c r="CA62" s="239">
        <v>0</v>
      </c>
      <c r="CB62" s="239">
        <v>0</v>
      </c>
      <c r="CC62" s="239">
        <v>0</v>
      </c>
      <c r="CD62" s="239">
        <v>0</v>
      </c>
      <c r="CE62" s="239">
        <v>0</v>
      </c>
      <c r="CF62" s="239">
        <v>0</v>
      </c>
      <c r="CG62" s="239">
        <v>0</v>
      </c>
      <c r="CH62" s="239">
        <v>0</v>
      </c>
      <c r="CI62" s="239">
        <v>0</v>
      </c>
      <c r="CJ62" s="239">
        <v>0</v>
      </c>
      <c r="CK62" s="239">
        <v>0</v>
      </c>
      <c r="CL62" s="239">
        <v>0</v>
      </c>
      <c r="CM62" s="239">
        <v>0</v>
      </c>
      <c r="CN62" s="239">
        <v>0</v>
      </c>
      <c r="CO62" s="239">
        <v>0</v>
      </c>
      <c r="CP62" s="239">
        <v>0</v>
      </c>
      <c r="CQ62" s="239">
        <v>0</v>
      </c>
      <c r="CR62" s="239">
        <v>0</v>
      </c>
      <c r="CS62" s="239">
        <v>-1474</v>
      </c>
      <c r="CT62" s="239">
        <v>-332</v>
      </c>
      <c r="CU62" s="239">
        <v>-37</v>
      </c>
      <c r="CV62" s="239">
        <v>0</v>
      </c>
      <c r="CW62" s="239">
        <v>0</v>
      </c>
      <c r="CX62" s="239">
        <v>0</v>
      </c>
      <c r="CY62" s="239">
        <v>0</v>
      </c>
      <c r="CZ62" s="239">
        <v>0</v>
      </c>
      <c r="DA62" s="239">
        <v>0</v>
      </c>
      <c r="DB62" s="239">
        <v>0</v>
      </c>
      <c r="DC62" s="239">
        <v>0</v>
      </c>
      <c r="DD62" s="239">
        <v>0</v>
      </c>
      <c r="DE62" s="239">
        <v>-58</v>
      </c>
      <c r="DF62" s="239">
        <v>-13</v>
      </c>
      <c r="DG62" s="239">
        <v>-1</v>
      </c>
      <c r="DH62" s="239">
        <v>999</v>
      </c>
      <c r="DI62" s="239">
        <v>225</v>
      </c>
      <c r="DJ62" s="239">
        <v>25</v>
      </c>
      <c r="DK62" s="239">
        <v>1619</v>
      </c>
      <c r="DL62" s="239">
        <v>364</v>
      </c>
      <c r="DM62" s="239">
        <v>40</v>
      </c>
      <c r="DN62" s="239">
        <v>-620</v>
      </c>
      <c r="DO62" s="239">
        <v>-139</v>
      </c>
      <c r="DP62" s="239">
        <v>-15</v>
      </c>
      <c r="DQ62" s="239">
        <v>0</v>
      </c>
      <c r="DR62" s="239">
        <v>0</v>
      </c>
      <c r="DS62" s="239">
        <v>0</v>
      </c>
      <c r="DT62" s="239">
        <v>0</v>
      </c>
      <c r="DU62" s="239">
        <v>0</v>
      </c>
      <c r="DV62" s="239">
        <v>0</v>
      </c>
      <c r="DW62" s="239">
        <v>0</v>
      </c>
      <c r="DX62" s="239">
        <v>0</v>
      </c>
      <c r="DY62" s="239">
        <v>0</v>
      </c>
      <c r="DZ62" s="239">
        <v>8572</v>
      </c>
      <c r="EA62" s="239">
        <v>1929</v>
      </c>
      <c r="EB62" s="239">
        <v>214</v>
      </c>
      <c r="EC62" s="239">
        <v>10161</v>
      </c>
      <c r="ED62" s="239">
        <v>0</v>
      </c>
      <c r="EE62" s="239">
        <v>0</v>
      </c>
      <c r="EF62" s="239">
        <v>-1589</v>
      </c>
      <c r="EG62" s="239">
        <v>1929</v>
      </c>
      <c r="EH62" s="239">
        <v>214</v>
      </c>
      <c r="EI62" s="239">
        <v>68172</v>
      </c>
      <c r="EJ62" s="239">
        <v>15339</v>
      </c>
      <c r="EK62" s="239">
        <v>1704</v>
      </c>
      <c r="EL62" s="239">
        <v>97971</v>
      </c>
      <c r="EM62" s="239">
        <v>0</v>
      </c>
      <c r="EN62" s="239">
        <v>0</v>
      </c>
      <c r="EO62" s="239">
        <v>-29799</v>
      </c>
      <c r="EP62" s="239">
        <v>15339</v>
      </c>
      <c r="EQ62" s="239">
        <v>1704</v>
      </c>
      <c r="ER62" s="239">
        <v>17585</v>
      </c>
      <c r="ES62" s="239">
        <v>3957</v>
      </c>
      <c r="ET62" s="239">
        <v>440</v>
      </c>
      <c r="EU62" s="239">
        <v>22172</v>
      </c>
      <c r="EV62" s="239">
        <v>0</v>
      </c>
      <c r="EW62" s="239">
        <v>0</v>
      </c>
      <c r="EX62" s="239">
        <v>-4587</v>
      </c>
      <c r="EY62" s="239">
        <v>3957</v>
      </c>
      <c r="EZ62" s="239">
        <v>440</v>
      </c>
      <c r="FA62" s="239">
        <v>124143</v>
      </c>
      <c r="FB62" s="239">
        <v>27932</v>
      </c>
      <c r="FC62" s="239">
        <v>3104</v>
      </c>
      <c r="FD62" s="239">
        <v>131650</v>
      </c>
      <c r="FE62" s="239">
        <v>29621</v>
      </c>
      <c r="FF62" s="239">
        <v>3291</v>
      </c>
      <c r="FG62" s="239">
        <v>-7507</v>
      </c>
      <c r="FH62" s="239">
        <v>-1689</v>
      </c>
      <c r="FI62" s="239">
        <v>-187</v>
      </c>
      <c r="FJ62" s="239">
        <v>0</v>
      </c>
      <c r="FK62" s="239">
        <v>0</v>
      </c>
      <c r="FL62" s="239">
        <v>0</v>
      </c>
      <c r="FM62" s="239">
        <v>0</v>
      </c>
      <c r="FN62" s="239">
        <v>0</v>
      </c>
      <c r="FO62" s="239">
        <v>0</v>
      </c>
      <c r="FP62" s="239">
        <v>0</v>
      </c>
      <c r="FQ62" s="239">
        <v>0</v>
      </c>
      <c r="FR62" s="239">
        <v>0</v>
      </c>
      <c r="FS62" s="239">
        <v>0</v>
      </c>
      <c r="FT62" s="239">
        <v>0</v>
      </c>
      <c r="FU62" s="239">
        <v>0</v>
      </c>
      <c r="FV62" s="239">
        <v>1039522</v>
      </c>
      <c r="FW62" s="239">
        <v>233893</v>
      </c>
      <c r="FX62" s="239">
        <v>25989</v>
      </c>
      <c r="FY62" s="834">
        <v>0.5</v>
      </c>
      <c r="FZ62" s="834">
        <v>0.4</v>
      </c>
      <c r="GA62" s="834">
        <v>0.09</v>
      </c>
      <c r="GB62" s="834">
        <v>0.01</v>
      </c>
      <c r="GC62" s="214" t="s">
        <v>1158</v>
      </c>
    </row>
    <row r="63" spans="2:185" s="214" customFormat="1" x14ac:dyDescent="0.2">
      <c r="B63" s="602" t="s">
        <v>209</v>
      </c>
      <c r="C63" s="602" t="s">
        <v>208</v>
      </c>
      <c r="D63" s="239">
        <v>-2365086</v>
      </c>
      <c r="E63" s="239">
        <v>0</v>
      </c>
      <c r="F63" s="239">
        <v>-2365086</v>
      </c>
      <c r="G63" s="239">
        <v>-2328610</v>
      </c>
      <c r="H63" s="239">
        <v>0</v>
      </c>
      <c r="I63" s="239">
        <v>-2328610</v>
      </c>
      <c r="J63" s="239">
        <v>-36476</v>
      </c>
      <c r="K63" s="239">
        <v>0</v>
      </c>
      <c r="L63" s="239">
        <v>-36476</v>
      </c>
      <c r="M63" s="239">
        <v>132804</v>
      </c>
      <c r="N63" s="239">
        <v>132804</v>
      </c>
      <c r="O63" s="239">
        <v>0</v>
      </c>
      <c r="P63" s="239">
        <v>0</v>
      </c>
      <c r="Q63" s="239">
        <v>0</v>
      </c>
      <c r="R63" s="239">
        <v>0</v>
      </c>
      <c r="S63" s="239">
        <v>0</v>
      </c>
      <c r="T63" s="239">
        <v>0</v>
      </c>
      <c r="U63" s="239">
        <v>0</v>
      </c>
      <c r="V63" s="239">
        <v>0</v>
      </c>
      <c r="W63" s="239">
        <v>0</v>
      </c>
      <c r="X63" s="239">
        <v>0</v>
      </c>
      <c r="Y63" s="239">
        <v>0</v>
      </c>
      <c r="Z63" s="239">
        <v>0</v>
      </c>
      <c r="AA63" s="239">
        <v>0</v>
      </c>
      <c r="AB63" s="239">
        <v>0</v>
      </c>
      <c r="AC63" s="239">
        <v>0</v>
      </c>
      <c r="AD63" s="239">
        <v>0</v>
      </c>
      <c r="AE63" s="239">
        <v>0</v>
      </c>
      <c r="AF63" s="239">
        <v>0</v>
      </c>
      <c r="AG63" s="239">
        <v>0</v>
      </c>
      <c r="AH63" s="239">
        <v>0</v>
      </c>
      <c r="AI63" s="239">
        <v>0</v>
      </c>
      <c r="AJ63" s="239">
        <v>0</v>
      </c>
      <c r="AK63" s="239">
        <v>0</v>
      </c>
      <c r="AL63" s="239">
        <v>0</v>
      </c>
      <c r="AM63" s="239">
        <v>0</v>
      </c>
      <c r="AN63" s="239">
        <v>0</v>
      </c>
      <c r="AO63" s="239">
        <v>0</v>
      </c>
      <c r="AP63" s="239">
        <v>0</v>
      </c>
      <c r="AQ63" s="239">
        <v>0</v>
      </c>
      <c r="AR63" s="239">
        <v>0</v>
      </c>
      <c r="AS63" s="239">
        <v>0</v>
      </c>
      <c r="AT63" s="239">
        <v>0</v>
      </c>
      <c r="AU63" s="239">
        <v>0</v>
      </c>
      <c r="AV63" s="239">
        <v>0</v>
      </c>
      <c r="AW63" s="239">
        <v>0</v>
      </c>
      <c r="AX63" s="239">
        <v>0</v>
      </c>
      <c r="AY63" s="239">
        <v>0</v>
      </c>
      <c r="AZ63" s="239">
        <v>0</v>
      </c>
      <c r="BA63" s="239">
        <v>0</v>
      </c>
      <c r="BB63" s="239">
        <v>0</v>
      </c>
      <c r="BC63" s="239">
        <v>995626</v>
      </c>
      <c r="BD63" s="239">
        <v>224016</v>
      </c>
      <c r="BE63" s="239">
        <v>24891</v>
      </c>
      <c r="BF63" s="239">
        <v>973907.45878969948</v>
      </c>
      <c r="BG63" s="239">
        <v>219129.17822768242</v>
      </c>
      <c r="BH63" s="239">
        <v>24347.68646974249</v>
      </c>
      <c r="BI63" s="239">
        <v>56263.877811158796</v>
      </c>
      <c r="BJ63" s="239">
        <v>12659.372507510727</v>
      </c>
      <c r="BK63" s="239">
        <v>1406.5969452789698</v>
      </c>
      <c r="BL63" s="239">
        <v>877543</v>
      </c>
      <c r="BM63" s="239">
        <v>139538</v>
      </c>
      <c r="BN63" s="239">
        <v>15504</v>
      </c>
      <c r="BO63" s="239">
        <v>118083</v>
      </c>
      <c r="BP63" s="239">
        <v>84478</v>
      </c>
      <c r="BQ63" s="239">
        <v>9387</v>
      </c>
      <c r="BR63" s="239">
        <v>0</v>
      </c>
      <c r="BS63" s="239">
        <v>0</v>
      </c>
      <c r="BT63" s="239">
        <v>0</v>
      </c>
      <c r="BU63" s="239">
        <v>0</v>
      </c>
      <c r="BV63" s="239">
        <v>0</v>
      </c>
      <c r="BW63" s="239">
        <v>0</v>
      </c>
      <c r="BX63" s="239">
        <v>0</v>
      </c>
      <c r="BY63" s="239">
        <v>0</v>
      </c>
      <c r="BZ63" s="239">
        <v>0</v>
      </c>
      <c r="CA63" s="239">
        <v>0</v>
      </c>
      <c r="CB63" s="239">
        <v>0</v>
      </c>
      <c r="CC63" s="239">
        <v>0</v>
      </c>
      <c r="CD63" s="239">
        <v>0</v>
      </c>
      <c r="CE63" s="239">
        <v>0</v>
      </c>
      <c r="CF63" s="239">
        <v>0</v>
      </c>
      <c r="CG63" s="239">
        <v>0</v>
      </c>
      <c r="CH63" s="239">
        <v>0</v>
      </c>
      <c r="CI63" s="239">
        <v>0</v>
      </c>
      <c r="CJ63" s="239">
        <v>0</v>
      </c>
      <c r="CK63" s="239">
        <v>0</v>
      </c>
      <c r="CL63" s="239">
        <v>0</v>
      </c>
      <c r="CM63" s="239">
        <v>0</v>
      </c>
      <c r="CN63" s="239">
        <v>0</v>
      </c>
      <c r="CO63" s="239">
        <v>0</v>
      </c>
      <c r="CP63" s="239">
        <v>0</v>
      </c>
      <c r="CQ63" s="239">
        <v>0</v>
      </c>
      <c r="CR63" s="239">
        <v>0</v>
      </c>
      <c r="CS63" s="239">
        <v>-1321</v>
      </c>
      <c r="CT63" s="239">
        <v>-297</v>
      </c>
      <c r="CU63" s="239">
        <v>-33</v>
      </c>
      <c r="CV63" s="239">
        <v>-134</v>
      </c>
      <c r="CW63" s="239">
        <v>-30</v>
      </c>
      <c r="CX63" s="239">
        <v>-3</v>
      </c>
      <c r="CY63" s="239">
        <v>0</v>
      </c>
      <c r="CZ63" s="239">
        <v>0</v>
      </c>
      <c r="DA63" s="239">
        <v>0</v>
      </c>
      <c r="DB63" s="239">
        <v>-134</v>
      </c>
      <c r="DC63" s="239">
        <v>-30</v>
      </c>
      <c r="DD63" s="239">
        <v>-3</v>
      </c>
      <c r="DE63" s="239">
        <v>0</v>
      </c>
      <c r="DF63" s="239">
        <v>0</v>
      </c>
      <c r="DG63" s="239">
        <v>0</v>
      </c>
      <c r="DH63" s="239">
        <v>2122</v>
      </c>
      <c r="DI63" s="239">
        <v>477</v>
      </c>
      <c r="DJ63" s="239">
        <v>53</v>
      </c>
      <c r="DK63" s="239">
        <v>2299</v>
      </c>
      <c r="DL63" s="239">
        <v>518</v>
      </c>
      <c r="DM63" s="239">
        <v>58</v>
      </c>
      <c r="DN63" s="239">
        <v>-177</v>
      </c>
      <c r="DO63" s="239">
        <v>-41</v>
      </c>
      <c r="DP63" s="239">
        <v>-5</v>
      </c>
      <c r="DQ63" s="239">
        <v>0</v>
      </c>
      <c r="DR63" s="239">
        <v>0</v>
      </c>
      <c r="DS63" s="239">
        <v>0</v>
      </c>
      <c r="DT63" s="239">
        <v>0</v>
      </c>
      <c r="DU63" s="239">
        <v>0</v>
      </c>
      <c r="DV63" s="239">
        <v>0</v>
      </c>
      <c r="DW63" s="239">
        <v>0</v>
      </c>
      <c r="DX63" s="239">
        <v>0</v>
      </c>
      <c r="DY63" s="239">
        <v>0</v>
      </c>
      <c r="DZ63" s="239">
        <v>10847</v>
      </c>
      <c r="EA63" s="239">
        <v>2441</v>
      </c>
      <c r="EB63" s="239">
        <v>271</v>
      </c>
      <c r="EC63" s="239">
        <v>14428</v>
      </c>
      <c r="ED63" s="239">
        <v>0</v>
      </c>
      <c r="EE63" s="239">
        <v>0</v>
      </c>
      <c r="EF63" s="239">
        <v>-3581</v>
      </c>
      <c r="EG63" s="239">
        <v>2441</v>
      </c>
      <c r="EH63" s="239">
        <v>271</v>
      </c>
      <c r="EI63" s="239">
        <v>43485</v>
      </c>
      <c r="EJ63" s="239">
        <v>9784</v>
      </c>
      <c r="EK63" s="239">
        <v>1087</v>
      </c>
      <c r="EL63" s="239">
        <v>59462</v>
      </c>
      <c r="EM63" s="239">
        <v>0</v>
      </c>
      <c r="EN63" s="239">
        <v>0</v>
      </c>
      <c r="EO63" s="239">
        <v>-15977</v>
      </c>
      <c r="EP63" s="239">
        <v>9784</v>
      </c>
      <c r="EQ63" s="239">
        <v>1087</v>
      </c>
      <c r="ER63" s="239">
        <v>20203</v>
      </c>
      <c r="ES63" s="239">
        <v>4546</v>
      </c>
      <c r="ET63" s="239">
        <v>505</v>
      </c>
      <c r="EU63" s="239">
        <v>28932</v>
      </c>
      <c r="EV63" s="239">
        <v>0</v>
      </c>
      <c r="EW63" s="239">
        <v>0</v>
      </c>
      <c r="EX63" s="239">
        <v>-8729</v>
      </c>
      <c r="EY63" s="239">
        <v>4546</v>
      </c>
      <c r="EZ63" s="239">
        <v>505</v>
      </c>
      <c r="FA63" s="239">
        <v>141980</v>
      </c>
      <c r="FB63" s="239">
        <v>31946</v>
      </c>
      <c r="FC63" s="239">
        <v>3550</v>
      </c>
      <c r="FD63" s="239">
        <v>149147</v>
      </c>
      <c r="FE63" s="239">
        <v>33558</v>
      </c>
      <c r="FF63" s="239">
        <v>3729</v>
      </c>
      <c r="FG63" s="239">
        <v>-7167</v>
      </c>
      <c r="FH63" s="239">
        <v>-1612</v>
      </c>
      <c r="FI63" s="239">
        <v>-179</v>
      </c>
      <c r="FJ63" s="239">
        <v>0</v>
      </c>
      <c r="FK63" s="239">
        <v>0</v>
      </c>
      <c r="FL63" s="239">
        <v>0</v>
      </c>
      <c r="FM63" s="239">
        <v>0</v>
      </c>
      <c r="FN63" s="239">
        <v>0</v>
      </c>
      <c r="FO63" s="239">
        <v>0</v>
      </c>
      <c r="FP63" s="239">
        <v>0</v>
      </c>
      <c r="FQ63" s="239">
        <v>0</v>
      </c>
      <c r="FR63" s="239">
        <v>0</v>
      </c>
      <c r="FS63" s="239">
        <v>0</v>
      </c>
      <c r="FT63" s="239">
        <v>0</v>
      </c>
      <c r="FU63" s="239">
        <v>0</v>
      </c>
      <c r="FV63" s="239">
        <v>1212808</v>
      </c>
      <c r="FW63" s="239">
        <v>272883</v>
      </c>
      <c r="FX63" s="239">
        <v>30321</v>
      </c>
      <c r="FY63" s="834">
        <v>0.5</v>
      </c>
      <c r="FZ63" s="834">
        <v>0.4</v>
      </c>
      <c r="GA63" s="834">
        <v>0.09</v>
      </c>
      <c r="GB63" s="834">
        <v>0.01</v>
      </c>
      <c r="GC63" s="214" t="s">
        <v>1158</v>
      </c>
    </row>
    <row r="64" spans="2:185" s="214" customFormat="1" x14ac:dyDescent="0.2">
      <c r="B64" s="602" t="s">
        <v>211</v>
      </c>
      <c r="C64" s="602" t="s">
        <v>210</v>
      </c>
      <c r="D64" s="239">
        <v>158224</v>
      </c>
      <c r="E64" s="239">
        <v>0</v>
      </c>
      <c r="F64" s="239">
        <v>158224</v>
      </c>
      <c r="G64" s="239">
        <v>196574</v>
      </c>
      <c r="H64" s="239">
        <v>0</v>
      </c>
      <c r="I64" s="239">
        <v>196574</v>
      </c>
      <c r="J64" s="239">
        <v>-38350</v>
      </c>
      <c r="K64" s="239">
        <v>0</v>
      </c>
      <c r="L64" s="239">
        <v>-38350</v>
      </c>
      <c r="M64" s="239">
        <v>74395</v>
      </c>
      <c r="N64" s="239">
        <v>74395</v>
      </c>
      <c r="O64" s="239">
        <v>0</v>
      </c>
      <c r="P64" s="239">
        <v>0</v>
      </c>
      <c r="Q64" s="239">
        <v>0</v>
      </c>
      <c r="R64" s="239">
        <v>0</v>
      </c>
      <c r="S64" s="239">
        <v>318272</v>
      </c>
      <c r="T64" s="239">
        <v>0</v>
      </c>
      <c r="U64" s="239">
        <v>285495</v>
      </c>
      <c r="V64" s="239">
        <v>0</v>
      </c>
      <c r="W64" s="239">
        <v>32777</v>
      </c>
      <c r="X64" s="239">
        <v>0</v>
      </c>
      <c r="Y64" s="239">
        <v>0</v>
      </c>
      <c r="Z64" s="239">
        <v>0</v>
      </c>
      <c r="AA64" s="239">
        <v>0</v>
      </c>
      <c r="AB64" s="239">
        <v>0</v>
      </c>
      <c r="AC64" s="239">
        <v>0</v>
      </c>
      <c r="AD64" s="239">
        <v>0</v>
      </c>
      <c r="AE64" s="239">
        <v>0</v>
      </c>
      <c r="AF64" s="239">
        <v>0</v>
      </c>
      <c r="AG64" s="239">
        <v>0</v>
      </c>
      <c r="AH64" s="239">
        <v>0</v>
      </c>
      <c r="AI64" s="239">
        <v>0</v>
      </c>
      <c r="AJ64" s="239">
        <v>0</v>
      </c>
      <c r="AK64" s="239">
        <v>0</v>
      </c>
      <c r="AL64" s="239">
        <v>0</v>
      </c>
      <c r="AM64" s="239">
        <v>0</v>
      </c>
      <c r="AN64" s="239">
        <v>0</v>
      </c>
      <c r="AO64" s="239">
        <v>0</v>
      </c>
      <c r="AP64" s="239">
        <v>0</v>
      </c>
      <c r="AQ64" s="239">
        <v>0</v>
      </c>
      <c r="AR64" s="239">
        <v>0</v>
      </c>
      <c r="AS64" s="239">
        <v>0</v>
      </c>
      <c r="AT64" s="239">
        <v>0</v>
      </c>
      <c r="AU64" s="239">
        <v>0</v>
      </c>
      <c r="AV64" s="239">
        <v>0</v>
      </c>
      <c r="AW64" s="239">
        <v>0</v>
      </c>
      <c r="AX64" s="239">
        <v>0</v>
      </c>
      <c r="AY64" s="239">
        <v>0</v>
      </c>
      <c r="AZ64" s="239">
        <v>0</v>
      </c>
      <c r="BA64" s="239">
        <v>0</v>
      </c>
      <c r="BB64" s="239">
        <v>0</v>
      </c>
      <c r="BC64" s="239">
        <v>566648</v>
      </c>
      <c r="BD64" s="239">
        <v>127496</v>
      </c>
      <c r="BE64" s="239">
        <v>14166</v>
      </c>
      <c r="BF64" s="239">
        <v>554390.997939914</v>
      </c>
      <c r="BG64" s="239">
        <v>124737.97453648067</v>
      </c>
      <c r="BH64" s="239">
        <v>13859.774948497852</v>
      </c>
      <c r="BI64" s="239">
        <v>37803.41862660944</v>
      </c>
      <c r="BJ64" s="239">
        <v>8505.7691909871246</v>
      </c>
      <c r="BK64" s="239">
        <v>945.08546566523592</v>
      </c>
      <c r="BL64" s="239">
        <v>522596</v>
      </c>
      <c r="BM64" s="239">
        <v>75738</v>
      </c>
      <c r="BN64" s="239">
        <v>8415</v>
      </c>
      <c r="BO64" s="239">
        <v>44052</v>
      </c>
      <c r="BP64" s="239">
        <v>51758</v>
      </c>
      <c r="BQ64" s="239">
        <v>5751</v>
      </c>
      <c r="BR64" s="239">
        <v>546</v>
      </c>
      <c r="BS64" s="239">
        <v>123</v>
      </c>
      <c r="BT64" s="239">
        <v>14</v>
      </c>
      <c r="BU64" s="239">
        <v>804</v>
      </c>
      <c r="BV64" s="239">
        <v>181</v>
      </c>
      <c r="BW64" s="239">
        <v>20</v>
      </c>
      <c r="BX64" s="239">
        <v>-258</v>
      </c>
      <c r="BY64" s="239">
        <v>-58</v>
      </c>
      <c r="BZ64" s="239">
        <v>-6</v>
      </c>
      <c r="CA64" s="239">
        <v>0</v>
      </c>
      <c r="CB64" s="239">
        <v>0</v>
      </c>
      <c r="CC64" s="239">
        <v>0</v>
      </c>
      <c r="CD64" s="239">
        <v>0</v>
      </c>
      <c r="CE64" s="239">
        <v>0</v>
      </c>
      <c r="CF64" s="239">
        <v>0</v>
      </c>
      <c r="CG64" s="239">
        <v>0</v>
      </c>
      <c r="CH64" s="239">
        <v>0</v>
      </c>
      <c r="CI64" s="239">
        <v>0</v>
      </c>
      <c r="CJ64" s="239">
        <v>0</v>
      </c>
      <c r="CK64" s="239">
        <v>0</v>
      </c>
      <c r="CL64" s="239">
        <v>0</v>
      </c>
      <c r="CM64" s="239">
        <v>0</v>
      </c>
      <c r="CN64" s="239">
        <v>0</v>
      </c>
      <c r="CO64" s="239">
        <v>0</v>
      </c>
      <c r="CP64" s="239">
        <v>0</v>
      </c>
      <c r="CQ64" s="239">
        <v>0</v>
      </c>
      <c r="CR64" s="239">
        <v>0</v>
      </c>
      <c r="CS64" s="239">
        <v>-2030</v>
      </c>
      <c r="CT64" s="239">
        <v>-457</v>
      </c>
      <c r="CU64" s="239">
        <v>-51</v>
      </c>
      <c r="CV64" s="239">
        <v>0</v>
      </c>
      <c r="CW64" s="239">
        <v>0</v>
      </c>
      <c r="CX64" s="239">
        <v>0</v>
      </c>
      <c r="CY64" s="239">
        <v>0</v>
      </c>
      <c r="CZ64" s="239">
        <v>0</v>
      </c>
      <c r="DA64" s="239">
        <v>0</v>
      </c>
      <c r="DB64" s="239">
        <v>0</v>
      </c>
      <c r="DC64" s="239">
        <v>0</v>
      </c>
      <c r="DD64" s="239">
        <v>0</v>
      </c>
      <c r="DE64" s="239">
        <v>-118</v>
      </c>
      <c r="DF64" s="239">
        <v>-26</v>
      </c>
      <c r="DG64" s="239">
        <v>-3</v>
      </c>
      <c r="DH64" s="239">
        <v>0</v>
      </c>
      <c r="DI64" s="239">
        <v>0</v>
      </c>
      <c r="DJ64" s="239">
        <v>0</v>
      </c>
      <c r="DK64" s="239">
        <v>754</v>
      </c>
      <c r="DL64" s="239">
        <v>170</v>
      </c>
      <c r="DM64" s="239">
        <v>19</v>
      </c>
      <c r="DN64" s="239">
        <v>-754</v>
      </c>
      <c r="DO64" s="239">
        <v>-170</v>
      </c>
      <c r="DP64" s="239">
        <v>-19</v>
      </c>
      <c r="DQ64" s="239">
        <v>0</v>
      </c>
      <c r="DR64" s="239">
        <v>0</v>
      </c>
      <c r="DS64" s="239">
        <v>0</v>
      </c>
      <c r="DT64" s="239">
        <v>0</v>
      </c>
      <c r="DU64" s="239">
        <v>0</v>
      </c>
      <c r="DV64" s="239">
        <v>0</v>
      </c>
      <c r="DW64" s="239">
        <v>0</v>
      </c>
      <c r="DX64" s="239">
        <v>0</v>
      </c>
      <c r="DY64" s="239">
        <v>0</v>
      </c>
      <c r="DZ64" s="239">
        <v>1235</v>
      </c>
      <c r="EA64" s="239">
        <v>278</v>
      </c>
      <c r="EB64" s="239">
        <v>31</v>
      </c>
      <c r="EC64" s="239">
        <v>1544</v>
      </c>
      <c r="ED64" s="239">
        <v>0</v>
      </c>
      <c r="EE64" s="239">
        <v>0</v>
      </c>
      <c r="EF64" s="239">
        <v>-309</v>
      </c>
      <c r="EG64" s="239">
        <v>278</v>
      </c>
      <c r="EH64" s="239">
        <v>31</v>
      </c>
      <c r="EI64" s="239">
        <v>64865</v>
      </c>
      <c r="EJ64" s="239">
        <v>14595</v>
      </c>
      <c r="EK64" s="239">
        <v>1622</v>
      </c>
      <c r="EL64" s="239">
        <v>79881</v>
      </c>
      <c r="EM64" s="239">
        <v>0</v>
      </c>
      <c r="EN64" s="239">
        <v>0</v>
      </c>
      <c r="EO64" s="239">
        <v>-15016</v>
      </c>
      <c r="EP64" s="239">
        <v>14595</v>
      </c>
      <c r="EQ64" s="239">
        <v>1622</v>
      </c>
      <c r="ER64" s="239">
        <v>6678</v>
      </c>
      <c r="ES64" s="239">
        <v>1503</v>
      </c>
      <c r="ET64" s="239">
        <v>167</v>
      </c>
      <c r="EU64" s="239">
        <v>8348</v>
      </c>
      <c r="EV64" s="239">
        <v>0</v>
      </c>
      <c r="EW64" s="239">
        <v>0</v>
      </c>
      <c r="EX64" s="239">
        <v>-1670</v>
      </c>
      <c r="EY64" s="239">
        <v>1503</v>
      </c>
      <c r="EZ64" s="239">
        <v>167</v>
      </c>
      <c r="FA64" s="239">
        <v>127414</v>
      </c>
      <c r="FB64" s="239">
        <v>27592</v>
      </c>
      <c r="FC64" s="239">
        <v>3066</v>
      </c>
      <c r="FD64" s="239">
        <v>119762</v>
      </c>
      <c r="FE64" s="239">
        <v>25981</v>
      </c>
      <c r="FF64" s="239">
        <v>2887</v>
      </c>
      <c r="FG64" s="239">
        <v>7652</v>
      </c>
      <c r="FH64" s="239">
        <v>1611</v>
      </c>
      <c r="FI64" s="239">
        <v>179</v>
      </c>
      <c r="FJ64" s="239">
        <v>0</v>
      </c>
      <c r="FK64" s="239">
        <v>0</v>
      </c>
      <c r="FL64" s="239">
        <v>0</v>
      </c>
      <c r="FM64" s="239">
        <v>0</v>
      </c>
      <c r="FN64" s="239">
        <v>0</v>
      </c>
      <c r="FO64" s="239">
        <v>0</v>
      </c>
      <c r="FP64" s="239">
        <v>0</v>
      </c>
      <c r="FQ64" s="239">
        <v>0</v>
      </c>
      <c r="FR64" s="239">
        <v>0</v>
      </c>
      <c r="FS64" s="239">
        <v>0</v>
      </c>
      <c r="FT64" s="239">
        <v>0</v>
      </c>
      <c r="FU64" s="239">
        <v>0</v>
      </c>
      <c r="FV64" s="239">
        <v>765238</v>
      </c>
      <c r="FW64" s="239">
        <v>171104</v>
      </c>
      <c r="FX64" s="239">
        <v>19012</v>
      </c>
      <c r="FY64" s="834">
        <v>0.5</v>
      </c>
      <c r="FZ64" s="834">
        <v>0.4</v>
      </c>
      <c r="GA64" s="834">
        <v>0.09</v>
      </c>
      <c r="GB64" s="834">
        <v>0.01</v>
      </c>
      <c r="GC64" s="214" t="s">
        <v>1158</v>
      </c>
    </row>
    <row r="65" spans="1:185" s="214" customFormat="1" x14ac:dyDescent="0.2">
      <c r="B65" s="602" t="s">
        <v>213</v>
      </c>
      <c r="C65" s="602" t="s">
        <v>212</v>
      </c>
      <c r="D65" s="239">
        <v>29371287</v>
      </c>
      <c r="E65" s="239">
        <v>0</v>
      </c>
      <c r="F65" s="239">
        <v>29371287</v>
      </c>
      <c r="G65" s="239">
        <v>25492287</v>
      </c>
      <c r="H65" s="239">
        <v>0</v>
      </c>
      <c r="I65" s="239">
        <v>25492287</v>
      </c>
      <c r="J65" s="239">
        <v>3879000</v>
      </c>
      <c r="K65" s="239">
        <v>0</v>
      </c>
      <c r="L65" s="239">
        <v>3879000</v>
      </c>
      <c r="M65" s="239">
        <v>1959373</v>
      </c>
      <c r="N65" s="239">
        <v>1959373</v>
      </c>
      <c r="O65" s="239">
        <v>0</v>
      </c>
      <c r="P65" s="239">
        <v>0</v>
      </c>
      <c r="Q65" s="239">
        <v>0</v>
      </c>
      <c r="R65" s="239">
        <v>0</v>
      </c>
      <c r="S65" s="239">
        <v>0</v>
      </c>
      <c r="T65" s="239">
        <v>0</v>
      </c>
      <c r="U65" s="239">
        <v>0</v>
      </c>
      <c r="V65" s="239">
        <v>0</v>
      </c>
      <c r="W65" s="239">
        <v>0</v>
      </c>
      <c r="X65" s="239">
        <v>0</v>
      </c>
      <c r="Y65" s="239">
        <v>0</v>
      </c>
      <c r="Z65" s="239">
        <v>0</v>
      </c>
      <c r="AA65" s="239">
        <v>0</v>
      </c>
      <c r="AB65" s="239">
        <v>0</v>
      </c>
      <c r="AC65" s="239">
        <v>0</v>
      </c>
      <c r="AD65" s="239">
        <v>0</v>
      </c>
      <c r="AE65" s="239">
        <v>0</v>
      </c>
      <c r="AF65" s="239">
        <v>0</v>
      </c>
      <c r="AG65" s="239">
        <v>0</v>
      </c>
      <c r="AH65" s="239">
        <v>0</v>
      </c>
      <c r="AI65" s="239">
        <v>0</v>
      </c>
      <c r="AJ65" s="239">
        <v>0</v>
      </c>
      <c r="AK65" s="239">
        <v>0</v>
      </c>
      <c r="AL65" s="239">
        <v>0</v>
      </c>
      <c r="AM65" s="239">
        <v>0</v>
      </c>
      <c r="AN65" s="239">
        <v>0</v>
      </c>
      <c r="AO65" s="239">
        <v>0</v>
      </c>
      <c r="AP65" s="239">
        <v>0</v>
      </c>
      <c r="AQ65" s="239">
        <v>0</v>
      </c>
      <c r="AR65" s="239">
        <v>0</v>
      </c>
      <c r="AS65" s="239">
        <v>0</v>
      </c>
      <c r="AT65" s="239">
        <v>0</v>
      </c>
      <c r="AU65" s="239">
        <v>0</v>
      </c>
      <c r="AV65" s="239">
        <v>0</v>
      </c>
      <c r="AW65" s="239">
        <v>0</v>
      </c>
      <c r="AX65" s="239">
        <v>0</v>
      </c>
      <c r="AY65" s="239">
        <v>0</v>
      </c>
      <c r="AZ65" s="239">
        <v>0</v>
      </c>
      <c r="BA65" s="239">
        <v>0</v>
      </c>
      <c r="BB65" s="239">
        <v>0</v>
      </c>
      <c r="BC65" s="239">
        <v>158716</v>
      </c>
      <c r="BD65" s="239">
        <v>195750</v>
      </c>
      <c r="BE65" s="239">
        <v>0</v>
      </c>
      <c r="BF65" s="239">
        <v>154478.04188304718</v>
      </c>
      <c r="BG65" s="239">
        <v>190522.91832242487</v>
      </c>
      <c r="BH65" s="239">
        <v>0</v>
      </c>
      <c r="BI65" s="239">
        <v>252497.66694206005</v>
      </c>
      <c r="BJ65" s="239">
        <v>311413.78922854073</v>
      </c>
      <c r="BK65" s="239">
        <v>0</v>
      </c>
      <c r="BL65" s="239">
        <v>163499</v>
      </c>
      <c r="BM65" s="239">
        <v>104290</v>
      </c>
      <c r="BN65" s="239">
        <v>0</v>
      </c>
      <c r="BO65" s="239">
        <v>-4783</v>
      </c>
      <c r="BP65" s="239">
        <v>91460</v>
      </c>
      <c r="BQ65" s="239">
        <v>0</v>
      </c>
      <c r="BR65" s="239">
        <v>967</v>
      </c>
      <c r="BS65" s="239">
        <v>1192</v>
      </c>
      <c r="BT65" s="239">
        <v>0</v>
      </c>
      <c r="BU65" s="239">
        <v>0</v>
      </c>
      <c r="BV65" s="239">
        <v>0</v>
      </c>
      <c r="BW65" s="239">
        <v>0</v>
      </c>
      <c r="BX65" s="239">
        <v>967</v>
      </c>
      <c r="BY65" s="239">
        <v>1192</v>
      </c>
      <c r="BZ65" s="239">
        <v>0</v>
      </c>
      <c r="CA65" s="239">
        <v>18918</v>
      </c>
      <c r="CB65" s="239">
        <v>23333</v>
      </c>
      <c r="CC65" s="239">
        <v>0</v>
      </c>
      <c r="CD65" s="239">
        <v>0</v>
      </c>
      <c r="CE65" s="239">
        <v>0</v>
      </c>
      <c r="CF65" s="239">
        <v>0</v>
      </c>
      <c r="CG65" s="239">
        <v>18918</v>
      </c>
      <c r="CH65" s="239">
        <v>23333</v>
      </c>
      <c r="CI65" s="239">
        <v>0</v>
      </c>
      <c r="CJ65" s="239">
        <v>5842</v>
      </c>
      <c r="CK65" s="239">
        <v>7205</v>
      </c>
      <c r="CL65" s="239">
        <v>0</v>
      </c>
      <c r="CM65" s="239">
        <v>12617</v>
      </c>
      <c r="CN65" s="239">
        <v>15561</v>
      </c>
      <c r="CO65" s="239">
        <v>0</v>
      </c>
      <c r="CP65" s="239">
        <v>-6775</v>
      </c>
      <c r="CQ65" s="239">
        <v>-8356</v>
      </c>
      <c r="CR65" s="239">
        <v>0</v>
      </c>
      <c r="CS65" s="239">
        <v>-453</v>
      </c>
      <c r="CT65" s="239">
        <v>-559</v>
      </c>
      <c r="CU65" s="239">
        <v>0</v>
      </c>
      <c r="CV65" s="239">
        <v>0</v>
      </c>
      <c r="CW65" s="239">
        <v>0</v>
      </c>
      <c r="CX65" s="239">
        <v>0</v>
      </c>
      <c r="CY65" s="239">
        <v>0</v>
      </c>
      <c r="CZ65" s="239">
        <v>0</v>
      </c>
      <c r="DA65" s="239">
        <v>0</v>
      </c>
      <c r="DB65" s="239">
        <v>0</v>
      </c>
      <c r="DC65" s="239">
        <v>0</v>
      </c>
      <c r="DD65" s="239">
        <v>0</v>
      </c>
      <c r="DE65" s="239">
        <v>-118</v>
      </c>
      <c r="DF65" s="239">
        <v>-145</v>
      </c>
      <c r="DG65" s="239">
        <v>0</v>
      </c>
      <c r="DH65" s="239">
        <v>0</v>
      </c>
      <c r="DI65" s="239">
        <v>0</v>
      </c>
      <c r="DJ65" s="239">
        <v>0</v>
      </c>
      <c r="DK65" s="239">
        <v>0</v>
      </c>
      <c r="DL65" s="239">
        <v>0</v>
      </c>
      <c r="DM65" s="239">
        <v>0</v>
      </c>
      <c r="DN65" s="239">
        <v>0</v>
      </c>
      <c r="DO65" s="239">
        <v>0</v>
      </c>
      <c r="DP65" s="239">
        <v>0</v>
      </c>
      <c r="DQ65" s="239">
        <v>0</v>
      </c>
      <c r="DR65" s="239">
        <v>0</v>
      </c>
      <c r="DS65" s="239">
        <v>0</v>
      </c>
      <c r="DT65" s="239">
        <v>0</v>
      </c>
      <c r="DU65" s="239">
        <v>0</v>
      </c>
      <c r="DV65" s="239">
        <v>0</v>
      </c>
      <c r="DW65" s="239">
        <v>0</v>
      </c>
      <c r="DX65" s="239">
        <v>0</v>
      </c>
      <c r="DY65" s="239">
        <v>0</v>
      </c>
      <c r="DZ65" s="239">
        <v>8931</v>
      </c>
      <c r="EA65" s="239">
        <v>11015</v>
      </c>
      <c r="EB65" s="239">
        <v>0</v>
      </c>
      <c r="EC65" s="239">
        <v>20573</v>
      </c>
      <c r="ED65" s="239">
        <v>0</v>
      </c>
      <c r="EE65" s="239">
        <v>0</v>
      </c>
      <c r="EF65" s="239">
        <v>-11642</v>
      </c>
      <c r="EG65" s="239">
        <v>11015</v>
      </c>
      <c r="EH65" s="239">
        <v>0</v>
      </c>
      <c r="EI65" s="239">
        <v>1657700</v>
      </c>
      <c r="EJ65" s="239">
        <v>2044497</v>
      </c>
      <c r="EK65" s="239">
        <v>0</v>
      </c>
      <c r="EL65" s="239">
        <v>3712491</v>
      </c>
      <c r="EM65" s="239">
        <v>0</v>
      </c>
      <c r="EN65" s="239">
        <v>0</v>
      </c>
      <c r="EO65" s="239">
        <v>-2054791</v>
      </c>
      <c r="EP65" s="239">
        <v>2044497</v>
      </c>
      <c r="EQ65" s="239">
        <v>0</v>
      </c>
      <c r="ER65" s="239">
        <v>15128</v>
      </c>
      <c r="ES65" s="239">
        <v>18657</v>
      </c>
      <c r="ET65" s="239">
        <v>0</v>
      </c>
      <c r="EU65" s="239">
        <v>40321</v>
      </c>
      <c r="EV65" s="239">
        <v>0</v>
      </c>
      <c r="EW65" s="239">
        <v>0</v>
      </c>
      <c r="EX65" s="239">
        <v>-25193</v>
      </c>
      <c r="EY65" s="239">
        <v>18657</v>
      </c>
      <c r="EZ65" s="239">
        <v>0</v>
      </c>
      <c r="FA65" s="239">
        <v>5104770</v>
      </c>
      <c r="FB65" s="239">
        <v>6295884</v>
      </c>
      <c r="FC65" s="239">
        <v>0</v>
      </c>
      <c r="FD65" s="239">
        <v>4947572</v>
      </c>
      <c r="FE65" s="239">
        <v>5893267</v>
      </c>
      <c r="FF65" s="239">
        <v>0</v>
      </c>
      <c r="FG65" s="239">
        <v>157198</v>
      </c>
      <c r="FH65" s="239">
        <v>402617</v>
      </c>
      <c r="FI65" s="239">
        <v>0</v>
      </c>
      <c r="FJ65" s="239">
        <v>0</v>
      </c>
      <c r="FK65" s="239">
        <v>0</v>
      </c>
      <c r="FL65" s="239">
        <v>0</v>
      </c>
      <c r="FM65" s="239">
        <v>0</v>
      </c>
      <c r="FN65" s="239">
        <v>0</v>
      </c>
      <c r="FO65" s="239">
        <v>0</v>
      </c>
      <c r="FP65" s="239">
        <v>0</v>
      </c>
      <c r="FQ65" s="239">
        <v>0</v>
      </c>
      <c r="FR65" s="239">
        <v>0</v>
      </c>
      <c r="FS65" s="239">
        <v>0</v>
      </c>
      <c r="FT65" s="239">
        <v>0</v>
      </c>
      <c r="FU65" s="239">
        <v>0</v>
      </c>
      <c r="FV65" s="239">
        <v>6970401</v>
      </c>
      <c r="FW65" s="239">
        <v>8596829</v>
      </c>
      <c r="FX65" s="239">
        <v>0</v>
      </c>
      <c r="FY65" s="834">
        <v>0.33000000000000007</v>
      </c>
      <c r="FZ65" s="834">
        <v>0.3</v>
      </c>
      <c r="GA65" s="834">
        <v>0.37</v>
      </c>
      <c r="GB65" s="834">
        <v>0</v>
      </c>
      <c r="GC65" s="214" t="s">
        <v>1161</v>
      </c>
    </row>
    <row r="66" spans="1:185" s="214" customFormat="1" x14ac:dyDescent="0.2">
      <c r="B66" s="602" t="s">
        <v>215</v>
      </c>
      <c r="C66" s="602" t="s">
        <v>214</v>
      </c>
      <c r="D66" s="239">
        <v>-1776120</v>
      </c>
      <c r="E66" s="239">
        <v>0</v>
      </c>
      <c r="F66" s="239">
        <v>-1776120</v>
      </c>
      <c r="G66" s="239">
        <v>-777695</v>
      </c>
      <c r="H66" s="239">
        <v>0</v>
      </c>
      <c r="I66" s="239">
        <v>-777695</v>
      </c>
      <c r="J66" s="239">
        <v>-998425</v>
      </c>
      <c r="K66" s="239">
        <v>0</v>
      </c>
      <c r="L66" s="239">
        <v>-998425</v>
      </c>
      <c r="M66" s="239">
        <v>239982</v>
      </c>
      <c r="N66" s="239">
        <v>239982</v>
      </c>
      <c r="O66" s="239">
        <v>0</v>
      </c>
      <c r="P66" s="239">
        <v>0</v>
      </c>
      <c r="Q66" s="239">
        <v>0</v>
      </c>
      <c r="R66" s="239">
        <v>0</v>
      </c>
      <c r="S66" s="239">
        <v>0</v>
      </c>
      <c r="T66" s="239">
        <v>0</v>
      </c>
      <c r="U66" s="239">
        <v>0</v>
      </c>
      <c r="V66" s="239">
        <v>0</v>
      </c>
      <c r="W66" s="239">
        <v>0</v>
      </c>
      <c r="X66" s="239">
        <v>0</v>
      </c>
      <c r="Y66" s="239">
        <v>0</v>
      </c>
      <c r="Z66" s="239">
        <v>0</v>
      </c>
      <c r="AA66" s="239">
        <v>0</v>
      </c>
      <c r="AB66" s="239">
        <v>0</v>
      </c>
      <c r="AC66" s="239">
        <v>0</v>
      </c>
      <c r="AD66" s="239">
        <v>0</v>
      </c>
      <c r="AE66" s="239">
        <v>0</v>
      </c>
      <c r="AF66" s="239">
        <v>0</v>
      </c>
      <c r="AG66" s="239">
        <v>0</v>
      </c>
      <c r="AH66" s="239">
        <v>0</v>
      </c>
      <c r="AI66" s="239">
        <v>0</v>
      </c>
      <c r="AJ66" s="239">
        <v>0</v>
      </c>
      <c r="AK66" s="239">
        <v>0</v>
      </c>
      <c r="AL66" s="239">
        <v>0</v>
      </c>
      <c r="AM66" s="239">
        <v>0</v>
      </c>
      <c r="AN66" s="239">
        <v>0</v>
      </c>
      <c r="AO66" s="239">
        <v>0</v>
      </c>
      <c r="AP66" s="239">
        <v>0</v>
      </c>
      <c r="AQ66" s="239">
        <v>0</v>
      </c>
      <c r="AR66" s="239">
        <v>0</v>
      </c>
      <c r="AS66" s="239">
        <v>0</v>
      </c>
      <c r="AT66" s="239">
        <v>0</v>
      </c>
      <c r="AU66" s="239">
        <v>0</v>
      </c>
      <c r="AV66" s="239">
        <v>0</v>
      </c>
      <c r="AW66" s="239">
        <v>0</v>
      </c>
      <c r="AX66" s="239">
        <v>0</v>
      </c>
      <c r="AY66" s="239">
        <v>0</v>
      </c>
      <c r="AZ66" s="239">
        <v>0</v>
      </c>
      <c r="BA66" s="239">
        <v>0</v>
      </c>
      <c r="BB66" s="239">
        <v>0</v>
      </c>
      <c r="BC66" s="239">
        <v>1630901</v>
      </c>
      <c r="BD66" s="239">
        <v>366953</v>
      </c>
      <c r="BE66" s="239">
        <v>40773</v>
      </c>
      <c r="BF66" s="239">
        <v>1586885.4571914165</v>
      </c>
      <c r="BG66" s="239">
        <v>357049.22786806856</v>
      </c>
      <c r="BH66" s="239">
        <v>39672.136429785402</v>
      </c>
      <c r="BI66" s="239">
        <v>128346.25605150213</v>
      </c>
      <c r="BJ66" s="239">
        <v>28877.90761158798</v>
      </c>
      <c r="BK66" s="239">
        <v>3208.6564012875533</v>
      </c>
      <c r="BL66" s="239">
        <v>1639361</v>
      </c>
      <c r="BM66" s="239">
        <v>234940</v>
      </c>
      <c r="BN66" s="239">
        <v>26104</v>
      </c>
      <c r="BO66" s="239">
        <v>-8460</v>
      </c>
      <c r="BP66" s="239">
        <v>132013</v>
      </c>
      <c r="BQ66" s="239">
        <v>14669</v>
      </c>
      <c r="BR66" s="239">
        <v>0</v>
      </c>
      <c r="BS66" s="239">
        <v>0</v>
      </c>
      <c r="BT66" s="239">
        <v>0</v>
      </c>
      <c r="BU66" s="239">
        <v>0</v>
      </c>
      <c r="BV66" s="239">
        <v>0</v>
      </c>
      <c r="BW66" s="239">
        <v>0</v>
      </c>
      <c r="BX66" s="239">
        <v>0</v>
      </c>
      <c r="BY66" s="239">
        <v>0</v>
      </c>
      <c r="BZ66" s="239">
        <v>0</v>
      </c>
      <c r="CA66" s="239">
        <v>285</v>
      </c>
      <c r="CB66" s="239">
        <v>64</v>
      </c>
      <c r="CC66" s="239">
        <v>7</v>
      </c>
      <c r="CD66" s="239">
        <v>0</v>
      </c>
      <c r="CE66" s="239">
        <v>0</v>
      </c>
      <c r="CF66" s="239">
        <v>0</v>
      </c>
      <c r="CG66" s="239">
        <v>285</v>
      </c>
      <c r="CH66" s="239">
        <v>64</v>
      </c>
      <c r="CI66" s="239">
        <v>7</v>
      </c>
      <c r="CJ66" s="239">
        <v>0</v>
      </c>
      <c r="CK66" s="239">
        <v>0</v>
      </c>
      <c r="CL66" s="239">
        <v>0</v>
      </c>
      <c r="CM66" s="239">
        <v>0</v>
      </c>
      <c r="CN66" s="239">
        <v>0</v>
      </c>
      <c r="CO66" s="239">
        <v>0</v>
      </c>
      <c r="CP66" s="239">
        <v>0</v>
      </c>
      <c r="CQ66" s="239">
        <v>0</v>
      </c>
      <c r="CR66" s="239">
        <v>0</v>
      </c>
      <c r="CS66" s="239">
        <v>-1579</v>
      </c>
      <c r="CT66" s="239">
        <v>-355</v>
      </c>
      <c r="CU66" s="239">
        <v>-39</v>
      </c>
      <c r="CV66" s="239">
        <v>0</v>
      </c>
      <c r="CW66" s="239">
        <v>0</v>
      </c>
      <c r="CX66" s="239">
        <v>0</v>
      </c>
      <c r="CY66" s="239">
        <v>0</v>
      </c>
      <c r="CZ66" s="239">
        <v>0</v>
      </c>
      <c r="DA66" s="239">
        <v>0</v>
      </c>
      <c r="DB66" s="239">
        <v>0</v>
      </c>
      <c r="DC66" s="239">
        <v>0</v>
      </c>
      <c r="DD66" s="239">
        <v>0</v>
      </c>
      <c r="DE66" s="239">
        <v>-63</v>
      </c>
      <c r="DF66" s="239">
        <v>-14</v>
      </c>
      <c r="DG66" s="239">
        <v>-2</v>
      </c>
      <c r="DH66" s="239">
        <v>2013</v>
      </c>
      <c r="DI66" s="239">
        <v>453</v>
      </c>
      <c r="DJ66" s="239">
        <v>50</v>
      </c>
      <c r="DK66" s="239">
        <v>2013</v>
      </c>
      <c r="DL66" s="239">
        <v>453</v>
      </c>
      <c r="DM66" s="239">
        <v>50</v>
      </c>
      <c r="DN66" s="239">
        <v>0</v>
      </c>
      <c r="DO66" s="239">
        <v>0</v>
      </c>
      <c r="DP66" s="239">
        <v>0</v>
      </c>
      <c r="DQ66" s="239">
        <v>609</v>
      </c>
      <c r="DR66" s="239">
        <v>137</v>
      </c>
      <c r="DS66" s="239">
        <v>15</v>
      </c>
      <c r="DT66" s="239">
        <v>609</v>
      </c>
      <c r="DU66" s="239">
        <v>137</v>
      </c>
      <c r="DV66" s="239">
        <v>15</v>
      </c>
      <c r="DW66" s="239">
        <v>0</v>
      </c>
      <c r="DX66" s="239">
        <v>0</v>
      </c>
      <c r="DY66" s="239">
        <v>0</v>
      </c>
      <c r="DZ66" s="239">
        <v>12518</v>
      </c>
      <c r="EA66" s="239">
        <v>2817</v>
      </c>
      <c r="EB66" s="239">
        <v>313</v>
      </c>
      <c r="EC66" s="239">
        <v>15225</v>
      </c>
      <c r="ED66" s="239">
        <v>0</v>
      </c>
      <c r="EE66" s="239">
        <v>0</v>
      </c>
      <c r="EF66" s="239">
        <v>-2707</v>
      </c>
      <c r="EG66" s="239">
        <v>2817</v>
      </c>
      <c r="EH66" s="239">
        <v>313</v>
      </c>
      <c r="EI66" s="239">
        <v>118352</v>
      </c>
      <c r="EJ66" s="239">
        <v>26629</v>
      </c>
      <c r="EK66" s="239">
        <v>2959</v>
      </c>
      <c r="EL66" s="239">
        <v>148822</v>
      </c>
      <c r="EM66" s="239">
        <v>0</v>
      </c>
      <c r="EN66" s="239">
        <v>0</v>
      </c>
      <c r="EO66" s="239">
        <v>-30470</v>
      </c>
      <c r="EP66" s="239">
        <v>26629</v>
      </c>
      <c r="EQ66" s="239">
        <v>2959</v>
      </c>
      <c r="ER66" s="239">
        <v>27970</v>
      </c>
      <c r="ES66" s="239">
        <v>6293</v>
      </c>
      <c r="ET66" s="239">
        <v>699</v>
      </c>
      <c r="EU66" s="239">
        <v>35526</v>
      </c>
      <c r="EV66" s="239">
        <v>0</v>
      </c>
      <c r="EW66" s="239">
        <v>0</v>
      </c>
      <c r="EX66" s="239">
        <v>-7556</v>
      </c>
      <c r="EY66" s="239">
        <v>6293</v>
      </c>
      <c r="EZ66" s="239">
        <v>699</v>
      </c>
      <c r="FA66" s="239">
        <v>359883</v>
      </c>
      <c r="FB66" s="239">
        <v>80974</v>
      </c>
      <c r="FC66" s="239">
        <v>8997</v>
      </c>
      <c r="FD66" s="239">
        <v>364326</v>
      </c>
      <c r="FE66" s="239">
        <v>81973</v>
      </c>
      <c r="FF66" s="239">
        <v>9108</v>
      </c>
      <c r="FG66" s="239">
        <v>-4443</v>
      </c>
      <c r="FH66" s="239">
        <v>-999</v>
      </c>
      <c r="FI66" s="239">
        <v>-111</v>
      </c>
      <c r="FJ66" s="239">
        <v>0</v>
      </c>
      <c r="FK66" s="239">
        <v>0</v>
      </c>
      <c r="FL66" s="239">
        <v>0</v>
      </c>
      <c r="FM66" s="239">
        <v>0</v>
      </c>
      <c r="FN66" s="239">
        <v>0</v>
      </c>
      <c r="FO66" s="239">
        <v>0</v>
      </c>
      <c r="FP66" s="239">
        <v>0</v>
      </c>
      <c r="FQ66" s="239">
        <v>0</v>
      </c>
      <c r="FR66" s="239">
        <v>0</v>
      </c>
      <c r="FS66" s="239">
        <v>0</v>
      </c>
      <c r="FT66" s="239">
        <v>0</v>
      </c>
      <c r="FU66" s="239">
        <v>0</v>
      </c>
      <c r="FV66" s="239">
        <v>2150889</v>
      </c>
      <c r="FW66" s="239">
        <v>483951</v>
      </c>
      <c r="FX66" s="239">
        <v>53772</v>
      </c>
      <c r="FY66" s="834">
        <v>0.5</v>
      </c>
      <c r="FZ66" s="834">
        <v>0.4</v>
      </c>
      <c r="GA66" s="834">
        <v>0.09</v>
      </c>
      <c r="GB66" s="834">
        <v>0.01</v>
      </c>
      <c r="GC66" s="214" t="s">
        <v>1158</v>
      </c>
    </row>
    <row r="67" spans="1:185" s="214" customFormat="1" x14ac:dyDescent="0.2">
      <c r="A67" s="215" t="s">
        <v>1668</v>
      </c>
      <c r="B67" s="602" t="s">
        <v>217</v>
      </c>
      <c r="C67" s="602" t="s">
        <v>216</v>
      </c>
      <c r="D67" s="239">
        <v>-6806499</v>
      </c>
      <c r="E67" s="239">
        <v>0</v>
      </c>
      <c r="F67" s="239">
        <v>-6806499</v>
      </c>
      <c r="G67" s="239">
        <v>-6881743</v>
      </c>
      <c r="H67" s="239">
        <v>0</v>
      </c>
      <c r="I67" s="239">
        <v>-6881743</v>
      </c>
      <c r="J67" s="239">
        <v>75244</v>
      </c>
      <c r="K67" s="239">
        <v>0</v>
      </c>
      <c r="L67" s="239">
        <v>75244</v>
      </c>
      <c r="M67" s="239">
        <v>101141</v>
      </c>
      <c r="N67" s="239">
        <v>101141</v>
      </c>
      <c r="O67" s="239">
        <v>0</v>
      </c>
      <c r="P67" s="239">
        <v>0</v>
      </c>
      <c r="Q67" s="239">
        <v>0</v>
      </c>
      <c r="R67" s="239">
        <v>0</v>
      </c>
      <c r="S67" s="239">
        <v>36304</v>
      </c>
      <c r="T67" s="239">
        <v>0</v>
      </c>
      <c r="U67" s="239">
        <v>185613</v>
      </c>
      <c r="V67" s="239">
        <v>0</v>
      </c>
      <c r="W67" s="239">
        <v>-149309</v>
      </c>
      <c r="X67" s="239">
        <v>0</v>
      </c>
      <c r="Y67" s="239">
        <v>0</v>
      </c>
      <c r="Z67" s="239">
        <v>0</v>
      </c>
      <c r="AA67" s="239">
        <v>0</v>
      </c>
      <c r="AB67" s="239">
        <v>0</v>
      </c>
      <c r="AC67" s="239">
        <v>0</v>
      </c>
      <c r="AD67" s="239">
        <v>0</v>
      </c>
      <c r="AE67" s="239">
        <v>0</v>
      </c>
      <c r="AF67" s="239">
        <v>0</v>
      </c>
      <c r="AG67" s="239">
        <v>0</v>
      </c>
      <c r="AH67" s="239">
        <v>0</v>
      </c>
      <c r="AI67" s="239">
        <v>0</v>
      </c>
      <c r="AJ67" s="239">
        <v>0</v>
      </c>
      <c r="AK67" s="239">
        <v>0</v>
      </c>
      <c r="AL67" s="239">
        <v>0</v>
      </c>
      <c r="AM67" s="239">
        <v>0</v>
      </c>
      <c r="AN67" s="239">
        <v>0</v>
      </c>
      <c r="AO67" s="239">
        <v>0</v>
      </c>
      <c r="AP67" s="239">
        <v>0</v>
      </c>
      <c r="AQ67" s="239">
        <v>0</v>
      </c>
      <c r="AR67" s="239">
        <v>0</v>
      </c>
      <c r="AS67" s="239">
        <v>0</v>
      </c>
      <c r="AT67" s="239">
        <v>0</v>
      </c>
      <c r="AU67" s="239">
        <v>0</v>
      </c>
      <c r="AV67" s="239">
        <v>0</v>
      </c>
      <c r="AW67" s="239">
        <v>0</v>
      </c>
      <c r="AX67" s="239">
        <v>0</v>
      </c>
      <c r="AY67" s="239">
        <v>0</v>
      </c>
      <c r="AZ67" s="239">
        <v>0</v>
      </c>
      <c r="BA67" s="239">
        <v>0</v>
      </c>
      <c r="BB67" s="239">
        <v>0</v>
      </c>
      <c r="BC67" s="239">
        <v>563299</v>
      </c>
      <c r="BD67" s="239">
        <v>140825</v>
      </c>
      <c r="BE67" s="239">
        <v>0</v>
      </c>
      <c r="BF67" s="239">
        <v>552841.51571330475</v>
      </c>
      <c r="BG67" s="239">
        <v>138210.37892832619</v>
      </c>
      <c r="BH67" s="239">
        <v>0</v>
      </c>
      <c r="BI67" s="239">
        <v>36490.22446351932</v>
      </c>
      <c r="BJ67" s="239">
        <v>9122.55611587983</v>
      </c>
      <c r="BK67" s="239">
        <v>0</v>
      </c>
      <c r="BL67" s="239">
        <v>487962</v>
      </c>
      <c r="BM67" s="239">
        <v>87292</v>
      </c>
      <c r="BN67" s="239">
        <v>0</v>
      </c>
      <c r="BO67" s="239">
        <v>75337</v>
      </c>
      <c r="BP67" s="239">
        <v>53533</v>
      </c>
      <c r="BQ67" s="239">
        <v>0</v>
      </c>
      <c r="BR67" s="239">
        <v>0</v>
      </c>
      <c r="BS67" s="239">
        <v>0</v>
      </c>
      <c r="BT67" s="239">
        <v>0</v>
      </c>
      <c r="BU67" s="239">
        <v>0</v>
      </c>
      <c r="BV67" s="239">
        <v>0</v>
      </c>
      <c r="BW67" s="239">
        <v>0</v>
      </c>
      <c r="BX67" s="239">
        <v>0</v>
      </c>
      <c r="BY67" s="239">
        <v>0</v>
      </c>
      <c r="BZ67" s="239">
        <v>0</v>
      </c>
      <c r="CA67" s="239">
        <v>0</v>
      </c>
      <c r="CB67" s="239">
        <v>0</v>
      </c>
      <c r="CC67" s="239">
        <v>0</v>
      </c>
      <c r="CD67" s="239">
        <v>0</v>
      </c>
      <c r="CE67" s="239">
        <v>0</v>
      </c>
      <c r="CF67" s="239">
        <v>0</v>
      </c>
      <c r="CG67" s="239">
        <v>0</v>
      </c>
      <c r="CH67" s="239">
        <v>0</v>
      </c>
      <c r="CI67" s="239">
        <v>0</v>
      </c>
      <c r="CJ67" s="239">
        <v>0</v>
      </c>
      <c r="CK67" s="239">
        <v>0</v>
      </c>
      <c r="CL67" s="239">
        <v>0</v>
      </c>
      <c r="CM67" s="239">
        <v>0</v>
      </c>
      <c r="CN67" s="239">
        <v>0</v>
      </c>
      <c r="CO67" s="239">
        <v>0</v>
      </c>
      <c r="CP67" s="239">
        <v>0</v>
      </c>
      <c r="CQ67" s="239">
        <v>0</v>
      </c>
      <c r="CR67" s="239">
        <v>0</v>
      </c>
      <c r="CS67" s="239">
        <v>-1277</v>
      </c>
      <c r="CT67" s="239">
        <v>-319</v>
      </c>
      <c r="CU67" s="239">
        <v>0</v>
      </c>
      <c r="CV67" s="239">
        <v>0</v>
      </c>
      <c r="CW67" s="239">
        <v>0</v>
      </c>
      <c r="CX67" s="239">
        <v>0</v>
      </c>
      <c r="CY67" s="239">
        <v>0</v>
      </c>
      <c r="CZ67" s="239">
        <v>0</v>
      </c>
      <c r="DA67" s="239">
        <v>0</v>
      </c>
      <c r="DB67" s="239">
        <v>0</v>
      </c>
      <c r="DC67" s="239">
        <v>0</v>
      </c>
      <c r="DD67" s="239">
        <v>0</v>
      </c>
      <c r="DE67" s="239">
        <v>-19</v>
      </c>
      <c r="DF67" s="239">
        <v>-5</v>
      </c>
      <c r="DG67" s="239">
        <v>0</v>
      </c>
      <c r="DH67" s="239">
        <v>6795</v>
      </c>
      <c r="DI67" s="239">
        <v>1699</v>
      </c>
      <c r="DJ67" s="239">
        <v>0</v>
      </c>
      <c r="DK67" s="239">
        <v>0</v>
      </c>
      <c r="DL67" s="239">
        <v>0</v>
      </c>
      <c r="DM67" s="239">
        <v>0</v>
      </c>
      <c r="DN67" s="239">
        <v>6795</v>
      </c>
      <c r="DO67" s="239">
        <v>1699</v>
      </c>
      <c r="DP67" s="239">
        <v>0</v>
      </c>
      <c r="DQ67" s="239">
        <v>609</v>
      </c>
      <c r="DR67" s="239">
        <v>152</v>
      </c>
      <c r="DS67" s="239">
        <v>0</v>
      </c>
      <c r="DT67" s="239">
        <v>609</v>
      </c>
      <c r="DU67" s="239">
        <v>152</v>
      </c>
      <c r="DV67" s="239">
        <v>0</v>
      </c>
      <c r="DW67" s="239">
        <v>0</v>
      </c>
      <c r="DX67" s="239">
        <v>0</v>
      </c>
      <c r="DY67" s="239">
        <v>0</v>
      </c>
      <c r="DZ67" s="239">
        <v>6276</v>
      </c>
      <c r="EA67" s="239">
        <v>1569</v>
      </c>
      <c r="EB67" s="239">
        <v>0</v>
      </c>
      <c r="EC67" s="239">
        <v>7845</v>
      </c>
      <c r="ED67" s="239">
        <v>0</v>
      </c>
      <c r="EE67" s="239">
        <v>0</v>
      </c>
      <c r="EF67" s="239">
        <v>-1569</v>
      </c>
      <c r="EG67" s="239">
        <v>1569</v>
      </c>
      <c r="EH67" s="239">
        <v>0</v>
      </c>
      <c r="EI67" s="239">
        <v>72848</v>
      </c>
      <c r="EJ67" s="239">
        <v>18212</v>
      </c>
      <c r="EK67" s="239">
        <v>0</v>
      </c>
      <c r="EL67" s="239">
        <v>100017</v>
      </c>
      <c r="EM67" s="239">
        <v>0</v>
      </c>
      <c r="EN67" s="239">
        <v>0</v>
      </c>
      <c r="EO67" s="239">
        <v>-27169</v>
      </c>
      <c r="EP67" s="239">
        <v>18212</v>
      </c>
      <c r="EQ67" s="239">
        <v>0</v>
      </c>
      <c r="ER67" s="239">
        <v>22288</v>
      </c>
      <c r="ES67" s="239">
        <v>5572</v>
      </c>
      <c r="ET67" s="239">
        <v>0</v>
      </c>
      <c r="EU67" s="239">
        <v>34003</v>
      </c>
      <c r="EV67" s="239">
        <v>0</v>
      </c>
      <c r="EW67" s="239">
        <v>0</v>
      </c>
      <c r="EX67" s="239">
        <v>-11715</v>
      </c>
      <c r="EY67" s="239">
        <v>5572</v>
      </c>
      <c r="EZ67" s="239">
        <v>0</v>
      </c>
      <c r="FA67" s="239">
        <v>173797</v>
      </c>
      <c r="FB67" s="239">
        <v>43313</v>
      </c>
      <c r="FC67" s="239">
        <v>0</v>
      </c>
      <c r="FD67" s="239">
        <v>199472</v>
      </c>
      <c r="FE67" s="239">
        <v>49171</v>
      </c>
      <c r="FF67" s="239">
        <v>0</v>
      </c>
      <c r="FG67" s="239">
        <v>-25675</v>
      </c>
      <c r="FH67" s="239">
        <v>-5858</v>
      </c>
      <c r="FI67" s="239">
        <v>0</v>
      </c>
      <c r="FJ67" s="239">
        <v>0</v>
      </c>
      <c r="FK67" s="239">
        <v>0</v>
      </c>
      <c r="FL67" s="239">
        <v>0</v>
      </c>
      <c r="FM67" s="239">
        <v>0</v>
      </c>
      <c r="FN67" s="239">
        <v>0</v>
      </c>
      <c r="FO67" s="239">
        <v>0</v>
      </c>
      <c r="FP67" s="239">
        <v>0</v>
      </c>
      <c r="FQ67" s="239">
        <v>0</v>
      </c>
      <c r="FR67" s="239">
        <v>0</v>
      </c>
      <c r="FS67" s="239">
        <v>0</v>
      </c>
      <c r="FT67" s="239">
        <v>0</v>
      </c>
      <c r="FU67" s="239">
        <v>0</v>
      </c>
      <c r="FV67" s="239">
        <v>844616</v>
      </c>
      <c r="FW67" s="239">
        <v>211018</v>
      </c>
      <c r="FX67" s="239">
        <v>0</v>
      </c>
      <c r="FY67" s="834">
        <v>0.5</v>
      </c>
      <c r="FZ67" s="834">
        <v>0.4</v>
      </c>
      <c r="GA67" s="834">
        <v>0.1</v>
      </c>
      <c r="GB67" s="834">
        <v>0</v>
      </c>
      <c r="GC67" s="214" t="s">
        <v>1158</v>
      </c>
    </row>
    <row r="68" spans="1:185" s="214" customFormat="1" x14ac:dyDescent="0.2">
      <c r="B68" s="602" t="s">
        <v>219</v>
      </c>
      <c r="C68" s="602" t="s">
        <v>218</v>
      </c>
      <c r="D68" s="239">
        <v>-3197425</v>
      </c>
      <c r="E68" s="239">
        <v>0</v>
      </c>
      <c r="F68" s="239">
        <v>-3197425</v>
      </c>
      <c r="G68" s="239">
        <v>-232805</v>
      </c>
      <c r="H68" s="239">
        <v>0</v>
      </c>
      <c r="I68" s="239">
        <v>-232805</v>
      </c>
      <c r="J68" s="239">
        <v>-2964620</v>
      </c>
      <c r="K68" s="239">
        <v>0</v>
      </c>
      <c r="L68" s="239">
        <v>-2964620</v>
      </c>
      <c r="M68" s="239">
        <v>87948</v>
      </c>
      <c r="N68" s="239">
        <v>87948</v>
      </c>
      <c r="O68" s="239">
        <v>0</v>
      </c>
      <c r="P68" s="239">
        <v>0</v>
      </c>
      <c r="Q68" s="239">
        <v>0</v>
      </c>
      <c r="R68" s="239">
        <v>0</v>
      </c>
      <c r="S68" s="239">
        <v>0</v>
      </c>
      <c r="T68" s="239">
        <v>0</v>
      </c>
      <c r="U68" s="239">
        <v>0</v>
      </c>
      <c r="V68" s="239">
        <v>0</v>
      </c>
      <c r="W68" s="239">
        <v>0</v>
      </c>
      <c r="X68" s="239">
        <v>0</v>
      </c>
      <c r="Y68" s="239">
        <v>0</v>
      </c>
      <c r="Z68" s="239">
        <v>0</v>
      </c>
      <c r="AA68" s="239">
        <v>0</v>
      </c>
      <c r="AB68" s="239">
        <v>0</v>
      </c>
      <c r="AC68" s="239">
        <v>0</v>
      </c>
      <c r="AD68" s="239">
        <v>0</v>
      </c>
      <c r="AE68" s="239">
        <v>0</v>
      </c>
      <c r="AF68" s="239">
        <v>0</v>
      </c>
      <c r="AG68" s="239">
        <v>0</v>
      </c>
      <c r="AH68" s="239">
        <v>0</v>
      </c>
      <c r="AI68" s="239">
        <v>0</v>
      </c>
      <c r="AJ68" s="239">
        <v>0</v>
      </c>
      <c r="AK68" s="239">
        <v>0</v>
      </c>
      <c r="AL68" s="239">
        <v>0</v>
      </c>
      <c r="AM68" s="239">
        <v>0</v>
      </c>
      <c r="AN68" s="239">
        <v>0</v>
      </c>
      <c r="AO68" s="239">
        <v>0</v>
      </c>
      <c r="AP68" s="239">
        <v>0</v>
      </c>
      <c r="AQ68" s="239">
        <v>0</v>
      </c>
      <c r="AR68" s="239">
        <v>0</v>
      </c>
      <c r="AS68" s="239">
        <v>0</v>
      </c>
      <c r="AT68" s="239">
        <v>0</v>
      </c>
      <c r="AU68" s="239">
        <v>0</v>
      </c>
      <c r="AV68" s="239">
        <v>0</v>
      </c>
      <c r="AW68" s="239">
        <v>0</v>
      </c>
      <c r="AX68" s="239">
        <v>0</v>
      </c>
      <c r="AY68" s="239">
        <v>0</v>
      </c>
      <c r="AZ68" s="239">
        <v>0</v>
      </c>
      <c r="BA68" s="239">
        <v>0</v>
      </c>
      <c r="BB68" s="239">
        <v>0</v>
      </c>
      <c r="BC68" s="239">
        <v>484258</v>
      </c>
      <c r="BD68" s="239">
        <v>121065</v>
      </c>
      <c r="BE68" s="239">
        <v>0</v>
      </c>
      <c r="BF68" s="239">
        <v>468209.39509871247</v>
      </c>
      <c r="BG68" s="239">
        <v>117052.34877467812</v>
      </c>
      <c r="BH68" s="239">
        <v>0</v>
      </c>
      <c r="BI68" s="239">
        <v>16048.906240343284</v>
      </c>
      <c r="BJ68" s="239">
        <v>4012.2265600858209</v>
      </c>
      <c r="BK68" s="239">
        <v>0</v>
      </c>
      <c r="BL68" s="239">
        <v>502183</v>
      </c>
      <c r="BM68" s="239">
        <v>84543</v>
      </c>
      <c r="BN68" s="239">
        <v>0</v>
      </c>
      <c r="BO68" s="239">
        <v>-17925</v>
      </c>
      <c r="BP68" s="239">
        <v>36522</v>
      </c>
      <c r="BQ68" s="239">
        <v>0</v>
      </c>
      <c r="BR68" s="239">
        <v>0</v>
      </c>
      <c r="BS68" s="239">
        <v>0</v>
      </c>
      <c r="BT68" s="239">
        <v>0</v>
      </c>
      <c r="BU68" s="239">
        <v>0</v>
      </c>
      <c r="BV68" s="239">
        <v>0</v>
      </c>
      <c r="BW68" s="239">
        <v>0</v>
      </c>
      <c r="BX68" s="239">
        <v>0</v>
      </c>
      <c r="BY68" s="239">
        <v>0</v>
      </c>
      <c r="BZ68" s="239">
        <v>0</v>
      </c>
      <c r="CA68" s="239">
        <v>0</v>
      </c>
      <c r="CB68" s="239">
        <v>0</v>
      </c>
      <c r="CC68" s="239">
        <v>0</v>
      </c>
      <c r="CD68" s="239">
        <v>0</v>
      </c>
      <c r="CE68" s="239">
        <v>0</v>
      </c>
      <c r="CF68" s="239">
        <v>0</v>
      </c>
      <c r="CG68" s="239">
        <v>0</v>
      </c>
      <c r="CH68" s="239">
        <v>0</v>
      </c>
      <c r="CI68" s="239">
        <v>0</v>
      </c>
      <c r="CJ68" s="239">
        <v>1705</v>
      </c>
      <c r="CK68" s="239">
        <v>426</v>
      </c>
      <c r="CL68" s="239">
        <v>0</v>
      </c>
      <c r="CM68" s="239">
        <v>0</v>
      </c>
      <c r="CN68" s="239">
        <v>0</v>
      </c>
      <c r="CO68" s="239">
        <v>0</v>
      </c>
      <c r="CP68" s="239">
        <v>1705</v>
      </c>
      <c r="CQ68" s="239">
        <v>426</v>
      </c>
      <c r="CR68" s="239">
        <v>0</v>
      </c>
      <c r="CS68" s="239">
        <v>0</v>
      </c>
      <c r="CT68" s="239">
        <v>0</v>
      </c>
      <c r="CU68" s="239">
        <v>0</v>
      </c>
      <c r="CV68" s="239">
        <v>0</v>
      </c>
      <c r="CW68" s="239">
        <v>0</v>
      </c>
      <c r="CX68" s="239">
        <v>0</v>
      </c>
      <c r="CY68" s="239">
        <v>0</v>
      </c>
      <c r="CZ68" s="239">
        <v>0</v>
      </c>
      <c r="DA68" s="239">
        <v>0</v>
      </c>
      <c r="DB68" s="239">
        <v>0</v>
      </c>
      <c r="DC68" s="239">
        <v>0</v>
      </c>
      <c r="DD68" s="239">
        <v>0</v>
      </c>
      <c r="DE68" s="239">
        <v>0</v>
      </c>
      <c r="DF68" s="239">
        <v>0</v>
      </c>
      <c r="DG68" s="239">
        <v>0</v>
      </c>
      <c r="DH68" s="239">
        <v>0</v>
      </c>
      <c r="DI68" s="239">
        <v>0</v>
      </c>
      <c r="DJ68" s="239">
        <v>0</v>
      </c>
      <c r="DK68" s="239">
        <v>0</v>
      </c>
      <c r="DL68" s="239">
        <v>0</v>
      </c>
      <c r="DM68" s="239">
        <v>0</v>
      </c>
      <c r="DN68" s="239">
        <v>0</v>
      </c>
      <c r="DO68" s="239">
        <v>0</v>
      </c>
      <c r="DP68" s="239">
        <v>0</v>
      </c>
      <c r="DQ68" s="239">
        <v>0</v>
      </c>
      <c r="DR68" s="239">
        <v>0</v>
      </c>
      <c r="DS68" s="239">
        <v>0</v>
      </c>
      <c r="DT68" s="239">
        <v>0</v>
      </c>
      <c r="DU68" s="239">
        <v>0</v>
      </c>
      <c r="DV68" s="239">
        <v>0</v>
      </c>
      <c r="DW68" s="239">
        <v>0</v>
      </c>
      <c r="DX68" s="239">
        <v>0</v>
      </c>
      <c r="DY68" s="239">
        <v>0</v>
      </c>
      <c r="DZ68" s="239">
        <v>2257</v>
      </c>
      <c r="EA68" s="239">
        <v>564</v>
      </c>
      <c r="EB68" s="239">
        <v>0</v>
      </c>
      <c r="EC68" s="239">
        <v>2821</v>
      </c>
      <c r="ED68" s="239">
        <v>0</v>
      </c>
      <c r="EE68" s="239">
        <v>0</v>
      </c>
      <c r="EF68" s="239">
        <v>-564</v>
      </c>
      <c r="EG68" s="239">
        <v>564</v>
      </c>
      <c r="EH68" s="239">
        <v>0</v>
      </c>
      <c r="EI68" s="239">
        <v>10242</v>
      </c>
      <c r="EJ68" s="239">
        <v>2561</v>
      </c>
      <c r="EK68" s="239">
        <v>0</v>
      </c>
      <c r="EL68" s="239">
        <v>58219</v>
      </c>
      <c r="EM68" s="239">
        <v>0</v>
      </c>
      <c r="EN68" s="239">
        <v>0</v>
      </c>
      <c r="EO68" s="239">
        <v>-47977</v>
      </c>
      <c r="EP68" s="239">
        <v>2561</v>
      </c>
      <c r="EQ68" s="239">
        <v>0</v>
      </c>
      <c r="ER68" s="239">
        <v>2851</v>
      </c>
      <c r="ES68" s="239">
        <v>713</v>
      </c>
      <c r="ET68" s="239">
        <v>0</v>
      </c>
      <c r="EU68" s="239">
        <v>3427</v>
      </c>
      <c r="EV68" s="239">
        <v>0</v>
      </c>
      <c r="EW68" s="239">
        <v>0</v>
      </c>
      <c r="EX68" s="239">
        <v>-576</v>
      </c>
      <c r="EY68" s="239">
        <v>713</v>
      </c>
      <c r="EZ68" s="239">
        <v>0</v>
      </c>
      <c r="FA68" s="239">
        <v>182108</v>
      </c>
      <c r="FB68" s="239">
        <v>45527</v>
      </c>
      <c r="FC68" s="239">
        <v>0</v>
      </c>
      <c r="FD68" s="239">
        <v>205153</v>
      </c>
      <c r="FE68" s="239">
        <v>51288</v>
      </c>
      <c r="FF68" s="239">
        <v>0</v>
      </c>
      <c r="FG68" s="239">
        <v>-23045</v>
      </c>
      <c r="FH68" s="239">
        <v>-5761</v>
      </c>
      <c r="FI68" s="239">
        <v>0</v>
      </c>
      <c r="FJ68" s="239">
        <v>0</v>
      </c>
      <c r="FK68" s="239">
        <v>0</v>
      </c>
      <c r="FL68" s="239">
        <v>0</v>
      </c>
      <c r="FM68" s="239">
        <v>0</v>
      </c>
      <c r="FN68" s="239">
        <v>0</v>
      </c>
      <c r="FO68" s="239">
        <v>0</v>
      </c>
      <c r="FP68" s="239">
        <v>0</v>
      </c>
      <c r="FQ68" s="239">
        <v>0</v>
      </c>
      <c r="FR68" s="239">
        <v>0</v>
      </c>
      <c r="FS68" s="239">
        <v>0</v>
      </c>
      <c r="FT68" s="239">
        <v>0</v>
      </c>
      <c r="FU68" s="239">
        <v>0</v>
      </c>
      <c r="FV68" s="239">
        <v>683421</v>
      </c>
      <c r="FW68" s="239">
        <v>170856</v>
      </c>
      <c r="FX68" s="239">
        <v>0</v>
      </c>
      <c r="FY68" s="834">
        <v>0.5</v>
      </c>
      <c r="FZ68" s="834">
        <v>0.4</v>
      </c>
      <c r="GA68" s="834">
        <v>0.1</v>
      </c>
      <c r="GB68" s="834">
        <v>0</v>
      </c>
      <c r="GC68" s="214" t="s">
        <v>1158</v>
      </c>
    </row>
    <row r="69" spans="1:185" s="214" customFormat="1" x14ac:dyDescent="0.2">
      <c r="B69" s="602" t="s">
        <v>221</v>
      </c>
      <c r="C69" s="602" t="s">
        <v>220</v>
      </c>
      <c r="D69" s="239">
        <v>-964128</v>
      </c>
      <c r="E69" s="239">
        <v>8497</v>
      </c>
      <c r="F69" s="239">
        <v>-955631</v>
      </c>
      <c r="G69" s="239">
        <v>-493226</v>
      </c>
      <c r="H69" s="239">
        <v>8497</v>
      </c>
      <c r="I69" s="239">
        <v>-484729</v>
      </c>
      <c r="J69" s="239">
        <v>-470902</v>
      </c>
      <c r="K69" s="239">
        <v>0</v>
      </c>
      <c r="L69" s="239">
        <v>-470902</v>
      </c>
      <c r="M69" s="239">
        <v>1124892</v>
      </c>
      <c r="N69" s="239">
        <v>1124892</v>
      </c>
      <c r="O69" s="239">
        <v>0</v>
      </c>
      <c r="P69" s="239">
        <v>125898</v>
      </c>
      <c r="Q69" s="239">
        <v>148239</v>
      </c>
      <c r="R69" s="239">
        <v>-22341</v>
      </c>
      <c r="S69" s="239">
        <v>2361706</v>
      </c>
      <c r="T69" s="239">
        <v>0</v>
      </c>
      <c r="U69" s="239">
        <v>1449994</v>
      </c>
      <c r="V69" s="239">
        <v>0</v>
      </c>
      <c r="W69" s="239">
        <v>911712</v>
      </c>
      <c r="X69" s="239">
        <v>0</v>
      </c>
      <c r="Y69" s="239">
        <v>0</v>
      </c>
      <c r="Z69" s="239">
        <v>0</v>
      </c>
      <c r="AA69" s="239">
        <v>0</v>
      </c>
      <c r="AB69" s="239">
        <v>0</v>
      </c>
      <c r="AC69" s="239">
        <v>0</v>
      </c>
      <c r="AD69" s="239">
        <v>0</v>
      </c>
      <c r="AE69" s="239">
        <v>0</v>
      </c>
      <c r="AF69" s="239">
        <v>0</v>
      </c>
      <c r="AG69" s="239">
        <v>0</v>
      </c>
      <c r="AH69" s="239">
        <v>0</v>
      </c>
      <c r="AI69" s="239">
        <v>0</v>
      </c>
      <c r="AJ69" s="239">
        <v>0</v>
      </c>
      <c r="AK69" s="239">
        <v>0</v>
      </c>
      <c r="AL69" s="239">
        <v>0</v>
      </c>
      <c r="AM69" s="239">
        <v>0</v>
      </c>
      <c r="AN69" s="239">
        <v>0</v>
      </c>
      <c r="AO69" s="239">
        <v>0</v>
      </c>
      <c r="AP69" s="239">
        <v>0</v>
      </c>
      <c r="AQ69" s="239">
        <v>0</v>
      </c>
      <c r="AR69" s="239">
        <v>0</v>
      </c>
      <c r="AS69" s="239">
        <v>0</v>
      </c>
      <c r="AT69" s="239">
        <v>0</v>
      </c>
      <c r="AU69" s="239">
        <v>0</v>
      </c>
      <c r="AV69" s="239">
        <v>0</v>
      </c>
      <c r="AW69" s="239">
        <v>0</v>
      </c>
      <c r="AX69" s="239">
        <v>0</v>
      </c>
      <c r="AY69" s="239">
        <v>0</v>
      </c>
      <c r="AZ69" s="239">
        <v>0</v>
      </c>
      <c r="BA69" s="239">
        <v>0</v>
      </c>
      <c r="BB69" s="239">
        <v>0</v>
      </c>
      <c r="BC69" s="239">
        <v>24412528</v>
      </c>
      <c r="BD69" s="239">
        <v>0</v>
      </c>
      <c r="BE69" s="239">
        <v>0</v>
      </c>
      <c r="BF69" s="239">
        <v>24022933.604976397</v>
      </c>
      <c r="BG69" s="239">
        <v>0</v>
      </c>
      <c r="BH69" s="239">
        <v>0</v>
      </c>
      <c r="BI69" s="239">
        <v>1108499.6270600858</v>
      </c>
      <c r="BJ69" s="239">
        <v>0</v>
      </c>
      <c r="BK69" s="239">
        <v>0</v>
      </c>
      <c r="BL69" s="239">
        <v>20474383</v>
      </c>
      <c r="BM69" s="239">
        <v>0</v>
      </c>
      <c r="BN69" s="239">
        <v>0</v>
      </c>
      <c r="BO69" s="239">
        <v>3938145</v>
      </c>
      <c r="BP69" s="239">
        <v>0</v>
      </c>
      <c r="BQ69" s="239">
        <v>0</v>
      </c>
      <c r="BR69" s="239">
        <v>70121</v>
      </c>
      <c r="BS69" s="239">
        <v>0</v>
      </c>
      <c r="BT69" s="239">
        <v>0</v>
      </c>
      <c r="BU69" s="239">
        <v>63463</v>
      </c>
      <c r="BV69" s="239">
        <v>0</v>
      </c>
      <c r="BW69" s="239">
        <v>0</v>
      </c>
      <c r="BX69" s="239">
        <v>6658</v>
      </c>
      <c r="BY69" s="239">
        <v>0</v>
      </c>
      <c r="BZ69" s="239">
        <v>0</v>
      </c>
      <c r="CA69" s="239">
        <v>4266</v>
      </c>
      <c r="CB69" s="239">
        <v>0</v>
      </c>
      <c r="CC69" s="239">
        <v>0</v>
      </c>
      <c r="CD69" s="239">
        <v>2508</v>
      </c>
      <c r="CE69" s="239">
        <v>0</v>
      </c>
      <c r="CF69" s="239">
        <v>0</v>
      </c>
      <c r="CG69" s="239">
        <v>1758</v>
      </c>
      <c r="CH69" s="239">
        <v>0</v>
      </c>
      <c r="CI69" s="239">
        <v>0</v>
      </c>
      <c r="CJ69" s="239">
        <v>-6783</v>
      </c>
      <c r="CK69" s="239">
        <v>0</v>
      </c>
      <c r="CL69" s="239">
        <v>0</v>
      </c>
      <c r="CM69" s="239">
        <v>8978</v>
      </c>
      <c r="CN69" s="239">
        <v>0</v>
      </c>
      <c r="CO69" s="239">
        <v>0</v>
      </c>
      <c r="CP69" s="239">
        <v>-15761</v>
      </c>
      <c r="CQ69" s="239">
        <v>0</v>
      </c>
      <c r="CR69" s="239">
        <v>0</v>
      </c>
      <c r="CS69" s="239">
        <v>-65963</v>
      </c>
      <c r="CT69" s="239">
        <v>0</v>
      </c>
      <c r="CU69" s="239">
        <v>0</v>
      </c>
      <c r="CV69" s="239">
        <v>0</v>
      </c>
      <c r="CW69" s="239">
        <v>0</v>
      </c>
      <c r="CX69" s="239">
        <v>0</v>
      </c>
      <c r="CY69" s="239">
        <v>0</v>
      </c>
      <c r="CZ69" s="239">
        <v>0</v>
      </c>
      <c r="DA69" s="239">
        <v>0</v>
      </c>
      <c r="DB69" s="239">
        <v>0</v>
      </c>
      <c r="DC69" s="239">
        <v>0</v>
      </c>
      <c r="DD69" s="239">
        <v>0</v>
      </c>
      <c r="DE69" s="239">
        <v>-18262</v>
      </c>
      <c r="DF69" s="239">
        <v>0</v>
      </c>
      <c r="DG69" s="239">
        <v>0</v>
      </c>
      <c r="DH69" s="239">
        <v>172925</v>
      </c>
      <c r="DI69" s="239">
        <v>0</v>
      </c>
      <c r="DJ69" s="239">
        <v>0</v>
      </c>
      <c r="DK69" s="239">
        <v>186260</v>
      </c>
      <c r="DL69" s="239">
        <v>0</v>
      </c>
      <c r="DM69" s="239">
        <v>0</v>
      </c>
      <c r="DN69" s="239">
        <v>-13335</v>
      </c>
      <c r="DO69" s="239">
        <v>0</v>
      </c>
      <c r="DP69" s="239">
        <v>0</v>
      </c>
      <c r="DQ69" s="239">
        <v>6090</v>
      </c>
      <c r="DR69" s="239">
        <v>0</v>
      </c>
      <c r="DS69" s="239">
        <v>0</v>
      </c>
      <c r="DT69" s="239">
        <v>30451</v>
      </c>
      <c r="DU69" s="239">
        <v>0</v>
      </c>
      <c r="DV69" s="239">
        <v>0</v>
      </c>
      <c r="DW69" s="239">
        <v>-24361</v>
      </c>
      <c r="DX69" s="239">
        <v>0</v>
      </c>
      <c r="DY69" s="239">
        <v>0</v>
      </c>
      <c r="DZ69" s="239">
        <v>226615</v>
      </c>
      <c r="EA69" s="239">
        <v>0</v>
      </c>
      <c r="EB69" s="239">
        <v>0</v>
      </c>
      <c r="EC69" s="239">
        <v>197929</v>
      </c>
      <c r="ED69" s="239">
        <v>0</v>
      </c>
      <c r="EE69" s="239">
        <v>0</v>
      </c>
      <c r="EF69" s="239">
        <v>28686</v>
      </c>
      <c r="EG69" s="239">
        <v>0</v>
      </c>
      <c r="EH69" s="239">
        <v>0</v>
      </c>
      <c r="EI69" s="239">
        <v>1411320</v>
      </c>
      <c r="EJ69" s="239">
        <v>0</v>
      </c>
      <c r="EK69" s="239">
        <v>0</v>
      </c>
      <c r="EL69" s="239">
        <v>1586886</v>
      </c>
      <c r="EM69" s="239">
        <v>0</v>
      </c>
      <c r="EN69" s="239">
        <v>0</v>
      </c>
      <c r="EO69" s="239">
        <v>-175566</v>
      </c>
      <c r="EP69" s="239">
        <v>0</v>
      </c>
      <c r="EQ69" s="239">
        <v>0</v>
      </c>
      <c r="ER69" s="239">
        <v>233106</v>
      </c>
      <c r="ES69" s="239">
        <v>0</v>
      </c>
      <c r="ET69" s="239">
        <v>0</v>
      </c>
      <c r="EU69" s="239">
        <v>233455</v>
      </c>
      <c r="EV69" s="239">
        <v>0</v>
      </c>
      <c r="EW69" s="239">
        <v>0</v>
      </c>
      <c r="EX69" s="239">
        <v>-349</v>
      </c>
      <c r="EY69" s="239">
        <v>0</v>
      </c>
      <c r="EZ69" s="239">
        <v>0</v>
      </c>
      <c r="FA69" s="239">
        <v>2221501</v>
      </c>
      <c r="FB69" s="239">
        <v>0</v>
      </c>
      <c r="FC69" s="239">
        <v>0</v>
      </c>
      <c r="FD69" s="239">
        <v>2130221</v>
      </c>
      <c r="FE69" s="239">
        <v>0</v>
      </c>
      <c r="FF69" s="239">
        <v>0</v>
      </c>
      <c r="FG69" s="239">
        <v>91280</v>
      </c>
      <c r="FH69" s="239">
        <v>0</v>
      </c>
      <c r="FI69" s="239">
        <v>0</v>
      </c>
      <c r="FJ69" s="239">
        <v>270817</v>
      </c>
      <c r="FK69" s="239">
        <v>0</v>
      </c>
      <c r="FL69" s="239">
        <v>0</v>
      </c>
      <c r="FM69" s="239">
        <v>230788</v>
      </c>
      <c r="FN69" s="239">
        <v>0</v>
      </c>
      <c r="FO69" s="239">
        <v>0</v>
      </c>
      <c r="FP69" s="239">
        <v>40029</v>
      </c>
      <c r="FQ69" s="239">
        <v>0</v>
      </c>
      <c r="FR69" s="239">
        <v>0</v>
      </c>
      <c r="FS69" s="239">
        <v>0</v>
      </c>
      <c r="FT69" s="239">
        <v>0</v>
      </c>
      <c r="FU69" s="239">
        <v>0</v>
      </c>
      <c r="FV69" s="239">
        <v>28938281</v>
      </c>
      <c r="FW69" s="239">
        <v>0</v>
      </c>
      <c r="FX69" s="239">
        <v>0</v>
      </c>
      <c r="FY69" s="834">
        <v>0</v>
      </c>
      <c r="FZ69" s="834">
        <v>1</v>
      </c>
      <c r="GA69" s="834">
        <v>0</v>
      </c>
      <c r="GB69" s="834">
        <v>0</v>
      </c>
      <c r="GC69" s="214" t="s">
        <v>746</v>
      </c>
    </row>
    <row r="70" spans="1:185" s="214" customFormat="1" x14ac:dyDescent="0.2">
      <c r="B70" s="602" t="s">
        <v>223</v>
      </c>
      <c r="C70" s="602" t="s">
        <v>222</v>
      </c>
      <c r="D70" s="239">
        <v>1445616</v>
      </c>
      <c r="E70" s="239">
        <v>0</v>
      </c>
      <c r="F70" s="239">
        <v>1445616</v>
      </c>
      <c r="G70" s="239">
        <v>2090912</v>
      </c>
      <c r="H70" s="239">
        <v>0</v>
      </c>
      <c r="I70" s="239">
        <v>2090912</v>
      </c>
      <c r="J70" s="239">
        <v>-645296</v>
      </c>
      <c r="K70" s="239">
        <v>0</v>
      </c>
      <c r="L70" s="239">
        <v>-645296</v>
      </c>
      <c r="M70" s="239">
        <v>179930</v>
      </c>
      <c r="N70" s="239">
        <v>179930</v>
      </c>
      <c r="O70" s="239">
        <v>0</v>
      </c>
      <c r="P70" s="239">
        <v>0</v>
      </c>
      <c r="Q70" s="239">
        <v>0</v>
      </c>
      <c r="R70" s="239">
        <v>0</v>
      </c>
      <c r="S70" s="239">
        <v>98841</v>
      </c>
      <c r="T70" s="239">
        <v>0</v>
      </c>
      <c r="U70" s="239">
        <v>135070</v>
      </c>
      <c r="V70" s="239">
        <v>0</v>
      </c>
      <c r="W70" s="239">
        <v>-36229</v>
      </c>
      <c r="X70" s="239">
        <v>0</v>
      </c>
      <c r="Y70" s="239">
        <v>0</v>
      </c>
      <c r="Z70" s="239">
        <v>0</v>
      </c>
      <c r="AA70" s="239">
        <v>0</v>
      </c>
      <c r="AB70" s="239">
        <v>0</v>
      </c>
      <c r="AC70" s="239">
        <v>0</v>
      </c>
      <c r="AD70" s="239">
        <v>0</v>
      </c>
      <c r="AE70" s="239">
        <v>0</v>
      </c>
      <c r="AF70" s="239">
        <v>0</v>
      </c>
      <c r="AG70" s="239">
        <v>0</v>
      </c>
      <c r="AH70" s="239">
        <v>0</v>
      </c>
      <c r="AI70" s="239">
        <v>0</v>
      </c>
      <c r="AJ70" s="239">
        <v>0</v>
      </c>
      <c r="AK70" s="239">
        <v>0</v>
      </c>
      <c r="AL70" s="239">
        <v>0</v>
      </c>
      <c r="AM70" s="239">
        <v>0</v>
      </c>
      <c r="AN70" s="239">
        <v>0</v>
      </c>
      <c r="AO70" s="239">
        <v>0</v>
      </c>
      <c r="AP70" s="239">
        <v>0</v>
      </c>
      <c r="AQ70" s="239">
        <v>0</v>
      </c>
      <c r="AR70" s="239">
        <v>0</v>
      </c>
      <c r="AS70" s="239">
        <v>0</v>
      </c>
      <c r="AT70" s="239">
        <v>0</v>
      </c>
      <c r="AU70" s="239">
        <v>0</v>
      </c>
      <c r="AV70" s="239">
        <v>0</v>
      </c>
      <c r="AW70" s="239">
        <v>0</v>
      </c>
      <c r="AX70" s="239">
        <v>0</v>
      </c>
      <c r="AY70" s="239">
        <v>0</v>
      </c>
      <c r="AZ70" s="239">
        <v>0</v>
      </c>
      <c r="BA70" s="239">
        <v>0</v>
      </c>
      <c r="BB70" s="239">
        <v>0</v>
      </c>
      <c r="BC70" s="239">
        <v>1457509</v>
      </c>
      <c r="BD70" s="239">
        <v>364377</v>
      </c>
      <c r="BE70" s="239">
        <v>0</v>
      </c>
      <c r="BF70" s="239">
        <v>1424003.6960703863</v>
      </c>
      <c r="BG70" s="239">
        <v>356000.92401759658</v>
      </c>
      <c r="BH70" s="239">
        <v>0</v>
      </c>
      <c r="BI70" s="239">
        <v>93054.426824034337</v>
      </c>
      <c r="BJ70" s="239">
        <v>23263.606706008584</v>
      </c>
      <c r="BK70" s="239">
        <v>0</v>
      </c>
      <c r="BL70" s="239">
        <v>485496</v>
      </c>
      <c r="BM70" s="239">
        <v>80513</v>
      </c>
      <c r="BN70" s="239">
        <v>0</v>
      </c>
      <c r="BO70" s="239">
        <v>972013</v>
      </c>
      <c r="BP70" s="239">
        <v>283864</v>
      </c>
      <c r="BQ70" s="239">
        <v>0</v>
      </c>
      <c r="BR70" s="239">
        <v>8216</v>
      </c>
      <c r="BS70" s="239">
        <v>2054</v>
      </c>
      <c r="BT70" s="239">
        <v>0</v>
      </c>
      <c r="BU70" s="239">
        <v>3452</v>
      </c>
      <c r="BV70" s="239">
        <v>863</v>
      </c>
      <c r="BW70" s="239">
        <v>0</v>
      </c>
      <c r="BX70" s="239">
        <v>4764</v>
      </c>
      <c r="BY70" s="239">
        <v>1191</v>
      </c>
      <c r="BZ70" s="239">
        <v>0</v>
      </c>
      <c r="CA70" s="239">
        <v>0</v>
      </c>
      <c r="CB70" s="239">
        <v>0</v>
      </c>
      <c r="CC70" s="239">
        <v>0</v>
      </c>
      <c r="CD70" s="239">
        <v>0</v>
      </c>
      <c r="CE70" s="239">
        <v>0</v>
      </c>
      <c r="CF70" s="239">
        <v>0</v>
      </c>
      <c r="CG70" s="239">
        <v>0</v>
      </c>
      <c r="CH70" s="239">
        <v>0</v>
      </c>
      <c r="CI70" s="239">
        <v>0</v>
      </c>
      <c r="CJ70" s="239">
        <v>2556</v>
      </c>
      <c r="CK70" s="239">
        <v>639</v>
      </c>
      <c r="CL70" s="239">
        <v>0</v>
      </c>
      <c r="CM70" s="239">
        <v>3525</v>
      </c>
      <c r="CN70" s="239">
        <v>881</v>
      </c>
      <c r="CO70" s="239">
        <v>0</v>
      </c>
      <c r="CP70" s="239">
        <v>-969</v>
      </c>
      <c r="CQ70" s="239">
        <v>-242</v>
      </c>
      <c r="CR70" s="239">
        <v>0</v>
      </c>
      <c r="CS70" s="239">
        <v>-390</v>
      </c>
      <c r="CT70" s="239">
        <v>-97</v>
      </c>
      <c r="CU70" s="239">
        <v>0</v>
      </c>
      <c r="CV70" s="239">
        <v>0</v>
      </c>
      <c r="CW70" s="239">
        <v>0</v>
      </c>
      <c r="CX70" s="239">
        <v>0</v>
      </c>
      <c r="CY70" s="239">
        <v>0</v>
      </c>
      <c r="CZ70" s="239">
        <v>0</v>
      </c>
      <c r="DA70" s="239">
        <v>0</v>
      </c>
      <c r="DB70" s="239">
        <v>0</v>
      </c>
      <c r="DC70" s="239">
        <v>0</v>
      </c>
      <c r="DD70" s="239">
        <v>0</v>
      </c>
      <c r="DE70" s="239">
        <v>0</v>
      </c>
      <c r="DF70" s="239">
        <v>0</v>
      </c>
      <c r="DG70" s="239">
        <v>0</v>
      </c>
      <c r="DH70" s="239">
        <v>10739</v>
      </c>
      <c r="DI70" s="239">
        <v>2685</v>
      </c>
      <c r="DJ70" s="239">
        <v>0</v>
      </c>
      <c r="DK70" s="239">
        <v>13292</v>
      </c>
      <c r="DL70" s="239">
        <v>3323</v>
      </c>
      <c r="DM70" s="239">
        <v>0</v>
      </c>
      <c r="DN70" s="239">
        <v>-2553</v>
      </c>
      <c r="DO70" s="239">
        <v>-638</v>
      </c>
      <c r="DP70" s="239">
        <v>0</v>
      </c>
      <c r="DQ70" s="239">
        <v>0</v>
      </c>
      <c r="DR70" s="239">
        <v>0</v>
      </c>
      <c r="DS70" s="239">
        <v>0</v>
      </c>
      <c r="DT70" s="239">
        <v>0</v>
      </c>
      <c r="DU70" s="239">
        <v>0</v>
      </c>
      <c r="DV70" s="239">
        <v>0</v>
      </c>
      <c r="DW70" s="239">
        <v>0</v>
      </c>
      <c r="DX70" s="239">
        <v>0</v>
      </c>
      <c r="DY70" s="239">
        <v>0</v>
      </c>
      <c r="DZ70" s="239">
        <v>9086</v>
      </c>
      <c r="EA70" s="239">
        <v>2271</v>
      </c>
      <c r="EB70" s="239">
        <v>0</v>
      </c>
      <c r="EC70" s="239">
        <v>19666</v>
      </c>
      <c r="ED70" s="239">
        <v>0</v>
      </c>
      <c r="EE70" s="239">
        <v>0</v>
      </c>
      <c r="EF70" s="239">
        <v>-10580</v>
      </c>
      <c r="EG70" s="239">
        <v>2271</v>
      </c>
      <c r="EH70" s="239">
        <v>0</v>
      </c>
      <c r="EI70" s="239">
        <v>149286</v>
      </c>
      <c r="EJ70" s="239">
        <v>37322</v>
      </c>
      <c r="EK70" s="239">
        <v>0</v>
      </c>
      <c r="EL70" s="239">
        <v>184704</v>
      </c>
      <c r="EM70" s="239">
        <v>0</v>
      </c>
      <c r="EN70" s="239">
        <v>0</v>
      </c>
      <c r="EO70" s="239">
        <v>-35418</v>
      </c>
      <c r="EP70" s="239">
        <v>37322</v>
      </c>
      <c r="EQ70" s="239">
        <v>0</v>
      </c>
      <c r="ER70" s="239">
        <v>31445</v>
      </c>
      <c r="ES70" s="239">
        <v>7861</v>
      </c>
      <c r="ET70" s="239">
        <v>0</v>
      </c>
      <c r="EU70" s="239">
        <v>50979</v>
      </c>
      <c r="EV70" s="239">
        <v>0</v>
      </c>
      <c r="EW70" s="239">
        <v>0</v>
      </c>
      <c r="EX70" s="239">
        <v>-19534</v>
      </c>
      <c r="EY70" s="239">
        <v>7861</v>
      </c>
      <c r="EZ70" s="239">
        <v>0</v>
      </c>
      <c r="FA70" s="239">
        <v>188786</v>
      </c>
      <c r="FB70" s="239">
        <v>46825</v>
      </c>
      <c r="FC70" s="239">
        <v>0</v>
      </c>
      <c r="FD70" s="239">
        <v>213473</v>
      </c>
      <c r="FE70" s="239">
        <v>52861</v>
      </c>
      <c r="FF70" s="239">
        <v>0</v>
      </c>
      <c r="FG70" s="239">
        <v>-24687</v>
      </c>
      <c r="FH70" s="239">
        <v>-6036</v>
      </c>
      <c r="FI70" s="239">
        <v>0</v>
      </c>
      <c r="FJ70" s="239">
        <v>0</v>
      </c>
      <c r="FK70" s="239">
        <v>0</v>
      </c>
      <c r="FL70" s="239">
        <v>0</v>
      </c>
      <c r="FM70" s="239">
        <v>0</v>
      </c>
      <c r="FN70" s="239">
        <v>0</v>
      </c>
      <c r="FO70" s="239">
        <v>0</v>
      </c>
      <c r="FP70" s="239">
        <v>0</v>
      </c>
      <c r="FQ70" s="239">
        <v>0</v>
      </c>
      <c r="FR70" s="239">
        <v>0</v>
      </c>
      <c r="FS70" s="239">
        <v>0</v>
      </c>
      <c r="FT70" s="239">
        <v>0</v>
      </c>
      <c r="FU70" s="239">
        <v>0</v>
      </c>
      <c r="FV70" s="239">
        <v>1857233</v>
      </c>
      <c r="FW70" s="239">
        <v>463937</v>
      </c>
      <c r="FX70" s="239">
        <v>0</v>
      </c>
      <c r="FY70" s="834">
        <v>0.5</v>
      </c>
      <c r="FZ70" s="834">
        <v>0.4</v>
      </c>
      <c r="GA70" s="834">
        <v>0.1</v>
      </c>
      <c r="GB70" s="834">
        <v>0</v>
      </c>
      <c r="GC70" s="214" t="s">
        <v>1158</v>
      </c>
    </row>
    <row r="71" spans="1:185" s="214" customFormat="1" x14ac:dyDescent="0.2">
      <c r="B71" s="602" t="s">
        <v>225</v>
      </c>
      <c r="C71" s="602" t="s">
        <v>224</v>
      </c>
      <c r="D71" s="239">
        <v>-4921591</v>
      </c>
      <c r="E71" s="239">
        <v>0</v>
      </c>
      <c r="F71" s="239">
        <v>-4921591</v>
      </c>
      <c r="G71" s="239">
        <v>-3818850</v>
      </c>
      <c r="H71" s="239">
        <v>0</v>
      </c>
      <c r="I71" s="239">
        <v>-3818850</v>
      </c>
      <c r="J71" s="239">
        <v>-1102741</v>
      </c>
      <c r="K71" s="239">
        <v>0</v>
      </c>
      <c r="L71" s="239">
        <v>-1102741</v>
      </c>
      <c r="M71" s="239">
        <v>373014</v>
      </c>
      <c r="N71" s="239">
        <v>373014</v>
      </c>
      <c r="O71" s="239">
        <v>0</v>
      </c>
      <c r="P71" s="239">
        <v>0</v>
      </c>
      <c r="Q71" s="239">
        <v>0</v>
      </c>
      <c r="R71" s="239">
        <v>0</v>
      </c>
      <c r="S71" s="239">
        <v>0</v>
      </c>
      <c r="T71" s="239">
        <v>0</v>
      </c>
      <c r="U71" s="239">
        <v>0</v>
      </c>
      <c r="V71" s="239">
        <v>0</v>
      </c>
      <c r="W71" s="239">
        <v>0</v>
      </c>
      <c r="X71" s="239">
        <v>0</v>
      </c>
      <c r="Y71" s="239">
        <v>0</v>
      </c>
      <c r="Z71" s="239">
        <v>0</v>
      </c>
      <c r="AA71" s="239">
        <v>0</v>
      </c>
      <c r="AB71" s="239">
        <v>0</v>
      </c>
      <c r="AC71" s="239">
        <v>0</v>
      </c>
      <c r="AD71" s="239">
        <v>0</v>
      </c>
      <c r="AE71" s="239">
        <v>0</v>
      </c>
      <c r="AF71" s="239">
        <v>0</v>
      </c>
      <c r="AG71" s="239">
        <v>0</v>
      </c>
      <c r="AH71" s="239">
        <v>0</v>
      </c>
      <c r="AI71" s="239">
        <v>0</v>
      </c>
      <c r="AJ71" s="239">
        <v>0</v>
      </c>
      <c r="AK71" s="239">
        <v>0</v>
      </c>
      <c r="AL71" s="239">
        <v>0</v>
      </c>
      <c r="AM71" s="239">
        <v>0</v>
      </c>
      <c r="AN71" s="239">
        <v>0</v>
      </c>
      <c r="AO71" s="239">
        <v>0</v>
      </c>
      <c r="AP71" s="239">
        <v>0</v>
      </c>
      <c r="AQ71" s="239">
        <v>0</v>
      </c>
      <c r="AR71" s="239">
        <v>0</v>
      </c>
      <c r="AS71" s="239">
        <v>0</v>
      </c>
      <c r="AT71" s="239">
        <v>0</v>
      </c>
      <c r="AU71" s="239">
        <v>0</v>
      </c>
      <c r="AV71" s="239">
        <v>0</v>
      </c>
      <c r="AW71" s="239">
        <v>0</v>
      </c>
      <c r="AX71" s="239">
        <v>0</v>
      </c>
      <c r="AY71" s="239">
        <v>0</v>
      </c>
      <c r="AZ71" s="239">
        <v>0</v>
      </c>
      <c r="BA71" s="239">
        <v>0</v>
      </c>
      <c r="BB71" s="239">
        <v>0</v>
      </c>
      <c r="BC71" s="239">
        <v>5677741</v>
      </c>
      <c r="BD71" s="239">
        <v>0</v>
      </c>
      <c r="BE71" s="239">
        <v>57351</v>
      </c>
      <c r="BF71" s="239">
        <v>5527131.8135330472</v>
      </c>
      <c r="BG71" s="239">
        <v>0</v>
      </c>
      <c r="BH71" s="239">
        <v>55829.614278111592</v>
      </c>
      <c r="BI71" s="239">
        <v>431104.7867736051</v>
      </c>
      <c r="BJ71" s="239">
        <v>0</v>
      </c>
      <c r="BK71" s="239">
        <v>4354.5938057939911</v>
      </c>
      <c r="BL71" s="239">
        <v>5144762</v>
      </c>
      <c r="BM71" s="239">
        <v>0</v>
      </c>
      <c r="BN71" s="239">
        <v>37066</v>
      </c>
      <c r="BO71" s="239">
        <v>532979</v>
      </c>
      <c r="BP71" s="239">
        <v>0</v>
      </c>
      <c r="BQ71" s="239">
        <v>20285</v>
      </c>
      <c r="BR71" s="239">
        <v>1596</v>
      </c>
      <c r="BS71" s="239">
        <v>0</v>
      </c>
      <c r="BT71" s="239">
        <v>16</v>
      </c>
      <c r="BU71" s="239">
        <v>1639</v>
      </c>
      <c r="BV71" s="239">
        <v>0</v>
      </c>
      <c r="BW71" s="239">
        <v>17</v>
      </c>
      <c r="BX71" s="239">
        <v>-43</v>
      </c>
      <c r="BY71" s="239">
        <v>0</v>
      </c>
      <c r="BZ71" s="239">
        <v>-1</v>
      </c>
      <c r="CA71" s="239">
        <v>102065</v>
      </c>
      <c r="CB71" s="239">
        <v>0</v>
      </c>
      <c r="CC71" s="239">
        <v>1031</v>
      </c>
      <c r="CD71" s="239">
        <v>345939</v>
      </c>
      <c r="CE71" s="239">
        <v>0</v>
      </c>
      <c r="CF71" s="239">
        <v>3494</v>
      </c>
      <c r="CG71" s="239">
        <v>-243874</v>
      </c>
      <c r="CH71" s="239">
        <v>0</v>
      </c>
      <c r="CI71" s="239">
        <v>-2463</v>
      </c>
      <c r="CJ71" s="239">
        <v>81753</v>
      </c>
      <c r="CK71" s="239">
        <v>0</v>
      </c>
      <c r="CL71" s="239">
        <v>826</v>
      </c>
      <c r="CM71" s="239">
        <v>22033</v>
      </c>
      <c r="CN71" s="239">
        <v>0</v>
      </c>
      <c r="CO71" s="239">
        <v>223</v>
      </c>
      <c r="CP71" s="239">
        <v>59720</v>
      </c>
      <c r="CQ71" s="239">
        <v>0</v>
      </c>
      <c r="CR71" s="239">
        <v>603</v>
      </c>
      <c r="CS71" s="239">
        <v>-23090</v>
      </c>
      <c r="CT71" s="239">
        <v>0</v>
      </c>
      <c r="CU71" s="239">
        <v>-233</v>
      </c>
      <c r="CV71" s="239">
        <v>0</v>
      </c>
      <c r="CW71" s="239">
        <v>0</v>
      </c>
      <c r="CX71" s="239">
        <v>0</v>
      </c>
      <c r="CY71" s="239">
        <v>0</v>
      </c>
      <c r="CZ71" s="239">
        <v>0</v>
      </c>
      <c r="DA71" s="239">
        <v>0</v>
      </c>
      <c r="DB71" s="239">
        <v>0</v>
      </c>
      <c r="DC71" s="239">
        <v>0</v>
      </c>
      <c r="DD71" s="239">
        <v>0</v>
      </c>
      <c r="DE71" s="239">
        <v>-7</v>
      </c>
      <c r="DF71" s="239">
        <v>0</v>
      </c>
      <c r="DG71" s="239">
        <v>0</v>
      </c>
      <c r="DH71" s="239">
        <v>0</v>
      </c>
      <c r="DI71" s="239">
        <v>0</v>
      </c>
      <c r="DJ71" s="239">
        <v>0</v>
      </c>
      <c r="DK71" s="239">
        <v>0</v>
      </c>
      <c r="DL71" s="239">
        <v>0</v>
      </c>
      <c r="DM71" s="239">
        <v>0</v>
      </c>
      <c r="DN71" s="239">
        <v>0</v>
      </c>
      <c r="DO71" s="239">
        <v>0</v>
      </c>
      <c r="DP71" s="239">
        <v>0</v>
      </c>
      <c r="DQ71" s="239">
        <v>1507</v>
      </c>
      <c r="DR71" s="239">
        <v>0</v>
      </c>
      <c r="DS71" s="239">
        <v>15</v>
      </c>
      <c r="DT71" s="239">
        <v>0</v>
      </c>
      <c r="DU71" s="239">
        <v>0</v>
      </c>
      <c r="DV71" s="239">
        <v>0</v>
      </c>
      <c r="DW71" s="239">
        <v>1507</v>
      </c>
      <c r="DX71" s="239">
        <v>0</v>
      </c>
      <c r="DY71" s="239">
        <v>15</v>
      </c>
      <c r="DZ71" s="239">
        <v>63795</v>
      </c>
      <c r="EA71" s="239">
        <v>0</v>
      </c>
      <c r="EB71" s="239">
        <v>644</v>
      </c>
      <c r="EC71" s="239">
        <v>57394</v>
      </c>
      <c r="ED71" s="239">
        <v>0</v>
      </c>
      <c r="EE71" s="239">
        <v>0</v>
      </c>
      <c r="EF71" s="239">
        <v>6401</v>
      </c>
      <c r="EG71" s="239">
        <v>0</v>
      </c>
      <c r="EH71" s="239">
        <v>644</v>
      </c>
      <c r="EI71" s="239">
        <v>349837</v>
      </c>
      <c r="EJ71" s="239">
        <v>0</v>
      </c>
      <c r="EK71" s="239">
        <v>3534</v>
      </c>
      <c r="EL71" s="239">
        <v>422075</v>
      </c>
      <c r="EM71" s="239">
        <v>0</v>
      </c>
      <c r="EN71" s="239">
        <v>0</v>
      </c>
      <c r="EO71" s="239">
        <v>-72238</v>
      </c>
      <c r="EP71" s="239">
        <v>0</v>
      </c>
      <c r="EQ71" s="239">
        <v>3534</v>
      </c>
      <c r="ER71" s="239">
        <v>90047</v>
      </c>
      <c r="ES71" s="239">
        <v>0</v>
      </c>
      <c r="ET71" s="239">
        <v>910</v>
      </c>
      <c r="EU71" s="239">
        <v>95651</v>
      </c>
      <c r="EV71" s="239">
        <v>0</v>
      </c>
      <c r="EW71" s="239">
        <v>0</v>
      </c>
      <c r="EX71" s="239">
        <v>-5604</v>
      </c>
      <c r="EY71" s="239">
        <v>0</v>
      </c>
      <c r="EZ71" s="239">
        <v>910</v>
      </c>
      <c r="FA71" s="239">
        <v>1709743</v>
      </c>
      <c r="FB71" s="239">
        <v>0</v>
      </c>
      <c r="FC71" s="239">
        <v>17270</v>
      </c>
      <c r="FD71" s="239">
        <v>1717331</v>
      </c>
      <c r="FE71" s="239">
        <v>0</v>
      </c>
      <c r="FF71" s="239">
        <v>17347</v>
      </c>
      <c r="FG71" s="239">
        <v>-7588</v>
      </c>
      <c r="FH71" s="239">
        <v>0</v>
      </c>
      <c r="FI71" s="239">
        <v>-77</v>
      </c>
      <c r="FJ71" s="239">
        <v>0</v>
      </c>
      <c r="FK71" s="239">
        <v>0</v>
      </c>
      <c r="FL71" s="239">
        <v>0</v>
      </c>
      <c r="FM71" s="239">
        <v>0</v>
      </c>
      <c r="FN71" s="239">
        <v>0</v>
      </c>
      <c r="FO71" s="239">
        <v>0</v>
      </c>
      <c r="FP71" s="239">
        <v>0</v>
      </c>
      <c r="FQ71" s="239">
        <v>0</v>
      </c>
      <c r="FR71" s="239">
        <v>0</v>
      </c>
      <c r="FS71" s="239">
        <v>0</v>
      </c>
      <c r="FT71" s="239">
        <v>0</v>
      </c>
      <c r="FU71" s="239">
        <v>0</v>
      </c>
      <c r="FV71" s="239">
        <v>8054987</v>
      </c>
      <c r="FW71" s="239">
        <v>0</v>
      </c>
      <c r="FX71" s="239">
        <v>81364</v>
      </c>
      <c r="FY71" s="834">
        <v>0</v>
      </c>
      <c r="FZ71" s="834">
        <v>0.99</v>
      </c>
      <c r="GA71" s="834">
        <v>0</v>
      </c>
      <c r="GB71" s="834">
        <v>0.01</v>
      </c>
      <c r="GC71" s="214" t="s">
        <v>1160</v>
      </c>
    </row>
    <row r="72" spans="1:185" s="214" customFormat="1" x14ac:dyDescent="0.2">
      <c r="B72" s="602" t="s">
        <v>227</v>
      </c>
      <c r="C72" s="602" t="s">
        <v>226</v>
      </c>
      <c r="D72" s="239">
        <v>262932</v>
      </c>
      <c r="E72" s="239">
        <v>0</v>
      </c>
      <c r="F72" s="239">
        <v>262932</v>
      </c>
      <c r="G72" s="239">
        <v>321764</v>
      </c>
      <c r="H72" s="239">
        <v>0</v>
      </c>
      <c r="I72" s="239">
        <v>321764</v>
      </c>
      <c r="J72" s="239">
        <v>-58832</v>
      </c>
      <c r="K72" s="239">
        <v>0</v>
      </c>
      <c r="L72" s="239">
        <v>-58832</v>
      </c>
      <c r="M72" s="239">
        <v>118120</v>
      </c>
      <c r="N72" s="239">
        <v>118120</v>
      </c>
      <c r="O72" s="239">
        <v>0</v>
      </c>
      <c r="P72" s="239">
        <v>0</v>
      </c>
      <c r="Q72" s="239">
        <v>0</v>
      </c>
      <c r="R72" s="239">
        <v>0</v>
      </c>
      <c r="S72" s="239">
        <v>0</v>
      </c>
      <c r="T72" s="239">
        <v>0</v>
      </c>
      <c r="U72" s="239">
        <v>0</v>
      </c>
      <c r="V72" s="239">
        <v>0</v>
      </c>
      <c r="W72" s="239">
        <v>0</v>
      </c>
      <c r="X72" s="239">
        <v>0</v>
      </c>
      <c r="Y72" s="239">
        <v>0</v>
      </c>
      <c r="Z72" s="239">
        <v>0</v>
      </c>
      <c r="AA72" s="239">
        <v>0</v>
      </c>
      <c r="AB72" s="239">
        <v>0</v>
      </c>
      <c r="AC72" s="239">
        <v>0</v>
      </c>
      <c r="AD72" s="239">
        <v>0</v>
      </c>
      <c r="AE72" s="239">
        <v>0</v>
      </c>
      <c r="AF72" s="239">
        <v>0</v>
      </c>
      <c r="AG72" s="239">
        <v>0</v>
      </c>
      <c r="AH72" s="239">
        <v>0</v>
      </c>
      <c r="AI72" s="239">
        <v>0</v>
      </c>
      <c r="AJ72" s="239">
        <v>0</v>
      </c>
      <c r="AK72" s="239">
        <v>0</v>
      </c>
      <c r="AL72" s="239">
        <v>0</v>
      </c>
      <c r="AM72" s="239">
        <v>0</v>
      </c>
      <c r="AN72" s="239">
        <v>0</v>
      </c>
      <c r="AO72" s="239">
        <v>0</v>
      </c>
      <c r="AP72" s="239">
        <v>0</v>
      </c>
      <c r="AQ72" s="239">
        <v>0</v>
      </c>
      <c r="AR72" s="239">
        <v>0</v>
      </c>
      <c r="AS72" s="239">
        <v>0</v>
      </c>
      <c r="AT72" s="239">
        <v>0</v>
      </c>
      <c r="AU72" s="239">
        <v>0</v>
      </c>
      <c r="AV72" s="239">
        <v>0</v>
      </c>
      <c r="AW72" s="239">
        <v>0</v>
      </c>
      <c r="AX72" s="239">
        <v>0</v>
      </c>
      <c r="AY72" s="239">
        <v>0</v>
      </c>
      <c r="AZ72" s="239">
        <v>0</v>
      </c>
      <c r="BA72" s="239">
        <v>0</v>
      </c>
      <c r="BB72" s="239">
        <v>0</v>
      </c>
      <c r="BC72" s="239">
        <v>925079</v>
      </c>
      <c r="BD72" s="239">
        <v>208143</v>
      </c>
      <c r="BE72" s="239">
        <v>23127</v>
      </c>
      <c r="BF72" s="239">
        <v>905819.2184120171</v>
      </c>
      <c r="BG72" s="239">
        <v>203809.32414270387</v>
      </c>
      <c r="BH72" s="239">
        <v>22645.480460300427</v>
      </c>
      <c r="BI72" s="239">
        <v>57410.969802575106</v>
      </c>
      <c r="BJ72" s="239">
        <v>12917.468205579398</v>
      </c>
      <c r="BK72" s="239">
        <v>1435.2742450643777</v>
      </c>
      <c r="BL72" s="239">
        <v>863782</v>
      </c>
      <c r="BM72" s="239">
        <v>138822</v>
      </c>
      <c r="BN72" s="239">
        <v>15425</v>
      </c>
      <c r="BO72" s="239">
        <v>61297</v>
      </c>
      <c r="BP72" s="239">
        <v>69321</v>
      </c>
      <c r="BQ72" s="239">
        <v>7702</v>
      </c>
      <c r="BR72" s="239">
        <v>5472</v>
      </c>
      <c r="BS72" s="239">
        <v>1231</v>
      </c>
      <c r="BT72" s="239">
        <v>137</v>
      </c>
      <c r="BU72" s="239">
        <v>0</v>
      </c>
      <c r="BV72" s="239">
        <v>0</v>
      </c>
      <c r="BW72" s="239">
        <v>0</v>
      </c>
      <c r="BX72" s="239">
        <v>5472</v>
      </c>
      <c r="BY72" s="239">
        <v>1231</v>
      </c>
      <c r="BZ72" s="239">
        <v>137</v>
      </c>
      <c r="CA72" s="239">
        <v>0</v>
      </c>
      <c r="CB72" s="239">
        <v>0</v>
      </c>
      <c r="CC72" s="239">
        <v>0</v>
      </c>
      <c r="CD72" s="239">
        <v>0</v>
      </c>
      <c r="CE72" s="239">
        <v>0</v>
      </c>
      <c r="CF72" s="239">
        <v>0</v>
      </c>
      <c r="CG72" s="239">
        <v>0</v>
      </c>
      <c r="CH72" s="239">
        <v>0</v>
      </c>
      <c r="CI72" s="239">
        <v>0</v>
      </c>
      <c r="CJ72" s="239">
        <v>269</v>
      </c>
      <c r="CK72" s="239">
        <v>61</v>
      </c>
      <c r="CL72" s="239">
        <v>7</v>
      </c>
      <c r="CM72" s="239">
        <v>0</v>
      </c>
      <c r="CN72" s="239">
        <v>0</v>
      </c>
      <c r="CO72" s="239">
        <v>0</v>
      </c>
      <c r="CP72" s="239">
        <v>269</v>
      </c>
      <c r="CQ72" s="239">
        <v>61</v>
      </c>
      <c r="CR72" s="239">
        <v>7</v>
      </c>
      <c r="CS72" s="239">
        <v>-97</v>
      </c>
      <c r="CT72" s="239">
        <v>-22</v>
      </c>
      <c r="CU72" s="239">
        <v>-2</v>
      </c>
      <c r="CV72" s="239">
        <v>0</v>
      </c>
      <c r="CW72" s="239">
        <v>0</v>
      </c>
      <c r="CX72" s="239">
        <v>0</v>
      </c>
      <c r="CY72" s="239">
        <v>0</v>
      </c>
      <c r="CZ72" s="239">
        <v>0</v>
      </c>
      <c r="DA72" s="239">
        <v>0</v>
      </c>
      <c r="DB72" s="239">
        <v>0</v>
      </c>
      <c r="DC72" s="239">
        <v>0</v>
      </c>
      <c r="DD72" s="239">
        <v>0</v>
      </c>
      <c r="DE72" s="239">
        <v>0</v>
      </c>
      <c r="DF72" s="239">
        <v>0</v>
      </c>
      <c r="DG72" s="239">
        <v>0</v>
      </c>
      <c r="DH72" s="239">
        <v>2489</v>
      </c>
      <c r="DI72" s="239">
        <v>560</v>
      </c>
      <c r="DJ72" s="239">
        <v>62</v>
      </c>
      <c r="DK72" s="239">
        <v>10434</v>
      </c>
      <c r="DL72" s="239">
        <v>2348</v>
      </c>
      <c r="DM72" s="239">
        <v>261</v>
      </c>
      <c r="DN72" s="239">
        <v>-7945</v>
      </c>
      <c r="DO72" s="239">
        <v>-1788</v>
      </c>
      <c r="DP72" s="239">
        <v>-199</v>
      </c>
      <c r="DQ72" s="239">
        <v>0</v>
      </c>
      <c r="DR72" s="239">
        <v>0</v>
      </c>
      <c r="DS72" s="239">
        <v>0</v>
      </c>
      <c r="DT72" s="239">
        <v>0</v>
      </c>
      <c r="DU72" s="239">
        <v>0</v>
      </c>
      <c r="DV72" s="239">
        <v>0</v>
      </c>
      <c r="DW72" s="239">
        <v>0</v>
      </c>
      <c r="DX72" s="239">
        <v>0</v>
      </c>
      <c r="DY72" s="239">
        <v>0</v>
      </c>
      <c r="DZ72" s="239">
        <v>8227</v>
      </c>
      <c r="EA72" s="239">
        <v>1851</v>
      </c>
      <c r="EB72" s="239">
        <v>206</v>
      </c>
      <c r="EC72" s="239">
        <v>10430</v>
      </c>
      <c r="ED72" s="239">
        <v>0</v>
      </c>
      <c r="EE72" s="239">
        <v>0</v>
      </c>
      <c r="EF72" s="239">
        <v>-2203</v>
      </c>
      <c r="EG72" s="239">
        <v>1851</v>
      </c>
      <c r="EH72" s="239">
        <v>206</v>
      </c>
      <c r="EI72" s="239">
        <v>48666</v>
      </c>
      <c r="EJ72" s="239">
        <v>10950</v>
      </c>
      <c r="EK72" s="239">
        <v>1217</v>
      </c>
      <c r="EL72" s="239">
        <v>83183</v>
      </c>
      <c r="EM72" s="239">
        <v>0</v>
      </c>
      <c r="EN72" s="239">
        <v>0</v>
      </c>
      <c r="EO72" s="239">
        <v>-34517</v>
      </c>
      <c r="EP72" s="239">
        <v>10950</v>
      </c>
      <c r="EQ72" s="239">
        <v>1217</v>
      </c>
      <c r="ER72" s="239">
        <v>22952</v>
      </c>
      <c r="ES72" s="239">
        <v>5164</v>
      </c>
      <c r="ET72" s="239">
        <v>574</v>
      </c>
      <c r="EU72" s="239">
        <v>28671</v>
      </c>
      <c r="EV72" s="239">
        <v>0</v>
      </c>
      <c r="EW72" s="239">
        <v>0</v>
      </c>
      <c r="EX72" s="239">
        <v>-5719</v>
      </c>
      <c r="EY72" s="239">
        <v>5164</v>
      </c>
      <c r="EZ72" s="239">
        <v>574</v>
      </c>
      <c r="FA72" s="239">
        <v>108271</v>
      </c>
      <c r="FB72" s="239">
        <v>24361</v>
      </c>
      <c r="FC72" s="239">
        <v>2707</v>
      </c>
      <c r="FD72" s="239">
        <v>109797</v>
      </c>
      <c r="FE72" s="239">
        <v>24704</v>
      </c>
      <c r="FF72" s="239">
        <v>2745</v>
      </c>
      <c r="FG72" s="239">
        <v>-1526</v>
      </c>
      <c r="FH72" s="239">
        <v>-343</v>
      </c>
      <c r="FI72" s="239">
        <v>-38</v>
      </c>
      <c r="FJ72" s="239">
        <v>0</v>
      </c>
      <c r="FK72" s="239">
        <v>0</v>
      </c>
      <c r="FL72" s="239">
        <v>0</v>
      </c>
      <c r="FM72" s="239">
        <v>0</v>
      </c>
      <c r="FN72" s="239">
        <v>0</v>
      </c>
      <c r="FO72" s="239">
        <v>0</v>
      </c>
      <c r="FP72" s="239">
        <v>0</v>
      </c>
      <c r="FQ72" s="239">
        <v>0</v>
      </c>
      <c r="FR72" s="239">
        <v>0</v>
      </c>
      <c r="FS72" s="239">
        <v>0</v>
      </c>
      <c r="FT72" s="239">
        <v>0</v>
      </c>
      <c r="FU72" s="239">
        <v>0</v>
      </c>
      <c r="FV72" s="239">
        <v>1121328</v>
      </c>
      <c r="FW72" s="239">
        <v>252299</v>
      </c>
      <c r="FX72" s="239">
        <v>28035</v>
      </c>
      <c r="FY72" s="834">
        <v>0.5</v>
      </c>
      <c r="FZ72" s="834">
        <v>0.4</v>
      </c>
      <c r="GA72" s="834">
        <v>0.09</v>
      </c>
      <c r="GB72" s="834">
        <v>0.01</v>
      </c>
      <c r="GC72" s="214" t="s">
        <v>1158</v>
      </c>
    </row>
    <row r="73" spans="1:185" s="214" customFormat="1" x14ac:dyDescent="0.2">
      <c r="B73" s="602" t="s">
        <v>229</v>
      </c>
      <c r="C73" s="602" t="s">
        <v>228</v>
      </c>
      <c r="D73" s="239">
        <v>-3676628</v>
      </c>
      <c r="E73" s="239">
        <v>0</v>
      </c>
      <c r="F73" s="239">
        <v>-3676628</v>
      </c>
      <c r="G73" s="239">
        <v>-3975713</v>
      </c>
      <c r="H73" s="239">
        <v>0</v>
      </c>
      <c r="I73" s="239">
        <v>-3975713</v>
      </c>
      <c r="J73" s="239">
        <v>299085</v>
      </c>
      <c r="K73" s="239">
        <v>0</v>
      </c>
      <c r="L73" s="239">
        <v>299085</v>
      </c>
      <c r="M73" s="239">
        <v>201502</v>
      </c>
      <c r="N73" s="239">
        <v>201502</v>
      </c>
      <c r="O73" s="239">
        <v>0</v>
      </c>
      <c r="P73" s="239">
        <v>0</v>
      </c>
      <c r="Q73" s="239">
        <v>0</v>
      </c>
      <c r="R73" s="239">
        <v>0</v>
      </c>
      <c r="S73" s="239">
        <v>4660</v>
      </c>
      <c r="T73" s="239">
        <v>0</v>
      </c>
      <c r="U73" s="239">
        <v>4660</v>
      </c>
      <c r="V73" s="239">
        <v>0</v>
      </c>
      <c r="W73" s="239">
        <v>0</v>
      </c>
      <c r="X73" s="239">
        <v>0</v>
      </c>
      <c r="Y73" s="239">
        <v>0</v>
      </c>
      <c r="Z73" s="239">
        <v>0</v>
      </c>
      <c r="AA73" s="239">
        <v>0</v>
      </c>
      <c r="AB73" s="239">
        <v>0</v>
      </c>
      <c r="AC73" s="239">
        <v>0</v>
      </c>
      <c r="AD73" s="239">
        <v>0</v>
      </c>
      <c r="AE73" s="239">
        <v>0</v>
      </c>
      <c r="AF73" s="239">
        <v>0</v>
      </c>
      <c r="AG73" s="239">
        <v>0</v>
      </c>
      <c r="AH73" s="239">
        <v>0</v>
      </c>
      <c r="AI73" s="239">
        <v>0</v>
      </c>
      <c r="AJ73" s="239">
        <v>0</v>
      </c>
      <c r="AK73" s="239">
        <v>0</v>
      </c>
      <c r="AL73" s="239">
        <v>0</v>
      </c>
      <c r="AM73" s="239">
        <v>0</v>
      </c>
      <c r="AN73" s="239">
        <v>0</v>
      </c>
      <c r="AO73" s="239">
        <v>0</v>
      </c>
      <c r="AP73" s="239">
        <v>0</v>
      </c>
      <c r="AQ73" s="239">
        <v>0</v>
      </c>
      <c r="AR73" s="239">
        <v>0</v>
      </c>
      <c r="AS73" s="239">
        <v>0</v>
      </c>
      <c r="AT73" s="239">
        <v>0</v>
      </c>
      <c r="AU73" s="239">
        <v>0</v>
      </c>
      <c r="AV73" s="239">
        <v>0</v>
      </c>
      <c r="AW73" s="239">
        <v>0</v>
      </c>
      <c r="AX73" s="239">
        <v>0</v>
      </c>
      <c r="AY73" s="239">
        <v>0</v>
      </c>
      <c r="AZ73" s="239">
        <v>0</v>
      </c>
      <c r="BA73" s="239">
        <v>0</v>
      </c>
      <c r="BB73" s="239">
        <v>0</v>
      </c>
      <c r="BC73" s="239">
        <v>478718</v>
      </c>
      <c r="BD73" s="239">
        <v>119679</v>
      </c>
      <c r="BE73" s="239">
        <v>0</v>
      </c>
      <c r="BF73" s="239">
        <v>459063.35950643779</v>
      </c>
      <c r="BG73" s="239">
        <v>114765.83987660945</v>
      </c>
      <c r="BH73" s="239">
        <v>0</v>
      </c>
      <c r="BI73" s="239">
        <v>91726.105593133034</v>
      </c>
      <c r="BJ73" s="239">
        <v>22931.526398283258</v>
      </c>
      <c r="BK73" s="239">
        <v>0</v>
      </c>
      <c r="BL73" s="239">
        <v>518450</v>
      </c>
      <c r="BM73" s="239">
        <v>75576</v>
      </c>
      <c r="BN73" s="239">
        <v>0</v>
      </c>
      <c r="BO73" s="239">
        <v>-39732</v>
      </c>
      <c r="BP73" s="239">
        <v>44103</v>
      </c>
      <c r="BQ73" s="239">
        <v>0</v>
      </c>
      <c r="BR73" s="239">
        <v>6958</v>
      </c>
      <c r="BS73" s="239">
        <v>1739</v>
      </c>
      <c r="BT73" s="239">
        <v>0</v>
      </c>
      <c r="BU73" s="239">
        <v>1214</v>
      </c>
      <c r="BV73" s="239">
        <v>304</v>
      </c>
      <c r="BW73" s="239">
        <v>0</v>
      </c>
      <c r="BX73" s="239">
        <v>5744</v>
      </c>
      <c r="BY73" s="239">
        <v>1435</v>
      </c>
      <c r="BZ73" s="239">
        <v>0</v>
      </c>
      <c r="CA73" s="239">
        <v>0</v>
      </c>
      <c r="CB73" s="239">
        <v>0</v>
      </c>
      <c r="CC73" s="239">
        <v>0</v>
      </c>
      <c r="CD73" s="239">
        <v>0</v>
      </c>
      <c r="CE73" s="239">
        <v>0</v>
      </c>
      <c r="CF73" s="239">
        <v>0</v>
      </c>
      <c r="CG73" s="239">
        <v>0</v>
      </c>
      <c r="CH73" s="239">
        <v>0</v>
      </c>
      <c r="CI73" s="239">
        <v>0</v>
      </c>
      <c r="CJ73" s="239">
        <v>-693</v>
      </c>
      <c r="CK73" s="239">
        <v>-173</v>
      </c>
      <c r="CL73" s="239">
        <v>0</v>
      </c>
      <c r="CM73" s="239">
        <v>26</v>
      </c>
      <c r="CN73" s="239">
        <v>6</v>
      </c>
      <c r="CO73" s="239">
        <v>0</v>
      </c>
      <c r="CP73" s="239">
        <v>-719</v>
      </c>
      <c r="CQ73" s="239">
        <v>-179</v>
      </c>
      <c r="CR73" s="239">
        <v>0</v>
      </c>
      <c r="CS73" s="239">
        <v>-28</v>
      </c>
      <c r="CT73" s="239">
        <v>-7</v>
      </c>
      <c r="CU73" s="239">
        <v>0</v>
      </c>
      <c r="CV73" s="239">
        <v>0</v>
      </c>
      <c r="CW73" s="239">
        <v>0</v>
      </c>
      <c r="CX73" s="239">
        <v>0</v>
      </c>
      <c r="CY73" s="239">
        <v>0</v>
      </c>
      <c r="CZ73" s="239">
        <v>0</v>
      </c>
      <c r="DA73" s="239">
        <v>0</v>
      </c>
      <c r="DB73" s="239">
        <v>0</v>
      </c>
      <c r="DC73" s="239">
        <v>0</v>
      </c>
      <c r="DD73" s="239">
        <v>0</v>
      </c>
      <c r="DE73" s="239">
        <v>0</v>
      </c>
      <c r="DF73" s="239">
        <v>0</v>
      </c>
      <c r="DG73" s="239">
        <v>0</v>
      </c>
      <c r="DH73" s="239">
        <v>0</v>
      </c>
      <c r="DI73" s="239">
        <v>0</v>
      </c>
      <c r="DJ73" s="239">
        <v>0</v>
      </c>
      <c r="DK73" s="239">
        <v>0</v>
      </c>
      <c r="DL73" s="239">
        <v>0</v>
      </c>
      <c r="DM73" s="239">
        <v>0</v>
      </c>
      <c r="DN73" s="239">
        <v>0</v>
      </c>
      <c r="DO73" s="239">
        <v>0</v>
      </c>
      <c r="DP73" s="239">
        <v>0</v>
      </c>
      <c r="DQ73" s="239">
        <v>0</v>
      </c>
      <c r="DR73" s="239">
        <v>0</v>
      </c>
      <c r="DS73" s="239">
        <v>0</v>
      </c>
      <c r="DT73" s="239">
        <v>0</v>
      </c>
      <c r="DU73" s="239">
        <v>0</v>
      </c>
      <c r="DV73" s="239">
        <v>0</v>
      </c>
      <c r="DW73" s="239">
        <v>0</v>
      </c>
      <c r="DX73" s="239">
        <v>0</v>
      </c>
      <c r="DY73" s="239">
        <v>0</v>
      </c>
      <c r="DZ73" s="239">
        <v>6884</v>
      </c>
      <c r="EA73" s="239">
        <v>1721</v>
      </c>
      <c r="EB73" s="239">
        <v>0</v>
      </c>
      <c r="EC73" s="239">
        <v>8605</v>
      </c>
      <c r="ED73" s="239">
        <v>0</v>
      </c>
      <c r="EE73" s="239">
        <v>0</v>
      </c>
      <c r="EF73" s="239">
        <v>-1721</v>
      </c>
      <c r="EG73" s="239">
        <v>1721</v>
      </c>
      <c r="EH73" s="239">
        <v>0</v>
      </c>
      <c r="EI73" s="239">
        <v>73290</v>
      </c>
      <c r="EJ73" s="239">
        <v>18322</v>
      </c>
      <c r="EK73" s="239">
        <v>0</v>
      </c>
      <c r="EL73" s="239">
        <v>166331</v>
      </c>
      <c r="EM73" s="239">
        <v>0</v>
      </c>
      <c r="EN73" s="239">
        <v>0</v>
      </c>
      <c r="EO73" s="239">
        <v>-93041</v>
      </c>
      <c r="EP73" s="239">
        <v>18322</v>
      </c>
      <c r="EQ73" s="239">
        <v>0</v>
      </c>
      <c r="ER73" s="239">
        <v>8077</v>
      </c>
      <c r="ES73" s="239">
        <v>2019</v>
      </c>
      <c r="ET73" s="239">
        <v>0</v>
      </c>
      <c r="EU73" s="239">
        <v>12633</v>
      </c>
      <c r="EV73" s="239">
        <v>0</v>
      </c>
      <c r="EW73" s="239">
        <v>0</v>
      </c>
      <c r="EX73" s="239">
        <v>-4556</v>
      </c>
      <c r="EY73" s="239">
        <v>2019</v>
      </c>
      <c r="EZ73" s="239">
        <v>0</v>
      </c>
      <c r="FA73" s="239">
        <v>685014</v>
      </c>
      <c r="FB73" s="239">
        <v>171236</v>
      </c>
      <c r="FC73" s="239">
        <v>0</v>
      </c>
      <c r="FD73" s="239">
        <v>699687</v>
      </c>
      <c r="FE73" s="239">
        <v>174904</v>
      </c>
      <c r="FF73" s="239">
        <v>0</v>
      </c>
      <c r="FG73" s="239">
        <v>-14673</v>
      </c>
      <c r="FH73" s="239">
        <v>-3668</v>
      </c>
      <c r="FI73" s="239">
        <v>0</v>
      </c>
      <c r="FJ73" s="239">
        <v>0</v>
      </c>
      <c r="FK73" s="239">
        <v>0</v>
      </c>
      <c r="FL73" s="239">
        <v>0</v>
      </c>
      <c r="FM73" s="239">
        <v>0</v>
      </c>
      <c r="FN73" s="239">
        <v>0</v>
      </c>
      <c r="FO73" s="239">
        <v>0</v>
      </c>
      <c r="FP73" s="239">
        <v>0</v>
      </c>
      <c r="FQ73" s="239">
        <v>0</v>
      </c>
      <c r="FR73" s="239">
        <v>0</v>
      </c>
      <c r="FS73" s="239">
        <v>0</v>
      </c>
      <c r="FT73" s="239">
        <v>0</v>
      </c>
      <c r="FU73" s="239">
        <v>0</v>
      </c>
      <c r="FV73" s="239">
        <v>1258220</v>
      </c>
      <c r="FW73" s="239">
        <v>314536</v>
      </c>
      <c r="FX73" s="239">
        <v>0</v>
      </c>
      <c r="FY73" s="834">
        <v>0.5</v>
      </c>
      <c r="FZ73" s="834">
        <v>0.4</v>
      </c>
      <c r="GA73" s="834">
        <v>0.1</v>
      </c>
      <c r="GB73" s="834">
        <v>0</v>
      </c>
      <c r="GC73" s="214" t="s">
        <v>1158</v>
      </c>
    </row>
    <row r="74" spans="1:185" s="214" customFormat="1" x14ac:dyDescent="0.2">
      <c r="A74" s="215"/>
      <c r="B74" s="602" t="s">
        <v>231</v>
      </c>
      <c r="C74" s="602" t="s">
        <v>230</v>
      </c>
      <c r="D74" s="239">
        <v>6774135</v>
      </c>
      <c r="E74" s="239">
        <v>0</v>
      </c>
      <c r="F74" s="239">
        <v>6774135</v>
      </c>
      <c r="G74" s="239">
        <v>4441356</v>
      </c>
      <c r="H74" s="239">
        <v>0</v>
      </c>
      <c r="I74" s="239">
        <v>4441356</v>
      </c>
      <c r="J74" s="239">
        <v>2332779</v>
      </c>
      <c r="K74" s="239">
        <v>0</v>
      </c>
      <c r="L74" s="239">
        <v>2332779</v>
      </c>
      <c r="M74" s="239">
        <v>429856</v>
      </c>
      <c r="N74" s="239">
        <v>429856</v>
      </c>
      <c r="O74" s="239">
        <v>0</v>
      </c>
      <c r="P74" s="239">
        <v>0</v>
      </c>
      <c r="Q74" s="239">
        <v>0</v>
      </c>
      <c r="R74" s="239">
        <v>0</v>
      </c>
      <c r="S74" s="239">
        <v>0</v>
      </c>
      <c r="T74" s="239">
        <v>0</v>
      </c>
      <c r="U74" s="239">
        <v>0</v>
      </c>
      <c r="V74" s="239">
        <v>0</v>
      </c>
      <c r="W74" s="239">
        <v>0</v>
      </c>
      <c r="X74" s="239">
        <v>0</v>
      </c>
      <c r="Y74" s="239">
        <v>0</v>
      </c>
      <c r="Z74" s="239">
        <v>0</v>
      </c>
      <c r="AA74" s="239">
        <v>0</v>
      </c>
      <c r="AB74" s="239">
        <v>0</v>
      </c>
      <c r="AC74" s="239">
        <v>0</v>
      </c>
      <c r="AD74" s="239">
        <v>0</v>
      </c>
      <c r="AE74" s="239">
        <v>0</v>
      </c>
      <c r="AF74" s="239">
        <v>0</v>
      </c>
      <c r="AG74" s="239">
        <v>0</v>
      </c>
      <c r="AH74" s="239">
        <v>0</v>
      </c>
      <c r="AI74" s="239">
        <v>0</v>
      </c>
      <c r="AJ74" s="239">
        <v>0</v>
      </c>
      <c r="AK74" s="239">
        <v>0</v>
      </c>
      <c r="AL74" s="239">
        <v>0</v>
      </c>
      <c r="AM74" s="239">
        <v>0</v>
      </c>
      <c r="AN74" s="239">
        <v>0</v>
      </c>
      <c r="AO74" s="239">
        <v>0</v>
      </c>
      <c r="AP74" s="239">
        <v>0</v>
      </c>
      <c r="AQ74" s="239">
        <v>0</v>
      </c>
      <c r="AR74" s="239">
        <v>0</v>
      </c>
      <c r="AS74" s="239">
        <v>0</v>
      </c>
      <c r="AT74" s="239">
        <v>0</v>
      </c>
      <c r="AU74" s="239">
        <v>0</v>
      </c>
      <c r="AV74" s="239">
        <v>0</v>
      </c>
      <c r="AW74" s="239">
        <v>0</v>
      </c>
      <c r="AX74" s="239">
        <v>0</v>
      </c>
      <c r="AY74" s="239">
        <v>0</v>
      </c>
      <c r="AZ74" s="239">
        <v>0</v>
      </c>
      <c r="BA74" s="239">
        <v>0</v>
      </c>
      <c r="BB74" s="239">
        <v>0</v>
      </c>
      <c r="BC74" s="239">
        <v>1686810</v>
      </c>
      <c r="BD74" s="239">
        <v>2080399</v>
      </c>
      <c r="BE74" s="239">
        <v>0</v>
      </c>
      <c r="BF74" s="239">
        <v>1658381.4166293989</v>
      </c>
      <c r="BG74" s="239">
        <v>2045337.0805095925</v>
      </c>
      <c r="BH74" s="239">
        <v>0</v>
      </c>
      <c r="BI74" s="239">
        <v>125952.76439914161</v>
      </c>
      <c r="BJ74" s="239">
        <v>113643.23172532186</v>
      </c>
      <c r="BK74" s="239">
        <v>0</v>
      </c>
      <c r="BL74" s="239">
        <v>2184748</v>
      </c>
      <c r="BM74" s="239">
        <v>1246694</v>
      </c>
      <c r="BN74" s="239">
        <v>0</v>
      </c>
      <c r="BO74" s="239">
        <v>-497938</v>
      </c>
      <c r="BP74" s="239">
        <v>833705</v>
      </c>
      <c r="BQ74" s="239">
        <v>0</v>
      </c>
      <c r="BR74" s="239">
        <v>11231</v>
      </c>
      <c r="BS74" s="239">
        <v>13852</v>
      </c>
      <c r="BT74" s="239">
        <v>0</v>
      </c>
      <c r="BU74" s="239">
        <v>0</v>
      </c>
      <c r="BV74" s="239">
        <v>0</v>
      </c>
      <c r="BW74" s="239">
        <v>0</v>
      </c>
      <c r="BX74" s="239">
        <v>11231</v>
      </c>
      <c r="BY74" s="239">
        <v>13852</v>
      </c>
      <c r="BZ74" s="239">
        <v>0</v>
      </c>
      <c r="CA74" s="239">
        <v>0</v>
      </c>
      <c r="CB74" s="239">
        <v>0</v>
      </c>
      <c r="CC74" s="239">
        <v>0</v>
      </c>
      <c r="CD74" s="239">
        <v>0</v>
      </c>
      <c r="CE74" s="239">
        <v>0</v>
      </c>
      <c r="CF74" s="239">
        <v>0</v>
      </c>
      <c r="CG74" s="239">
        <v>0</v>
      </c>
      <c r="CH74" s="239">
        <v>0</v>
      </c>
      <c r="CI74" s="239">
        <v>0</v>
      </c>
      <c r="CJ74" s="239">
        <v>0</v>
      </c>
      <c r="CK74" s="239">
        <v>0</v>
      </c>
      <c r="CL74" s="239">
        <v>0</v>
      </c>
      <c r="CM74" s="239">
        <v>390</v>
      </c>
      <c r="CN74" s="239">
        <v>480</v>
      </c>
      <c r="CO74" s="239">
        <v>0</v>
      </c>
      <c r="CP74" s="239">
        <v>-390</v>
      </c>
      <c r="CQ74" s="239">
        <v>-480</v>
      </c>
      <c r="CR74" s="239">
        <v>0</v>
      </c>
      <c r="CS74" s="239">
        <v>-1632</v>
      </c>
      <c r="CT74" s="239">
        <v>-2012</v>
      </c>
      <c r="CU74" s="239">
        <v>0</v>
      </c>
      <c r="CV74" s="239">
        <v>0</v>
      </c>
      <c r="CW74" s="239">
        <v>0</v>
      </c>
      <c r="CX74" s="239">
        <v>0</v>
      </c>
      <c r="CY74" s="239">
        <v>0</v>
      </c>
      <c r="CZ74" s="239">
        <v>0</v>
      </c>
      <c r="DA74" s="239">
        <v>0</v>
      </c>
      <c r="DB74" s="239">
        <v>0</v>
      </c>
      <c r="DC74" s="239">
        <v>0</v>
      </c>
      <c r="DD74" s="239">
        <v>0</v>
      </c>
      <c r="DE74" s="239">
        <v>0</v>
      </c>
      <c r="DF74" s="239">
        <v>0</v>
      </c>
      <c r="DG74" s="239">
        <v>0</v>
      </c>
      <c r="DH74" s="239">
        <v>0</v>
      </c>
      <c r="DI74" s="239">
        <v>0</v>
      </c>
      <c r="DJ74" s="239">
        <v>0</v>
      </c>
      <c r="DK74" s="239">
        <v>0</v>
      </c>
      <c r="DL74" s="239">
        <v>0</v>
      </c>
      <c r="DM74" s="239">
        <v>0</v>
      </c>
      <c r="DN74" s="239">
        <v>0</v>
      </c>
      <c r="DO74" s="239">
        <v>0</v>
      </c>
      <c r="DP74" s="239">
        <v>0</v>
      </c>
      <c r="DQ74" s="239">
        <v>0</v>
      </c>
      <c r="DR74" s="239">
        <v>0</v>
      </c>
      <c r="DS74" s="239">
        <v>0</v>
      </c>
      <c r="DT74" s="239">
        <v>0</v>
      </c>
      <c r="DU74" s="239">
        <v>0</v>
      </c>
      <c r="DV74" s="239">
        <v>0</v>
      </c>
      <c r="DW74" s="239">
        <v>0</v>
      </c>
      <c r="DX74" s="239">
        <v>0</v>
      </c>
      <c r="DY74" s="239">
        <v>0</v>
      </c>
      <c r="DZ74" s="239">
        <v>106271</v>
      </c>
      <c r="EA74" s="239">
        <v>131067</v>
      </c>
      <c r="EB74" s="239">
        <v>0</v>
      </c>
      <c r="EC74" s="239">
        <v>239997</v>
      </c>
      <c r="ED74" s="239">
        <v>0</v>
      </c>
      <c r="EE74" s="239">
        <v>0</v>
      </c>
      <c r="EF74" s="239">
        <v>-133726</v>
      </c>
      <c r="EG74" s="239">
        <v>131067</v>
      </c>
      <c r="EH74" s="239">
        <v>0</v>
      </c>
      <c r="EI74" s="239">
        <v>493809</v>
      </c>
      <c r="EJ74" s="239">
        <v>609031</v>
      </c>
      <c r="EK74" s="239">
        <v>0</v>
      </c>
      <c r="EL74" s="239">
        <v>1199758</v>
      </c>
      <c r="EM74" s="239">
        <v>0</v>
      </c>
      <c r="EN74" s="239">
        <v>0</v>
      </c>
      <c r="EO74" s="239">
        <v>-705949</v>
      </c>
      <c r="EP74" s="239">
        <v>609031</v>
      </c>
      <c r="EQ74" s="239">
        <v>0</v>
      </c>
      <c r="ER74" s="239">
        <v>15181</v>
      </c>
      <c r="ES74" s="239">
        <v>18723</v>
      </c>
      <c r="ET74" s="239">
        <v>0</v>
      </c>
      <c r="EU74" s="239">
        <v>37910</v>
      </c>
      <c r="EV74" s="239">
        <v>0</v>
      </c>
      <c r="EW74" s="239">
        <v>0</v>
      </c>
      <c r="EX74" s="239">
        <v>-22729</v>
      </c>
      <c r="EY74" s="239">
        <v>18723</v>
      </c>
      <c r="EZ74" s="239">
        <v>0</v>
      </c>
      <c r="FA74" s="239">
        <v>501172</v>
      </c>
      <c r="FB74" s="239">
        <v>618112</v>
      </c>
      <c r="FC74" s="239">
        <v>0</v>
      </c>
      <c r="FD74" s="239">
        <v>530342</v>
      </c>
      <c r="FE74" s="239">
        <v>654089</v>
      </c>
      <c r="FF74" s="239">
        <v>0</v>
      </c>
      <c r="FG74" s="239">
        <v>-29170</v>
      </c>
      <c r="FH74" s="239">
        <v>-35977</v>
      </c>
      <c r="FI74" s="239">
        <v>0</v>
      </c>
      <c r="FJ74" s="239">
        <v>0</v>
      </c>
      <c r="FK74" s="239">
        <v>0</v>
      </c>
      <c r="FL74" s="239">
        <v>0</v>
      </c>
      <c r="FM74" s="239">
        <v>0</v>
      </c>
      <c r="FN74" s="239">
        <v>0</v>
      </c>
      <c r="FO74" s="239">
        <v>0</v>
      </c>
      <c r="FP74" s="239">
        <v>0</v>
      </c>
      <c r="FQ74" s="239">
        <v>0</v>
      </c>
      <c r="FR74" s="239">
        <v>0</v>
      </c>
      <c r="FS74" s="239">
        <v>0</v>
      </c>
      <c r="FT74" s="239">
        <v>0</v>
      </c>
      <c r="FU74" s="239">
        <v>0</v>
      </c>
      <c r="FV74" s="239">
        <v>2812842</v>
      </c>
      <c r="FW74" s="239">
        <v>3469172</v>
      </c>
      <c r="FX74" s="239">
        <v>0</v>
      </c>
      <c r="FY74" s="834">
        <v>0.33000000000000007</v>
      </c>
      <c r="FZ74" s="834">
        <v>0.3</v>
      </c>
      <c r="GA74" s="834">
        <v>0.37</v>
      </c>
      <c r="GB74" s="834">
        <v>0</v>
      </c>
      <c r="GC74" s="214" t="s">
        <v>1159</v>
      </c>
    </row>
    <row r="75" spans="1:185" s="214" customFormat="1" x14ac:dyDescent="0.2">
      <c r="B75" s="602" t="s">
        <v>233</v>
      </c>
      <c r="C75" s="602" t="s">
        <v>232</v>
      </c>
      <c r="D75" s="239">
        <v>-296459</v>
      </c>
      <c r="E75" s="239">
        <v>4701</v>
      </c>
      <c r="F75" s="239">
        <v>-291758</v>
      </c>
      <c r="G75" s="239">
        <v>389953</v>
      </c>
      <c r="H75" s="239">
        <v>4701</v>
      </c>
      <c r="I75" s="239">
        <v>394654</v>
      </c>
      <c r="J75" s="239">
        <v>-686412</v>
      </c>
      <c r="K75" s="239">
        <v>0</v>
      </c>
      <c r="L75" s="239">
        <v>-686412</v>
      </c>
      <c r="M75" s="239">
        <v>207475</v>
      </c>
      <c r="N75" s="239">
        <v>207475</v>
      </c>
      <c r="O75" s="239">
        <v>0</v>
      </c>
      <c r="P75" s="239">
        <v>28100</v>
      </c>
      <c r="Q75" s="239">
        <v>0</v>
      </c>
      <c r="R75" s="239">
        <v>28100</v>
      </c>
      <c r="S75" s="239">
        <v>0</v>
      </c>
      <c r="T75" s="239">
        <v>0</v>
      </c>
      <c r="U75" s="239">
        <v>0</v>
      </c>
      <c r="V75" s="239">
        <v>0</v>
      </c>
      <c r="W75" s="239">
        <v>0</v>
      </c>
      <c r="X75" s="239">
        <v>0</v>
      </c>
      <c r="Y75" s="239">
        <v>0</v>
      </c>
      <c r="Z75" s="239">
        <v>0</v>
      </c>
      <c r="AA75" s="239">
        <v>0</v>
      </c>
      <c r="AB75" s="239">
        <v>0</v>
      </c>
      <c r="AC75" s="239">
        <v>0</v>
      </c>
      <c r="AD75" s="239">
        <v>0</v>
      </c>
      <c r="AE75" s="239">
        <v>0</v>
      </c>
      <c r="AF75" s="239">
        <v>0</v>
      </c>
      <c r="AG75" s="239">
        <v>0</v>
      </c>
      <c r="AH75" s="239">
        <v>0</v>
      </c>
      <c r="AI75" s="239">
        <v>0</v>
      </c>
      <c r="AJ75" s="239">
        <v>0</v>
      </c>
      <c r="AK75" s="239">
        <v>0</v>
      </c>
      <c r="AL75" s="239">
        <v>0</v>
      </c>
      <c r="AM75" s="239">
        <v>0</v>
      </c>
      <c r="AN75" s="239">
        <v>0</v>
      </c>
      <c r="AO75" s="239">
        <v>0</v>
      </c>
      <c r="AP75" s="239">
        <v>0</v>
      </c>
      <c r="AQ75" s="239">
        <v>0</v>
      </c>
      <c r="AR75" s="239">
        <v>0</v>
      </c>
      <c r="AS75" s="239">
        <v>0</v>
      </c>
      <c r="AT75" s="239">
        <v>0</v>
      </c>
      <c r="AU75" s="239">
        <v>0</v>
      </c>
      <c r="AV75" s="239">
        <v>0</v>
      </c>
      <c r="AW75" s="239">
        <v>0</v>
      </c>
      <c r="AX75" s="239">
        <v>0</v>
      </c>
      <c r="AY75" s="239">
        <v>0</v>
      </c>
      <c r="AZ75" s="239">
        <v>0</v>
      </c>
      <c r="BA75" s="239">
        <v>0</v>
      </c>
      <c r="BB75" s="239">
        <v>0</v>
      </c>
      <c r="BC75" s="239">
        <v>1124944</v>
      </c>
      <c r="BD75" s="239">
        <v>281236</v>
      </c>
      <c r="BE75" s="239">
        <v>0</v>
      </c>
      <c r="BF75" s="239">
        <v>1085205.9069004292</v>
      </c>
      <c r="BG75" s="239">
        <v>271301.47672510729</v>
      </c>
      <c r="BH75" s="239">
        <v>0</v>
      </c>
      <c r="BI75" s="239">
        <v>120831.01686695279</v>
      </c>
      <c r="BJ75" s="239">
        <v>30207.754216738198</v>
      </c>
      <c r="BK75" s="239">
        <v>0</v>
      </c>
      <c r="BL75" s="239">
        <v>987217</v>
      </c>
      <c r="BM75" s="239">
        <v>153295</v>
      </c>
      <c r="BN75" s="239">
        <v>0</v>
      </c>
      <c r="BO75" s="239">
        <v>137727</v>
      </c>
      <c r="BP75" s="239">
        <v>127941</v>
      </c>
      <c r="BQ75" s="239">
        <v>0</v>
      </c>
      <c r="BR75" s="239">
        <v>0</v>
      </c>
      <c r="BS75" s="239">
        <v>0</v>
      </c>
      <c r="BT75" s="239">
        <v>0</v>
      </c>
      <c r="BU75" s="239">
        <v>0</v>
      </c>
      <c r="BV75" s="239">
        <v>0</v>
      </c>
      <c r="BW75" s="239">
        <v>0</v>
      </c>
      <c r="BX75" s="239">
        <v>0</v>
      </c>
      <c r="BY75" s="239">
        <v>0</v>
      </c>
      <c r="BZ75" s="239">
        <v>0</v>
      </c>
      <c r="CA75" s="239">
        <v>0</v>
      </c>
      <c r="CB75" s="239">
        <v>0</v>
      </c>
      <c r="CC75" s="239">
        <v>0</v>
      </c>
      <c r="CD75" s="239">
        <v>17454</v>
      </c>
      <c r="CE75" s="239">
        <v>4363</v>
      </c>
      <c r="CF75" s="239">
        <v>0</v>
      </c>
      <c r="CG75" s="239">
        <v>-17454</v>
      </c>
      <c r="CH75" s="239">
        <v>-4363</v>
      </c>
      <c r="CI75" s="239">
        <v>0</v>
      </c>
      <c r="CJ75" s="239">
        <v>0</v>
      </c>
      <c r="CK75" s="239">
        <v>0</v>
      </c>
      <c r="CL75" s="239">
        <v>0</v>
      </c>
      <c r="CM75" s="239">
        <v>3248</v>
      </c>
      <c r="CN75" s="239">
        <v>812</v>
      </c>
      <c r="CO75" s="239">
        <v>0</v>
      </c>
      <c r="CP75" s="239">
        <v>-3248</v>
      </c>
      <c r="CQ75" s="239">
        <v>-812</v>
      </c>
      <c r="CR75" s="239">
        <v>0</v>
      </c>
      <c r="CS75" s="239">
        <v>-1527</v>
      </c>
      <c r="CT75" s="239">
        <v>-382</v>
      </c>
      <c r="CU75" s="239">
        <v>0</v>
      </c>
      <c r="CV75" s="239">
        <v>0</v>
      </c>
      <c r="CW75" s="239">
        <v>0</v>
      </c>
      <c r="CX75" s="239">
        <v>0</v>
      </c>
      <c r="CY75" s="239">
        <v>0</v>
      </c>
      <c r="CZ75" s="239">
        <v>0</v>
      </c>
      <c r="DA75" s="239">
        <v>0</v>
      </c>
      <c r="DB75" s="239">
        <v>0</v>
      </c>
      <c r="DC75" s="239">
        <v>0</v>
      </c>
      <c r="DD75" s="239">
        <v>0</v>
      </c>
      <c r="DE75" s="239">
        <v>0</v>
      </c>
      <c r="DF75" s="239">
        <v>0</v>
      </c>
      <c r="DG75" s="239">
        <v>0</v>
      </c>
      <c r="DH75" s="239">
        <v>1682</v>
      </c>
      <c r="DI75" s="239">
        <v>421</v>
      </c>
      <c r="DJ75" s="239">
        <v>0</v>
      </c>
      <c r="DK75" s="239">
        <v>1682</v>
      </c>
      <c r="DL75" s="239">
        <v>421</v>
      </c>
      <c r="DM75" s="239">
        <v>0</v>
      </c>
      <c r="DN75" s="239">
        <v>0</v>
      </c>
      <c r="DO75" s="239">
        <v>0</v>
      </c>
      <c r="DP75" s="239">
        <v>0</v>
      </c>
      <c r="DQ75" s="239">
        <v>0</v>
      </c>
      <c r="DR75" s="239">
        <v>0</v>
      </c>
      <c r="DS75" s="239">
        <v>0</v>
      </c>
      <c r="DT75" s="239">
        <v>0</v>
      </c>
      <c r="DU75" s="239">
        <v>0</v>
      </c>
      <c r="DV75" s="239">
        <v>0</v>
      </c>
      <c r="DW75" s="239">
        <v>0</v>
      </c>
      <c r="DX75" s="239">
        <v>0</v>
      </c>
      <c r="DY75" s="239">
        <v>0</v>
      </c>
      <c r="DZ75" s="239">
        <v>9742</v>
      </c>
      <c r="EA75" s="239">
        <v>2435</v>
      </c>
      <c r="EB75" s="239">
        <v>0</v>
      </c>
      <c r="EC75" s="239">
        <v>12309</v>
      </c>
      <c r="ED75" s="239">
        <v>0</v>
      </c>
      <c r="EE75" s="239">
        <v>0</v>
      </c>
      <c r="EF75" s="239">
        <v>-2567</v>
      </c>
      <c r="EG75" s="239">
        <v>2435</v>
      </c>
      <c r="EH75" s="239">
        <v>0</v>
      </c>
      <c r="EI75" s="239">
        <v>129309</v>
      </c>
      <c r="EJ75" s="239">
        <v>32327</v>
      </c>
      <c r="EK75" s="239">
        <v>0</v>
      </c>
      <c r="EL75" s="239">
        <v>191000</v>
      </c>
      <c r="EM75" s="239">
        <v>0</v>
      </c>
      <c r="EN75" s="239">
        <v>0</v>
      </c>
      <c r="EO75" s="239">
        <v>-61691</v>
      </c>
      <c r="EP75" s="239">
        <v>32327</v>
      </c>
      <c r="EQ75" s="239">
        <v>0</v>
      </c>
      <c r="ER75" s="239">
        <v>19325</v>
      </c>
      <c r="ES75" s="239">
        <v>4831</v>
      </c>
      <c r="ET75" s="239">
        <v>0</v>
      </c>
      <c r="EU75" s="239">
        <v>25109</v>
      </c>
      <c r="EV75" s="239">
        <v>0</v>
      </c>
      <c r="EW75" s="239">
        <v>0</v>
      </c>
      <c r="EX75" s="239">
        <v>-5784</v>
      </c>
      <c r="EY75" s="239">
        <v>4831</v>
      </c>
      <c r="EZ75" s="239">
        <v>0</v>
      </c>
      <c r="FA75" s="239">
        <v>358905</v>
      </c>
      <c r="FB75" s="239">
        <v>89621</v>
      </c>
      <c r="FC75" s="239">
        <v>0</v>
      </c>
      <c r="FD75" s="239">
        <v>348198</v>
      </c>
      <c r="FE75" s="239">
        <v>87049</v>
      </c>
      <c r="FF75" s="239">
        <v>0</v>
      </c>
      <c r="FG75" s="239">
        <v>10707</v>
      </c>
      <c r="FH75" s="239">
        <v>2572</v>
      </c>
      <c r="FI75" s="239">
        <v>0</v>
      </c>
      <c r="FJ75" s="239">
        <v>0</v>
      </c>
      <c r="FK75" s="239">
        <v>0</v>
      </c>
      <c r="FL75" s="239">
        <v>0</v>
      </c>
      <c r="FM75" s="239">
        <v>0</v>
      </c>
      <c r="FN75" s="239">
        <v>0</v>
      </c>
      <c r="FO75" s="239">
        <v>0</v>
      </c>
      <c r="FP75" s="239">
        <v>0</v>
      </c>
      <c r="FQ75" s="239">
        <v>0</v>
      </c>
      <c r="FR75" s="239">
        <v>0</v>
      </c>
      <c r="FS75" s="239">
        <v>0</v>
      </c>
      <c r="FT75" s="239">
        <v>0</v>
      </c>
      <c r="FU75" s="239">
        <v>0</v>
      </c>
      <c r="FV75" s="239">
        <v>1642380</v>
      </c>
      <c r="FW75" s="239">
        <v>410489</v>
      </c>
      <c r="FX75" s="239">
        <v>0</v>
      </c>
      <c r="FY75" s="834">
        <v>0.5</v>
      </c>
      <c r="FZ75" s="834">
        <v>0.4</v>
      </c>
      <c r="GA75" s="834">
        <v>0.1</v>
      </c>
      <c r="GB75" s="834">
        <v>0</v>
      </c>
      <c r="GC75" s="214" t="s">
        <v>1158</v>
      </c>
    </row>
    <row r="76" spans="1:185" s="214" customFormat="1" x14ac:dyDescent="0.2">
      <c r="B76" s="602" t="s">
        <v>235</v>
      </c>
      <c r="C76" s="602" t="s">
        <v>234</v>
      </c>
      <c r="D76" s="239">
        <v>-3515669</v>
      </c>
      <c r="E76" s="239">
        <v>-12096</v>
      </c>
      <c r="F76" s="239">
        <v>-3527765</v>
      </c>
      <c r="G76" s="239">
        <v>-3678725</v>
      </c>
      <c r="H76" s="239">
        <v>-12096</v>
      </c>
      <c r="I76" s="239">
        <v>-3690821</v>
      </c>
      <c r="J76" s="239">
        <v>163056</v>
      </c>
      <c r="K76" s="239">
        <v>0</v>
      </c>
      <c r="L76" s="239">
        <v>163056</v>
      </c>
      <c r="M76" s="239">
        <v>143297</v>
      </c>
      <c r="N76" s="239">
        <v>143297</v>
      </c>
      <c r="O76" s="239">
        <v>0</v>
      </c>
      <c r="P76" s="239">
        <v>168953</v>
      </c>
      <c r="Q76" s="239">
        <v>221036</v>
      </c>
      <c r="R76" s="239">
        <v>-52083</v>
      </c>
      <c r="S76" s="239">
        <v>0</v>
      </c>
      <c r="T76" s="239">
        <v>0</v>
      </c>
      <c r="U76" s="239">
        <v>0</v>
      </c>
      <c r="V76" s="239">
        <v>0</v>
      </c>
      <c r="W76" s="239">
        <v>0</v>
      </c>
      <c r="X76" s="239">
        <v>0</v>
      </c>
      <c r="Y76" s="239">
        <v>20164</v>
      </c>
      <c r="Z76" s="239">
        <v>20164</v>
      </c>
      <c r="AA76" s="239">
        <v>0</v>
      </c>
      <c r="AB76" s="239">
        <v>0</v>
      </c>
      <c r="AC76" s="239">
        <v>16520</v>
      </c>
      <c r="AD76" s="239">
        <v>16520</v>
      </c>
      <c r="AE76" s="239">
        <v>0</v>
      </c>
      <c r="AF76" s="239">
        <v>0</v>
      </c>
      <c r="AG76" s="239">
        <v>3644</v>
      </c>
      <c r="AH76" s="239">
        <v>3644</v>
      </c>
      <c r="AI76" s="239">
        <v>0</v>
      </c>
      <c r="AJ76" s="239">
        <v>0</v>
      </c>
      <c r="AK76" s="239">
        <v>0</v>
      </c>
      <c r="AL76" s="239">
        <v>0</v>
      </c>
      <c r="AM76" s="239">
        <v>0</v>
      </c>
      <c r="AN76" s="239">
        <v>0</v>
      </c>
      <c r="AO76" s="239">
        <v>0</v>
      </c>
      <c r="AP76" s="239">
        <v>0</v>
      </c>
      <c r="AQ76" s="239">
        <v>0</v>
      </c>
      <c r="AR76" s="239">
        <v>0</v>
      </c>
      <c r="AS76" s="239">
        <v>0</v>
      </c>
      <c r="AT76" s="239">
        <v>0</v>
      </c>
      <c r="AU76" s="239">
        <v>0</v>
      </c>
      <c r="AV76" s="239">
        <v>0</v>
      </c>
      <c r="AW76" s="239">
        <v>0</v>
      </c>
      <c r="AX76" s="239">
        <v>0</v>
      </c>
      <c r="AY76" s="239">
        <v>0</v>
      </c>
      <c r="AZ76" s="239">
        <v>0</v>
      </c>
      <c r="BA76" s="239">
        <v>0</v>
      </c>
      <c r="BB76" s="239">
        <v>0</v>
      </c>
      <c r="BC76" s="239">
        <v>1313462</v>
      </c>
      <c r="BD76" s="239">
        <v>0</v>
      </c>
      <c r="BE76" s="239">
        <v>25768</v>
      </c>
      <c r="BF76" s="239">
        <v>1286935.2069048928</v>
      </c>
      <c r="BG76" s="239">
        <v>0</v>
      </c>
      <c r="BH76" s="239">
        <v>25247.324897682403</v>
      </c>
      <c r="BI76" s="239">
        <v>68310.111888412008</v>
      </c>
      <c r="BJ76" s="239">
        <v>0</v>
      </c>
      <c r="BK76" s="239">
        <v>1387.3516309012875</v>
      </c>
      <c r="BL76" s="239">
        <v>1069771</v>
      </c>
      <c r="BM76" s="239">
        <v>0</v>
      </c>
      <c r="BN76" s="239">
        <v>15592</v>
      </c>
      <c r="BO76" s="239">
        <v>243691</v>
      </c>
      <c r="BP76" s="239">
        <v>0</v>
      </c>
      <c r="BQ76" s="239">
        <v>10176</v>
      </c>
      <c r="BR76" s="239">
        <v>11440</v>
      </c>
      <c r="BS76" s="239">
        <v>0</v>
      </c>
      <c r="BT76" s="239">
        <v>233</v>
      </c>
      <c r="BU76" s="239">
        <v>3618</v>
      </c>
      <c r="BV76" s="239">
        <v>0</v>
      </c>
      <c r="BW76" s="239">
        <v>74</v>
      </c>
      <c r="BX76" s="239">
        <v>7822</v>
      </c>
      <c r="BY76" s="239">
        <v>0</v>
      </c>
      <c r="BZ76" s="239">
        <v>159</v>
      </c>
      <c r="CA76" s="239">
        <v>27113</v>
      </c>
      <c r="CB76" s="239">
        <v>0</v>
      </c>
      <c r="CC76" s="239">
        <v>570</v>
      </c>
      <c r="CD76" s="239">
        <v>53089</v>
      </c>
      <c r="CE76" s="239">
        <v>0</v>
      </c>
      <c r="CF76" s="239">
        <v>1036</v>
      </c>
      <c r="CG76" s="239">
        <v>-25976</v>
      </c>
      <c r="CH76" s="239">
        <v>0</v>
      </c>
      <c r="CI76" s="239">
        <v>-466</v>
      </c>
      <c r="CJ76" s="239">
        <v>1023</v>
      </c>
      <c r="CK76" s="239">
        <v>0</v>
      </c>
      <c r="CL76" s="239">
        <v>21</v>
      </c>
      <c r="CM76" s="239">
        <v>12301</v>
      </c>
      <c r="CN76" s="239">
        <v>0</v>
      </c>
      <c r="CO76" s="239">
        <v>251</v>
      </c>
      <c r="CP76" s="239">
        <v>-11278</v>
      </c>
      <c r="CQ76" s="239">
        <v>0</v>
      </c>
      <c r="CR76" s="239">
        <v>-230</v>
      </c>
      <c r="CS76" s="239">
        <v>-746</v>
      </c>
      <c r="CT76" s="239">
        <v>0</v>
      </c>
      <c r="CU76" s="239">
        <v>-15</v>
      </c>
      <c r="CV76" s="239">
        <v>0</v>
      </c>
      <c r="CW76" s="239">
        <v>0</v>
      </c>
      <c r="CX76" s="239">
        <v>0</v>
      </c>
      <c r="CY76" s="239">
        <v>0</v>
      </c>
      <c r="CZ76" s="239">
        <v>0</v>
      </c>
      <c r="DA76" s="239">
        <v>0</v>
      </c>
      <c r="DB76" s="239">
        <v>0</v>
      </c>
      <c r="DC76" s="239">
        <v>0</v>
      </c>
      <c r="DD76" s="239">
        <v>0</v>
      </c>
      <c r="DE76" s="239">
        <v>0</v>
      </c>
      <c r="DF76" s="239">
        <v>0</v>
      </c>
      <c r="DG76" s="239">
        <v>0</v>
      </c>
      <c r="DH76" s="239">
        <v>180</v>
      </c>
      <c r="DI76" s="239">
        <v>0</v>
      </c>
      <c r="DJ76" s="239">
        <v>4</v>
      </c>
      <c r="DK76" s="239">
        <v>0</v>
      </c>
      <c r="DL76" s="239">
        <v>0</v>
      </c>
      <c r="DM76" s="239">
        <v>0</v>
      </c>
      <c r="DN76" s="239">
        <v>180</v>
      </c>
      <c r="DO76" s="239">
        <v>0</v>
      </c>
      <c r="DP76" s="239">
        <v>4</v>
      </c>
      <c r="DQ76" s="239">
        <v>746</v>
      </c>
      <c r="DR76" s="239">
        <v>0</v>
      </c>
      <c r="DS76" s="239">
        <v>15</v>
      </c>
      <c r="DT76" s="239">
        <v>0</v>
      </c>
      <c r="DU76" s="239">
        <v>0</v>
      </c>
      <c r="DV76" s="239">
        <v>0</v>
      </c>
      <c r="DW76" s="239">
        <v>746</v>
      </c>
      <c r="DX76" s="239">
        <v>0</v>
      </c>
      <c r="DY76" s="239">
        <v>15</v>
      </c>
      <c r="DZ76" s="239">
        <v>10372</v>
      </c>
      <c r="EA76" s="239">
        <v>0</v>
      </c>
      <c r="EB76" s="239">
        <v>212</v>
      </c>
      <c r="EC76" s="239">
        <v>10584</v>
      </c>
      <c r="ED76" s="239">
        <v>0</v>
      </c>
      <c r="EE76" s="239">
        <v>0</v>
      </c>
      <c r="EF76" s="239">
        <v>-212</v>
      </c>
      <c r="EG76" s="239">
        <v>0</v>
      </c>
      <c r="EH76" s="239">
        <v>212</v>
      </c>
      <c r="EI76" s="239">
        <v>68362</v>
      </c>
      <c r="EJ76" s="239">
        <v>0</v>
      </c>
      <c r="EK76" s="239">
        <v>1316</v>
      </c>
      <c r="EL76" s="239">
        <v>66737</v>
      </c>
      <c r="EM76" s="239">
        <v>0</v>
      </c>
      <c r="EN76" s="239">
        <v>0</v>
      </c>
      <c r="EO76" s="239">
        <v>1625</v>
      </c>
      <c r="EP76" s="239">
        <v>0</v>
      </c>
      <c r="EQ76" s="239">
        <v>1316</v>
      </c>
      <c r="ER76" s="239">
        <v>22160</v>
      </c>
      <c r="ES76" s="239">
        <v>0</v>
      </c>
      <c r="ET76" s="239">
        <v>452</v>
      </c>
      <c r="EU76" s="239">
        <v>23208</v>
      </c>
      <c r="EV76" s="239">
        <v>0</v>
      </c>
      <c r="EW76" s="239">
        <v>0</v>
      </c>
      <c r="EX76" s="239">
        <v>-1048</v>
      </c>
      <c r="EY76" s="239">
        <v>0</v>
      </c>
      <c r="EZ76" s="239">
        <v>452</v>
      </c>
      <c r="FA76" s="239">
        <v>214641</v>
      </c>
      <c r="FB76" s="239">
        <v>0</v>
      </c>
      <c r="FC76" s="239">
        <v>4329</v>
      </c>
      <c r="FD76" s="239">
        <v>221361</v>
      </c>
      <c r="FE76" s="239">
        <v>0</v>
      </c>
      <c r="FF76" s="239">
        <v>4445</v>
      </c>
      <c r="FG76" s="239">
        <v>-6720</v>
      </c>
      <c r="FH76" s="239">
        <v>0</v>
      </c>
      <c r="FI76" s="239">
        <v>-116</v>
      </c>
      <c r="FJ76" s="239">
        <v>0</v>
      </c>
      <c r="FK76" s="239">
        <v>0</v>
      </c>
      <c r="FL76" s="239">
        <v>0</v>
      </c>
      <c r="FM76" s="239">
        <v>0</v>
      </c>
      <c r="FN76" s="239">
        <v>0</v>
      </c>
      <c r="FO76" s="239">
        <v>0</v>
      </c>
      <c r="FP76" s="239">
        <v>0</v>
      </c>
      <c r="FQ76" s="239">
        <v>0</v>
      </c>
      <c r="FR76" s="239">
        <v>0</v>
      </c>
      <c r="FS76" s="239">
        <v>30588337</v>
      </c>
      <c r="FT76" s="239">
        <v>30159588</v>
      </c>
      <c r="FU76" s="239">
        <v>214375</v>
      </c>
      <c r="FV76" s="239">
        <v>1883128</v>
      </c>
      <c r="FW76" s="239">
        <v>0</v>
      </c>
      <c r="FX76" s="239">
        <v>32905</v>
      </c>
      <c r="FY76" s="834">
        <v>0.5</v>
      </c>
      <c r="FZ76" s="834">
        <v>0.49</v>
      </c>
      <c r="GA76" s="834">
        <v>0</v>
      </c>
      <c r="GB76" s="834">
        <v>0.01</v>
      </c>
      <c r="GC76" s="214" t="s">
        <v>746</v>
      </c>
    </row>
    <row r="77" spans="1:185" s="214" customFormat="1" x14ac:dyDescent="0.2">
      <c r="B77" s="602" t="s">
        <v>237</v>
      </c>
      <c r="C77" s="602" t="s">
        <v>236</v>
      </c>
      <c r="D77" s="239">
        <v>-5129221</v>
      </c>
      <c r="E77" s="239">
        <v>0</v>
      </c>
      <c r="F77" s="239">
        <v>-5129221</v>
      </c>
      <c r="G77" s="239">
        <v>-4455256</v>
      </c>
      <c r="H77" s="239">
        <v>0</v>
      </c>
      <c r="I77" s="239">
        <v>-4455256</v>
      </c>
      <c r="J77" s="239">
        <v>-673965</v>
      </c>
      <c r="K77" s="239">
        <v>0</v>
      </c>
      <c r="L77" s="239">
        <v>-673965</v>
      </c>
      <c r="M77" s="239">
        <v>168218</v>
      </c>
      <c r="N77" s="239">
        <v>168218</v>
      </c>
      <c r="O77" s="239">
        <v>0</v>
      </c>
      <c r="P77" s="239">
        <v>0</v>
      </c>
      <c r="Q77" s="239">
        <v>0</v>
      </c>
      <c r="R77" s="239">
        <v>0</v>
      </c>
      <c r="S77" s="239">
        <v>0</v>
      </c>
      <c r="T77" s="239">
        <v>0</v>
      </c>
      <c r="U77" s="239">
        <v>0</v>
      </c>
      <c r="V77" s="239">
        <v>0</v>
      </c>
      <c r="W77" s="239">
        <v>0</v>
      </c>
      <c r="X77" s="239">
        <v>0</v>
      </c>
      <c r="Y77" s="239">
        <v>0</v>
      </c>
      <c r="Z77" s="239">
        <v>0</v>
      </c>
      <c r="AA77" s="239">
        <v>0</v>
      </c>
      <c r="AB77" s="239">
        <v>0</v>
      </c>
      <c r="AC77" s="239">
        <v>0</v>
      </c>
      <c r="AD77" s="239">
        <v>0</v>
      </c>
      <c r="AE77" s="239">
        <v>0</v>
      </c>
      <c r="AF77" s="239">
        <v>0</v>
      </c>
      <c r="AG77" s="239">
        <v>0</v>
      </c>
      <c r="AH77" s="239">
        <v>0</v>
      </c>
      <c r="AI77" s="239">
        <v>0</v>
      </c>
      <c r="AJ77" s="239">
        <v>0</v>
      </c>
      <c r="AK77" s="239">
        <v>0</v>
      </c>
      <c r="AL77" s="239">
        <v>0</v>
      </c>
      <c r="AM77" s="239">
        <v>0</v>
      </c>
      <c r="AN77" s="239">
        <v>0</v>
      </c>
      <c r="AO77" s="239">
        <v>0</v>
      </c>
      <c r="AP77" s="239">
        <v>0</v>
      </c>
      <c r="AQ77" s="239">
        <v>0</v>
      </c>
      <c r="AR77" s="239">
        <v>0</v>
      </c>
      <c r="AS77" s="239">
        <v>0</v>
      </c>
      <c r="AT77" s="239">
        <v>0</v>
      </c>
      <c r="AU77" s="239">
        <v>0</v>
      </c>
      <c r="AV77" s="239">
        <v>0</v>
      </c>
      <c r="AW77" s="239">
        <v>0</v>
      </c>
      <c r="AX77" s="239">
        <v>0</v>
      </c>
      <c r="AY77" s="239">
        <v>0</v>
      </c>
      <c r="AZ77" s="239">
        <v>0</v>
      </c>
      <c r="BA77" s="239">
        <v>0</v>
      </c>
      <c r="BB77" s="239">
        <v>0</v>
      </c>
      <c r="BC77" s="239">
        <v>684279</v>
      </c>
      <c r="BD77" s="239">
        <v>153963</v>
      </c>
      <c r="BE77" s="239">
        <v>17107</v>
      </c>
      <c r="BF77" s="239">
        <v>663697.62762231752</v>
      </c>
      <c r="BG77" s="239">
        <v>149331.96621502144</v>
      </c>
      <c r="BH77" s="239">
        <v>16592.440690557938</v>
      </c>
      <c r="BI77" s="239">
        <v>71552.719742489266</v>
      </c>
      <c r="BJ77" s="239">
        <v>16099.361942060084</v>
      </c>
      <c r="BK77" s="239">
        <v>1788.8179935622318</v>
      </c>
      <c r="BL77" s="239">
        <v>815134</v>
      </c>
      <c r="BM77" s="239">
        <v>119094</v>
      </c>
      <c r="BN77" s="239">
        <v>13233</v>
      </c>
      <c r="BO77" s="239">
        <v>-130855</v>
      </c>
      <c r="BP77" s="239">
        <v>34869</v>
      </c>
      <c r="BQ77" s="239">
        <v>3874</v>
      </c>
      <c r="BR77" s="239">
        <v>1689</v>
      </c>
      <c r="BS77" s="239">
        <v>380</v>
      </c>
      <c r="BT77" s="239">
        <v>42</v>
      </c>
      <c r="BU77" s="239">
        <v>4295</v>
      </c>
      <c r="BV77" s="239">
        <v>966</v>
      </c>
      <c r="BW77" s="239">
        <v>107</v>
      </c>
      <c r="BX77" s="239">
        <v>-2606</v>
      </c>
      <c r="BY77" s="239">
        <v>-586</v>
      </c>
      <c r="BZ77" s="239">
        <v>-65</v>
      </c>
      <c r="CA77" s="239">
        <v>0</v>
      </c>
      <c r="CB77" s="239">
        <v>0</v>
      </c>
      <c r="CC77" s="239">
        <v>0</v>
      </c>
      <c r="CD77" s="239">
        <v>0</v>
      </c>
      <c r="CE77" s="239">
        <v>0</v>
      </c>
      <c r="CF77" s="239">
        <v>0</v>
      </c>
      <c r="CG77" s="239">
        <v>0</v>
      </c>
      <c r="CH77" s="239">
        <v>0</v>
      </c>
      <c r="CI77" s="239">
        <v>0</v>
      </c>
      <c r="CJ77" s="239">
        <v>0</v>
      </c>
      <c r="CK77" s="239">
        <v>0</v>
      </c>
      <c r="CL77" s="239">
        <v>0</v>
      </c>
      <c r="CM77" s="239">
        <v>0</v>
      </c>
      <c r="CN77" s="239">
        <v>0</v>
      </c>
      <c r="CO77" s="239">
        <v>0</v>
      </c>
      <c r="CP77" s="239">
        <v>0</v>
      </c>
      <c r="CQ77" s="239">
        <v>0</v>
      </c>
      <c r="CR77" s="239">
        <v>0</v>
      </c>
      <c r="CS77" s="239">
        <v>-671</v>
      </c>
      <c r="CT77" s="239">
        <v>-151</v>
      </c>
      <c r="CU77" s="239">
        <v>-17</v>
      </c>
      <c r="CV77" s="239">
        <v>0</v>
      </c>
      <c r="CW77" s="239">
        <v>0</v>
      </c>
      <c r="CX77" s="239">
        <v>0</v>
      </c>
      <c r="CY77" s="239">
        <v>0</v>
      </c>
      <c r="CZ77" s="239">
        <v>0</v>
      </c>
      <c r="DA77" s="239">
        <v>0</v>
      </c>
      <c r="DB77" s="239">
        <v>0</v>
      </c>
      <c r="DC77" s="239">
        <v>0</v>
      </c>
      <c r="DD77" s="239">
        <v>0</v>
      </c>
      <c r="DE77" s="239">
        <v>-566</v>
      </c>
      <c r="DF77" s="239">
        <v>-127</v>
      </c>
      <c r="DG77" s="239">
        <v>-14</v>
      </c>
      <c r="DH77" s="239">
        <v>0</v>
      </c>
      <c r="DI77" s="239">
        <v>0</v>
      </c>
      <c r="DJ77" s="239">
        <v>0</v>
      </c>
      <c r="DK77" s="239">
        <v>0</v>
      </c>
      <c r="DL77" s="239">
        <v>0</v>
      </c>
      <c r="DM77" s="239">
        <v>0</v>
      </c>
      <c r="DN77" s="239">
        <v>0</v>
      </c>
      <c r="DO77" s="239">
        <v>0</v>
      </c>
      <c r="DP77" s="239">
        <v>0</v>
      </c>
      <c r="DQ77" s="239">
        <v>0</v>
      </c>
      <c r="DR77" s="239">
        <v>0</v>
      </c>
      <c r="DS77" s="239">
        <v>0</v>
      </c>
      <c r="DT77" s="239">
        <v>0</v>
      </c>
      <c r="DU77" s="239">
        <v>0</v>
      </c>
      <c r="DV77" s="239">
        <v>0</v>
      </c>
      <c r="DW77" s="239">
        <v>0</v>
      </c>
      <c r="DX77" s="239">
        <v>0</v>
      </c>
      <c r="DY77" s="239">
        <v>0</v>
      </c>
      <c r="DZ77" s="239">
        <v>2586</v>
      </c>
      <c r="EA77" s="239">
        <v>582</v>
      </c>
      <c r="EB77" s="239">
        <v>65</v>
      </c>
      <c r="EC77" s="239">
        <v>3324</v>
      </c>
      <c r="ED77" s="239">
        <v>0</v>
      </c>
      <c r="EE77" s="239">
        <v>0</v>
      </c>
      <c r="EF77" s="239">
        <v>-738</v>
      </c>
      <c r="EG77" s="239">
        <v>582</v>
      </c>
      <c r="EH77" s="239">
        <v>65</v>
      </c>
      <c r="EI77" s="239">
        <v>85274</v>
      </c>
      <c r="EJ77" s="239">
        <v>19187</v>
      </c>
      <c r="EK77" s="239">
        <v>2132</v>
      </c>
      <c r="EL77" s="239">
        <v>114927</v>
      </c>
      <c r="EM77" s="239">
        <v>0</v>
      </c>
      <c r="EN77" s="239">
        <v>0</v>
      </c>
      <c r="EO77" s="239">
        <v>-29653</v>
      </c>
      <c r="EP77" s="239">
        <v>19187</v>
      </c>
      <c r="EQ77" s="239">
        <v>2132</v>
      </c>
      <c r="ER77" s="239">
        <v>13222</v>
      </c>
      <c r="ES77" s="239">
        <v>2975</v>
      </c>
      <c r="ET77" s="239">
        <v>331</v>
      </c>
      <c r="EU77" s="239">
        <v>22057</v>
      </c>
      <c r="EV77" s="239">
        <v>0</v>
      </c>
      <c r="EW77" s="239">
        <v>0</v>
      </c>
      <c r="EX77" s="239">
        <v>-8835</v>
      </c>
      <c r="EY77" s="239">
        <v>2975</v>
      </c>
      <c r="EZ77" s="239">
        <v>331</v>
      </c>
      <c r="FA77" s="239">
        <v>474172</v>
      </c>
      <c r="FB77" s="239">
        <v>106689</v>
      </c>
      <c r="FC77" s="239">
        <v>11854</v>
      </c>
      <c r="FD77" s="239">
        <v>475913</v>
      </c>
      <c r="FE77" s="239">
        <v>107081</v>
      </c>
      <c r="FF77" s="239">
        <v>11898</v>
      </c>
      <c r="FG77" s="239">
        <v>-1741</v>
      </c>
      <c r="FH77" s="239">
        <v>-392</v>
      </c>
      <c r="FI77" s="239">
        <v>-44</v>
      </c>
      <c r="FJ77" s="239">
        <v>0</v>
      </c>
      <c r="FK77" s="239">
        <v>0</v>
      </c>
      <c r="FL77" s="239">
        <v>0</v>
      </c>
      <c r="FM77" s="239">
        <v>0</v>
      </c>
      <c r="FN77" s="239">
        <v>0</v>
      </c>
      <c r="FO77" s="239">
        <v>0</v>
      </c>
      <c r="FP77" s="239">
        <v>0</v>
      </c>
      <c r="FQ77" s="239">
        <v>0</v>
      </c>
      <c r="FR77" s="239">
        <v>0</v>
      </c>
      <c r="FS77" s="239">
        <v>0</v>
      </c>
      <c r="FT77" s="239">
        <v>0</v>
      </c>
      <c r="FU77" s="239">
        <v>0</v>
      </c>
      <c r="FV77" s="239">
        <v>1259985</v>
      </c>
      <c r="FW77" s="239">
        <v>283498</v>
      </c>
      <c r="FX77" s="239">
        <v>31500</v>
      </c>
      <c r="FY77" s="834">
        <v>0.5</v>
      </c>
      <c r="FZ77" s="834">
        <v>0.4</v>
      </c>
      <c r="GA77" s="834">
        <v>0.09</v>
      </c>
      <c r="GB77" s="834">
        <v>0.01</v>
      </c>
      <c r="GC77" s="214" t="s">
        <v>1158</v>
      </c>
    </row>
    <row r="78" spans="1:185" s="214" customFormat="1" x14ac:dyDescent="0.2">
      <c r="B78" s="602" t="s">
        <v>239</v>
      </c>
      <c r="C78" s="602" t="s">
        <v>238</v>
      </c>
      <c r="D78" s="239">
        <v>-894722</v>
      </c>
      <c r="E78" s="239">
        <v>0</v>
      </c>
      <c r="F78" s="239">
        <v>-894722</v>
      </c>
      <c r="G78" s="239">
        <v>-766314</v>
      </c>
      <c r="H78" s="239">
        <v>0</v>
      </c>
      <c r="I78" s="239">
        <v>-766314</v>
      </c>
      <c r="J78" s="239">
        <v>-128408</v>
      </c>
      <c r="K78" s="239">
        <v>0</v>
      </c>
      <c r="L78" s="239">
        <v>-128408</v>
      </c>
      <c r="M78" s="239">
        <v>119376</v>
      </c>
      <c r="N78" s="239">
        <v>119376</v>
      </c>
      <c r="O78" s="239">
        <v>0</v>
      </c>
      <c r="P78" s="239">
        <v>0</v>
      </c>
      <c r="Q78" s="239">
        <v>0</v>
      </c>
      <c r="R78" s="239">
        <v>0</v>
      </c>
      <c r="S78" s="239">
        <v>797074</v>
      </c>
      <c r="T78" s="239">
        <v>0</v>
      </c>
      <c r="U78" s="239">
        <v>799514</v>
      </c>
      <c r="V78" s="239">
        <v>0.13999999989755452</v>
      </c>
      <c r="W78" s="239">
        <v>-2440</v>
      </c>
      <c r="X78" s="239">
        <v>-0.13999999989755452</v>
      </c>
      <c r="Y78" s="239">
        <v>0</v>
      </c>
      <c r="Z78" s="239">
        <v>0</v>
      </c>
      <c r="AA78" s="239">
        <v>0</v>
      </c>
      <c r="AB78" s="239">
        <v>0</v>
      </c>
      <c r="AC78" s="239">
        <v>0</v>
      </c>
      <c r="AD78" s="239">
        <v>0</v>
      </c>
      <c r="AE78" s="239">
        <v>0</v>
      </c>
      <c r="AF78" s="239">
        <v>0</v>
      </c>
      <c r="AG78" s="239">
        <v>0</v>
      </c>
      <c r="AH78" s="239">
        <v>0</v>
      </c>
      <c r="AI78" s="239">
        <v>0</v>
      </c>
      <c r="AJ78" s="239">
        <v>0</v>
      </c>
      <c r="AK78" s="239">
        <v>0</v>
      </c>
      <c r="AL78" s="239">
        <v>0</v>
      </c>
      <c r="AM78" s="239">
        <v>0</v>
      </c>
      <c r="AN78" s="239">
        <v>0</v>
      </c>
      <c r="AO78" s="239">
        <v>0</v>
      </c>
      <c r="AP78" s="239">
        <v>0</v>
      </c>
      <c r="AQ78" s="239">
        <v>0</v>
      </c>
      <c r="AR78" s="239">
        <v>0</v>
      </c>
      <c r="AS78" s="239">
        <v>0</v>
      </c>
      <c r="AT78" s="239">
        <v>0</v>
      </c>
      <c r="AU78" s="239">
        <v>0</v>
      </c>
      <c r="AV78" s="239">
        <v>0</v>
      </c>
      <c r="AW78" s="239">
        <v>0</v>
      </c>
      <c r="AX78" s="239">
        <v>0</v>
      </c>
      <c r="AY78" s="239">
        <v>0</v>
      </c>
      <c r="AZ78" s="239">
        <v>0</v>
      </c>
      <c r="BA78" s="239">
        <v>0</v>
      </c>
      <c r="BB78" s="239">
        <v>0</v>
      </c>
      <c r="BC78" s="239">
        <v>738171</v>
      </c>
      <c r="BD78" s="239">
        <v>184543</v>
      </c>
      <c r="BE78" s="239">
        <v>0</v>
      </c>
      <c r="BF78" s="239">
        <v>719374.294406867</v>
      </c>
      <c r="BG78" s="239">
        <v>179843.57360171675</v>
      </c>
      <c r="BH78" s="239">
        <v>0</v>
      </c>
      <c r="BI78" s="239">
        <v>57561.897403433475</v>
      </c>
      <c r="BJ78" s="239">
        <v>14390.474350858369</v>
      </c>
      <c r="BK78" s="239">
        <v>0</v>
      </c>
      <c r="BL78" s="239">
        <v>694244</v>
      </c>
      <c r="BM78" s="239">
        <v>116289</v>
      </c>
      <c r="BN78" s="239">
        <v>0</v>
      </c>
      <c r="BO78" s="239">
        <v>43927</v>
      </c>
      <c r="BP78" s="239">
        <v>68254</v>
      </c>
      <c r="BQ78" s="239">
        <v>0</v>
      </c>
      <c r="BR78" s="239">
        <v>1</v>
      </c>
      <c r="BS78" s="239">
        <v>0</v>
      </c>
      <c r="BT78" s="239">
        <v>0</v>
      </c>
      <c r="BU78" s="239">
        <v>0</v>
      </c>
      <c r="BV78" s="239">
        <v>0</v>
      </c>
      <c r="BW78" s="239">
        <v>0</v>
      </c>
      <c r="BX78" s="239">
        <v>1</v>
      </c>
      <c r="BY78" s="239">
        <v>0</v>
      </c>
      <c r="BZ78" s="239">
        <v>0</v>
      </c>
      <c r="CA78" s="239">
        <v>87116</v>
      </c>
      <c r="CB78" s="239">
        <v>21779</v>
      </c>
      <c r="CC78" s="239">
        <v>0</v>
      </c>
      <c r="CD78" s="239">
        <v>0</v>
      </c>
      <c r="CE78" s="239">
        <v>0</v>
      </c>
      <c r="CF78" s="239">
        <v>0</v>
      </c>
      <c r="CG78" s="239">
        <v>87116</v>
      </c>
      <c r="CH78" s="239">
        <v>21779</v>
      </c>
      <c r="CI78" s="239">
        <v>0</v>
      </c>
      <c r="CJ78" s="239">
        <v>0</v>
      </c>
      <c r="CK78" s="239">
        <v>0</v>
      </c>
      <c r="CL78" s="239">
        <v>0</v>
      </c>
      <c r="CM78" s="239">
        <v>0</v>
      </c>
      <c r="CN78" s="239">
        <v>0</v>
      </c>
      <c r="CO78" s="239">
        <v>0</v>
      </c>
      <c r="CP78" s="239">
        <v>0</v>
      </c>
      <c r="CQ78" s="239">
        <v>0</v>
      </c>
      <c r="CR78" s="239">
        <v>0</v>
      </c>
      <c r="CS78" s="239">
        <v>0</v>
      </c>
      <c r="CT78" s="239">
        <v>0</v>
      </c>
      <c r="CU78" s="239">
        <v>0</v>
      </c>
      <c r="CV78" s="239">
        <v>0</v>
      </c>
      <c r="CW78" s="239">
        <v>0</v>
      </c>
      <c r="CX78" s="239">
        <v>0</v>
      </c>
      <c r="CY78" s="239">
        <v>0</v>
      </c>
      <c r="CZ78" s="239">
        <v>0</v>
      </c>
      <c r="DA78" s="239">
        <v>0</v>
      </c>
      <c r="DB78" s="239">
        <v>0</v>
      </c>
      <c r="DC78" s="239">
        <v>0</v>
      </c>
      <c r="DD78" s="239">
        <v>0</v>
      </c>
      <c r="DE78" s="239">
        <v>0</v>
      </c>
      <c r="DF78" s="239">
        <v>0</v>
      </c>
      <c r="DG78" s="239">
        <v>0</v>
      </c>
      <c r="DH78" s="239">
        <v>20883</v>
      </c>
      <c r="DI78" s="239">
        <v>5221</v>
      </c>
      <c r="DJ78" s="239">
        <v>0</v>
      </c>
      <c r="DK78" s="239">
        <v>7749</v>
      </c>
      <c r="DL78" s="239">
        <v>1937</v>
      </c>
      <c r="DM78" s="239">
        <v>0</v>
      </c>
      <c r="DN78" s="239">
        <v>13134</v>
      </c>
      <c r="DO78" s="239">
        <v>3284</v>
      </c>
      <c r="DP78" s="239">
        <v>0</v>
      </c>
      <c r="DQ78" s="239">
        <v>0</v>
      </c>
      <c r="DR78" s="239">
        <v>0</v>
      </c>
      <c r="DS78" s="239">
        <v>0</v>
      </c>
      <c r="DT78" s="239">
        <v>0</v>
      </c>
      <c r="DU78" s="239">
        <v>0</v>
      </c>
      <c r="DV78" s="239">
        <v>0</v>
      </c>
      <c r="DW78" s="239">
        <v>0</v>
      </c>
      <c r="DX78" s="239">
        <v>0</v>
      </c>
      <c r="DY78" s="239">
        <v>0</v>
      </c>
      <c r="DZ78" s="239">
        <v>7163</v>
      </c>
      <c r="EA78" s="239">
        <v>1791</v>
      </c>
      <c r="EB78" s="239">
        <v>0</v>
      </c>
      <c r="EC78" s="239">
        <v>8206</v>
      </c>
      <c r="ED78" s="239">
        <v>0</v>
      </c>
      <c r="EE78" s="239">
        <v>0</v>
      </c>
      <c r="EF78" s="239">
        <v>-1043</v>
      </c>
      <c r="EG78" s="239">
        <v>1791</v>
      </c>
      <c r="EH78" s="239">
        <v>0</v>
      </c>
      <c r="EI78" s="239">
        <v>40101</v>
      </c>
      <c r="EJ78" s="239">
        <v>10025</v>
      </c>
      <c r="EK78" s="239">
        <v>0</v>
      </c>
      <c r="EL78" s="239">
        <v>50000</v>
      </c>
      <c r="EM78" s="239">
        <v>0</v>
      </c>
      <c r="EN78" s="239">
        <v>0</v>
      </c>
      <c r="EO78" s="239">
        <v>-9899</v>
      </c>
      <c r="EP78" s="239">
        <v>10025</v>
      </c>
      <c r="EQ78" s="239">
        <v>0</v>
      </c>
      <c r="ER78" s="239">
        <v>15556</v>
      </c>
      <c r="ES78" s="239">
        <v>3889</v>
      </c>
      <c r="ET78" s="239">
        <v>0</v>
      </c>
      <c r="EU78" s="239">
        <v>19435</v>
      </c>
      <c r="EV78" s="239">
        <v>0</v>
      </c>
      <c r="EW78" s="239">
        <v>0</v>
      </c>
      <c r="EX78" s="239">
        <v>-3879</v>
      </c>
      <c r="EY78" s="239">
        <v>3889</v>
      </c>
      <c r="EZ78" s="239">
        <v>0</v>
      </c>
      <c r="FA78" s="239">
        <v>276118</v>
      </c>
      <c r="FB78" s="239">
        <v>66036</v>
      </c>
      <c r="FC78" s="239">
        <v>0</v>
      </c>
      <c r="FD78" s="239">
        <v>278083</v>
      </c>
      <c r="FE78" s="239">
        <v>66518</v>
      </c>
      <c r="FF78" s="239">
        <v>0</v>
      </c>
      <c r="FG78" s="239">
        <v>-1965</v>
      </c>
      <c r="FH78" s="239">
        <v>-482</v>
      </c>
      <c r="FI78" s="239">
        <v>0</v>
      </c>
      <c r="FJ78" s="239">
        <v>0</v>
      </c>
      <c r="FK78" s="239">
        <v>0</v>
      </c>
      <c r="FL78" s="239">
        <v>0</v>
      </c>
      <c r="FM78" s="239">
        <v>0</v>
      </c>
      <c r="FN78" s="239">
        <v>0</v>
      </c>
      <c r="FO78" s="239">
        <v>0</v>
      </c>
      <c r="FP78" s="239">
        <v>0</v>
      </c>
      <c r="FQ78" s="239">
        <v>0</v>
      </c>
      <c r="FR78" s="239">
        <v>0</v>
      </c>
      <c r="FS78" s="239">
        <v>0</v>
      </c>
      <c r="FT78" s="239">
        <v>0</v>
      </c>
      <c r="FU78" s="239">
        <v>0</v>
      </c>
      <c r="FV78" s="239">
        <v>1185109</v>
      </c>
      <c r="FW78" s="239">
        <v>293284</v>
      </c>
      <c r="FX78" s="239">
        <v>0</v>
      </c>
      <c r="FY78" s="834">
        <v>0.5</v>
      </c>
      <c r="FZ78" s="834">
        <v>0.4</v>
      </c>
      <c r="GA78" s="834">
        <v>0.1</v>
      </c>
      <c r="GB78" s="834">
        <v>0</v>
      </c>
      <c r="GC78" s="214" t="s">
        <v>1158</v>
      </c>
    </row>
    <row r="79" spans="1:185" s="214" customFormat="1" x14ac:dyDescent="0.2">
      <c r="B79" s="602" t="s">
        <v>241</v>
      </c>
      <c r="C79" s="602" t="s">
        <v>240</v>
      </c>
      <c r="D79" s="239">
        <v>855483</v>
      </c>
      <c r="E79" s="239">
        <v>0</v>
      </c>
      <c r="F79" s="239">
        <v>855483</v>
      </c>
      <c r="G79" s="239">
        <v>1496192</v>
      </c>
      <c r="H79" s="239">
        <v>0</v>
      </c>
      <c r="I79" s="239">
        <v>1496192</v>
      </c>
      <c r="J79" s="239">
        <v>-640709</v>
      </c>
      <c r="K79" s="239">
        <v>0</v>
      </c>
      <c r="L79" s="239">
        <v>-640709</v>
      </c>
      <c r="M79" s="239">
        <v>314953</v>
      </c>
      <c r="N79" s="239">
        <v>314953</v>
      </c>
      <c r="O79" s="239">
        <v>0</v>
      </c>
      <c r="P79" s="239">
        <v>87559</v>
      </c>
      <c r="Q79" s="239">
        <v>137025</v>
      </c>
      <c r="R79" s="239">
        <v>-49466</v>
      </c>
      <c r="S79" s="239">
        <v>743634</v>
      </c>
      <c r="T79" s="239">
        <v>0</v>
      </c>
      <c r="U79" s="239">
        <v>740000</v>
      </c>
      <c r="V79" s="239">
        <v>0</v>
      </c>
      <c r="W79" s="239">
        <v>3634</v>
      </c>
      <c r="X79" s="239">
        <v>0</v>
      </c>
      <c r="Y79" s="239">
        <v>36402</v>
      </c>
      <c r="Z79" s="239">
        <v>36402</v>
      </c>
      <c r="AA79" s="239">
        <v>0</v>
      </c>
      <c r="AB79" s="239">
        <v>0</v>
      </c>
      <c r="AC79" s="239">
        <v>0</v>
      </c>
      <c r="AD79" s="239">
        <v>0</v>
      </c>
      <c r="AE79" s="239">
        <v>0</v>
      </c>
      <c r="AF79" s="239">
        <v>0</v>
      </c>
      <c r="AG79" s="239">
        <v>36402</v>
      </c>
      <c r="AH79" s="239">
        <v>36402</v>
      </c>
      <c r="AI79" s="239">
        <v>0</v>
      </c>
      <c r="AJ79" s="239">
        <v>0</v>
      </c>
      <c r="AK79" s="239">
        <v>0</v>
      </c>
      <c r="AL79" s="239">
        <v>0</v>
      </c>
      <c r="AM79" s="239">
        <v>0</v>
      </c>
      <c r="AN79" s="239">
        <v>0</v>
      </c>
      <c r="AO79" s="239">
        <v>0</v>
      </c>
      <c r="AP79" s="239">
        <v>0</v>
      </c>
      <c r="AQ79" s="239">
        <v>0</v>
      </c>
      <c r="AR79" s="239">
        <v>0</v>
      </c>
      <c r="AS79" s="239">
        <v>0</v>
      </c>
      <c r="AT79" s="239">
        <v>0</v>
      </c>
      <c r="AU79" s="239">
        <v>0</v>
      </c>
      <c r="AV79" s="239">
        <v>0</v>
      </c>
      <c r="AW79" s="239">
        <v>0</v>
      </c>
      <c r="AX79" s="239">
        <v>0</v>
      </c>
      <c r="AY79" s="239">
        <v>0</v>
      </c>
      <c r="AZ79" s="239">
        <v>0</v>
      </c>
      <c r="BA79" s="239">
        <v>0</v>
      </c>
      <c r="BB79" s="239">
        <v>0</v>
      </c>
      <c r="BC79" s="239">
        <v>2101804</v>
      </c>
      <c r="BD79" s="239">
        <v>0</v>
      </c>
      <c r="BE79" s="239">
        <v>42739</v>
      </c>
      <c r="BF79" s="239">
        <v>2039374.2894748067</v>
      </c>
      <c r="BG79" s="239">
        <v>0</v>
      </c>
      <c r="BH79" s="239">
        <v>41469.353746223176</v>
      </c>
      <c r="BI79" s="239">
        <v>211538.56436158798</v>
      </c>
      <c r="BJ79" s="239">
        <v>0</v>
      </c>
      <c r="BK79" s="239">
        <v>4311.4584388412013</v>
      </c>
      <c r="BL79" s="239">
        <v>1890556</v>
      </c>
      <c r="BM79" s="239">
        <v>0</v>
      </c>
      <c r="BN79" s="239">
        <v>27124</v>
      </c>
      <c r="BO79" s="239">
        <v>211248</v>
      </c>
      <c r="BP79" s="239">
        <v>0</v>
      </c>
      <c r="BQ79" s="239">
        <v>15615</v>
      </c>
      <c r="BR79" s="239">
        <v>0</v>
      </c>
      <c r="BS79" s="239">
        <v>0</v>
      </c>
      <c r="BT79" s="239">
        <v>0</v>
      </c>
      <c r="BU79" s="239">
        <v>0</v>
      </c>
      <c r="BV79" s="239">
        <v>0</v>
      </c>
      <c r="BW79" s="239">
        <v>0</v>
      </c>
      <c r="BX79" s="239">
        <v>0</v>
      </c>
      <c r="BY79" s="239">
        <v>0</v>
      </c>
      <c r="BZ79" s="239">
        <v>0</v>
      </c>
      <c r="CA79" s="239">
        <v>0</v>
      </c>
      <c r="CB79" s="239">
        <v>0</v>
      </c>
      <c r="CC79" s="239">
        <v>0</v>
      </c>
      <c r="CD79" s="239">
        <v>0</v>
      </c>
      <c r="CE79" s="239">
        <v>0</v>
      </c>
      <c r="CF79" s="239">
        <v>0</v>
      </c>
      <c r="CG79" s="239">
        <v>0</v>
      </c>
      <c r="CH79" s="239">
        <v>0</v>
      </c>
      <c r="CI79" s="239">
        <v>0</v>
      </c>
      <c r="CJ79" s="239">
        <v>0</v>
      </c>
      <c r="CK79" s="239">
        <v>0</v>
      </c>
      <c r="CL79" s="239">
        <v>0</v>
      </c>
      <c r="CM79" s="239">
        <v>0</v>
      </c>
      <c r="CN79" s="239">
        <v>0</v>
      </c>
      <c r="CO79" s="239">
        <v>0</v>
      </c>
      <c r="CP79" s="239">
        <v>0</v>
      </c>
      <c r="CQ79" s="239">
        <v>0</v>
      </c>
      <c r="CR79" s="239">
        <v>0</v>
      </c>
      <c r="CS79" s="239">
        <v>-7341</v>
      </c>
      <c r="CT79" s="239">
        <v>0</v>
      </c>
      <c r="CU79" s="239">
        <v>-150</v>
      </c>
      <c r="CV79" s="239">
        <v>0</v>
      </c>
      <c r="CW79" s="239">
        <v>0</v>
      </c>
      <c r="CX79" s="239">
        <v>0</v>
      </c>
      <c r="CY79" s="239">
        <v>0</v>
      </c>
      <c r="CZ79" s="239">
        <v>0</v>
      </c>
      <c r="DA79" s="239">
        <v>0</v>
      </c>
      <c r="DB79" s="239">
        <v>0</v>
      </c>
      <c r="DC79" s="239">
        <v>0</v>
      </c>
      <c r="DD79" s="239">
        <v>0</v>
      </c>
      <c r="DE79" s="239">
        <v>0</v>
      </c>
      <c r="DF79" s="239">
        <v>0</v>
      </c>
      <c r="DG79" s="239">
        <v>0</v>
      </c>
      <c r="DH79" s="239">
        <v>0</v>
      </c>
      <c r="DI79" s="239">
        <v>0</v>
      </c>
      <c r="DJ79" s="239">
        <v>0</v>
      </c>
      <c r="DK79" s="239">
        <v>0</v>
      </c>
      <c r="DL79" s="239">
        <v>0</v>
      </c>
      <c r="DM79" s="239">
        <v>0</v>
      </c>
      <c r="DN79" s="239">
        <v>0</v>
      </c>
      <c r="DO79" s="239">
        <v>0</v>
      </c>
      <c r="DP79" s="239">
        <v>0</v>
      </c>
      <c r="DQ79" s="239">
        <v>746</v>
      </c>
      <c r="DR79" s="239">
        <v>0</v>
      </c>
      <c r="DS79" s="239">
        <v>15</v>
      </c>
      <c r="DT79" s="239">
        <v>0</v>
      </c>
      <c r="DU79" s="239">
        <v>0</v>
      </c>
      <c r="DV79" s="239">
        <v>0</v>
      </c>
      <c r="DW79" s="239">
        <v>746</v>
      </c>
      <c r="DX79" s="239">
        <v>0</v>
      </c>
      <c r="DY79" s="239">
        <v>15</v>
      </c>
      <c r="DZ79" s="239">
        <v>45896</v>
      </c>
      <c r="EA79" s="239">
        <v>0</v>
      </c>
      <c r="EB79" s="239">
        <v>937</v>
      </c>
      <c r="EC79" s="239">
        <v>47420</v>
      </c>
      <c r="ED79" s="239">
        <v>0</v>
      </c>
      <c r="EE79" s="239">
        <v>0</v>
      </c>
      <c r="EF79" s="239">
        <v>-1524</v>
      </c>
      <c r="EG79" s="239">
        <v>0</v>
      </c>
      <c r="EH79" s="239">
        <v>937</v>
      </c>
      <c r="EI79" s="239">
        <v>227632</v>
      </c>
      <c r="EJ79" s="239">
        <v>0</v>
      </c>
      <c r="EK79" s="239">
        <v>4638</v>
      </c>
      <c r="EL79" s="239">
        <v>261226</v>
      </c>
      <c r="EM79" s="239">
        <v>0</v>
      </c>
      <c r="EN79" s="239">
        <v>0</v>
      </c>
      <c r="EO79" s="239">
        <v>-33594</v>
      </c>
      <c r="EP79" s="239">
        <v>0</v>
      </c>
      <c r="EQ79" s="239">
        <v>4638</v>
      </c>
      <c r="ER79" s="239">
        <v>47494</v>
      </c>
      <c r="ES79" s="239">
        <v>0</v>
      </c>
      <c r="ET79" s="239">
        <v>969</v>
      </c>
      <c r="EU79" s="239">
        <v>50819</v>
      </c>
      <c r="EV79" s="239">
        <v>0</v>
      </c>
      <c r="EW79" s="239">
        <v>0</v>
      </c>
      <c r="EX79" s="239">
        <v>-3325</v>
      </c>
      <c r="EY79" s="239">
        <v>0</v>
      </c>
      <c r="EZ79" s="239">
        <v>969</v>
      </c>
      <c r="FA79" s="239">
        <v>676815</v>
      </c>
      <c r="FB79" s="239">
        <v>0</v>
      </c>
      <c r="FC79" s="239">
        <v>13558</v>
      </c>
      <c r="FD79" s="239">
        <v>671889</v>
      </c>
      <c r="FE79" s="239">
        <v>0</v>
      </c>
      <c r="FF79" s="239">
        <v>13443</v>
      </c>
      <c r="FG79" s="239">
        <v>4926</v>
      </c>
      <c r="FH79" s="239">
        <v>0</v>
      </c>
      <c r="FI79" s="239">
        <v>115</v>
      </c>
      <c r="FJ79" s="239">
        <v>0</v>
      </c>
      <c r="FK79" s="239">
        <v>0</v>
      </c>
      <c r="FL79" s="239">
        <v>0</v>
      </c>
      <c r="FM79" s="239">
        <v>0</v>
      </c>
      <c r="FN79" s="239">
        <v>0</v>
      </c>
      <c r="FO79" s="239">
        <v>0</v>
      </c>
      <c r="FP79" s="239">
        <v>0</v>
      </c>
      <c r="FQ79" s="239">
        <v>0</v>
      </c>
      <c r="FR79" s="239">
        <v>0</v>
      </c>
      <c r="FS79" s="239">
        <v>0</v>
      </c>
      <c r="FT79" s="239">
        <v>0</v>
      </c>
      <c r="FU79" s="239">
        <v>0</v>
      </c>
      <c r="FV79" s="239">
        <v>3093046</v>
      </c>
      <c r="FW79" s="239">
        <v>0</v>
      </c>
      <c r="FX79" s="239">
        <v>62706</v>
      </c>
      <c r="FY79" s="834">
        <v>0.5</v>
      </c>
      <c r="FZ79" s="834">
        <v>0.49</v>
      </c>
      <c r="GA79" s="834">
        <v>0</v>
      </c>
      <c r="GB79" s="834">
        <v>0.01</v>
      </c>
      <c r="GC79" s="214" t="s">
        <v>746</v>
      </c>
    </row>
    <row r="80" spans="1:185" s="214" customFormat="1" x14ac:dyDescent="0.2">
      <c r="B80" s="602" t="s">
        <v>243</v>
      </c>
      <c r="C80" s="602" t="s">
        <v>242</v>
      </c>
      <c r="D80" s="239">
        <v>2233366</v>
      </c>
      <c r="E80" s="239">
        <v>0</v>
      </c>
      <c r="F80" s="239">
        <v>2233366</v>
      </c>
      <c r="G80" s="239">
        <v>2122714</v>
      </c>
      <c r="H80" s="239">
        <v>0</v>
      </c>
      <c r="I80" s="239">
        <v>2122714</v>
      </c>
      <c r="J80" s="239">
        <v>110652</v>
      </c>
      <c r="K80" s="239">
        <v>0</v>
      </c>
      <c r="L80" s="239">
        <v>110652</v>
      </c>
      <c r="M80" s="239">
        <v>147507</v>
      </c>
      <c r="N80" s="239">
        <v>147507</v>
      </c>
      <c r="O80" s="239">
        <v>0</v>
      </c>
      <c r="P80" s="239">
        <v>0</v>
      </c>
      <c r="Q80" s="239">
        <v>0</v>
      </c>
      <c r="R80" s="239">
        <v>0</v>
      </c>
      <c r="S80" s="239">
        <v>154866</v>
      </c>
      <c r="T80" s="239">
        <v>0</v>
      </c>
      <c r="U80" s="239">
        <v>166647</v>
      </c>
      <c r="V80" s="239">
        <v>0</v>
      </c>
      <c r="W80" s="239">
        <v>-11781</v>
      </c>
      <c r="X80" s="239">
        <v>0</v>
      </c>
      <c r="Y80" s="239">
        <v>0</v>
      </c>
      <c r="Z80" s="239">
        <v>0</v>
      </c>
      <c r="AA80" s="239">
        <v>0</v>
      </c>
      <c r="AB80" s="239">
        <v>0</v>
      </c>
      <c r="AC80" s="239">
        <v>0</v>
      </c>
      <c r="AD80" s="239">
        <v>0</v>
      </c>
      <c r="AE80" s="239">
        <v>0</v>
      </c>
      <c r="AF80" s="239">
        <v>0</v>
      </c>
      <c r="AG80" s="239">
        <v>0</v>
      </c>
      <c r="AH80" s="239">
        <v>0</v>
      </c>
      <c r="AI80" s="239">
        <v>0</v>
      </c>
      <c r="AJ80" s="239">
        <v>0</v>
      </c>
      <c r="AK80" s="239">
        <v>0</v>
      </c>
      <c r="AL80" s="239">
        <v>0</v>
      </c>
      <c r="AM80" s="239">
        <v>0</v>
      </c>
      <c r="AN80" s="239">
        <v>0</v>
      </c>
      <c r="AO80" s="239">
        <v>0</v>
      </c>
      <c r="AP80" s="239">
        <v>0</v>
      </c>
      <c r="AQ80" s="239">
        <v>0</v>
      </c>
      <c r="AR80" s="239">
        <v>0</v>
      </c>
      <c r="AS80" s="239">
        <v>0</v>
      </c>
      <c r="AT80" s="239">
        <v>0</v>
      </c>
      <c r="AU80" s="239">
        <v>0</v>
      </c>
      <c r="AV80" s="239">
        <v>0</v>
      </c>
      <c r="AW80" s="239">
        <v>0</v>
      </c>
      <c r="AX80" s="239">
        <v>0</v>
      </c>
      <c r="AY80" s="239">
        <v>0</v>
      </c>
      <c r="AZ80" s="239">
        <v>0</v>
      </c>
      <c r="BA80" s="239">
        <v>0</v>
      </c>
      <c r="BB80" s="239">
        <v>0</v>
      </c>
      <c r="BC80" s="239">
        <v>1098810</v>
      </c>
      <c r="BD80" s="239">
        <v>247232</v>
      </c>
      <c r="BE80" s="239">
        <v>27470</v>
      </c>
      <c r="BF80" s="239">
        <v>1081516.818309013</v>
      </c>
      <c r="BG80" s="239">
        <v>243341.2841195279</v>
      </c>
      <c r="BH80" s="239">
        <v>27037.920457725326</v>
      </c>
      <c r="BI80" s="239">
        <v>59399.867811158801</v>
      </c>
      <c r="BJ80" s="239">
        <v>13364.970257510729</v>
      </c>
      <c r="BK80" s="239">
        <v>1484.9966952789698</v>
      </c>
      <c r="BL80" s="239">
        <v>1002563</v>
      </c>
      <c r="BM80" s="239">
        <v>157196</v>
      </c>
      <c r="BN80" s="239">
        <v>17466</v>
      </c>
      <c r="BO80" s="239">
        <v>96247</v>
      </c>
      <c r="BP80" s="239">
        <v>90036</v>
      </c>
      <c r="BQ80" s="239">
        <v>10004</v>
      </c>
      <c r="BR80" s="239">
        <v>0</v>
      </c>
      <c r="BS80" s="239">
        <v>0</v>
      </c>
      <c r="BT80" s="239">
        <v>0</v>
      </c>
      <c r="BU80" s="239">
        <v>0</v>
      </c>
      <c r="BV80" s="239">
        <v>0</v>
      </c>
      <c r="BW80" s="239">
        <v>0</v>
      </c>
      <c r="BX80" s="239">
        <v>0</v>
      </c>
      <c r="BY80" s="239">
        <v>0</v>
      </c>
      <c r="BZ80" s="239">
        <v>0</v>
      </c>
      <c r="CA80" s="239">
        <v>0</v>
      </c>
      <c r="CB80" s="239">
        <v>0</v>
      </c>
      <c r="CC80" s="239">
        <v>0</v>
      </c>
      <c r="CD80" s="239">
        <v>0</v>
      </c>
      <c r="CE80" s="239">
        <v>0</v>
      </c>
      <c r="CF80" s="239">
        <v>0</v>
      </c>
      <c r="CG80" s="239">
        <v>0</v>
      </c>
      <c r="CH80" s="239">
        <v>0</v>
      </c>
      <c r="CI80" s="239">
        <v>0</v>
      </c>
      <c r="CJ80" s="239">
        <v>0</v>
      </c>
      <c r="CK80" s="239">
        <v>0</v>
      </c>
      <c r="CL80" s="239">
        <v>0</v>
      </c>
      <c r="CM80" s="239">
        <v>0</v>
      </c>
      <c r="CN80" s="239">
        <v>0</v>
      </c>
      <c r="CO80" s="239">
        <v>0</v>
      </c>
      <c r="CP80" s="239">
        <v>0</v>
      </c>
      <c r="CQ80" s="239">
        <v>0</v>
      </c>
      <c r="CR80" s="239">
        <v>0</v>
      </c>
      <c r="CS80" s="239">
        <v>-4430</v>
      </c>
      <c r="CT80" s="239">
        <v>-997</v>
      </c>
      <c r="CU80" s="239">
        <v>-111</v>
      </c>
      <c r="CV80" s="239">
        <v>0</v>
      </c>
      <c r="CW80" s="239">
        <v>0</v>
      </c>
      <c r="CX80" s="239">
        <v>0</v>
      </c>
      <c r="CY80" s="239">
        <v>0</v>
      </c>
      <c r="CZ80" s="239">
        <v>0</v>
      </c>
      <c r="DA80" s="239">
        <v>0</v>
      </c>
      <c r="DB80" s="239">
        <v>0</v>
      </c>
      <c r="DC80" s="239">
        <v>0</v>
      </c>
      <c r="DD80" s="239">
        <v>0</v>
      </c>
      <c r="DE80" s="239">
        <v>-652</v>
      </c>
      <c r="DF80" s="239">
        <v>-147</v>
      </c>
      <c r="DG80" s="239">
        <v>-16</v>
      </c>
      <c r="DH80" s="239">
        <v>17656</v>
      </c>
      <c r="DI80" s="239">
        <v>3973</v>
      </c>
      <c r="DJ80" s="239">
        <v>441</v>
      </c>
      <c r="DK80" s="239">
        <v>19441</v>
      </c>
      <c r="DL80" s="239">
        <v>4374</v>
      </c>
      <c r="DM80" s="239">
        <v>486</v>
      </c>
      <c r="DN80" s="239">
        <v>-1785</v>
      </c>
      <c r="DO80" s="239">
        <v>-401</v>
      </c>
      <c r="DP80" s="239">
        <v>-45</v>
      </c>
      <c r="DQ80" s="239">
        <v>0</v>
      </c>
      <c r="DR80" s="239">
        <v>0</v>
      </c>
      <c r="DS80" s="239">
        <v>0</v>
      </c>
      <c r="DT80" s="239">
        <v>0</v>
      </c>
      <c r="DU80" s="239">
        <v>0</v>
      </c>
      <c r="DV80" s="239">
        <v>0</v>
      </c>
      <c r="DW80" s="239">
        <v>0</v>
      </c>
      <c r="DX80" s="239">
        <v>0</v>
      </c>
      <c r="DY80" s="239">
        <v>0</v>
      </c>
      <c r="DZ80" s="239">
        <v>34341</v>
      </c>
      <c r="EA80" s="239">
        <v>7727</v>
      </c>
      <c r="EB80" s="239">
        <v>859</v>
      </c>
      <c r="EC80" s="239">
        <v>43697</v>
      </c>
      <c r="ED80" s="239">
        <v>0</v>
      </c>
      <c r="EE80" s="239">
        <v>0</v>
      </c>
      <c r="EF80" s="239">
        <v>-9356</v>
      </c>
      <c r="EG80" s="239">
        <v>7727</v>
      </c>
      <c r="EH80" s="239">
        <v>859</v>
      </c>
      <c r="EI80" s="239">
        <v>125635</v>
      </c>
      <c r="EJ80" s="239">
        <v>28268</v>
      </c>
      <c r="EK80" s="239">
        <v>3141</v>
      </c>
      <c r="EL80" s="239">
        <v>187480</v>
      </c>
      <c r="EM80" s="239">
        <v>0</v>
      </c>
      <c r="EN80" s="239">
        <v>0</v>
      </c>
      <c r="EO80" s="239">
        <v>-61845</v>
      </c>
      <c r="EP80" s="239">
        <v>28268</v>
      </c>
      <c r="EQ80" s="239">
        <v>3141</v>
      </c>
      <c r="ER80" s="239">
        <v>32280</v>
      </c>
      <c r="ES80" s="239">
        <v>7263</v>
      </c>
      <c r="ET80" s="239">
        <v>807</v>
      </c>
      <c r="EU80" s="239">
        <v>41842</v>
      </c>
      <c r="EV80" s="239">
        <v>0</v>
      </c>
      <c r="EW80" s="239">
        <v>0</v>
      </c>
      <c r="EX80" s="239">
        <v>-9562</v>
      </c>
      <c r="EY80" s="239">
        <v>7263</v>
      </c>
      <c r="EZ80" s="239">
        <v>807</v>
      </c>
      <c r="FA80" s="239">
        <v>115853</v>
      </c>
      <c r="FB80" s="239">
        <v>25544</v>
      </c>
      <c r="FC80" s="239">
        <v>2838</v>
      </c>
      <c r="FD80" s="239">
        <v>119748</v>
      </c>
      <c r="FE80" s="239">
        <v>26380</v>
      </c>
      <c r="FF80" s="239">
        <v>2931</v>
      </c>
      <c r="FG80" s="239">
        <v>-3895</v>
      </c>
      <c r="FH80" s="239">
        <v>-836</v>
      </c>
      <c r="FI80" s="239">
        <v>-93</v>
      </c>
      <c r="FJ80" s="239">
        <v>0</v>
      </c>
      <c r="FK80" s="239">
        <v>0</v>
      </c>
      <c r="FL80" s="239">
        <v>0</v>
      </c>
      <c r="FM80" s="239">
        <v>0</v>
      </c>
      <c r="FN80" s="239">
        <v>0</v>
      </c>
      <c r="FO80" s="239">
        <v>0</v>
      </c>
      <c r="FP80" s="239">
        <v>0</v>
      </c>
      <c r="FQ80" s="239">
        <v>0</v>
      </c>
      <c r="FR80" s="239">
        <v>0</v>
      </c>
      <c r="FS80" s="239">
        <v>0</v>
      </c>
      <c r="FT80" s="239">
        <v>0</v>
      </c>
      <c r="FU80" s="239">
        <v>0</v>
      </c>
      <c r="FV80" s="239">
        <v>1419493</v>
      </c>
      <c r="FW80" s="239">
        <v>318863</v>
      </c>
      <c r="FX80" s="239">
        <v>35429</v>
      </c>
      <c r="FY80" s="834">
        <v>0.5</v>
      </c>
      <c r="FZ80" s="834">
        <v>0.4</v>
      </c>
      <c r="GA80" s="834">
        <v>0.09</v>
      </c>
      <c r="GB80" s="834">
        <v>0.01</v>
      </c>
      <c r="GC80" s="214" t="s">
        <v>1158</v>
      </c>
    </row>
    <row r="81" spans="1:185" s="214" customFormat="1" x14ac:dyDescent="0.2">
      <c r="B81" s="602" t="s">
        <v>245</v>
      </c>
      <c r="C81" s="602" t="s">
        <v>244</v>
      </c>
      <c r="D81" s="239">
        <v>-4151881</v>
      </c>
      <c r="E81" s="239">
        <v>0</v>
      </c>
      <c r="F81" s="239">
        <v>-4151881</v>
      </c>
      <c r="G81" s="239">
        <v>-4276330</v>
      </c>
      <c r="H81" s="239">
        <v>0</v>
      </c>
      <c r="I81" s="239">
        <v>-4276330</v>
      </c>
      <c r="J81" s="239">
        <v>124449</v>
      </c>
      <c r="K81" s="239">
        <v>0</v>
      </c>
      <c r="L81" s="239">
        <v>124449</v>
      </c>
      <c r="M81" s="239">
        <v>371344</v>
      </c>
      <c r="N81" s="239">
        <v>371344</v>
      </c>
      <c r="O81" s="239">
        <v>0</v>
      </c>
      <c r="P81" s="239">
        <v>0</v>
      </c>
      <c r="Q81" s="239">
        <v>0</v>
      </c>
      <c r="R81" s="239">
        <v>0</v>
      </c>
      <c r="S81" s="239">
        <v>196728</v>
      </c>
      <c r="T81" s="239">
        <v>0</v>
      </c>
      <c r="U81" s="239">
        <v>171341</v>
      </c>
      <c r="V81" s="239">
        <v>0</v>
      </c>
      <c r="W81" s="239">
        <v>25387</v>
      </c>
      <c r="X81" s="239">
        <v>0</v>
      </c>
      <c r="Y81" s="239">
        <v>0</v>
      </c>
      <c r="Z81" s="239">
        <v>0</v>
      </c>
      <c r="AA81" s="239">
        <v>0</v>
      </c>
      <c r="AB81" s="239">
        <v>0</v>
      </c>
      <c r="AC81" s="239">
        <v>0</v>
      </c>
      <c r="AD81" s="239">
        <v>0</v>
      </c>
      <c r="AE81" s="239">
        <v>0</v>
      </c>
      <c r="AF81" s="239">
        <v>0</v>
      </c>
      <c r="AG81" s="239">
        <v>0</v>
      </c>
      <c r="AH81" s="239">
        <v>0</v>
      </c>
      <c r="AI81" s="239">
        <v>0</v>
      </c>
      <c r="AJ81" s="239">
        <v>0</v>
      </c>
      <c r="AK81" s="239">
        <v>0</v>
      </c>
      <c r="AL81" s="239">
        <v>0</v>
      </c>
      <c r="AM81" s="239">
        <v>0</v>
      </c>
      <c r="AN81" s="239">
        <v>0</v>
      </c>
      <c r="AO81" s="239">
        <v>0</v>
      </c>
      <c r="AP81" s="239">
        <v>0</v>
      </c>
      <c r="AQ81" s="239">
        <v>0</v>
      </c>
      <c r="AR81" s="239">
        <v>0</v>
      </c>
      <c r="AS81" s="239">
        <v>0</v>
      </c>
      <c r="AT81" s="239">
        <v>0</v>
      </c>
      <c r="AU81" s="239">
        <v>0</v>
      </c>
      <c r="AV81" s="239">
        <v>0</v>
      </c>
      <c r="AW81" s="239">
        <v>0</v>
      </c>
      <c r="AX81" s="239">
        <v>0</v>
      </c>
      <c r="AY81" s="239">
        <v>0</v>
      </c>
      <c r="AZ81" s="239">
        <v>0</v>
      </c>
      <c r="BA81" s="239">
        <v>0</v>
      </c>
      <c r="BB81" s="239">
        <v>0</v>
      </c>
      <c r="BC81" s="239">
        <v>3013696</v>
      </c>
      <c r="BD81" s="239">
        <v>0</v>
      </c>
      <c r="BE81" s="239">
        <v>61504</v>
      </c>
      <c r="BF81" s="239">
        <v>2948517.1774658803</v>
      </c>
      <c r="BG81" s="239">
        <v>0</v>
      </c>
      <c r="BH81" s="239">
        <v>60173.819948283264</v>
      </c>
      <c r="BI81" s="239">
        <v>196989.10669206007</v>
      </c>
      <c r="BJ81" s="239">
        <v>0</v>
      </c>
      <c r="BK81" s="239">
        <v>4020.1858508583691</v>
      </c>
      <c r="BL81" s="239">
        <v>2521481</v>
      </c>
      <c r="BM81" s="239">
        <v>0</v>
      </c>
      <c r="BN81" s="239">
        <v>38031</v>
      </c>
      <c r="BO81" s="239">
        <v>492215</v>
      </c>
      <c r="BP81" s="239">
        <v>0</v>
      </c>
      <c r="BQ81" s="239">
        <v>23473</v>
      </c>
      <c r="BR81" s="239">
        <v>23595</v>
      </c>
      <c r="BS81" s="239">
        <v>0</v>
      </c>
      <c r="BT81" s="239">
        <v>482</v>
      </c>
      <c r="BU81" s="239">
        <v>25806</v>
      </c>
      <c r="BV81" s="239">
        <v>0</v>
      </c>
      <c r="BW81" s="239">
        <v>527</v>
      </c>
      <c r="BX81" s="239">
        <v>-2211</v>
      </c>
      <c r="BY81" s="239">
        <v>0</v>
      </c>
      <c r="BZ81" s="239">
        <v>-45</v>
      </c>
      <c r="CA81" s="239">
        <v>74224</v>
      </c>
      <c r="CB81" s="239">
        <v>0</v>
      </c>
      <c r="CC81" s="239">
        <v>1515</v>
      </c>
      <c r="CD81" s="239">
        <v>70887</v>
      </c>
      <c r="CE81" s="239">
        <v>0</v>
      </c>
      <c r="CF81" s="239">
        <v>1447</v>
      </c>
      <c r="CG81" s="239">
        <v>3337</v>
      </c>
      <c r="CH81" s="239">
        <v>0</v>
      </c>
      <c r="CI81" s="239">
        <v>68</v>
      </c>
      <c r="CJ81" s="239">
        <v>288</v>
      </c>
      <c r="CK81" s="239">
        <v>0</v>
      </c>
      <c r="CL81" s="239">
        <v>6</v>
      </c>
      <c r="CM81" s="239">
        <v>0</v>
      </c>
      <c r="CN81" s="239">
        <v>0</v>
      </c>
      <c r="CO81" s="239">
        <v>0</v>
      </c>
      <c r="CP81" s="239">
        <v>288</v>
      </c>
      <c r="CQ81" s="239">
        <v>0</v>
      </c>
      <c r="CR81" s="239">
        <v>6</v>
      </c>
      <c r="CS81" s="239">
        <v>-3081</v>
      </c>
      <c r="CT81" s="239">
        <v>0</v>
      </c>
      <c r="CU81" s="239">
        <v>-63</v>
      </c>
      <c r="CV81" s="239">
        <v>0</v>
      </c>
      <c r="CW81" s="239">
        <v>0</v>
      </c>
      <c r="CX81" s="239">
        <v>0</v>
      </c>
      <c r="CY81" s="239">
        <v>0</v>
      </c>
      <c r="CZ81" s="239">
        <v>0</v>
      </c>
      <c r="DA81" s="239">
        <v>0</v>
      </c>
      <c r="DB81" s="239">
        <v>0</v>
      </c>
      <c r="DC81" s="239">
        <v>0</v>
      </c>
      <c r="DD81" s="239">
        <v>0</v>
      </c>
      <c r="DE81" s="239">
        <v>0</v>
      </c>
      <c r="DF81" s="239">
        <v>0</v>
      </c>
      <c r="DG81" s="239">
        <v>0</v>
      </c>
      <c r="DH81" s="239">
        <v>2176</v>
      </c>
      <c r="DI81" s="239">
        <v>0</v>
      </c>
      <c r="DJ81" s="239">
        <v>44</v>
      </c>
      <c r="DK81" s="239">
        <v>4325</v>
      </c>
      <c r="DL81" s="239">
        <v>0</v>
      </c>
      <c r="DM81" s="239">
        <v>88</v>
      </c>
      <c r="DN81" s="239">
        <v>-2149</v>
      </c>
      <c r="DO81" s="239">
        <v>0</v>
      </c>
      <c r="DP81" s="239">
        <v>-44</v>
      </c>
      <c r="DQ81" s="239">
        <v>0</v>
      </c>
      <c r="DR81" s="239">
        <v>0</v>
      </c>
      <c r="DS81" s="239">
        <v>0</v>
      </c>
      <c r="DT81" s="239">
        <v>0</v>
      </c>
      <c r="DU81" s="239">
        <v>0</v>
      </c>
      <c r="DV81" s="239">
        <v>0</v>
      </c>
      <c r="DW81" s="239">
        <v>0</v>
      </c>
      <c r="DX81" s="239">
        <v>0</v>
      </c>
      <c r="DY81" s="239">
        <v>0</v>
      </c>
      <c r="DZ81" s="239">
        <v>22807</v>
      </c>
      <c r="EA81" s="239">
        <v>0</v>
      </c>
      <c r="EB81" s="239">
        <v>465</v>
      </c>
      <c r="EC81" s="239">
        <v>22454</v>
      </c>
      <c r="ED81" s="239">
        <v>0</v>
      </c>
      <c r="EE81" s="239">
        <v>0</v>
      </c>
      <c r="EF81" s="239">
        <v>353</v>
      </c>
      <c r="EG81" s="239">
        <v>0</v>
      </c>
      <c r="EH81" s="239">
        <v>465</v>
      </c>
      <c r="EI81" s="239">
        <v>104236</v>
      </c>
      <c r="EJ81" s="239">
        <v>0</v>
      </c>
      <c r="EK81" s="239">
        <v>2127</v>
      </c>
      <c r="EL81" s="239">
        <v>231569</v>
      </c>
      <c r="EM81" s="239">
        <v>0</v>
      </c>
      <c r="EN81" s="239">
        <v>0</v>
      </c>
      <c r="EO81" s="239">
        <v>-127333</v>
      </c>
      <c r="EP81" s="239">
        <v>0</v>
      </c>
      <c r="EQ81" s="239">
        <v>2127</v>
      </c>
      <c r="ER81" s="239">
        <v>45377</v>
      </c>
      <c r="ES81" s="239">
        <v>0</v>
      </c>
      <c r="ET81" s="239">
        <v>926</v>
      </c>
      <c r="EU81" s="239">
        <v>44590</v>
      </c>
      <c r="EV81" s="239">
        <v>0</v>
      </c>
      <c r="EW81" s="239">
        <v>0</v>
      </c>
      <c r="EX81" s="239">
        <v>787</v>
      </c>
      <c r="EY81" s="239">
        <v>0</v>
      </c>
      <c r="EZ81" s="239">
        <v>926</v>
      </c>
      <c r="FA81" s="239">
        <v>668581</v>
      </c>
      <c r="FB81" s="239">
        <v>0</v>
      </c>
      <c r="FC81" s="239">
        <v>13584</v>
      </c>
      <c r="FD81" s="239">
        <v>669210</v>
      </c>
      <c r="FE81" s="239">
        <v>0</v>
      </c>
      <c r="FF81" s="239">
        <v>13605</v>
      </c>
      <c r="FG81" s="239">
        <v>-629</v>
      </c>
      <c r="FH81" s="239">
        <v>0</v>
      </c>
      <c r="FI81" s="239">
        <v>-21</v>
      </c>
      <c r="FJ81" s="239">
        <v>0</v>
      </c>
      <c r="FK81" s="239">
        <v>0</v>
      </c>
      <c r="FL81" s="239">
        <v>0</v>
      </c>
      <c r="FM81" s="239">
        <v>0</v>
      </c>
      <c r="FN81" s="239">
        <v>0</v>
      </c>
      <c r="FO81" s="239">
        <v>0</v>
      </c>
      <c r="FP81" s="239">
        <v>0</v>
      </c>
      <c r="FQ81" s="239">
        <v>0</v>
      </c>
      <c r="FR81" s="239">
        <v>0</v>
      </c>
      <c r="FS81" s="239">
        <v>0</v>
      </c>
      <c r="FT81" s="239">
        <v>0</v>
      </c>
      <c r="FU81" s="239">
        <v>0</v>
      </c>
      <c r="FV81" s="239">
        <v>3951899</v>
      </c>
      <c r="FW81" s="239">
        <v>0</v>
      </c>
      <c r="FX81" s="239">
        <v>80590</v>
      </c>
      <c r="FY81" s="834">
        <v>0.5</v>
      </c>
      <c r="FZ81" s="834">
        <v>0.49</v>
      </c>
      <c r="GA81" s="834">
        <v>0</v>
      </c>
      <c r="GB81" s="834">
        <v>0.01</v>
      </c>
      <c r="GC81" s="214" t="s">
        <v>1160</v>
      </c>
    </row>
    <row r="82" spans="1:185" s="214" customFormat="1" x14ac:dyDescent="0.2">
      <c r="B82" s="602" t="s">
        <v>247</v>
      </c>
      <c r="C82" s="602" t="s">
        <v>246</v>
      </c>
      <c r="D82" s="239">
        <v>1302545</v>
      </c>
      <c r="E82" s="239">
        <v>0</v>
      </c>
      <c r="F82" s="239">
        <v>1302545</v>
      </c>
      <c r="G82" s="239">
        <v>4615286</v>
      </c>
      <c r="H82" s="239">
        <v>0</v>
      </c>
      <c r="I82" s="239">
        <v>4615286</v>
      </c>
      <c r="J82" s="239">
        <v>-3312741</v>
      </c>
      <c r="K82" s="239">
        <v>0</v>
      </c>
      <c r="L82" s="239">
        <v>-3312741</v>
      </c>
      <c r="M82" s="239">
        <v>164215</v>
      </c>
      <c r="N82" s="239">
        <v>164215</v>
      </c>
      <c r="O82" s="239">
        <v>0</v>
      </c>
      <c r="P82" s="239">
        <v>0</v>
      </c>
      <c r="Q82" s="239">
        <v>0</v>
      </c>
      <c r="R82" s="239">
        <v>0</v>
      </c>
      <c r="S82" s="239">
        <v>61103</v>
      </c>
      <c r="T82" s="239">
        <v>0</v>
      </c>
      <c r="U82" s="239">
        <v>39656</v>
      </c>
      <c r="V82" s="239">
        <v>0</v>
      </c>
      <c r="W82" s="239">
        <v>21447</v>
      </c>
      <c r="X82" s="239">
        <v>0</v>
      </c>
      <c r="Y82" s="239">
        <v>1470205</v>
      </c>
      <c r="Z82" s="239">
        <v>1176164</v>
      </c>
      <c r="AA82" s="239">
        <v>264637</v>
      </c>
      <c r="AB82" s="239">
        <v>29404</v>
      </c>
      <c r="AC82" s="239">
        <v>1327000</v>
      </c>
      <c r="AD82" s="239">
        <v>1061600</v>
      </c>
      <c r="AE82" s="239">
        <v>238860</v>
      </c>
      <c r="AF82" s="239">
        <v>26540</v>
      </c>
      <c r="AG82" s="239">
        <v>143205</v>
      </c>
      <c r="AH82" s="239">
        <v>114564</v>
      </c>
      <c r="AI82" s="239">
        <v>25777</v>
      </c>
      <c r="AJ82" s="239">
        <v>2864</v>
      </c>
      <c r="AK82" s="239">
        <v>0</v>
      </c>
      <c r="AL82" s="239">
        <v>0</v>
      </c>
      <c r="AM82" s="239">
        <v>0</v>
      </c>
      <c r="AN82" s="239">
        <v>0</v>
      </c>
      <c r="AO82" s="239">
        <v>0</v>
      </c>
      <c r="AP82" s="239">
        <v>0</v>
      </c>
      <c r="AQ82" s="239">
        <v>0</v>
      </c>
      <c r="AR82" s="239">
        <v>0</v>
      </c>
      <c r="AS82" s="239">
        <v>0</v>
      </c>
      <c r="AT82" s="239">
        <v>0</v>
      </c>
      <c r="AU82" s="239">
        <v>0</v>
      </c>
      <c r="AV82" s="239">
        <v>0</v>
      </c>
      <c r="AW82" s="239">
        <v>0</v>
      </c>
      <c r="AX82" s="239">
        <v>0</v>
      </c>
      <c r="AY82" s="239">
        <v>0</v>
      </c>
      <c r="AZ82" s="239">
        <v>0</v>
      </c>
      <c r="BA82" s="239">
        <v>0</v>
      </c>
      <c r="BB82" s="239">
        <v>0</v>
      </c>
      <c r="BC82" s="239">
        <v>988768</v>
      </c>
      <c r="BD82" s="239">
        <v>222473</v>
      </c>
      <c r="BE82" s="239">
        <v>24719</v>
      </c>
      <c r="BF82" s="239">
        <v>971369.44147982844</v>
      </c>
      <c r="BG82" s="239">
        <v>218558.12433296136</v>
      </c>
      <c r="BH82" s="239">
        <v>24284.23603699571</v>
      </c>
      <c r="BI82" s="239">
        <v>62016.755536480683</v>
      </c>
      <c r="BJ82" s="239">
        <v>13806.807576180256</v>
      </c>
      <c r="BK82" s="239">
        <v>1534.0897306866952</v>
      </c>
      <c r="BL82" s="239">
        <v>1220757</v>
      </c>
      <c r="BM82" s="239">
        <v>193430</v>
      </c>
      <c r="BN82" s="239">
        <v>21492</v>
      </c>
      <c r="BO82" s="239">
        <v>-231989</v>
      </c>
      <c r="BP82" s="239">
        <v>29043</v>
      </c>
      <c r="BQ82" s="239">
        <v>3227</v>
      </c>
      <c r="BR82" s="239">
        <v>5203</v>
      </c>
      <c r="BS82" s="239">
        <v>1171</v>
      </c>
      <c r="BT82" s="239">
        <v>130</v>
      </c>
      <c r="BU82" s="239">
        <v>739</v>
      </c>
      <c r="BV82" s="239">
        <v>166</v>
      </c>
      <c r="BW82" s="239">
        <v>18</v>
      </c>
      <c r="BX82" s="239">
        <v>4464</v>
      </c>
      <c r="BY82" s="239">
        <v>1005</v>
      </c>
      <c r="BZ82" s="239">
        <v>112</v>
      </c>
      <c r="CA82" s="239">
        <v>3967</v>
      </c>
      <c r="CB82" s="239">
        <v>893</v>
      </c>
      <c r="CC82" s="239">
        <v>99</v>
      </c>
      <c r="CD82" s="239">
        <v>0</v>
      </c>
      <c r="CE82" s="239">
        <v>0</v>
      </c>
      <c r="CF82" s="239">
        <v>0</v>
      </c>
      <c r="CG82" s="239">
        <v>3967</v>
      </c>
      <c r="CH82" s="239">
        <v>893</v>
      </c>
      <c r="CI82" s="239">
        <v>99</v>
      </c>
      <c r="CJ82" s="239">
        <v>317</v>
      </c>
      <c r="CK82" s="239">
        <v>71</v>
      </c>
      <c r="CL82" s="239">
        <v>8</v>
      </c>
      <c r="CM82" s="239">
        <v>271</v>
      </c>
      <c r="CN82" s="239">
        <v>61</v>
      </c>
      <c r="CO82" s="239">
        <v>7</v>
      </c>
      <c r="CP82" s="239">
        <v>46</v>
      </c>
      <c r="CQ82" s="239">
        <v>10</v>
      </c>
      <c r="CR82" s="239">
        <v>1</v>
      </c>
      <c r="CS82" s="239">
        <v>-2615</v>
      </c>
      <c r="CT82" s="239">
        <v>-588</v>
      </c>
      <c r="CU82" s="239">
        <v>-65</v>
      </c>
      <c r="CV82" s="239">
        <v>0</v>
      </c>
      <c r="CW82" s="239">
        <v>0</v>
      </c>
      <c r="CX82" s="239">
        <v>0</v>
      </c>
      <c r="CY82" s="239">
        <v>0</v>
      </c>
      <c r="CZ82" s="239">
        <v>0</v>
      </c>
      <c r="DA82" s="239">
        <v>0</v>
      </c>
      <c r="DB82" s="239">
        <v>0</v>
      </c>
      <c r="DC82" s="239">
        <v>0</v>
      </c>
      <c r="DD82" s="239">
        <v>0</v>
      </c>
      <c r="DE82" s="239">
        <v>0</v>
      </c>
      <c r="DF82" s="239">
        <v>0</v>
      </c>
      <c r="DG82" s="239">
        <v>0</v>
      </c>
      <c r="DH82" s="239">
        <v>5966</v>
      </c>
      <c r="DI82" s="239">
        <v>1342</v>
      </c>
      <c r="DJ82" s="239">
        <v>149</v>
      </c>
      <c r="DK82" s="239">
        <v>0</v>
      </c>
      <c r="DL82" s="239">
        <v>0</v>
      </c>
      <c r="DM82" s="239">
        <v>0</v>
      </c>
      <c r="DN82" s="239">
        <v>5966</v>
      </c>
      <c r="DO82" s="239">
        <v>1342</v>
      </c>
      <c r="DP82" s="239">
        <v>149</v>
      </c>
      <c r="DQ82" s="239">
        <v>609</v>
      </c>
      <c r="DR82" s="239">
        <v>137</v>
      </c>
      <c r="DS82" s="239">
        <v>15</v>
      </c>
      <c r="DT82" s="239">
        <v>0</v>
      </c>
      <c r="DU82" s="239">
        <v>0</v>
      </c>
      <c r="DV82" s="239">
        <v>0</v>
      </c>
      <c r="DW82" s="239">
        <v>609</v>
      </c>
      <c r="DX82" s="239">
        <v>137</v>
      </c>
      <c r="DY82" s="239">
        <v>15</v>
      </c>
      <c r="DZ82" s="239">
        <v>14578</v>
      </c>
      <c r="EA82" s="239">
        <v>3280</v>
      </c>
      <c r="EB82" s="239">
        <v>364</v>
      </c>
      <c r="EC82" s="239">
        <v>19067</v>
      </c>
      <c r="ED82" s="239">
        <v>0</v>
      </c>
      <c r="EE82" s="239">
        <v>0</v>
      </c>
      <c r="EF82" s="239">
        <v>-4489</v>
      </c>
      <c r="EG82" s="239">
        <v>3280</v>
      </c>
      <c r="EH82" s="239">
        <v>364</v>
      </c>
      <c r="EI82" s="239">
        <v>40313</v>
      </c>
      <c r="EJ82" s="239">
        <v>9071</v>
      </c>
      <c r="EK82" s="239">
        <v>1008</v>
      </c>
      <c r="EL82" s="239">
        <v>116187</v>
      </c>
      <c r="EM82" s="239">
        <v>0</v>
      </c>
      <c r="EN82" s="239">
        <v>0</v>
      </c>
      <c r="EO82" s="239">
        <v>-75874</v>
      </c>
      <c r="EP82" s="239">
        <v>9071</v>
      </c>
      <c r="EQ82" s="239">
        <v>1008</v>
      </c>
      <c r="ER82" s="239">
        <v>26998</v>
      </c>
      <c r="ES82" s="239">
        <v>6074</v>
      </c>
      <c r="ET82" s="239">
        <v>675</v>
      </c>
      <c r="EU82" s="239">
        <v>23781</v>
      </c>
      <c r="EV82" s="239">
        <v>0</v>
      </c>
      <c r="EW82" s="239">
        <v>0</v>
      </c>
      <c r="EX82" s="239">
        <v>3217</v>
      </c>
      <c r="EY82" s="239">
        <v>6074</v>
      </c>
      <c r="EZ82" s="239">
        <v>675</v>
      </c>
      <c r="FA82" s="239">
        <v>216128</v>
      </c>
      <c r="FB82" s="239">
        <v>48422</v>
      </c>
      <c r="FC82" s="239">
        <v>5380</v>
      </c>
      <c r="FD82" s="239">
        <v>246503</v>
      </c>
      <c r="FE82" s="239">
        <v>55329</v>
      </c>
      <c r="FF82" s="239">
        <v>6148</v>
      </c>
      <c r="FG82" s="239">
        <v>-30375</v>
      </c>
      <c r="FH82" s="239">
        <v>-6907</v>
      </c>
      <c r="FI82" s="239">
        <v>-768</v>
      </c>
      <c r="FJ82" s="239">
        <v>0</v>
      </c>
      <c r="FK82" s="239">
        <v>0</v>
      </c>
      <c r="FL82" s="239">
        <v>0</v>
      </c>
      <c r="FM82" s="239">
        <v>0</v>
      </c>
      <c r="FN82" s="239">
        <v>0</v>
      </c>
      <c r="FO82" s="239">
        <v>0</v>
      </c>
      <c r="FP82" s="239">
        <v>0</v>
      </c>
      <c r="FQ82" s="239">
        <v>0</v>
      </c>
      <c r="FR82" s="239">
        <v>0</v>
      </c>
      <c r="FS82" s="239">
        <v>0</v>
      </c>
      <c r="FT82" s="239">
        <v>0</v>
      </c>
      <c r="FU82" s="239">
        <v>0</v>
      </c>
      <c r="FV82" s="239">
        <v>1300232</v>
      </c>
      <c r="FW82" s="239">
        <v>292346</v>
      </c>
      <c r="FX82" s="239">
        <v>32482</v>
      </c>
      <c r="FY82" s="834">
        <v>0.5</v>
      </c>
      <c r="FZ82" s="834">
        <v>0.4</v>
      </c>
      <c r="GA82" s="834">
        <v>0.09</v>
      </c>
      <c r="GB82" s="834">
        <v>0.01</v>
      </c>
      <c r="GC82" s="214" t="s">
        <v>1158</v>
      </c>
    </row>
    <row r="83" spans="1:185" s="214" customFormat="1" x14ac:dyDescent="0.2">
      <c r="B83" s="602" t="s">
        <v>249</v>
      </c>
      <c r="C83" s="602" t="s">
        <v>248</v>
      </c>
      <c r="D83" s="239">
        <v>-4596408</v>
      </c>
      <c r="E83" s="239">
        <v>2231</v>
      </c>
      <c r="F83" s="239">
        <v>-4594177</v>
      </c>
      <c r="G83" s="239">
        <v>-4574788</v>
      </c>
      <c r="H83" s="239">
        <v>-2338</v>
      </c>
      <c r="I83" s="239">
        <v>-4577126</v>
      </c>
      <c r="J83" s="239">
        <v>-21620</v>
      </c>
      <c r="K83" s="239">
        <v>4569</v>
      </c>
      <c r="L83" s="239">
        <v>-17051</v>
      </c>
      <c r="M83" s="239">
        <v>417732</v>
      </c>
      <c r="N83" s="239">
        <v>417732</v>
      </c>
      <c r="O83" s="239">
        <v>0</v>
      </c>
      <c r="P83" s="239">
        <v>0</v>
      </c>
      <c r="Q83" s="239">
        <v>0</v>
      </c>
      <c r="R83" s="239">
        <v>0</v>
      </c>
      <c r="S83" s="239">
        <v>0</v>
      </c>
      <c r="T83" s="239">
        <v>0</v>
      </c>
      <c r="U83" s="239">
        <v>0</v>
      </c>
      <c r="V83" s="239">
        <v>0</v>
      </c>
      <c r="W83" s="239">
        <v>0</v>
      </c>
      <c r="X83" s="239">
        <v>0</v>
      </c>
      <c r="Y83" s="239">
        <v>0</v>
      </c>
      <c r="Z83" s="239">
        <v>0</v>
      </c>
      <c r="AA83" s="239">
        <v>0</v>
      </c>
      <c r="AB83" s="239">
        <v>0</v>
      </c>
      <c r="AC83" s="239">
        <v>0</v>
      </c>
      <c r="AD83" s="239">
        <v>0</v>
      </c>
      <c r="AE83" s="239">
        <v>0</v>
      </c>
      <c r="AF83" s="239">
        <v>0</v>
      </c>
      <c r="AG83" s="239">
        <v>0</v>
      </c>
      <c r="AH83" s="239">
        <v>0</v>
      </c>
      <c r="AI83" s="239">
        <v>0</v>
      </c>
      <c r="AJ83" s="239">
        <v>0</v>
      </c>
      <c r="AK83" s="239">
        <v>0</v>
      </c>
      <c r="AL83" s="239">
        <v>0</v>
      </c>
      <c r="AM83" s="239">
        <v>0</v>
      </c>
      <c r="AN83" s="239">
        <v>0</v>
      </c>
      <c r="AO83" s="239">
        <v>0</v>
      </c>
      <c r="AP83" s="239">
        <v>0</v>
      </c>
      <c r="AQ83" s="239">
        <v>0</v>
      </c>
      <c r="AR83" s="239">
        <v>0</v>
      </c>
      <c r="AS83" s="239">
        <v>0</v>
      </c>
      <c r="AT83" s="239">
        <v>0</v>
      </c>
      <c r="AU83" s="239">
        <v>0</v>
      </c>
      <c r="AV83" s="239">
        <v>0</v>
      </c>
      <c r="AW83" s="239">
        <v>0</v>
      </c>
      <c r="AX83" s="239">
        <v>0</v>
      </c>
      <c r="AY83" s="239">
        <v>0</v>
      </c>
      <c r="AZ83" s="239">
        <v>0</v>
      </c>
      <c r="BA83" s="239">
        <v>0</v>
      </c>
      <c r="BB83" s="239">
        <v>0</v>
      </c>
      <c r="BC83" s="239">
        <v>7428360</v>
      </c>
      <c r="BD83" s="239">
        <v>0</v>
      </c>
      <c r="BE83" s="239">
        <v>75003</v>
      </c>
      <c r="BF83" s="239">
        <v>7268494.4205660522</v>
      </c>
      <c r="BG83" s="239">
        <v>0</v>
      </c>
      <c r="BH83" s="239">
        <v>73388.410554120172</v>
      </c>
      <c r="BI83" s="239">
        <v>450833.77740075102</v>
      </c>
      <c r="BJ83" s="239">
        <v>0</v>
      </c>
      <c r="BK83" s="239">
        <v>4546.8457215665239</v>
      </c>
      <c r="BL83" s="239">
        <v>6290240</v>
      </c>
      <c r="BM83" s="239">
        <v>0</v>
      </c>
      <c r="BN83" s="239">
        <v>46710</v>
      </c>
      <c r="BO83" s="239">
        <v>1138120</v>
      </c>
      <c r="BP83" s="239">
        <v>0</v>
      </c>
      <c r="BQ83" s="239">
        <v>28293</v>
      </c>
      <c r="BR83" s="239">
        <v>45452</v>
      </c>
      <c r="BS83" s="239">
        <v>0</v>
      </c>
      <c r="BT83" s="239">
        <v>459</v>
      </c>
      <c r="BU83" s="239">
        <v>7934</v>
      </c>
      <c r="BV83" s="239">
        <v>0</v>
      </c>
      <c r="BW83" s="239">
        <v>80</v>
      </c>
      <c r="BX83" s="239">
        <v>37518</v>
      </c>
      <c r="BY83" s="239">
        <v>0</v>
      </c>
      <c r="BZ83" s="239">
        <v>379</v>
      </c>
      <c r="CA83" s="239">
        <v>0</v>
      </c>
      <c r="CB83" s="239">
        <v>0</v>
      </c>
      <c r="CC83" s="239">
        <v>0</v>
      </c>
      <c r="CD83" s="239">
        <v>0</v>
      </c>
      <c r="CE83" s="239">
        <v>0</v>
      </c>
      <c r="CF83" s="239">
        <v>0</v>
      </c>
      <c r="CG83" s="239">
        <v>0</v>
      </c>
      <c r="CH83" s="239">
        <v>0</v>
      </c>
      <c r="CI83" s="239">
        <v>0</v>
      </c>
      <c r="CJ83" s="239">
        <v>540</v>
      </c>
      <c r="CK83" s="239">
        <v>0</v>
      </c>
      <c r="CL83" s="239">
        <v>5</v>
      </c>
      <c r="CM83" s="239">
        <v>18287</v>
      </c>
      <c r="CN83" s="239">
        <v>0</v>
      </c>
      <c r="CO83" s="239">
        <v>185</v>
      </c>
      <c r="CP83" s="239">
        <v>-17747</v>
      </c>
      <c r="CQ83" s="239">
        <v>0</v>
      </c>
      <c r="CR83" s="239">
        <v>-180</v>
      </c>
      <c r="CS83" s="239">
        <v>-22139</v>
      </c>
      <c r="CT83" s="239">
        <v>0</v>
      </c>
      <c r="CU83" s="239">
        <v>-224</v>
      </c>
      <c r="CV83" s="239">
        <v>0</v>
      </c>
      <c r="CW83" s="239">
        <v>0</v>
      </c>
      <c r="CX83" s="239">
        <v>0</v>
      </c>
      <c r="CY83" s="239">
        <v>0</v>
      </c>
      <c r="CZ83" s="239">
        <v>0</v>
      </c>
      <c r="DA83" s="239">
        <v>0</v>
      </c>
      <c r="DB83" s="239">
        <v>0</v>
      </c>
      <c r="DC83" s="239">
        <v>0</v>
      </c>
      <c r="DD83" s="239">
        <v>0</v>
      </c>
      <c r="DE83" s="239">
        <v>62768</v>
      </c>
      <c r="DF83" s="239">
        <v>0</v>
      </c>
      <c r="DG83" s="239">
        <v>634</v>
      </c>
      <c r="DH83" s="239">
        <v>0</v>
      </c>
      <c r="DI83" s="239">
        <v>0</v>
      </c>
      <c r="DJ83" s="239">
        <v>0</v>
      </c>
      <c r="DK83" s="239">
        <v>0</v>
      </c>
      <c r="DL83" s="239">
        <v>0</v>
      </c>
      <c r="DM83" s="239">
        <v>0</v>
      </c>
      <c r="DN83" s="239">
        <v>0</v>
      </c>
      <c r="DO83" s="239">
        <v>0</v>
      </c>
      <c r="DP83" s="239">
        <v>0</v>
      </c>
      <c r="DQ83" s="239">
        <v>3269</v>
      </c>
      <c r="DR83" s="239">
        <v>0</v>
      </c>
      <c r="DS83" s="239">
        <v>33</v>
      </c>
      <c r="DT83" s="239">
        <v>6029</v>
      </c>
      <c r="DU83" s="239">
        <v>0</v>
      </c>
      <c r="DV83" s="239">
        <v>61</v>
      </c>
      <c r="DW83" s="239">
        <v>-2760</v>
      </c>
      <c r="DX83" s="239">
        <v>0</v>
      </c>
      <c r="DY83" s="239">
        <v>-28</v>
      </c>
      <c r="DZ83" s="239">
        <v>22712</v>
      </c>
      <c r="EA83" s="239">
        <v>0</v>
      </c>
      <c r="EB83" s="239">
        <v>229</v>
      </c>
      <c r="EC83" s="239">
        <v>23498</v>
      </c>
      <c r="ED83" s="239">
        <v>0</v>
      </c>
      <c r="EE83" s="239">
        <v>0</v>
      </c>
      <c r="EF83" s="239">
        <v>-786</v>
      </c>
      <c r="EG83" s="239">
        <v>0</v>
      </c>
      <c r="EH83" s="239">
        <v>229</v>
      </c>
      <c r="EI83" s="239">
        <v>229314</v>
      </c>
      <c r="EJ83" s="239">
        <v>0</v>
      </c>
      <c r="EK83" s="239">
        <v>2316</v>
      </c>
      <c r="EL83" s="239">
        <v>352085</v>
      </c>
      <c r="EM83" s="239">
        <v>0</v>
      </c>
      <c r="EN83" s="239">
        <v>0</v>
      </c>
      <c r="EO83" s="239">
        <v>-122771</v>
      </c>
      <c r="EP83" s="239">
        <v>0</v>
      </c>
      <c r="EQ83" s="239">
        <v>2316</v>
      </c>
      <c r="ER83" s="239">
        <v>72314</v>
      </c>
      <c r="ES83" s="239">
        <v>0</v>
      </c>
      <c r="ET83" s="239">
        <v>730</v>
      </c>
      <c r="EU83" s="239">
        <v>72363</v>
      </c>
      <c r="EV83" s="239">
        <v>0</v>
      </c>
      <c r="EW83" s="239">
        <v>0</v>
      </c>
      <c r="EX83" s="239">
        <v>-49</v>
      </c>
      <c r="EY83" s="239">
        <v>0</v>
      </c>
      <c r="EZ83" s="239">
        <v>730</v>
      </c>
      <c r="FA83" s="239">
        <v>1229838</v>
      </c>
      <c r="FB83" s="239">
        <v>0</v>
      </c>
      <c r="FC83" s="239">
        <v>12423</v>
      </c>
      <c r="FD83" s="239">
        <v>1255799</v>
      </c>
      <c r="FE83" s="239">
        <v>0</v>
      </c>
      <c r="FF83" s="239">
        <v>12685</v>
      </c>
      <c r="FG83" s="239">
        <v>-25961</v>
      </c>
      <c r="FH83" s="239">
        <v>0</v>
      </c>
      <c r="FI83" s="239">
        <v>-262</v>
      </c>
      <c r="FJ83" s="239">
        <v>84015</v>
      </c>
      <c r="FK83" s="239">
        <v>0</v>
      </c>
      <c r="FL83" s="239">
        <v>849</v>
      </c>
      <c r="FM83" s="239">
        <v>222162.93</v>
      </c>
      <c r="FN83" s="239">
        <v>0</v>
      </c>
      <c r="FO83" s="239">
        <v>2244.0700000000002</v>
      </c>
      <c r="FP83" s="239">
        <v>-138148</v>
      </c>
      <c r="FQ83" s="239">
        <v>0</v>
      </c>
      <c r="FR83" s="239">
        <v>-1395</v>
      </c>
      <c r="FS83" s="239">
        <v>0</v>
      </c>
      <c r="FT83" s="239">
        <v>0</v>
      </c>
      <c r="FU83" s="239">
        <v>0</v>
      </c>
      <c r="FV83" s="239">
        <v>9156443</v>
      </c>
      <c r="FW83" s="239">
        <v>0</v>
      </c>
      <c r="FX83" s="239">
        <v>92457</v>
      </c>
      <c r="FY83" s="834">
        <v>0</v>
      </c>
      <c r="FZ83" s="834">
        <v>0.99</v>
      </c>
      <c r="GA83" s="834">
        <v>0</v>
      </c>
      <c r="GB83" s="834">
        <v>0.01</v>
      </c>
      <c r="GC83" s="214" t="s">
        <v>1160</v>
      </c>
    </row>
    <row r="84" spans="1:185" s="214" customFormat="1" x14ac:dyDescent="0.2">
      <c r="B84" s="602" t="s">
        <v>251</v>
      </c>
      <c r="C84" s="602" t="s">
        <v>250</v>
      </c>
      <c r="D84" s="239">
        <v>-4674501</v>
      </c>
      <c r="E84" s="239">
        <v>0</v>
      </c>
      <c r="F84" s="239">
        <v>-4674501</v>
      </c>
      <c r="G84" s="239">
        <v>-4826243</v>
      </c>
      <c r="H84" s="239">
        <v>0</v>
      </c>
      <c r="I84" s="239">
        <v>-4826243</v>
      </c>
      <c r="J84" s="239">
        <v>151742</v>
      </c>
      <c r="K84" s="239">
        <v>0</v>
      </c>
      <c r="L84" s="239">
        <v>151742</v>
      </c>
      <c r="M84" s="239">
        <v>589560</v>
      </c>
      <c r="N84" s="239">
        <v>589560</v>
      </c>
      <c r="O84" s="239">
        <v>0</v>
      </c>
      <c r="P84" s="239">
        <v>0</v>
      </c>
      <c r="Q84" s="239">
        <v>0</v>
      </c>
      <c r="R84" s="239">
        <v>0</v>
      </c>
      <c r="S84" s="239">
        <v>100387</v>
      </c>
      <c r="T84" s="239">
        <v>0</v>
      </c>
      <c r="U84" s="239">
        <v>86069</v>
      </c>
      <c r="V84" s="239">
        <v>0</v>
      </c>
      <c r="W84" s="239">
        <v>14318</v>
      </c>
      <c r="X84" s="239">
        <v>0</v>
      </c>
      <c r="Y84" s="239">
        <v>0</v>
      </c>
      <c r="Z84" s="239">
        <v>0</v>
      </c>
      <c r="AA84" s="239">
        <v>0</v>
      </c>
      <c r="AB84" s="239">
        <v>0</v>
      </c>
      <c r="AC84" s="239">
        <v>0</v>
      </c>
      <c r="AD84" s="239">
        <v>0</v>
      </c>
      <c r="AE84" s="239">
        <v>0</v>
      </c>
      <c r="AF84" s="239">
        <v>0</v>
      </c>
      <c r="AG84" s="239">
        <v>0</v>
      </c>
      <c r="AH84" s="239">
        <v>0</v>
      </c>
      <c r="AI84" s="239">
        <v>0</v>
      </c>
      <c r="AJ84" s="239">
        <v>0</v>
      </c>
      <c r="AK84" s="239">
        <v>0</v>
      </c>
      <c r="AL84" s="239">
        <v>0</v>
      </c>
      <c r="AM84" s="239">
        <v>0</v>
      </c>
      <c r="AN84" s="239">
        <v>0</v>
      </c>
      <c r="AO84" s="239">
        <v>0</v>
      </c>
      <c r="AP84" s="239">
        <v>0</v>
      </c>
      <c r="AQ84" s="239">
        <v>0</v>
      </c>
      <c r="AR84" s="239">
        <v>0</v>
      </c>
      <c r="AS84" s="239">
        <v>0</v>
      </c>
      <c r="AT84" s="239">
        <v>0</v>
      </c>
      <c r="AU84" s="239">
        <v>0</v>
      </c>
      <c r="AV84" s="239">
        <v>0</v>
      </c>
      <c r="AW84" s="239">
        <v>0</v>
      </c>
      <c r="AX84" s="239">
        <v>0</v>
      </c>
      <c r="AY84" s="239">
        <v>0</v>
      </c>
      <c r="AZ84" s="239">
        <v>0</v>
      </c>
      <c r="BA84" s="239">
        <v>0</v>
      </c>
      <c r="BB84" s="239">
        <v>0</v>
      </c>
      <c r="BC84" s="239">
        <v>4648326</v>
      </c>
      <c r="BD84" s="239">
        <v>0</v>
      </c>
      <c r="BE84" s="239">
        <v>94864</v>
      </c>
      <c r="BF84" s="239">
        <v>4551799.5632948074</v>
      </c>
      <c r="BG84" s="239">
        <v>0</v>
      </c>
      <c r="BH84" s="239">
        <v>92893.868638669534</v>
      </c>
      <c r="BI84" s="239">
        <v>300932.3436984978</v>
      </c>
      <c r="BJ84" s="239">
        <v>0</v>
      </c>
      <c r="BK84" s="239">
        <v>6048.2342521459223</v>
      </c>
      <c r="BL84" s="239">
        <v>4397115</v>
      </c>
      <c r="BM84" s="239">
        <v>0</v>
      </c>
      <c r="BN84" s="239">
        <v>67337</v>
      </c>
      <c r="BO84" s="239">
        <v>251211</v>
      </c>
      <c r="BP84" s="239">
        <v>0</v>
      </c>
      <c r="BQ84" s="239">
        <v>27527</v>
      </c>
      <c r="BR84" s="239">
        <v>36367</v>
      </c>
      <c r="BS84" s="239">
        <v>0</v>
      </c>
      <c r="BT84" s="239">
        <v>742</v>
      </c>
      <c r="BU84" s="239">
        <v>6724</v>
      </c>
      <c r="BV84" s="239">
        <v>0</v>
      </c>
      <c r="BW84" s="239">
        <v>137</v>
      </c>
      <c r="BX84" s="239">
        <v>29643</v>
      </c>
      <c r="BY84" s="239">
        <v>0</v>
      </c>
      <c r="BZ84" s="239">
        <v>605</v>
      </c>
      <c r="CA84" s="239">
        <v>-4144</v>
      </c>
      <c r="CB84" s="239">
        <v>0</v>
      </c>
      <c r="CC84" s="239">
        <v>-85</v>
      </c>
      <c r="CD84" s="239">
        <v>5504</v>
      </c>
      <c r="CE84" s="239">
        <v>0</v>
      </c>
      <c r="CF84" s="239">
        <v>112</v>
      </c>
      <c r="CG84" s="239">
        <v>-9648</v>
      </c>
      <c r="CH84" s="239">
        <v>0</v>
      </c>
      <c r="CI84" s="239">
        <v>-197</v>
      </c>
      <c r="CJ84" s="239">
        <v>2320</v>
      </c>
      <c r="CK84" s="239">
        <v>0</v>
      </c>
      <c r="CL84" s="239">
        <v>47</v>
      </c>
      <c r="CM84" s="239">
        <v>12883</v>
      </c>
      <c r="CN84" s="239">
        <v>0</v>
      </c>
      <c r="CO84" s="239">
        <v>263</v>
      </c>
      <c r="CP84" s="239">
        <v>-10563</v>
      </c>
      <c r="CQ84" s="239">
        <v>0</v>
      </c>
      <c r="CR84" s="239">
        <v>-216</v>
      </c>
      <c r="CS84" s="239">
        <v>-6542</v>
      </c>
      <c r="CT84" s="239">
        <v>0</v>
      </c>
      <c r="CU84" s="239">
        <v>-134</v>
      </c>
      <c r="CV84" s="239">
        <v>0</v>
      </c>
      <c r="CW84" s="239">
        <v>0</v>
      </c>
      <c r="CX84" s="239">
        <v>0</v>
      </c>
      <c r="CY84" s="239">
        <v>0</v>
      </c>
      <c r="CZ84" s="239">
        <v>0</v>
      </c>
      <c r="DA84" s="239">
        <v>0</v>
      </c>
      <c r="DB84" s="239">
        <v>0</v>
      </c>
      <c r="DC84" s="239">
        <v>0</v>
      </c>
      <c r="DD84" s="239">
        <v>0</v>
      </c>
      <c r="DE84" s="239">
        <v>-653</v>
      </c>
      <c r="DF84" s="239">
        <v>0</v>
      </c>
      <c r="DG84" s="239">
        <v>-13</v>
      </c>
      <c r="DH84" s="239">
        <v>43943</v>
      </c>
      <c r="DI84" s="239">
        <v>0</v>
      </c>
      <c r="DJ84" s="239">
        <v>897</v>
      </c>
      <c r="DK84" s="239">
        <v>44876</v>
      </c>
      <c r="DL84" s="239">
        <v>0</v>
      </c>
      <c r="DM84" s="239">
        <v>916</v>
      </c>
      <c r="DN84" s="239">
        <v>-933</v>
      </c>
      <c r="DO84" s="239">
        <v>0</v>
      </c>
      <c r="DP84" s="239">
        <v>-19</v>
      </c>
      <c r="DQ84" s="239">
        <v>746</v>
      </c>
      <c r="DR84" s="239">
        <v>0</v>
      </c>
      <c r="DS84" s="239">
        <v>15</v>
      </c>
      <c r="DT84" s="239">
        <v>746</v>
      </c>
      <c r="DU84" s="239">
        <v>0</v>
      </c>
      <c r="DV84" s="239">
        <v>15</v>
      </c>
      <c r="DW84" s="239">
        <v>0</v>
      </c>
      <c r="DX84" s="239">
        <v>0</v>
      </c>
      <c r="DY84" s="239">
        <v>0</v>
      </c>
      <c r="DZ84" s="239">
        <v>42383</v>
      </c>
      <c r="EA84" s="239">
        <v>0</v>
      </c>
      <c r="EB84" s="239">
        <v>865</v>
      </c>
      <c r="EC84" s="239">
        <v>42126</v>
      </c>
      <c r="ED84" s="239">
        <v>0</v>
      </c>
      <c r="EE84" s="239">
        <v>0</v>
      </c>
      <c r="EF84" s="239">
        <v>257</v>
      </c>
      <c r="EG84" s="239">
        <v>0</v>
      </c>
      <c r="EH84" s="239">
        <v>865</v>
      </c>
      <c r="EI84" s="239">
        <v>329525</v>
      </c>
      <c r="EJ84" s="239">
        <v>0</v>
      </c>
      <c r="EK84" s="239">
        <v>6725</v>
      </c>
      <c r="EL84" s="239">
        <v>331273</v>
      </c>
      <c r="EM84" s="239">
        <v>0</v>
      </c>
      <c r="EN84" s="239">
        <v>0</v>
      </c>
      <c r="EO84" s="239">
        <v>-1748</v>
      </c>
      <c r="EP84" s="239">
        <v>0</v>
      </c>
      <c r="EQ84" s="239">
        <v>6725</v>
      </c>
      <c r="ER84" s="239">
        <v>88816</v>
      </c>
      <c r="ES84" s="239">
        <v>0</v>
      </c>
      <c r="ET84" s="239">
        <v>1813</v>
      </c>
      <c r="EU84" s="239">
        <v>97442</v>
      </c>
      <c r="EV84" s="239">
        <v>0</v>
      </c>
      <c r="EW84" s="239">
        <v>0</v>
      </c>
      <c r="EX84" s="239">
        <v>-8626</v>
      </c>
      <c r="EY84" s="239">
        <v>0</v>
      </c>
      <c r="EZ84" s="239">
        <v>1813</v>
      </c>
      <c r="FA84" s="239">
        <v>748112</v>
      </c>
      <c r="FB84" s="239">
        <v>0</v>
      </c>
      <c r="FC84" s="239">
        <v>15237</v>
      </c>
      <c r="FD84" s="239">
        <v>732133</v>
      </c>
      <c r="FE84" s="239">
        <v>0</v>
      </c>
      <c r="FF84" s="239">
        <v>14915</v>
      </c>
      <c r="FG84" s="239">
        <v>15979</v>
      </c>
      <c r="FH84" s="239">
        <v>0</v>
      </c>
      <c r="FI84" s="239">
        <v>322</v>
      </c>
      <c r="FJ84" s="239">
        <v>0</v>
      </c>
      <c r="FK84" s="239">
        <v>0</v>
      </c>
      <c r="FL84" s="239">
        <v>0</v>
      </c>
      <c r="FM84" s="239">
        <v>0</v>
      </c>
      <c r="FN84" s="239">
        <v>0</v>
      </c>
      <c r="FO84" s="239">
        <v>0</v>
      </c>
      <c r="FP84" s="239">
        <v>0</v>
      </c>
      <c r="FQ84" s="239">
        <v>0</v>
      </c>
      <c r="FR84" s="239">
        <v>0</v>
      </c>
      <c r="FS84" s="239">
        <v>0</v>
      </c>
      <c r="FT84" s="239">
        <v>0</v>
      </c>
      <c r="FU84" s="239">
        <v>0</v>
      </c>
      <c r="FV84" s="239">
        <v>5929199</v>
      </c>
      <c r="FW84" s="239">
        <v>0</v>
      </c>
      <c r="FX84" s="239">
        <v>120973</v>
      </c>
      <c r="FY84" s="834">
        <v>0.5</v>
      </c>
      <c r="FZ84" s="834">
        <v>0.49</v>
      </c>
      <c r="GA84" s="834">
        <v>0</v>
      </c>
      <c r="GB84" s="834">
        <v>0.01</v>
      </c>
      <c r="GC84" s="214" t="s">
        <v>746</v>
      </c>
    </row>
    <row r="85" spans="1:185" s="214" customFormat="1" x14ac:dyDescent="0.2">
      <c r="B85" s="602" t="s">
        <v>253</v>
      </c>
      <c r="C85" s="602" t="s">
        <v>252</v>
      </c>
      <c r="D85" s="239">
        <v>5839265</v>
      </c>
      <c r="E85" s="239">
        <v>0</v>
      </c>
      <c r="F85" s="239">
        <v>5839265</v>
      </c>
      <c r="G85" s="239">
        <v>5528699</v>
      </c>
      <c r="H85" s="239">
        <v>0</v>
      </c>
      <c r="I85" s="239">
        <v>5528699</v>
      </c>
      <c r="J85" s="239">
        <v>310566</v>
      </c>
      <c r="K85" s="239">
        <v>0</v>
      </c>
      <c r="L85" s="239">
        <v>310566</v>
      </c>
      <c r="M85" s="239">
        <v>495725</v>
      </c>
      <c r="N85" s="239">
        <v>495725</v>
      </c>
      <c r="O85" s="239">
        <v>0</v>
      </c>
      <c r="P85" s="239">
        <v>0</v>
      </c>
      <c r="Q85" s="239">
        <v>0</v>
      </c>
      <c r="R85" s="239">
        <v>0</v>
      </c>
      <c r="S85" s="239">
        <v>0</v>
      </c>
      <c r="T85" s="239">
        <v>0</v>
      </c>
      <c r="U85" s="239">
        <v>0</v>
      </c>
      <c r="V85" s="239">
        <v>0</v>
      </c>
      <c r="W85" s="239">
        <v>0</v>
      </c>
      <c r="X85" s="239">
        <v>0</v>
      </c>
      <c r="Y85" s="239">
        <v>0</v>
      </c>
      <c r="Z85" s="239">
        <v>0</v>
      </c>
      <c r="AA85" s="239">
        <v>0</v>
      </c>
      <c r="AB85" s="239">
        <v>0</v>
      </c>
      <c r="AC85" s="239">
        <v>0</v>
      </c>
      <c r="AD85" s="239">
        <v>0</v>
      </c>
      <c r="AE85" s="239">
        <v>0</v>
      </c>
      <c r="AF85" s="239">
        <v>0</v>
      </c>
      <c r="AG85" s="239">
        <v>0</v>
      </c>
      <c r="AH85" s="239">
        <v>0</v>
      </c>
      <c r="AI85" s="239">
        <v>0</v>
      </c>
      <c r="AJ85" s="239">
        <v>0</v>
      </c>
      <c r="AK85" s="239">
        <v>0</v>
      </c>
      <c r="AL85" s="239">
        <v>0</v>
      </c>
      <c r="AM85" s="239">
        <v>0</v>
      </c>
      <c r="AN85" s="239">
        <v>0</v>
      </c>
      <c r="AO85" s="239">
        <v>0</v>
      </c>
      <c r="AP85" s="239">
        <v>0</v>
      </c>
      <c r="AQ85" s="239">
        <v>0</v>
      </c>
      <c r="AR85" s="239">
        <v>0</v>
      </c>
      <c r="AS85" s="239">
        <v>0</v>
      </c>
      <c r="AT85" s="239">
        <v>0</v>
      </c>
      <c r="AU85" s="239">
        <v>0</v>
      </c>
      <c r="AV85" s="239">
        <v>0</v>
      </c>
      <c r="AW85" s="239">
        <v>0</v>
      </c>
      <c r="AX85" s="239">
        <v>0</v>
      </c>
      <c r="AY85" s="239">
        <v>0</v>
      </c>
      <c r="AZ85" s="239">
        <v>0</v>
      </c>
      <c r="BA85" s="239">
        <v>0</v>
      </c>
      <c r="BB85" s="239">
        <v>0</v>
      </c>
      <c r="BC85" s="239">
        <v>1989207</v>
      </c>
      <c r="BD85" s="239">
        <v>2453356</v>
      </c>
      <c r="BE85" s="239">
        <v>0</v>
      </c>
      <c r="BF85" s="239">
        <v>1937248.1245789698</v>
      </c>
      <c r="BG85" s="239">
        <v>2389272.6869807299</v>
      </c>
      <c r="BH85" s="239">
        <v>0</v>
      </c>
      <c r="BI85" s="239">
        <v>129210.15096566523</v>
      </c>
      <c r="BJ85" s="239">
        <v>159359.18619098712</v>
      </c>
      <c r="BK85" s="239">
        <v>0</v>
      </c>
      <c r="BL85" s="239">
        <v>2527208</v>
      </c>
      <c r="BM85" s="239">
        <v>1376678</v>
      </c>
      <c r="BN85" s="239">
        <v>0</v>
      </c>
      <c r="BO85" s="239">
        <v>-538001</v>
      </c>
      <c r="BP85" s="239">
        <v>1076678</v>
      </c>
      <c r="BQ85" s="239">
        <v>0</v>
      </c>
      <c r="BR85" s="239">
        <v>9211</v>
      </c>
      <c r="BS85" s="239">
        <v>11361</v>
      </c>
      <c r="BT85" s="239">
        <v>0</v>
      </c>
      <c r="BU85" s="239">
        <v>0</v>
      </c>
      <c r="BV85" s="239">
        <v>0</v>
      </c>
      <c r="BW85" s="239">
        <v>0</v>
      </c>
      <c r="BX85" s="239">
        <v>9211</v>
      </c>
      <c r="BY85" s="239">
        <v>11361</v>
      </c>
      <c r="BZ85" s="239">
        <v>0</v>
      </c>
      <c r="CA85" s="239">
        <v>-12875</v>
      </c>
      <c r="CB85" s="239">
        <v>-15879</v>
      </c>
      <c r="CC85" s="239">
        <v>0</v>
      </c>
      <c r="CD85" s="239">
        <v>25871</v>
      </c>
      <c r="CE85" s="239">
        <v>31908</v>
      </c>
      <c r="CF85" s="239">
        <v>0</v>
      </c>
      <c r="CG85" s="239">
        <v>-38746</v>
      </c>
      <c r="CH85" s="239">
        <v>-47787</v>
      </c>
      <c r="CI85" s="239">
        <v>0</v>
      </c>
      <c r="CJ85" s="239">
        <v>-29</v>
      </c>
      <c r="CK85" s="239">
        <v>-35</v>
      </c>
      <c r="CL85" s="239">
        <v>0</v>
      </c>
      <c r="CM85" s="239">
        <v>6323</v>
      </c>
      <c r="CN85" s="239">
        <v>7798</v>
      </c>
      <c r="CO85" s="239">
        <v>0</v>
      </c>
      <c r="CP85" s="239">
        <v>-6352</v>
      </c>
      <c r="CQ85" s="239">
        <v>-7833</v>
      </c>
      <c r="CR85" s="239">
        <v>0</v>
      </c>
      <c r="CS85" s="239">
        <v>-6019</v>
      </c>
      <c r="CT85" s="239">
        <v>-7423</v>
      </c>
      <c r="CU85" s="239">
        <v>0</v>
      </c>
      <c r="CV85" s="239">
        <v>0</v>
      </c>
      <c r="CW85" s="239">
        <v>0</v>
      </c>
      <c r="CX85" s="239">
        <v>0</v>
      </c>
      <c r="CY85" s="239">
        <v>0</v>
      </c>
      <c r="CZ85" s="239">
        <v>0</v>
      </c>
      <c r="DA85" s="239">
        <v>0</v>
      </c>
      <c r="DB85" s="239">
        <v>0</v>
      </c>
      <c r="DC85" s="239">
        <v>0</v>
      </c>
      <c r="DD85" s="239">
        <v>0</v>
      </c>
      <c r="DE85" s="239">
        <v>0</v>
      </c>
      <c r="DF85" s="239">
        <v>0</v>
      </c>
      <c r="DG85" s="239">
        <v>0</v>
      </c>
      <c r="DH85" s="239">
        <v>0</v>
      </c>
      <c r="DI85" s="239">
        <v>0</v>
      </c>
      <c r="DJ85" s="239">
        <v>0</v>
      </c>
      <c r="DK85" s="239">
        <v>0</v>
      </c>
      <c r="DL85" s="239">
        <v>0</v>
      </c>
      <c r="DM85" s="239">
        <v>0</v>
      </c>
      <c r="DN85" s="239">
        <v>0</v>
      </c>
      <c r="DO85" s="239">
        <v>0</v>
      </c>
      <c r="DP85" s="239">
        <v>0</v>
      </c>
      <c r="DQ85" s="239">
        <v>0</v>
      </c>
      <c r="DR85" s="239">
        <v>0</v>
      </c>
      <c r="DS85" s="239">
        <v>0</v>
      </c>
      <c r="DT85" s="239">
        <v>0</v>
      </c>
      <c r="DU85" s="239">
        <v>0</v>
      </c>
      <c r="DV85" s="239">
        <v>0</v>
      </c>
      <c r="DW85" s="239">
        <v>0</v>
      </c>
      <c r="DX85" s="239">
        <v>0</v>
      </c>
      <c r="DY85" s="239">
        <v>0</v>
      </c>
      <c r="DZ85" s="239">
        <v>61944</v>
      </c>
      <c r="EA85" s="239">
        <v>76398</v>
      </c>
      <c r="EB85" s="239">
        <v>0</v>
      </c>
      <c r="EC85" s="239">
        <v>148254</v>
      </c>
      <c r="ED85" s="239">
        <v>0</v>
      </c>
      <c r="EE85" s="239">
        <v>0</v>
      </c>
      <c r="EF85" s="239">
        <v>-86310</v>
      </c>
      <c r="EG85" s="239">
        <v>76398</v>
      </c>
      <c r="EH85" s="239">
        <v>0</v>
      </c>
      <c r="EI85" s="239">
        <v>450578</v>
      </c>
      <c r="EJ85" s="239">
        <v>555713</v>
      </c>
      <c r="EK85" s="239">
        <v>0</v>
      </c>
      <c r="EL85" s="239">
        <v>991813</v>
      </c>
      <c r="EM85" s="239">
        <v>0</v>
      </c>
      <c r="EN85" s="239">
        <v>0</v>
      </c>
      <c r="EO85" s="239">
        <v>-541235</v>
      </c>
      <c r="EP85" s="239">
        <v>555713</v>
      </c>
      <c r="EQ85" s="239">
        <v>0</v>
      </c>
      <c r="ER85" s="239">
        <v>9993</v>
      </c>
      <c r="ES85" s="239">
        <v>12324</v>
      </c>
      <c r="ET85" s="239">
        <v>0</v>
      </c>
      <c r="EU85" s="239">
        <v>34003</v>
      </c>
      <c r="EV85" s="239">
        <v>0</v>
      </c>
      <c r="EW85" s="239">
        <v>0</v>
      </c>
      <c r="EX85" s="239">
        <v>-24010</v>
      </c>
      <c r="EY85" s="239">
        <v>12324</v>
      </c>
      <c r="EZ85" s="239">
        <v>0</v>
      </c>
      <c r="FA85" s="239">
        <v>698404</v>
      </c>
      <c r="FB85" s="239">
        <v>861365</v>
      </c>
      <c r="FC85" s="239">
        <v>0</v>
      </c>
      <c r="FD85" s="239">
        <v>677240</v>
      </c>
      <c r="FE85" s="239">
        <v>835263</v>
      </c>
      <c r="FF85" s="239">
        <v>0</v>
      </c>
      <c r="FG85" s="239">
        <v>21164</v>
      </c>
      <c r="FH85" s="239">
        <v>26102</v>
      </c>
      <c r="FI85" s="239">
        <v>0</v>
      </c>
      <c r="FJ85" s="239">
        <v>0</v>
      </c>
      <c r="FK85" s="239">
        <v>0</v>
      </c>
      <c r="FL85" s="239">
        <v>0</v>
      </c>
      <c r="FM85" s="239">
        <v>0</v>
      </c>
      <c r="FN85" s="239">
        <v>0</v>
      </c>
      <c r="FO85" s="239">
        <v>0</v>
      </c>
      <c r="FP85" s="239">
        <v>0</v>
      </c>
      <c r="FQ85" s="239">
        <v>0</v>
      </c>
      <c r="FR85" s="239">
        <v>0</v>
      </c>
      <c r="FS85" s="239">
        <v>0</v>
      </c>
      <c r="FT85" s="239">
        <v>0</v>
      </c>
      <c r="FU85" s="239">
        <v>0</v>
      </c>
      <c r="FV85" s="239">
        <v>3200414</v>
      </c>
      <c r="FW85" s="239">
        <v>3947180</v>
      </c>
      <c r="FX85" s="239">
        <v>0</v>
      </c>
      <c r="FY85" s="834">
        <v>0.33000000000000007</v>
      </c>
      <c r="FZ85" s="834">
        <v>0.3</v>
      </c>
      <c r="GA85" s="834">
        <v>0.37</v>
      </c>
      <c r="GB85" s="834">
        <v>0</v>
      </c>
      <c r="GC85" s="214" t="s">
        <v>1159</v>
      </c>
    </row>
    <row r="86" spans="1:185" s="214" customFormat="1" x14ac:dyDescent="0.2">
      <c r="B86" s="602" t="s">
        <v>255</v>
      </c>
      <c r="C86" s="602" t="s">
        <v>254</v>
      </c>
      <c r="D86" s="239">
        <v>871662</v>
      </c>
      <c r="E86" s="239">
        <v>0</v>
      </c>
      <c r="F86" s="239">
        <v>871662</v>
      </c>
      <c r="G86" s="239">
        <v>967665</v>
      </c>
      <c r="H86" s="239">
        <v>0</v>
      </c>
      <c r="I86" s="239">
        <v>967665</v>
      </c>
      <c r="J86" s="239">
        <v>-96003</v>
      </c>
      <c r="K86" s="239">
        <v>0</v>
      </c>
      <c r="L86" s="239">
        <v>-96003</v>
      </c>
      <c r="M86" s="239">
        <v>94945</v>
      </c>
      <c r="N86" s="239">
        <v>94945</v>
      </c>
      <c r="O86" s="239">
        <v>0</v>
      </c>
      <c r="P86" s="239">
        <v>0</v>
      </c>
      <c r="Q86" s="239">
        <v>0</v>
      </c>
      <c r="R86" s="239">
        <v>0</v>
      </c>
      <c r="S86" s="239">
        <v>366656</v>
      </c>
      <c r="T86" s="239">
        <v>0</v>
      </c>
      <c r="U86" s="239">
        <v>348576</v>
      </c>
      <c r="V86" s="239">
        <v>0</v>
      </c>
      <c r="W86" s="239">
        <v>18080</v>
      </c>
      <c r="X86" s="239">
        <v>0</v>
      </c>
      <c r="Y86" s="239">
        <v>42036</v>
      </c>
      <c r="Z86" s="239">
        <v>42036</v>
      </c>
      <c r="AA86" s="239">
        <v>0</v>
      </c>
      <c r="AB86" s="239">
        <v>0</v>
      </c>
      <c r="AC86" s="239">
        <v>0</v>
      </c>
      <c r="AD86" s="239">
        <v>0</v>
      </c>
      <c r="AE86" s="239">
        <v>0</v>
      </c>
      <c r="AF86" s="239">
        <v>0</v>
      </c>
      <c r="AG86" s="239">
        <v>42036</v>
      </c>
      <c r="AH86" s="239">
        <v>42036</v>
      </c>
      <c r="AI86" s="239">
        <v>0</v>
      </c>
      <c r="AJ86" s="239">
        <v>0</v>
      </c>
      <c r="AK86" s="239">
        <v>940932</v>
      </c>
      <c r="AL86" s="239">
        <v>752746</v>
      </c>
      <c r="AM86" s="239">
        <v>169368</v>
      </c>
      <c r="AN86" s="239">
        <v>18819</v>
      </c>
      <c r="AO86" s="239">
        <v>294418.45780217275</v>
      </c>
      <c r="AP86" s="239">
        <v>235535</v>
      </c>
      <c r="AQ86" s="239">
        <v>52995</v>
      </c>
      <c r="AR86" s="239">
        <v>5888</v>
      </c>
      <c r="AS86" s="239">
        <v>646514</v>
      </c>
      <c r="AT86" s="239">
        <v>517211</v>
      </c>
      <c r="AU86" s="239">
        <v>116373</v>
      </c>
      <c r="AV86" s="239">
        <v>12931</v>
      </c>
      <c r="AW86" s="239">
        <v>0</v>
      </c>
      <c r="AX86" s="239">
        <v>0</v>
      </c>
      <c r="AY86" s="239">
        <v>0</v>
      </c>
      <c r="AZ86" s="239">
        <v>0</v>
      </c>
      <c r="BA86" s="239">
        <v>0</v>
      </c>
      <c r="BB86" s="239">
        <v>0</v>
      </c>
      <c r="BC86" s="239">
        <v>707016</v>
      </c>
      <c r="BD86" s="239">
        <v>159079</v>
      </c>
      <c r="BE86" s="239">
        <v>17675</v>
      </c>
      <c r="BF86" s="239">
        <v>686819.59315879829</v>
      </c>
      <c r="BG86" s="239">
        <v>154534.40846072958</v>
      </c>
      <c r="BH86" s="239">
        <v>17170.489828969956</v>
      </c>
      <c r="BI86" s="239">
        <v>62241.339184549353</v>
      </c>
      <c r="BJ86" s="239">
        <v>14004.301316523604</v>
      </c>
      <c r="BK86" s="239">
        <v>1556.0334796137338</v>
      </c>
      <c r="BL86" s="239">
        <v>716841</v>
      </c>
      <c r="BM86" s="239">
        <v>103557</v>
      </c>
      <c r="BN86" s="239">
        <v>11506</v>
      </c>
      <c r="BO86" s="239">
        <v>-9825</v>
      </c>
      <c r="BP86" s="239">
        <v>55522</v>
      </c>
      <c r="BQ86" s="239">
        <v>6169</v>
      </c>
      <c r="BR86" s="239">
        <v>0</v>
      </c>
      <c r="BS86" s="239">
        <v>0</v>
      </c>
      <c r="BT86" s="239">
        <v>0</v>
      </c>
      <c r="BU86" s="239">
        <v>0</v>
      </c>
      <c r="BV86" s="239">
        <v>0</v>
      </c>
      <c r="BW86" s="239">
        <v>0</v>
      </c>
      <c r="BX86" s="239">
        <v>0</v>
      </c>
      <c r="BY86" s="239">
        <v>0</v>
      </c>
      <c r="BZ86" s="239">
        <v>0</v>
      </c>
      <c r="CA86" s="239">
        <v>-757</v>
      </c>
      <c r="CB86" s="239">
        <v>-170</v>
      </c>
      <c r="CC86" s="239">
        <v>-19</v>
      </c>
      <c r="CD86" s="239">
        <v>0</v>
      </c>
      <c r="CE86" s="239">
        <v>0</v>
      </c>
      <c r="CF86" s="239">
        <v>0</v>
      </c>
      <c r="CG86" s="239">
        <v>-757</v>
      </c>
      <c r="CH86" s="239">
        <v>-170</v>
      </c>
      <c r="CI86" s="239">
        <v>-19</v>
      </c>
      <c r="CJ86" s="239">
        <v>0</v>
      </c>
      <c r="CK86" s="239">
        <v>0</v>
      </c>
      <c r="CL86" s="239">
        <v>0</v>
      </c>
      <c r="CM86" s="239">
        <v>0</v>
      </c>
      <c r="CN86" s="239">
        <v>0</v>
      </c>
      <c r="CO86" s="239">
        <v>0</v>
      </c>
      <c r="CP86" s="239">
        <v>0</v>
      </c>
      <c r="CQ86" s="239">
        <v>0</v>
      </c>
      <c r="CR86" s="239">
        <v>0</v>
      </c>
      <c r="CS86" s="239">
        <v>-837</v>
      </c>
      <c r="CT86" s="239">
        <v>-188</v>
      </c>
      <c r="CU86" s="239">
        <v>-21</v>
      </c>
      <c r="CV86" s="239">
        <v>0</v>
      </c>
      <c r="CW86" s="239">
        <v>0</v>
      </c>
      <c r="CX86" s="239">
        <v>0</v>
      </c>
      <c r="CY86" s="239">
        <v>0</v>
      </c>
      <c r="CZ86" s="239">
        <v>0</v>
      </c>
      <c r="DA86" s="239">
        <v>0</v>
      </c>
      <c r="DB86" s="239">
        <v>0</v>
      </c>
      <c r="DC86" s="239">
        <v>0</v>
      </c>
      <c r="DD86" s="239">
        <v>0</v>
      </c>
      <c r="DE86" s="239">
        <v>0</v>
      </c>
      <c r="DF86" s="239">
        <v>0</v>
      </c>
      <c r="DG86" s="239">
        <v>0</v>
      </c>
      <c r="DH86" s="239">
        <v>11591</v>
      </c>
      <c r="DI86" s="239">
        <v>2608</v>
      </c>
      <c r="DJ86" s="239">
        <v>290</v>
      </c>
      <c r="DK86" s="239">
        <v>13348</v>
      </c>
      <c r="DL86" s="239">
        <v>3004</v>
      </c>
      <c r="DM86" s="239">
        <v>334</v>
      </c>
      <c r="DN86" s="239">
        <v>-1757</v>
      </c>
      <c r="DO86" s="239">
        <v>-396</v>
      </c>
      <c r="DP86" s="239">
        <v>-44</v>
      </c>
      <c r="DQ86" s="239">
        <v>0</v>
      </c>
      <c r="DR86" s="239">
        <v>0</v>
      </c>
      <c r="DS86" s="239">
        <v>0</v>
      </c>
      <c r="DT86" s="239">
        <v>0</v>
      </c>
      <c r="DU86" s="239">
        <v>0</v>
      </c>
      <c r="DV86" s="239">
        <v>0</v>
      </c>
      <c r="DW86" s="239">
        <v>0</v>
      </c>
      <c r="DX86" s="239">
        <v>0</v>
      </c>
      <c r="DY86" s="239">
        <v>0</v>
      </c>
      <c r="DZ86" s="239">
        <v>14633</v>
      </c>
      <c r="EA86" s="239">
        <v>3292</v>
      </c>
      <c r="EB86" s="239">
        <v>366</v>
      </c>
      <c r="EC86" s="239">
        <v>19872</v>
      </c>
      <c r="ED86" s="239">
        <v>0</v>
      </c>
      <c r="EE86" s="239">
        <v>0</v>
      </c>
      <c r="EF86" s="239">
        <v>-5239</v>
      </c>
      <c r="EG86" s="239">
        <v>3292</v>
      </c>
      <c r="EH86" s="239">
        <v>366</v>
      </c>
      <c r="EI86" s="239">
        <v>31304</v>
      </c>
      <c r="EJ86" s="239">
        <v>7043</v>
      </c>
      <c r="EK86" s="239">
        <v>783</v>
      </c>
      <c r="EL86" s="239">
        <v>104159</v>
      </c>
      <c r="EM86" s="239">
        <v>0</v>
      </c>
      <c r="EN86" s="239">
        <v>0</v>
      </c>
      <c r="EO86" s="239">
        <v>-72855</v>
      </c>
      <c r="EP86" s="239">
        <v>7043</v>
      </c>
      <c r="EQ86" s="239">
        <v>783</v>
      </c>
      <c r="ER86" s="239">
        <v>14292</v>
      </c>
      <c r="ES86" s="239">
        <v>3216</v>
      </c>
      <c r="ET86" s="239">
        <v>357</v>
      </c>
      <c r="EU86" s="239">
        <v>17538</v>
      </c>
      <c r="EV86" s="239">
        <v>0</v>
      </c>
      <c r="EW86" s="239">
        <v>0</v>
      </c>
      <c r="EX86" s="239">
        <v>-3246</v>
      </c>
      <c r="EY86" s="239">
        <v>3216</v>
      </c>
      <c r="EZ86" s="239">
        <v>357</v>
      </c>
      <c r="FA86" s="239">
        <v>129342</v>
      </c>
      <c r="FB86" s="239">
        <v>27863</v>
      </c>
      <c r="FC86" s="239">
        <v>3096</v>
      </c>
      <c r="FD86" s="239">
        <v>126520</v>
      </c>
      <c r="FE86" s="239">
        <v>27289</v>
      </c>
      <c r="FF86" s="239">
        <v>3032</v>
      </c>
      <c r="FG86" s="239">
        <v>2822</v>
      </c>
      <c r="FH86" s="239">
        <v>574</v>
      </c>
      <c r="FI86" s="239">
        <v>64</v>
      </c>
      <c r="FJ86" s="239">
        <v>0</v>
      </c>
      <c r="FK86" s="239">
        <v>0</v>
      </c>
      <c r="FL86" s="239">
        <v>0</v>
      </c>
      <c r="FM86" s="239">
        <v>0</v>
      </c>
      <c r="FN86" s="239">
        <v>0</v>
      </c>
      <c r="FO86" s="239">
        <v>0</v>
      </c>
      <c r="FP86" s="239">
        <v>0</v>
      </c>
      <c r="FQ86" s="239">
        <v>0</v>
      </c>
      <c r="FR86" s="239">
        <v>0</v>
      </c>
      <c r="FS86" s="239">
        <v>0</v>
      </c>
      <c r="FT86" s="239">
        <v>0</v>
      </c>
      <c r="FU86" s="239">
        <v>0</v>
      </c>
      <c r="FV86" s="239">
        <v>906584</v>
      </c>
      <c r="FW86" s="239">
        <v>202743</v>
      </c>
      <c r="FX86" s="239">
        <v>22527</v>
      </c>
      <c r="FY86" s="834">
        <v>0.5</v>
      </c>
      <c r="FZ86" s="834">
        <v>0.4</v>
      </c>
      <c r="GA86" s="834">
        <v>0.09</v>
      </c>
      <c r="GB86" s="834">
        <v>0.01</v>
      </c>
      <c r="GC86" s="214" t="s">
        <v>1158</v>
      </c>
    </row>
    <row r="87" spans="1:185" s="214" customFormat="1" x14ac:dyDescent="0.2">
      <c r="B87" s="602" t="s">
        <v>257</v>
      </c>
      <c r="C87" s="602" t="s">
        <v>256</v>
      </c>
      <c r="D87" s="239">
        <v>-88045</v>
      </c>
      <c r="E87" s="239">
        <v>-578</v>
      </c>
      <c r="F87" s="239">
        <v>-88623</v>
      </c>
      <c r="G87" s="239">
        <v>-226724</v>
      </c>
      <c r="H87" s="239">
        <v>-11413</v>
      </c>
      <c r="I87" s="239">
        <v>-238137</v>
      </c>
      <c r="J87" s="239">
        <v>138679</v>
      </c>
      <c r="K87" s="239">
        <v>10835</v>
      </c>
      <c r="L87" s="239">
        <v>149514</v>
      </c>
      <c r="M87" s="239">
        <v>228268</v>
      </c>
      <c r="N87" s="239">
        <v>228268</v>
      </c>
      <c r="O87" s="239">
        <v>0</v>
      </c>
      <c r="P87" s="239">
        <v>4320</v>
      </c>
      <c r="Q87" s="239">
        <v>0</v>
      </c>
      <c r="R87" s="239">
        <v>4320</v>
      </c>
      <c r="S87" s="239">
        <v>292194</v>
      </c>
      <c r="T87" s="239">
        <v>0</v>
      </c>
      <c r="U87" s="239">
        <v>199062</v>
      </c>
      <c r="V87" s="239">
        <v>0</v>
      </c>
      <c r="W87" s="239">
        <v>93132</v>
      </c>
      <c r="X87" s="239">
        <v>0</v>
      </c>
      <c r="Y87" s="239">
        <v>42353</v>
      </c>
      <c r="Z87" s="239">
        <v>42353</v>
      </c>
      <c r="AA87" s="239">
        <v>0</v>
      </c>
      <c r="AB87" s="239">
        <v>0</v>
      </c>
      <c r="AC87" s="239">
        <v>136305</v>
      </c>
      <c r="AD87" s="239">
        <v>136305</v>
      </c>
      <c r="AE87" s="239">
        <v>0</v>
      </c>
      <c r="AF87" s="239">
        <v>0</v>
      </c>
      <c r="AG87" s="239">
        <v>-93952</v>
      </c>
      <c r="AH87" s="239">
        <v>-93952</v>
      </c>
      <c r="AI87" s="239">
        <v>0</v>
      </c>
      <c r="AJ87" s="239">
        <v>0</v>
      </c>
      <c r="AK87" s="239">
        <v>0</v>
      </c>
      <c r="AL87" s="239">
        <v>0</v>
      </c>
      <c r="AM87" s="239">
        <v>0</v>
      </c>
      <c r="AN87" s="239">
        <v>0</v>
      </c>
      <c r="AO87" s="239">
        <v>0</v>
      </c>
      <c r="AP87" s="239">
        <v>0</v>
      </c>
      <c r="AQ87" s="239">
        <v>0</v>
      </c>
      <c r="AR87" s="239">
        <v>0</v>
      </c>
      <c r="AS87" s="239">
        <v>0</v>
      </c>
      <c r="AT87" s="239">
        <v>0</v>
      </c>
      <c r="AU87" s="239">
        <v>0</v>
      </c>
      <c r="AV87" s="239">
        <v>0</v>
      </c>
      <c r="AW87" s="239">
        <v>0</v>
      </c>
      <c r="AX87" s="239">
        <v>0</v>
      </c>
      <c r="AY87" s="239">
        <v>0</v>
      </c>
      <c r="AZ87" s="239">
        <v>0</v>
      </c>
      <c r="BA87" s="239">
        <v>0</v>
      </c>
      <c r="BB87" s="239">
        <v>0</v>
      </c>
      <c r="BC87" s="239">
        <v>1872680</v>
      </c>
      <c r="BD87" s="239">
        <v>415909</v>
      </c>
      <c r="BE87" s="239">
        <v>46212</v>
      </c>
      <c r="BF87" s="239">
        <v>1843163.1547905582</v>
      </c>
      <c r="BG87" s="239">
        <v>409355.77852390561</v>
      </c>
      <c r="BH87" s="239">
        <v>45483.975391545064</v>
      </c>
      <c r="BI87" s="239">
        <v>94771.13261802576</v>
      </c>
      <c r="BJ87" s="239">
        <v>20864.061719420599</v>
      </c>
      <c r="BK87" s="239">
        <v>2318.2290799356219</v>
      </c>
      <c r="BL87" s="239">
        <v>1753122</v>
      </c>
      <c r="BM87" s="239">
        <v>270209</v>
      </c>
      <c r="BN87" s="239">
        <v>30023</v>
      </c>
      <c r="BO87" s="239">
        <v>119558</v>
      </c>
      <c r="BP87" s="239">
        <v>145700</v>
      </c>
      <c r="BQ87" s="239">
        <v>16189</v>
      </c>
      <c r="BR87" s="239">
        <v>7073</v>
      </c>
      <c r="BS87" s="239">
        <v>1591</v>
      </c>
      <c r="BT87" s="239">
        <v>177</v>
      </c>
      <c r="BU87" s="239">
        <v>0</v>
      </c>
      <c r="BV87" s="239">
        <v>0</v>
      </c>
      <c r="BW87" s="239">
        <v>0</v>
      </c>
      <c r="BX87" s="239">
        <v>7073</v>
      </c>
      <c r="BY87" s="239">
        <v>1591</v>
      </c>
      <c r="BZ87" s="239">
        <v>177</v>
      </c>
      <c r="CA87" s="239">
        <v>4389</v>
      </c>
      <c r="CB87" s="239">
        <v>988</v>
      </c>
      <c r="CC87" s="239">
        <v>110</v>
      </c>
      <c r="CD87" s="239">
        <v>25635</v>
      </c>
      <c r="CE87" s="239">
        <v>5768</v>
      </c>
      <c r="CF87" s="239">
        <v>641</v>
      </c>
      <c r="CG87" s="239">
        <v>-21246</v>
      </c>
      <c r="CH87" s="239">
        <v>-4780</v>
      </c>
      <c r="CI87" s="239">
        <v>-531</v>
      </c>
      <c r="CJ87" s="239">
        <v>0</v>
      </c>
      <c r="CK87" s="239">
        <v>0</v>
      </c>
      <c r="CL87" s="239">
        <v>0</v>
      </c>
      <c r="CM87" s="239">
        <v>0</v>
      </c>
      <c r="CN87" s="239">
        <v>0</v>
      </c>
      <c r="CO87" s="239">
        <v>0</v>
      </c>
      <c r="CP87" s="239">
        <v>0</v>
      </c>
      <c r="CQ87" s="239">
        <v>0</v>
      </c>
      <c r="CR87" s="239">
        <v>0</v>
      </c>
      <c r="CS87" s="239">
        <v>-94</v>
      </c>
      <c r="CT87" s="239">
        <v>-21</v>
      </c>
      <c r="CU87" s="239">
        <v>-2</v>
      </c>
      <c r="CV87" s="239">
        <v>0</v>
      </c>
      <c r="CW87" s="239">
        <v>0</v>
      </c>
      <c r="CX87" s="239">
        <v>0</v>
      </c>
      <c r="CY87" s="239">
        <v>0</v>
      </c>
      <c r="CZ87" s="239">
        <v>0</v>
      </c>
      <c r="DA87" s="239">
        <v>0</v>
      </c>
      <c r="DB87" s="239">
        <v>0</v>
      </c>
      <c r="DC87" s="239">
        <v>0</v>
      </c>
      <c r="DD87" s="239">
        <v>0</v>
      </c>
      <c r="DE87" s="239">
        <v>-246</v>
      </c>
      <c r="DF87" s="239">
        <v>-55</v>
      </c>
      <c r="DG87" s="239">
        <v>-6</v>
      </c>
      <c r="DH87" s="239">
        <v>17864</v>
      </c>
      <c r="DI87" s="239">
        <v>4019</v>
      </c>
      <c r="DJ87" s="239">
        <v>447</v>
      </c>
      <c r="DK87" s="239">
        <v>10186</v>
      </c>
      <c r="DL87" s="239">
        <v>2292</v>
      </c>
      <c r="DM87" s="239">
        <v>255</v>
      </c>
      <c r="DN87" s="239">
        <v>7678</v>
      </c>
      <c r="DO87" s="239">
        <v>1727</v>
      </c>
      <c r="DP87" s="239">
        <v>192</v>
      </c>
      <c r="DQ87" s="239">
        <v>609</v>
      </c>
      <c r="DR87" s="239">
        <v>137</v>
      </c>
      <c r="DS87" s="239">
        <v>15</v>
      </c>
      <c r="DT87" s="239">
        <v>0</v>
      </c>
      <c r="DU87" s="239">
        <v>0</v>
      </c>
      <c r="DV87" s="239">
        <v>0</v>
      </c>
      <c r="DW87" s="239">
        <v>609</v>
      </c>
      <c r="DX87" s="239">
        <v>137</v>
      </c>
      <c r="DY87" s="239">
        <v>15</v>
      </c>
      <c r="DZ87" s="239">
        <v>7562</v>
      </c>
      <c r="EA87" s="239">
        <v>1701</v>
      </c>
      <c r="EB87" s="239">
        <v>189</v>
      </c>
      <c r="EC87" s="239">
        <v>0</v>
      </c>
      <c r="ED87" s="239">
        <v>0</v>
      </c>
      <c r="EE87" s="239">
        <v>0</v>
      </c>
      <c r="EF87" s="239">
        <v>7562</v>
      </c>
      <c r="EG87" s="239">
        <v>1701</v>
      </c>
      <c r="EH87" s="239">
        <v>189</v>
      </c>
      <c r="EI87" s="239">
        <v>102160</v>
      </c>
      <c r="EJ87" s="239">
        <v>22986</v>
      </c>
      <c r="EK87" s="239">
        <v>2554</v>
      </c>
      <c r="EL87" s="239">
        <v>129579</v>
      </c>
      <c r="EM87" s="239">
        <v>0</v>
      </c>
      <c r="EN87" s="239">
        <v>0</v>
      </c>
      <c r="EO87" s="239">
        <v>-27419</v>
      </c>
      <c r="EP87" s="239">
        <v>22986</v>
      </c>
      <c r="EQ87" s="239">
        <v>2554</v>
      </c>
      <c r="ER87" s="239">
        <v>24808</v>
      </c>
      <c r="ES87" s="239">
        <v>5582</v>
      </c>
      <c r="ET87" s="239">
        <v>620</v>
      </c>
      <c r="EU87" s="239">
        <v>0</v>
      </c>
      <c r="EV87" s="239">
        <v>0</v>
      </c>
      <c r="EW87" s="239">
        <v>0</v>
      </c>
      <c r="EX87" s="239">
        <v>24808</v>
      </c>
      <c r="EY87" s="239">
        <v>5582</v>
      </c>
      <c r="EZ87" s="239">
        <v>620</v>
      </c>
      <c r="FA87" s="239">
        <v>195063</v>
      </c>
      <c r="FB87" s="239">
        <v>42887</v>
      </c>
      <c r="FC87" s="239">
        <v>4765</v>
      </c>
      <c r="FD87" s="239">
        <v>210031</v>
      </c>
      <c r="FE87" s="239">
        <v>46124</v>
      </c>
      <c r="FF87" s="239">
        <v>5125</v>
      </c>
      <c r="FG87" s="239">
        <v>-14968</v>
      </c>
      <c r="FH87" s="239">
        <v>-3237</v>
      </c>
      <c r="FI87" s="239">
        <v>-360</v>
      </c>
      <c r="FJ87" s="239">
        <v>0</v>
      </c>
      <c r="FK87" s="239">
        <v>0</v>
      </c>
      <c r="FL87" s="239">
        <v>0</v>
      </c>
      <c r="FM87" s="239">
        <v>0</v>
      </c>
      <c r="FN87" s="239">
        <v>0</v>
      </c>
      <c r="FO87" s="239">
        <v>0</v>
      </c>
      <c r="FP87" s="239">
        <v>0</v>
      </c>
      <c r="FQ87" s="239">
        <v>0</v>
      </c>
      <c r="FR87" s="239">
        <v>0</v>
      </c>
      <c r="FS87" s="239">
        <v>0</v>
      </c>
      <c r="FT87" s="239">
        <v>0</v>
      </c>
      <c r="FU87" s="239">
        <v>0</v>
      </c>
      <c r="FV87" s="239">
        <v>2231868</v>
      </c>
      <c r="FW87" s="239">
        <v>495724</v>
      </c>
      <c r="FX87" s="239">
        <v>55081</v>
      </c>
      <c r="FY87" s="834">
        <v>0.5</v>
      </c>
      <c r="FZ87" s="834">
        <v>0.4</v>
      </c>
      <c r="GA87" s="834">
        <v>0.09</v>
      </c>
      <c r="GB87" s="834">
        <v>0.01</v>
      </c>
      <c r="GC87" s="214" t="s">
        <v>1158</v>
      </c>
    </row>
    <row r="88" spans="1:185" s="214" customFormat="1" x14ac:dyDescent="0.2">
      <c r="B88" s="602" t="s">
        <v>259</v>
      </c>
      <c r="C88" s="602" t="s">
        <v>258</v>
      </c>
      <c r="D88" s="239">
        <v>369181</v>
      </c>
      <c r="E88" s="239">
        <v>0</v>
      </c>
      <c r="F88" s="239">
        <v>369181</v>
      </c>
      <c r="G88" s="239">
        <v>451131</v>
      </c>
      <c r="H88" s="239">
        <v>0</v>
      </c>
      <c r="I88" s="239">
        <v>451131</v>
      </c>
      <c r="J88" s="239">
        <v>-81950</v>
      </c>
      <c r="K88" s="239">
        <v>0</v>
      </c>
      <c r="L88" s="239">
        <v>-81950</v>
      </c>
      <c r="M88" s="239">
        <v>108647</v>
      </c>
      <c r="N88" s="239">
        <v>108647</v>
      </c>
      <c r="O88" s="239">
        <v>0</v>
      </c>
      <c r="P88" s="239">
        <v>0</v>
      </c>
      <c r="Q88" s="239">
        <v>0</v>
      </c>
      <c r="R88" s="239">
        <v>0</v>
      </c>
      <c r="S88" s="239">
        <v>229407</v>
      </c>
      <c r="T88" s="239">
        <v>0</v>
      </c>
      <c r="U88" s="239">
        <v>202519</v>
      </c>
      <c r="V88" s="239">
        <v>0</v>
      </c>
      <c r="W88" s="239">
        <v>26888</v>
      </c>
      <c r="X88" s="239">
        <v>0</v>
      </c>
      <c r="Y88" s="239">
        <v>0</v>
      </c>
      <c r="Z88" s="239">
        <v>0</v>
      </c>
      <c r="AA88" s="239">
        <v>0</v>
      </c>
      <c r="AB88" s="239">
        <v>0</v>
      </c>
      <c r="AC88" s="239">
        <v>0</v>
      </c>
      <c r="AD88" s="239">
        <v>0</v>
      </c>
      <c r="AE88" s="239">
        <v>0</v>
      </c>
      <c r="AF88" s="239">
        <v>0</v>
      </c>
      <c r="AG88" s="239">
        <v>0</v>
      </c>
      <c r="AH88" s="239">
        <v>0</v>
      </c>
      <c r="AI88" s="239">
        <v>0</v>
      </c>
      <c r="AJ88" s="239">
        <v>0</v>
      </c>
      <c r="AK88" s="239">
        <v>0</v>
      </c>
      <c r="AL88" s="239">
        <v>0</v>
      </c>
      <c r="AM88" s="239">
        <v>0</v>
      </c>
      <c r="AN88" s="239">
        <v>0</v>
      </c>
      <c r="AO88" s="239">
        <v>0</v>
      </c>
      <c r="AP88" s="239">
        <v>0</v>
      </c>
      <c r="AQ88" s="239">
        <v>0</v>
      </c>
      <c r="AR88" s="239">
        <v>0</v>
      </c>
      <c r="AS88" s="239">
        <v>0</v>
      </c>
      <c r="AT88" s="239">
        <v>0</v>
      </c>
      <c r="AU88" s="239">
        <v>0</v>
      </c>
      <c r="AV88" s="239">
        <v>0</v>
      </c>
      <c r="AW88" s="239">
        <v>0</v>
      </c>
      <c r="AX88" s="239">
        <v>0</v>
      </c>
      <c r="AY88" s="239">
        <v>0</v>
      </c>
      <c r="AZ88" s="239">
        <v>0</v>
      </c>
      <c r="BA88" s="239">
        <v>0</v>
      </c>
      <c r="BB88" s="239">
        <v>0</v>
      </c>
      <c r="BC88" s="239">
        <v>955556</v>
      </c>
      <c r="BD88" s="239">
        <v>215000</v>
      </c>
      <c r="BE88" s="239">
        <v>23889</v>
      </c>
      <c r="BF88" s="239">
        <v>934824.50329957088</v>
      </c>
      <c r="BG88" s="239">
        <v>210335.51324240339</v>
      </c>
      <c r="BH88" s="239">
        <v>23370.61258248927</v>
      </c>
      <c r="BI88" s="239">
        <v>64362.61223175966</v>
      </c>
      <c r="BJ88" s="239">
        <v>14481.587752145921</v>
      </c>
      <c r="BK88" s="239">
        <v>1609.0653057939915</v>
      </c>
      <c r="BL88" s="239">
        <v>923744</v>
      </c>
      <c r="BM88" s="239">
        <v>132384</v>
      </c>
      <c r="BN88" s="239">
        <v>14709</v>
      </c>
      <c r="BO88" s="239">
        <v>31812</v>
      </c>
      <c r="BP88" s="239">
        <v>82616</v>
      </c>
      <c r="BQ88" s="239">
        <v>9180</v>
      </c>
      <c r="BR88" s="239">
        <v>-27</v>
      </c>
      <c r="BS88" s="239">
        <v>-6</v>
      </c>
      <c r="BT88" s="239">
        <v>-1</v>
      </c>
      <c r="BU88" s="239">
        <v>0</v>
      </c>
      <c r="BV88" s="239">
        <v>0</v>
      </c>
      <c r="BW88" s="239">
        <v>0</v>
      </c>
      <c r="BX88" s="239">
        <v>-27</v>
      </c>
      <c r="BY88" s="239">
        <v>-6</v>
      </c>
      <c r="BZ88" s="239">
        <v>-1</v>
      </c>
      <c r="CA88" s="239">
        <v>0</v>
      </c>
      <c r="CB88" s="239">
        <v>0</v>
      </c>
      <c r="CC88" s="239">
        <v>0</v>
      </c>
      <c r="CD88" s="239">
        <v>9296</v>
      </c>
      <c r="CE88" s="239">
        <v>2092</v>
      </c>
      <c r="CF88" s="239">
        <v>232</v>
      </c>
      <c r="CG88" s="239">
        <v>-9296</v>
      </c>
      <c r="CH88" s="239">
        <v>-2092</v>
      </c>
      <c r="CI88" s="239">
        <v>-232</v>
      </c>
      <c r="CJ88" s="239">
        <v>0</v>
      </c>
      <c r="CK88" s="239">
        <v>0</v>
      </c>
      <c r="CL88" s="239">
        <v>0</v>
      </c>
      <c r="CM88" s="239">
        <v>0</v>
      </c>
      <c r="CN88" s="239">
        <v>0</v>
      </c>
      <c r="CO88" s="239">
        <v>0</v>
      </c>
      <c r="CP88" s="239">
        <v>0</v>
      </c>
      <c r="CQ88" s="239">
        <v>0</v>
      </c>
      <c r="CR88" s="239">
        <v>0</v>
      </c>
      <c r="CS88" s="239">
        <v>-3</v>
      </c>
      <c r="CT88" s="239">
        <v>-1</v>
      </c>
      <c r="CU88" s="239">
        <v>0</v>
      </c>
      <c r="CV88" s="239">
        <v>0</v>
      </c>
      <c r="CW88" s="239">
        <v>0</v>
      </c>
      <c r="CX88" s="239">
        <v>0</v>
      </c>
      <c r="CY88" s="239">
        <v>0</v>
      </c>
      <c r="CZ88" s="239">
        <v>0</v>
      </c>
      <c r="DA88" s="239">
        <v>0</v>
      </c>
      <c r="DB88" s="239">
        <v>0</v>
      </c>
      <c r="DC88" s="239">
        <v>0</v>
      </c>
      <c r="DD88" s="239">
        <v>0</v>
      </c>
      <c r="DE88" s="239">
        <v>0</v>
      </c>
      <c r="DF88" s="239">
        <v>0</v>
      </c>
      <c r="DG88" s="239">
        <v>0</v>
      </c>
      <c r="DH88" s="239">
        <v>4987</v>
      </c>
      <c r="DI88" s="239">
        <v>1122</v>
      </c>
      <c r="DJ88" s="239">
        <v>125</v>
      </c>
      <c r="DK88" s="239">
        <v>4614</v>
      </c>
      <c r="DL88" s="239">
        <v>1038</v>
      </c>
      <c r="DM88" s="239">
        <v>115</v>
      </c>
      <c r="DN88" s="239">
        <v>373</v>
      </c>
      <c r="DO88" s="239">
        <v>84</v>
      </c>
      <c r="DP88" s="239">
        <v>10</v>
      </c>
      <c r="DQ88" s="239">
        <v>0</v>
      </c>
      <c r="DR88" s="239">
        <v>0</v>
      </c>
      <c r="DS88" s="239">
        <v>0</v>
      </c>
      <c r="DT88" s="239">
        <v>0</v>
      </c>
      <c r="DU88" s="239">
        <v>0</v>
      </c>
      <c r="DV88" s="239">
        <v>0</v>
      </c>
      <c r="DW88" s="239">
        <v>0</v>
      </c>
      <c r="DX88" s="239">
        <v>0</v>
      </c>
      <c r="DY88" s="239">
        <v>0</v>
      </c>
      <c r="DZ88" s="239">
        <v>9533</v>
      </c>
      <c r="EA88" s="239">
        <v>2145</v>
      </c>
      <c r="EB88" s="239">
        <v>238</v>
      </c>
      <c r="EC88" s="239">
        <v>11975</v>
      </c>
      <c r="ED88" s="239">
        <v>0</v>
      </c>
      <c r="EE88" s="239">
        <v>0</v>
      </c>
      <c r="EF88" s="239">
        <v>-2442</v>
      </c>
      <c r="EG88" s="239">
        <v>2145</v>
      </c>
      <c r="EH88" s="239">
        <v>238</v>
      </c>
      <c r="EI88" s="239">
        <v>87404</v>
      </c>
      <c r="EJ88" s="239">
        <v>19666</v>
      </c>
      <c r="EK88" s="239">
        <v>2185</v>
      </c>
      <c r="EL88" s="239">
        <v>112131</v>
      </c>
      <c r="EM88" s="239">
        <v>0</v>
      </c>
      <c r="EN88" s="239">
        <v>0</v>
      </c>
      <c r="EO88" s="239">
        <v>-24727</v>
      </c>
      <c r="EP88" s="239">
        <v>19666</v>
      </c>
      <c r="EQ88" s="239">
        <v>2185</v>
      </c>
      <c r="ER88" s="239">
        <v>16363</v>
      </c>
      <c r="ES88" s="239">
        <v>3682</v>
      </c>
      <c r="ET88" s="239">
        <v>409</v>
      </c>
      <c r="EU88" s="239">
        <v>21272</v>
      </c>
      <c r="EV88" s="239">
        <v>0</v>
      </c>
      <c r="EW88" s="239">
        <v>0</v>
      </c>
      <c r="EX88" s="239">
        <v>-4909</v>
      </c>
      <c r="EY88" s="239">
        <v>3682</v>
      </c>
      <c r="EZ88" s="239">
        <v>409</v>
      </c>
      <c r="FA88" s="239">
        <v>133497</v>
      </c>
      <c r="FB88" s="239">
        <v>29262</v>
      </c>
      <c r="FC88" s="239">
        <v>3251</v>
      </c>
      <c r="FD88" s="239">
        <v>138402</v>
      </c>
      <c r="FE88" s="239">
        <v>30456</v>
      </c>
      <c r="FF88" s="239">
        <v>3384</v>
      </c>
      <c r="FG88" s="239">
        <v>-4905</v>
      </c>
      <c r="FH88" s="239">
        <v>-1194</v>
      </c>
      <c r="FI88" s="239">
        <v>-133</v>
      </c>
      <c r="FJ88" s="239">
        <v>0</v>
      </c>
      <c r="FK88" s="239">
        <v>0</v>
      </c>
      <c r="FL88" s="239">
        <v>0</v>
      </c>
      <c r="FM88" s="239">
        <v>0</v>
      </c>
      <c r="FN88" s="239">
        <v>0</v>
      </c>
      <c r="FO88" s="239">
        <v>0</v>
      </c>
      <c r="FP88" s="239">
        <v>0</v>
      </c>
      <c r="FQ88" s="239">
        <v>0</v>
      </c>
      <c r="FR88" s="239">
        <v>0</v>
      </c>
      <c r="FS88" s="239">
        <v>0</v>
      </c>
      <c r="FT88" s="239">
        <v>0</v>
      </c>
      <c r="FU88" s="239">
        <v>0</v>
      </c>
      <c r="FV88" s="239">
        <v>1207310</v>
      </c>
      <c r="FW88" s="239">
        <v>270870</v>
      </c>
      <c r="FX88" s="239">
        <v>30096</v>
      </c>
      <c r="FY88" s="834">
        <v>0.5</v>
      </c>
      <c r="FZ88" s="834">
        <v>0.4</v>
      </c>
      <c r="GA88" s="834">
        <v>0.09</v>
      </c>
      <c r="GB88" s="834">
        <v>0.01</v>
      </c>
      <c r="GC88" s="214" t="s">
        <v>1158</v>
      </c>
    </row>
    <row r="89" spans="1:185" s="214" customFormat="1" x14ac:dyDescent="0.2">
      <c r="B89" s="602" t="s">
        <v>261</v>
      </c>
      <c r="C89" s="602" t="s">
        <v>260</v>
      </c>
      <c r="D89" s="239">
        <v>1596447</v>
      </c>
      <c r="E89" s="239">
        <v>0</v>
      </c>
      <c r="F89" s="239">
        <v>1596447</v>
      </c>
      <c r="G89" s="239">
        <v>1544553.1400000001</v>
      </c>
      <c r="H89" s="239">
        <v>0</v>
      </c>
      <c r="I89" s="239">
        <v>1544553.1400000001</v>
      </c>
      <c r="J89" s="239">
        <v>51893.85999999987</v>
      </c>
      <c r="K89" s="239">
        <v>0</v>
      </c>
      <c r="L89" s="239">
        <v>51893.85999999987</v>
      </c>
      <c r="M89" s="239">
        <v>155157</v>
      </c>
      <c r="N89" s="239">
        <v>155157</v>
      </c>
      <c r="O89" s="239">
        <v>0</v>
      </c>
      <c r="P89" s="239">
        <v>3870</v>
      </c>
      <c r="Q89" s="239">
        <v>29680</v>
      </c>
      <c r="R89" s="239">
        <v>-25810</v>
      </c>
      <c r="S89" s="239">
        <v>0</v>
      </c>
      <c r="T89" s="239">
        <v>0</v>
      </c>
      <c r="U89" s="239">
        <v>0</v>
      </c>
      <c r="V89" s="239">
        <v>0</v>
      </c>
      <c r="W89" s="239">
        <v>0</v>
      </c>
      <c r="X89" s="239">
        <v>0</v>
      </c>
      <c r="Y89" s="239">
        <v>0</v>
      </c>
      <c r="Z89" s="239">
        <v>0</v>
      </c>
      <c r="AA89" s="239">
        <v>0</v>
      </c>
      <c r="AB89" s="239">
        <v>0</v>
      </c>
      <c r="AC89" s="239">
        <v>0</v>
      </c>
      <c r="AD89" s="239">
        <v>0</v>
      </c>
      <c r="AE89" s="239">
        <v>0</v>
      </c>
      <c r="AF89" s="239">
        <v>0</v>
      </c>
      <c r="AG89" s="239">
        <v>0</v>
      </c>
      <c r="AH89" s="239">
        <v>0</v>
      </c>
      <c r="AI89" s="239">
        <v>0</v>
      </c>
      <c r="AJ89" s="239">
        <v>0</v>
      </c>
      <c r="AK89" s="239">
        <v>0</v>
      </c>
      <c r="AL89" s="239">
        <v>0</v>
      </c>
      <c r="AM89" s="239">
        <v>0</v>
      </c>
      <c r="AN89" s="239">
        <v>0</v>
      </c>
      <c r="AO89" s="239">
        <v>0</v>
      </c>
      <c r="AP89" s="239">
        <v>0</v>
      </c>
      <c r="AQ89" s="239">
        <v>0</v>
      </c>
      <c r="AR89" s="239">
        <v>0</v>
      </c>
      <c r="AS89" s="239">
        <v>0</v>
      </c>
      <c r="AT89" s="239">
        <v>0</v>
      </c>
      <c r="AU89" s="239">
        <v>0</v>
      </c>
      <c r="AV89" s="239">
        <v>0</v>
      </c>
      <c r="AW89" s="239">
        <v>0</v>
      </c>
      <c r="AX89" s="239">
        <v>0</v>
      </c>
      <c r="AY89" s="239">
        <v>0</v>
      </c>
      <c r="AZ89" s="239">
        <v>0</v>
      </c>
      <c r="BA89" s="239">
        <v>0</v>
      </c>
      <c r="BB89" s="239">
        <v>0</v>
      </c>
      <c r="BC89" s="239">
        <v>1121842</v>
      </c>
      <c r="BD89" s="239">
        <v>252415</v>
      </c>
      <c r="BE89" s="239">
        <v>28046</v>
      </c>
      <c r="BF89" s="239">
        <v>1090068.0996412018</v>
      </c>
      <c r="BG89" s="239">
        <v>245265.32241927038</v>
      </c>
      <c r="BH89" s="239">
        <v>27251.702491030042</v>
      </c>
      <c r="BI89" s="239">
        <v>103472.40570128754</v>
      </c>
      <c r="BJ89" s="239">
        <v>23281.291282789698</v>
      </c>
      <c r="BK89" s="239">
        <v>2586.8101425321888</v>
      </c>
      <c r="BL89" s="239">
        <v>1063446</v>
      </c>
      <c r="BM89" s="239">
        <v>152405</v>
      </c>
      <c r="BN89" s="239">
        <v>16934</v>
      </c>
      <c r="BO89" s="239">
        <v>58396</v>
      </c>
      <c r="BP89" s="239">
        <v>100010</v>
      </c>
      <c r="BQ89" s="239">
        <v>11112</v>
      </c>
      <c r="BR89" s="239">
        <v>1462</v>
      </c>
      <c r="BS89" s="239">
        <v>329</v>
      </c>
      <c r="BT89" s="239">
        <v>37</v>
      </c>
      <c r="BU89" s="239">
        <v>14318</v>
      </c>
      <c r="BV89" s="239">
        <v>3221</v>
      </c>
      <c r="BW89" s="239">
        <v>358</v>
      </c>
      <c r="BX89" s="239">
        <v>-12856</v>
      </c>
      <c r="BY89" s="239">
        <v>-2892</v>
      </c>
      <c r="BZ89" s="239">
        <v>-321</v>
      </c>
      <c r="CA89" s="239">
        <v>0</v>
      </c>
      <c r="CB89" s="239">
        <v>0</v>
      </c>
      <c r="CC89" s="239">
        <v>0</v>
      </c>
      <c r="CD89" s="239">
        <v>0</v>
      </c>
      <c r="CE89" s="239">
        <v>0</v>
      </c>
      <c r="CF89" s="239">
        <v>0</v>
      </c>
      <c r="CG89" s="239">
        <v>0</v>
      </c>
      <c r="CH89" s="239">
        <v>0</v>
      </c>
      <c r="CI89" s="239">
        <v>0</v>
      </c>
      <c r="CJ89" s="239">
        <v>3053</v>
      </c>
      <c r="CK89" s="239">
        <v>687</v>
      </c>
      <c r="CL89" s="239">
        <v>76</v>
      </c>
      <c r="CM89" s="239">
        <v>3128</v>
      </c>
      <c r="CN89" s="239">
        <v>704</v>
      </c>
      <c r="CO89" s="239">
        <v>78</v>
      </c>
      <c r="CP89" s="239">
        <v>-75</v>
      </c>
      <c r="CQ89" s="239">
        <v>-17</v>
      </c>
      <c r="CR89" s="239">
        <v>-2</v>
      </c>
      <c r="CS89" s="239">
        <v>854</v>
      </c>
      <c r="CT89" s="239">
        <v>192</v>
      </c>
      <c r="CU89" s="239">
        <v>21</v>
      </c>
      <c r="CV89" s="239">
        <v>0</v>
      </c>
      <c r="CW89" s="239">
        <v>0</v>
      </c>
      <c r="CX89" s="239">
        <v>0</v>
      </c>
      <c r="CY89" s="239">
        <v>0</v>
      </c>
      <c r="CZ89" s="239">
        <v>0</v>
      </c>
      <c r="DA89" s="239">
        <v>0</v>
      </c>
      <c r="DB89" s="239">
        <v>0</v>
      </c>
      <c r="DC89" s="239">
        <v>0</v>
      </c>
      <c r="DD89" s="239">
        <v>0</v>
      </c>
      <c r="DE89" s="239">
        <v>0</v>
      </c>
      <c r="DF89" s="239">
        <v>0</v>
      </c>
      <c r="DG89" s="239">
        <v>0</v>
      </c>
      <c r="DH89" s="239">
        <v>8093</v>
      </c>
      <c r="DI89" s="239">
        <v>1821</v>
      </c>
      <c r="DJ89" s="239">
        <v>202</v>
      </c>
      <c r="DK89" s="239">
        <v>12224</v>
      </c>
      <c r="DL89" s="239">
        <v>2750</v>
      </c>
      <c r="DM89" s="239">
        <v>306</v>
      </c>
      <c r="DN89" s="239">
        <v>-4131</v>
      </c>
      <c r="DO89" s="239">
        <v>-929</v>
      </c>
      <c r="DP89" s="239">
        <v>-104</v>
      </c>
      <c r="DQ89" s="239">
        <v>609</v>
      </c>
      <c r="DR89" s="239">
        <v>137</v>
      </c>
      <c r="DS89" s="239">
        <v>15</v>
      </c>
      <c r="DT89" s="239">
        <v>0</v>
      </c>
      <c r="DU89" s="239">
        <v>0</v>
      </c>
      <c r="DV89" s="239">
        <v>0</v>
      </c>
      <c r="DW89" s="239">
        <v>609</v>
      </c>
      <c r="DX89" s="239">
        <v>137</v>
      </c>
      <c r="DY89" s="239">
        <v>15</v>
      </c>
      <c r="DZ89" s="239">
        <v>21213</v>
      </c>
      <c r="EA89" s="239">
        <v>4773</v>
      </c>
      <c r="EB89" s="239">
        <v>530</v>
      </c>
      <c r="EC89" s="239">
        <v>27913</v>
      </c>
      <c r="ED89" s="239">
        <v>0</v>
      </c>
      <c r="EE89" s="239">
        <v>0</v>
      </c>
      <c r="EF89" s="239">
        <v>-6700</v>
      </c>
      <c r="EG89" s="239">
        <v>4773</v>
      </c>
      <c r="EH89" s="239">
        <v>530</v>
      </c>
      <c r="EI89" s="239">
        <v>162237</v>
      </c>
      <c r="EJ89" s="239">
        <v>36503</v>
      </c>
      <c r="EK89" s="239">
        <v>4056</v>
      </c>
      <c r="EL89" s="239">
        <v>210952</v>
      </c>
      <c r="EM89" s="239">
        <v>0</v>
      </c>
      <c r="EN89" s="239">
        <v>0</v>
      </c>
      <c r="EO89" s="239">
        <v>-48715</v>
      </c>
      <c r="EP89" s="239">
        <v>36503</v>
      </c>
      <c r="EQ89" s="239">
        <v>4056</v>
      </c>
      <c r="ER89" s="239">
        <v>20582</v>
      </c>
      <c r="ES89" s="239">
        <v>4631</v>
      </c>
      <c r="ET89" s="239">
        <v>515</v>
      </c>
      <c r="EU89" s="239">
        <v>34511</v>
      </c>
      <c r="EV89" s="239">
        <v>0</v>
      </c>
      <c r="EW89" s="239">
        <v>0</v>
      </c>
      <c r="EX89" s="239">
        <v>-13929</v>
      </c>
      <c r="EY89" s="239">
        <v>4631</v>
      </c>
      <c r="EZ89" s="239">
        <v>515</v>
      </c>
      <c r="FA89" s="239">
        <v>183172</v>
      </c>
      <c r="FB89" s="239">
        <v>41201</v>
      </c>
      <c r="FC89" s="239">
        <v>4578</v>
      </c>
      <c r="FD89" s="239">
        <v>197545</v>
      </c>
      <c r="FE89" s="239">
        <v>44347</v>
      </c>
      <c r="FF89" s="239">
        <v>4927</v>
      </c>
      <c r="FG89" s="239">
        <v>-14373</v>
      </c>
      <c r="FH89" s="239">
        <v>-3146</v>
      </c>
      <c r="FI89" s="239">
        <v>-349</v>
      </c>
      <c r="FJ89" s="239">
        <v>0</v>
      </c>
      <c r="FK89" s="239">
        <v>0</v>
      </c>
      <c r="FL89" s="239">
        <v>0</v>
      </c>
      <c r="FM89" s="239">
        <v>0</v>
      </c>
      <c r="FN89" s="239">
        <v>0</v>
      </c>
      <c r="FO89" s="239">
        <v>0</v>
      </c>
      <c r="FP89" s="239">
        <v>0</v>
      </c>
      <c r="FQ89" s="239">
        <v>0</v>
      </c>
      <c r="FR89" s="239">
        <v>0</v>
      </c>
      <c r="FS89" s="239">
        <v>0</v>
      </c>
      <c r="FT89" s="239">
        <v>0</v>
      </c>
      <c r="FU89" s="239">
        <v>0</v>
      </c>
      <c r="FV89" s="239">
        <v>1523117</v>
      </c>
      <c r="FW89" s="239">
        <v>342689</v>
      </c>
      <c r="FX89" s="239">
        <v>38076</v>
      </c>
      <c r="FY89" s="834">
        <v>0.5</v>
      </c>
      <c r="FZ89" s="834">
        <v>0.4</v>
      </c>
      <c r="GA89" s="834">
        <v>0.09</v>
      </c>
      <c r="GB89" s="834">
        <v>0.01</v>
      </c>
      <c r="GC89" s="214" t="s">
        <v>1158</v>
      </c>
    </row>
    <row r="90" spans="1:185" s="214" customFormat="1" x14ac:dyDescent="0.2">
      <c r="B90" s="602" t="s">
        <v>263</v>
      </c>
      <c r="C90" s="602" t="s">
        <v>262</v>
      </c>
      <c r="D90" s="239">
        <v>-225926</v>
      </c>
      <c r="E90" s="239">
        <v>0</v>
      </c>
      <c r="F90" s="239">
        <v>-225926</v>
      </c>
      <c r="G90" s="239">
        <v>196431</v>
      </c>
      <c r="H90" s="239">
        <v>0</v>
      </c>
      <c r="I90" s="239">
        <v>196431</v>
      </c>
      <c r="J90" s="239">
        <v>-422357</v>
      </c>
      <c r="K90" s="239">
        <v>0</v>
      </c>
      <c r="L90" s="239">
        <v>-422357</v>
      </c>
      <c r="M90" s="239">
        <v>193979</v>
      </c>
      <c r="N90" s="239">
        <v>193979</v>
      </c>
      <c r="O90" s="239">
        <v>0</v>
      </c>
      <c r="P90" s="239">
        <v>0</v>
      </c>
      <c r="Q90" s="239">
        <v>0</v>
      </c>
      <c r="R90" s="239">
        <v>0</v>
      </c>
      <c r="S90" s="239">
        <v>0</v>
      </c>
      <c r="T90" s="239">
        <v>0</v>
      </c>
      <c r="U90" s="239">
        <v>0</v>
      </c>
      <c r="V90" s="239">
        <v>0</v>
      </c>
      <c r="W90" s="239">
        <v>0</v>
      </c>
      <c r="X90" s="239">
        <v>0</v>
      </c>
      <c r="Y90" s="239">
        <v>0</v>
      </c>
      <c r="Z90" s="239">
        <v>0</v>
      </c>
      <c r="AA90" s="239">
        <v>0</v>
      </c>
      <c r="AB90" s="239">
        <v>0</v>
      </c>
      <c r="AC90" s="239">
        <v>0</v>
      </c>
      <c r="AD90" s="239">
        <v>0</v>
      </c>
      <c r="AE90" s="239">
        <v>0</v>
      </c>
      <c r="AF90" s="239">
        <v>0</v>
      </c>
      <c r="AG90" s="239">
        <v>0</v>
      </c>
      <c r="AH90" s="239">
        <v>0</v>
      </c>
      <c r="AI90" s="239">
        <v>0</v>
      </c>
      <c r="AJ90" s="239">
        <v>0</v>
      </c>
      <c r="AK90" s="239">
        <v>0</v>
      </c>
      <c r="AL90" s="239">
        <v>0</v>
      </c>
      <c r="AM90" s="239">
        <v>0</v>
      </c>
      <c r="AN90" s="239">
        <v>0</v>
      </c>
      <c r="AO90" s="239">
        <v>0</v>
      </c>
      <c r="AP90" s="239">
        <v>0</v>
      </c>
      <c r="AQ90" s="239">
        <v>0</v>
      </c>
      <c r="AR90" s="239">
        <v>0</v>
      </c>
      <c r="AS90" s="239">
        <v>0</v>
      </c>
      <c r="AT90" s="239">
        <v>0</v>
      </c>
      <c r="AU90" s="239">
        <v>0</v>
      </c>
      <c r="AV90" s="239">
        <v>0</v>
      </c>
      <c r="AW90" s="239">
        <v>0</v>
      </c>
      <c r="AX90" s="239">
        <v>0</v>
      </c>
      <c r="AY90" s="239">
        <v>0</v>
      </c>
      <c r="AZ90" s="239">
        <v>0</v>
      </c>
      <c r="BA90" s="239">
        <v>0</v>
      </c>
      <c r="BB90" s="239">
        <v>0</v>
      </c>
      <c r="BC90" s="239">
        <v>1411644</v>
      </c>
      <c r="BD90" s="239">
        <v>352911</v>
      </c>
      <c r="BE90" s="239">
        <v>0</v>
      </c>
      <c r="BF90" s="239">
        <v>1369390.7352343346</v>
      </c>
      <c r="BG90" s="239">
        <v>342347.68380858365</v>
      </c>
      <c r="BH90" s="239">
        <v>0</v>
      </c>
      <c r="BI90" s="239">
        <v>124192.77809012876</v>
      </c>
      <c r="BJ90" s="239">
        <v>31048.194522532191</v>
      </c>
      <c r="BK90" s="239">
        <v>0</v>
      </c>
      <c r="BL90" s="239">
        <v>1391021</v>
      </c>
      <c r="BM90" s="239">
        <v>219058</v>
      </c>
      <c r="BN90" s="239">
        <v>0</v>
      </c>
      <c r="BO90" s="239">
        <v>20623</v>
      </c>
      <c r="BP90" s="239">
        <v>133853</v>
      </c>
      <c r="BQ90" s="239">
        <v>0</v>
      </c>
      <c r="BR90" s="239">
        <v>0</v>
      </c>
      <c r="BS90" s="239">
        <v>0</v>
      </c>
      <c r="BT90" s="239">
        <v>0</v>
      </c>
      <c r="BU90" s="239">
        <v>0</v>
      </c>
      <c r="BV90" s="239">
        <v>0</v>
      </c>
      <c r="BW90" s="239">
        <v>0</v>
      </c>
      <c r="BX90" s="239">
        <v>0</v>
      </c>
      <c r="BY90" s="239">
        <v>0</v>
      </c>
      <c r="BZ90" s="239">
        <v>0</v>
      </c>
      <c r="CA90" s="239">
        <v>-2058</v>
      </c>
      <c r="CB90" s="239">
        <v>-515</v>
      </c>
      <c r="CC90" s="239">
        <v>0</v>
      </c>
      <c r="CD90" s="239">
        <v>13535</v>
      </c>
      <c r="CE90" s="239">
        <v>3384</v>
      </c>
      <c r="CF90" s="239">
        <v>0</v>
      </c>
      <c r="CG90" s="239">
        <v>-15593</v>
      </c>
      <c r="CH90" s="239">
        <v>-3899</v>
      </c>
      <c r="CI90" s="239">
        <v>0</v>
      </c>
      <c r="CJ90" s="239">
        <v>497</v>
      </c>
      <c r="CK90" s="239">
        <v>124</v>
      </c>
      <c r="CL90" s="239">
        <v>0</v>
      </c>
      <c r="CM90" s="239">
        <v>2701</v>
      </c>
      <c r="CN90" s="239">
        <v>675</v>
      </c>
      <c r="CO90" s="239">
        <v>0</v>
      </c>
      <c r="CP90" s="239">
        <v>-2204</v>
      </c>
      <c r="CQ90" s="239">
        <v>-551</v>
      </c>
      <c r="CR90" s="239">
        <v>0</v>
      </c>
      <c r="CS90" s="239">
        <v>0</v>
      </c>
      <c r="CT90" s="239">
        <v>0</v>
      </c>
      <c r="CU90" s="239">
        <v>0</v>
      </c>
      <c r="CV90" s="239">
        <v>0</v>
      </c>
      <c r="CW90" s="239">
        <v>0</v>
      </c>
      <c r="CX90" s="239">
        <v>0</v>
      </c>
      <c r="CY90" s="239">
        <v>0</v>
      </c>
      <c r="CZ90" s="239">
        <v>0</v>
      </c>
      <c r="DA90" s="239">
        <v>0</v>
      </c>
      <c r="DB90" s="239">
        <v>0</v>
      </c>
      <c r="DC90" s="239">
        <v>0</v>
      </c>
      <c r="DD90" s="239">
        <v>0</v>
      </c>
      <c r="DE90" s="239">
        <v>0</v>
      </c>
      <c r="DF90" s="239">
        <v>0</v>
      </c>
      <c r="DG90" s="239">
        <v>0</v>
      </c>
      <c r="DH90" s="239">
        <v>16548</v>
      </c>
      <c r="DI90" s="239">
        <v>4137</v>
      </c>
      <c r="DJ90" s="239">
        <v>0</v>
      </c>
      <c r="DK90" s="239">
        <v>10158</v>
      </c>
      <c r="DL90" s="239">
        <v>2539</v>
      </c>
      <c r="DM90" s="239">
        <v>0</v>
      </c>
      <c r="DN90" s="239">
        <v>6390</v>
      </c>
      <c r="DO90" s="239">
        <v>1598</v>
      </c>
      <c r="DP90" s="239">
        <v>0</v>
      </c>
      <c r="DQ90" s="239">
        <v>609</v>
      </c>
      <c r="DR90" s="239">
        <v>152</v>
      </c>
      <c r="DS90" s="239">
        <v>0</v>
      </c>
      <c r="DT90" s="239">
        <v>0</v>
      </c>
      <c r="DU90" s="239">
        <v>0</v>
      </c>
      <c r="DV90" s="239">
        <v>0</v>
      </c>
      <c r="DW90" s="239">
        <v>609</v>
      </c>
      <c r="DX90" s="239">
        <v>152</v>
      </c>
      <c r="DY90" s="239">
        <v>0</v>
      </c>
      <c r="DZ90" s="239">
        <v>12254</v>
      </c>
      <c r="EA90" s="239">
        <v>3063</v>
      </c>
      <c r="EB90" s="239">
        <v>0</v>
      </c>
      <c r="EC90" s="239">
        <v>15225</v>
      </c>
      <c r="ED90" s="239">
        <v>0</v>
      </c>
      <c r="EE90" s="239">
        <v>0</v>
      </c>
      <c r="EF90" s="239">
        <v>-2971</v>
      </c>
      <c r="EG90" s="239">
        <v>3063</v>
      </c>
      <c r="EH90" s="239">
        <v>0</v>
      </c>
      <c r="EI90" s="239">
        <v>64844</v>
      </c>
      <c r="EJ90" s="239">
        <v>16211</v>
      </c>
      <c r="EK90" s="239">
        <v>0</v>
      </c>
      <c r="EL90" s="239">
        <v>164098</v>
      </c>
      <c r="EM90" s="239">
        <v>0</v>
      </c>
      <c r="EN90" s="239">
        <v>0</v>
      </c>
      <c r="EO90" s="239">
        <v>-99254</v>
      </c>
      <c r="EP90" s="239">
        <v>16211</v>
      </c>
      <c r="EQ90" s="239">
        <v>0</v>
      </c>
      <c r="ER90" s="239">
        <v>24632</v>
      </c>
      <c r="ES90" s="239">
        <v>6158</v>
      </c>
      <c r="ET90" s="239">
        <v>0</v>
      </c>
      <c r="EU90" s="239">
        <v>30451</v>
      </c>
      <c r="EV90" s="239">
        <v>0</v>
      </c>
      <c r="EW90" s="239">
        <v>0</v>
      </c>
      <c r="EX90" s="239">
        <v>-5819</v>
      </c>
      <c r="EY90" s="239">
        <v>6158</v>
      </c>
      <c r="EZ90" s="239">
        <v>0</v>
      </c>
      <c r="FA90" s="239">
        <v>248402</v>
      </c>
      <c r="FB90" s="239">
        <v>62101</v>
      </c>
      <c r="FC90" s="239">
        <v>0</v>
      </c>
      <c r="FD90" s="239">
        <v>247148</v>
      </c>
      <c r="FE90" s="239">
        <v>61787</v>
      </c>
      <c r="FF90" s="239">
        <v>0</v>
      </c>
      <c r="FG90" s="239">
        <v>1254</v>
      </c>
      <c r="FH90" s="239">
        <v>314</v>
      </c>
      <c r="FI90" s="239">
        <v>0</v>
      </c>
      <c r="FJ90" s="239">
        <v>0</v>
      </c>
      <c r="FK90" s="239">
        <v>0</v>
      </c>
      <c r="FL90" s="239">
        <v>0</v>
      </c>
      <c r="FM90" s="239">
        <v>0</v>
      </c>
      <c r="FN90" s="239">
        <v>0</v>
      </c>
      <c r="FO90" s="239">
        <v>0</v>
      </c>
      <c r="FP90" s="239">
        <v>0</v>
      </c>
      <c r="FQ90" s="239">
        <v>0</v>
      </c>
      <c r="FR90" s="239">
        <v>0</v>
      </c>
      <c r="FS90" s="239">
        <v>0</v>
      </c>
      <c r="FT90" s="239">
        <v>0</v>
      </c>
      <c r="FU90" s="239">
        <v>0</v>
      </c>
      <c r="FV90" s="239">
        <v>1777372</v>
      </c>
      <c r="FW90" s="239">
        <v>444342</v>
      </c>
      <c r="FX90" s="239">
        <v>0</v>
      </c>
      <c r="FY90" s="834">
        <v>0.5</v>
      </c>
      <c r="FZ90" s="834">
        <v>0.4</v>
      </c>
      <c r="GA90" s="834">
        <v>0.1</v>
      </c>
      <c r="GB90" s="834">
        <v>0</v>
      </c>
      <c r="GC90" s="214" t="s">
        <v>1158</v>
      </c>
    </row>
    <row r="91" spans="1:185" s="214" customFormat="1" x14ac:dyDescent="0.2">
      <c r="B91" s="602" t="s">
        <v>265</v>
      </c>
      <c r="C91" s="602" t="s">
        <v>264</v>
      </c>
      <c r="D91" s="239">
        <v>567774</v>
      </c>
      <c r="E91" s="239">
        <v>0</v>
      </c>
      <c r="F91" s="239">
        <v>567774</v>
      </c>
      <c r="G91" s="239">
        <v>1033802</v>
      </c>
      <c r="H91" s="239">
        <v>0</v>
      </c>
      <c r="I91" s="239">
        <v>1033802</v>
      </c>
      <c r="J91" s="239">
        <v>-466028</v>
      </c>
      <c r="K91" s="239">
        <v>0</v>
      </c>
      <c r="L91" s="239">
        <v>-466028</v>
      </c>
      <c r="M91" s="239">
        <v>267225</v>
      </c>
      <c r="N91" s="239">
        <v>267225</v>
      </c>
      <c r="O91" s="239">
        <v>0</v>
      </c>
      <c r="P91" s="239">
        <v>0</v>
      </c>
      <c r="Q91" s="239">
        <v>0</v>
      </c>
      <c r="R91" s="239">
        <v>0</v>
      </c>
      <c r="S91" s="239">
        <v>675727</v>
      </c>
      <c r="T91" s="239">
        <v>63442</v>
      </c>
      <c r="U91" s="239">
        <v>464613</v>
      </c>
      <c r="V91" s="239">
        <v>69490</v>
      </c>
      <c r="W91" s="239">
        <v>211114</v>
      </c>
      <c r="X91" s="239">
        <v>-6048</v>
      </c>
      <c r="Y91" s="239">
        <v>0</v>
      </c>
      <c r="Z91" s="239">
        <v>0</v>
      </c>
      <c r="AA91" s="239">
        <v>0</v>
      </c>
      <c r="AB91" s="239">
        <v>0</v>
      </c>
      <c r="AC91" s="239">
        <v>0</v>
      </c>
      <c r="AD91" s="239">
        <v>0</v>
      </c>
      <c r="AE91" s="239">
        <v>0</v>
      </c>
      <c r="AF91" s="239">
        <v>0</v>
      </c>
      <c r="AG91" s="239">
        <v>0</v>
      </c>
      <c r="AH91" s="239">
        <v>0</v>
      </c>
      <c r="AI91" s="239">
        <v>0</v>
      </c>
      <c r="AJ91" s="239">
        <v>0</v>
      </c>
      <c r="AK91" s="239">
        <v>0</v>
      </c>
      <c r="AL91" s="239">
        <v>0</v>
      </c>
      <c r="AM91" s="239">
        <v>0</v>
      </c>
      <c r="AN91" s="239">
        <v>0</v>
      </c>
      <c r="AO91" s="239">
        <v>0</v>
      </c>
      <c r="AP91" s="239">
        <v>0</v>
      </c>
      <c r="AQ91" s="239">
        <v>0</v>
      </c>
      <c r="AR91" s="239">
        <v>0</v>
      </c>
      <c r="AS91" s="239">
        <v>0</v>
      </c>
      <c r="AT91" s="239">
        <v>0</v>
      </c>
      <c r="AU91" s="239">
        <v>0</v>
      </c>
      <c r="AV91" s="239">
        <v>0</v>
      </c>
      <c r="AW91" s="239">
        <v>0</v>
      </c>
      <c r="AX91" s="239">
        <v>0</v>
      </c>
      <c r="AY91" s="239">
        <v>0</v>
      </c>
      <c r="AZ91" s="239">
        <v>0</v>
      </c>
      <c r="BA91" s="239">
        <v>0</v>
      </c>
      <c r="BB91" s="239">
        <v>0</v>
      </c>
      <c r="BC91" s="239">
        <v>1747901</v>
      </c>
      <c r="BD91" s="239">
        <v>436975</v>
      </c>
      <c r="BE91" s="239">
        <v>0</v>
      </c>
      <c r="BF91" s="239">
        <v>1714558.4154042918</v>
      </c>
      <c r="BG91" s="239">
        <v>428639.60385107296</v>
      </c>
      <c r="BH91" s="239">
        <v>0</v>
      </c>
      <c r="BI91" s="239">
        <v>103669.10508583691</v>
      </c>
      <c r="BJ91" s="239">
        <v>25917.276271459228</v>
      </c>
      <c r="BK91" s="239">
        <v>0</v>
      </c>
      <c r="BL91" s="239">
        <v>1743779</v>
      </c>
      <c r="BM91" s="239">
        <v>311946</v>
      </c>
      <c r="BN91" s="239">
        <v>0</v>
      </c>
      <c r="BO91" s="239">
        <v>4122</v>
      </c>
      <c r="BP91" s="239">
        <v>125029</v>
      </c>
      <c r="BQ91" s="239">
        <v>0</v>
      </c>
      <c r="BR91" s="239">
        <v>1306</v>
      </c>
      <c r="BS91" s="239">
        <v>326</v>
      </c>
      <c r="BT91" s="239">
        <v>0</v>
      </c>
      <c r="BU91" s="239">
        <v>0</v>
      </c>
      <c r="BV91" s="239">
        <v>0</v>
      </c>
      <c r="BW91" s="239">
        <v>0</v>
      </c>
      <c r="BX91" s="239">
        <v>1306</v>
      </c>
      <c r="BY91" s="239">
        <v>326</v>
      </c>
      <c r="BZ91" s="239">
        <v>0</v>
      </c>
      <c r="CA91" s="239">
        <v>0</v>
      </c>
      <c r="CB91" s="239">
        <v>0</v>
      </c>
      <c r="CC91" s="239">
        <v>0</v>
      </c>
      <c r="CD91" s="239">
        <v>0</v>
      </c>
      <c r="CE91" s="239">
        <v>0</v>
      </c>
      <c r="CF91" s="239">
        <v>0</v>
      </c>
      <c r="CG91" s="239">
        <v>0</v>
      </c>
      <c r="CH91" s="239">
        <v>0</v>
      </c>
      <c r="CI91" s="239">
        <v>0</v>
      </c>
      <c r="CJ91" s="239">
        <v>0</v>
      </c>
      <c r="CK91" s="239">
        <v>0</v>
      </c>
      <c r="CL91" s="239">
        <v>0</v>
      </c>
      <c r="CM91" s="239">
        <v>0</v>
      </c>
      <c r="CN91" s="239">
        <v>0</v>
      </c>
      <c r="CO91" s="239">
        <v>0</v>
      </c>
      <c r="CP91" s="239">
        <v>0</v>
      </c>
      <c r="CQ91" s="239">
        <v>0</v>
      </c>
      <c r="CR91" s="239">
        <v>0</v>
      </c>
      <c r="CS91" s="239">
        <v>-3843</v>
      </c>
      <c r="CT91" s="239">
        <v>-961</v>
      </c>
      <c r="CU91" s="239">
        <v>0</v>
      </c>
      <c r="CV91" s="239">
        <v>0</v>
      </c>
      <c r="CW91" s="239">
        <v>0</v>
      </c>
      <c r="CX91" s="239">
        <v>0</v>
      </c>
      <c r="CY91" s="239">
        <v>0</v>
      </c>
      <c r="CZ91" s="239">
        <v>0</v>
      </c>
      <c r="DA91" s="239">
        <v>0</v>
      </c>
      <c r="DB91" s="239">
        <v>0</v>
      </c>
      <c r="DC91" s="239">
        <v>0</v>
      </c>
      <c r="DD91" s="239">
        <v>0</v>
      </c>
      <c r="DE91" s="239">
        <v>-15</v>
      </c>
      <c r="DF91" s="239">
        <v>-4</v>
      </c>
      <c r="DG91" s="239">
        <v>0</v>
      </c>
      <c r="DH91" s="239">
        <v>35372</v>
      </c>
      <c r="DI91" s="239">
        <v>8843</v>
      </c>
      <c r="DJ91" s="239">
        <v>0</v>
      </c>
      <c r="DK91" s="239">
        <v>37790</v>
      </c>
      <c r="DL91" s="239">
        <v>9448</v>
      </c>
      <c r="DM91" s="239">
        <v>0</v>
      </c>
      <c r="DN91" s="239">
        <v>-2418</v>
      </c>
      <c r="DO91" s="239">
        <v>-605</v>
      </c>
      <c r="DP91" s="239">
        <v>0</v>
      </c>
      <c r="DQ91" s="239">
        <v>0</v>
      </c>
      <c r="DR91" s="239">
        <v>0</v>
      </c>
      <c r="DS91" s="239">
        <v>0</v>
      </c>
      <c r="DT91" s="239">
        <v>609</v>
      </c>
      <c r="DU91" s="239">
        <v>152</v>
      </c>
      <c r="DV91" s="239">
        <v>0</v>
      </c>
      <c r="DW91" s="239">
        <v>-609</v>
      </c>
      <c r="DX91" s="239">
        <v>-152</v>
      </c>
      <c r="DY91" s="239">
        <v>0</v>
      </c>
      <c r="DZ91" s="239">
        <v>28069</v>
      </c>
      <c r="EA91" s="239">
        <v>7017</v>
      </c>
      <c r="EB91" s="239">
        <v>0</v>
      </c>
      <c r="EC91" s="239">
        <v>39911</v>
      </c>
      <c r="ED91" s="239">
        <v>0</v>
      </c>
      <c r="EE91" s="239">
        <v>0</v>
      </c>
      <c r="EF91" s="239">
        <v>-11842</v>
      </c>
      <c r="EG91" s="239">
        <v>7017</v>
      </c>
      <c r="EH91" s="239">
        <v>0</v>
      </c>
      <c r="EI91" s="239">
        <v>132159</v>
      </c>
      <c r="EJ91" s="239">
        <v>33040</v>
      </c>
      <c r="EK91" s="239">
        <v>0</v>
      </c>
      <c r="EL91" s="239">
        <v>210220</v>
      </c>
      <c r="EM91" s="239">
        <v>0</v>
      </c>
      <c r="EN91" s="239">
        <v>0</v>
      </c>
      <c r="EO91" s="239">
        <v>-78061</v>
      </c>
      <c r="EP91" s="239">
        <v>33040</v>
      </c>
      <c r="EQ91" s="239">
        <v>0</v>
      </c>
      <c r="ER91" s="239">
        <v>35523</v>
      </c>
      <c r="ES91" s="239">
        <v>8881</v>
      </c>
      <c r="ET91" s="239">
        <v>0</v>
      </c>
      <c r="EU91" s="239">
        <v>53040</v>
      </c>
      <c r="EV91" s="239">
        <v>0</v>
      </c>
      <c r="EW91" s="239">
        <v>0</v>
      </c>
      <c r="EX91" s="239">
        <v>-17517</v>
      </c>
      <c r="EY91" s="239">
        <v>8881</v>
      </c>
      <c r="EZ91" s="239">
        <v>0</v>
      </c>
      <c r="FA91" s="239">
        <v>210079</v>
      </c>
      <c r="FB91" s="239">
        <v>50935</v>
      </c>
      <c r="FC91" s="239">
        <v>0</v>
      </c>
      <c r="FD91" s="239">
        <v>214160</v>
      </c>
      <c r="FE91" s="239">
        <v>52839</v>
      </c>
      <c r="FF91" s="239">
        <v>0</v>
      </c>
      <c r="FG91" s="239">
        <v>-4081</v>
      </c>
      <c r="FH91" s="239">
        <v>-1904</v>
      </c>
      <c r="FI91" s="239">
        <v>0</v>
      </c>
      <c r="FJ91" s="239">
        <v>0</v>
      </c>
      <c r="FK91" s="239">
        <v>0</v>
      </c>
      <c r="FL91" s="239">
        <v>0</v>
      </c>
      <c r="FM91" s="239">
        <v>0</v>
      </c>
      <c r="FN91" s="239">
        <v>0</v>
      </c>
      <c r="FO91" s="239">
        <v>0</v>
      </c>
      <c r="FP91" s="239">
        <v>0</v>
      </c>
      <c r="FQ91" s="239">
        <v>0</v>
      </c>
      <c r="FR91" s="239">
        <v>0</v>
      </c>
      <c r="FS91" s="239">
        <v>0</v>
      </c>
      <c r="FT91" s="239">
        <v>0</v>
      </c>
      <c r="FU91" s="239">
        <v>0</v>
      </c>
      <c r="FV91" s="239">
        <v>2186551</v>
      </c>
      <c r="FW91" s="239">
        <v>545052</v>
      </c>
      <c r="FX91" s="239">
        <v>0</v>
      </c>
      <c r="FY91" s="834">
        <v>0.5</v>
      </c>
      <c r="FZ91" s="834">
        <v>0.4</v>
      </c>
      <c r="GA91" s="834">
        <v>0.1</v>
      </c>
      <c r="GB91" s="834">
        <v>0</v>
      </c>
      <c r="GC91" s="214" t="s">
        <v>1158</v>
      </c>
    </row>
    <row r="92" spans="1:185" s="214" customFormat="1" x14ac:dyDescent="0.2">
      <c r="B92" s="602" t="s">
        <v>267</v>
      </c>
      <c r="C92" s="602" t="s">
        <v>266</v>
      </c>
      <c r="D92" s="239">
        <v>-721055</v>
      </c>
      <c r="E92" s="239">
        <v>0</v>
      </c>
      <c r="F92" s="239">
        <v>-721055</v>
      </c>
      <c r="G92" s="239">
        <v>-679568</v>
      </c>
      <c r="H92" s="239">
        <v>0</v>
      </c>
      <c r="I92" s="239">
        <v>-679568</v>
      </c>
      <c r="J92" s="239">
        <v>-41487</v>
      </c>
      <c r="K92" s="239">
        <v>0</v>
      </c>
      <c r="L92" s="239">
        <v>-41487</v>
      </c>
      <c r="M92" s="239">
        <v>99517</v>
      </c>
      <c r="N92" s="239">
        <v>99517</v>
      </c>
      <c r="O92" s="239">
        <v>0</v>
      </c>
      <c r="P92" s="239">
        <v>0</v>
      </c>
      <c r="Q92" s="239">
        <v>0</v>
      </c>
      <c r="R92" s="239">
        <v>0</v>
      </c>
      <c r="S92" s="239">
        <v>453535</v>
      </c>
      <c r="T92" s="239">
        <v>0</v>
      </c>
      <c r="U92" s="239">
        <v>287400</v>
      </c>
      <c r="V92" s="239">
        <v>0</v>
      </c>
      <c r="W92" s="239">
        <v>166135</v>
      </c>
      <c r="X92" s="239">
        <v>0</v>
      </c>
      <c r="Y92" s="239">
        <v>0</v>
      </c>
      <c r="Z92" s="239">
        <v>0</v>
      </c>
      <c r="AA92" s="239">
        <v>0</v>
      </c>
      <c r="AB92" s="239">
        <v>0</v>
      </c>
      <c r="AC92" s="239">
        <v>0</v>
      </c>
      <c r="AD92" s="239">
        <v>0</v>
      </c>
      <c r="AE92" s="239">
        <v>0</v>
      </c>
      <c r="AF92" s="239">
        <v>0</v>
      </c>
      <c r="AG92" s="239">
        <v>0</v>
      </c>
      <c r="AH92" s="239">
        <v>0</v>
      </c>
      <c r="AI92" s="239">
        <v>0</v>
      </c>
      <c r="AJ92" s="239">
        <v>0</v>
      </c>
      <c r="AK92" s="239">
        <v>0</v>
      </c>
      <c r="AL92" s="239">
        <v>0</v>
      </c>
      <c r="AM92" s="239">
        <v>0</v>
      </c>
      <c r="AN92" s="239">
        <v>0</v>
      </c>
      <c r="AO92" s="239">
        <v>0</v>
      </c>
      <c r="AP92" s="239">
        <v>0</v>
      </c>
      <c r="AQ92" s="239">
        <v>0</v>
      </c>
      <c r="AR92" s="239">
        <v>0</v>
      </c>
      <c r="AS92" s="239">
        <v>0</v>
      </c>
      <c r="AT92" s="239">
        <v>0</v>
      </c>
      <c r="AU92" s="239">
        <v>0</v>
      </c>
      <c r="AV92" s="239">
        <v>0</v>
      </c>
      <c r="AW92" s="239">
        <v>0</v>
      </c>
      <c r="AX92" s="239">
        <v>0</v>
      </c>
      <c r="AY92" s="239">
        <v>0</v>
      </c>
      <c r="AZ92" s="239">
        <v>0</v>
      </c>
      <c r="BA92" s="239">
        <v>0</v>
      </c>
      <c r="BB92" s="239">
        <v>0</v>
      </c>
      <c r="BC92" s="239">
        <v>775303</v>
      </c>
      <c r="BD92" s="239">
        <v>193826</v>
      </c>
      <c r="BE92" s="239">
        <v>0</v>
      </c>
      <c r="BF92" s="239">
        <v>760350.50771158782</v>
      </c>
      <c r="BG92" s="239">
        <v>190087.62692789696</v>
      </c>
      <c r="BH92" s="239">
        <v>0</v>
      </c>
      <c r="BI92" s="239">
        <v>41816.102961373392</v>
      </c>
      <c r="BJ92" s="239">
        <v>10454.025740343348</v>
      </c>
      <c r="BK92" s="239">
        <v>0</v>
      </c>
      <c r="BL92" s="239">
        <v>725000</v>
      </c>
      <c r="BM92" s="239">
        <v>126307</v>
      </c>
      <c r="BN92" s="239">
        <v>0</v>
      </c>
      <c r="BO92" s="239">
        <v>50303</v>
      </c>
      <c r="BP92" s="239">
        <v>67519</v>
      </c>
      <c r="BQ92" s="239">
        <v>0</v>
      </c>
      <c r="BR92" s="239">
        <v>4019</v>
      </c>
      <c r="BS92" s="239">
        <v>1005</v>
      </c>
      <c r="BT92" s="239">
        <v>0</v>
      </c>
      <c r="BU92" s="239">
        <v>2758</v>
      </c>
      <c r="BV92" s="239">
        <v>690</v>
      </c>
      <c r="BW92" s="239">
        <v>0</v>
      </c>
      <c r="BX92" s="239">
        <v>1261</v>
      </c>
      <c r="BY92" s="239">
        <v>315</v>
      </c>
      <c r="BZ92" s="239">
        <v>0</v>
      </c>
      <c r="CA92" s="239">
        <v>0</v>
      </c>
      <c r="CB92" s="239">
        <v>0</v>
      </c>
      <c r="CC92" s="239">
        <v>0</v>
      </c>
      <c r="CD92" s="239">
        <v>0</v>
      </c>
      <c r="CE92" s="239">
        <v>0</v>
      </c>
      <c r="CF92" s="239">
        <v>0</v>
      </c>
      <c r="CG92" s="239">
        <v>0</v>
      </c>
      <c r="CH92" s="239">
        <v>0</v>
      </c>
      <c r="CI92" s="239">
        <v>0</v>
      </c>
      <c r="CJ92" s="239">
        <v>0</v>
      </c>
      <c r="CK92" s="239">
        <v>0</v>
      </c>
      <c r="CL92" s="239">
        <v>0</v>
      </c>
      <c r="CM92" s="239">
        <v>0</v>
      </c>
      <c r="CN92" s="239">
        <v>0</v>
      </c>
      <c r="CO92" s="239">
        <v>0</v>
      </c>
      <c r="CP92" s="239">
        <v>0</v>
      </c>
      <c r="CQ92" s="239">
        <v>0</v>
      </c>
      <c r="CR92" s="239">
        <v>0</v>
      </c>
      <c r="CS92" s="239">
        <v>0</v>
      </c>
      <c r="CT92" s="239">
        <v>0</v>
      </c>
      <c r="CU92" s="239">
        <v>0</v>
      </c>
      <c r="CV92" s="239">
        <v>0</v>
      </c>
      <c r="CW92" s="239">
        <v>0</v>
      </c>
      <c r="CX92" s="239">
        <v>0</v>
      </c>
      <c r="CY92" s="239">
        <v>0</v>
      </c>
      <c r="CZ92" s="239">
        <v>0</v>
      </c>
      <c r="DA92" s="239">
        <v>0</v>
      </c>
      <c r="DB92" s="239">
        <v>0</v>
      </c>
      <c r="DC92" s="239">
        <v>0</v>
      </c>
      <c r="DD92" s="239">
        <v>0</v>
      </c>
      <c r="DE92" s="239">
        <v>0</v>
      </c>
      <c r="DF92" s="239">
        <v>0</v>
      </c>
      <c r="DG92" s="239">
        <v>0</v>
      </c>
      <c r="DH92" s="239">
        <v>0</v>
      </c>
      <c r="DI92" s="239">
        <v>0</v>
      </c>
      <c r="DJ92" s="239">
        <v>0</v>
      </c>
      <c r="DK92" s="239">
        <v>17458</v>
      </c>
      <c r="DL92" s="239">
        <v>4365</v>
      </c>
      <c r="DM92" s="239">
        <v>0</v>
      </c>
      <c r="DN92" s="239">
        <v>-17458</v>
      </c>
      <c r="DO92" s="239">
        <v>-4365</v>
      </c>
      <c r="DP92" s="239">
        <v>0</v>
      </c>
      <c r="DQ92" s="239">
        <v>0</v>
      </c>
      <c r="DR92" s="239">
        <v>0</v>
      </c>
      <c r="DS92" s="239">
        <v>0</v>
      </c>
      <c r="DT92" s="239">
        <v>0</v>
      </c>
      <c r="DU92" s="239">
        <v>0</v>
      </c>
      <c r="DV92" s="239">
        <v>0</v>
      </c>
      <c r="DW92" s="239">
        <v>0</v>
      </c>
      <c r="DX92" s="239">
        <v>0</v>
      </c>
      <c r="DY92" s="239">
        <v>0</v>
      </c>
      <c r="DZ92" s="239">
        <v>3887</v>
      </c>
      <c r="EA92" s="239">
        <v>972</v>
      </c>
      <c r="EB92" s="239">
        <v>0</v>
      </c>
      <c r="EC92" s="239">
        <v>4858</v>
      </c>
      <c r="ED92" s="239">
        <v>0</v>
      </c>
      <c r="EE92" s="239">
        <v>0</v>
      </c>
      <c r="EF92" s="239">
        <v>-971</v>
      </c>
      <c r="EG92" s="239">
        <v>972</v>
      </c>
      <c r="EH92" s="239">
        <v>0</v>
      </c>
      <c r="EI92" s="239">
        <v>35963</v>
      </c>
      <c r="EJ92" s="239">
        <v>8991</v>
      </c>
      <c r="EK92" s="239">
        <v>0</v>
      </c>
      <c r="EL92" s="239">
        <v>50000</v>
      </c>
      <c r="EM92" s="239">
        <v>0</v>
      </c>
      <c r="EN92" s="239">
        <v>0</v>
      </c>
      <c r="EO92" s="239">
        <v>-14037</v>
      </c>
      <c r="EP92" s="239">
        <v>8991</v>
      </c>
      <c r="EQ92" s="239">
        <v>0</v>
      </c>
      <c r="ER92" s="239">
        <v>16966</v>
      </c>
      <c r="ES92" s="239">
        <v>4241</v>
      </c>
      <c r="ET92" s="239">
        <v>0</v>
      </c>
      <c r="EU92" s="239">
        <v>21199</v>
      </c>
      <c r="EV92" s="239">
        <v>0</v>
      </c>
      <c r="EW92" s="239">
        <v>0</v>
      </c>
      <c r="EX92" s="239">
        <v>-4233</v>
      </c>
      <c r="EY92" s="239">
        <v>4241</v>
      </c>
      <c r="EZ92" s="239">
        <v>0</v>
      </c>
      <c r="FA92" s="239">
        <v>175209</v>
      </c>
      <c r="FB92" s="239">
        <v>42099</v>
      </c>
      <c r="FC92" s="239">
        <v>0</v>
      </c>
      <c r="FD92" s="239">
        <v>159137</v>
      </c>
      <c r="FE92" s="239">
        <v>38705</v>
      </c>
      <c r="FF92" s="239">
        <v>0</v>
      </c>
      <c r="FG92" s="239">
        <v>16072</v>
      </c>
      <c r="FH92" s="239">
        <v>3394</v>
      </c>
      <c r="FI92" s="239">
        <v>0</v>
      </c>
      <c r="FJ92" s="239">
        <v>0</v>
      </c>
      <c r="FK92" s="239">
        <v>0</v>
      </c>
      <c r="FL92" s="239">
        <v>0</v>
      </c>
      <c r="FM92" s="239">
        <v>0</v>
      </c>
      <c r="FN92" s="239">
        <v>0</v>
      </c>
      <c r="FO92" s="239">
        <v>0</v>
      </c>
      <c r="FP92" s="239">
        <v>0</v>
      </c>
      <c r="FQ92" s="239">
        <v>0</v>
      </c>
      <c r="FR92" s="239">
        <v>0</v>
      </c>
      <c r="FS92" s="239">
        <v>0</v>
      </c>
      <c r="FT92" s="239">
        <v>0</v>
      </c>
      <c r="FU92" s="239">
        <v>0</v>
      </c>
      <c r="FV92" s="239">
        <v>1011347</v>
      </c>
      <c r="FW92" s="239">
        <v>251134</v>
      </c>
      <c r="FX92" s="239">
        <v>0</v>
      </c>
      <c r="FY92" s="834">
        <v>0.5</v>
      </c>
      <c r="FZ92" s="834">
        <v>0.4</v>
      </c>
      <c r="GA92" s="834">
        <v>0.1</v>
      </c>
      <c r="GB92" s="834">
        <v>0</v>
      </c>
      <c r="GC92" s="214" t="s">
        <v>1158</v>
      </c>
    </row>
    <row r="93" spans="1:185" s="214" customFormat="1" x14ac:dyDescent="0.2">
      <c r="B93" s="602" t="s">
        <v>269</v>
      </c>
      <c r="C93" s="602" t="s">
        <v>268</v>
      </c>
      <c r="D93" s="239">
        <v>-10401806</v>
      </c>
      <c r="E93" s="239">
        <v>0</v>
      </c>
      <c r="F93" s="239">
        <v>-10401806</v>
      </c>
      <c r="G93" s="239">
        <v>-8761964</v>
      </c>
      <c r="H93" s="239">
        <v>0</v>
      </c>
      <c r="I93" s="239">
        <v>-8761964</v>
      </c>
      <c r="J93" s="239">
        <v>-1639842</v>
      </c>
      <c r="K93" s="239">
        <v>0</v>
      </c>
      <c r="L93" s="239">
        <v>-1639842</v>
      </c>
      <c r="M93" s="239">
        <v>431637</v>
      </c>
      <c r="N93" s="239">
        <v>431637</v>
      </c>
      <c r="O93" s="239">
        <v>0</v>
      </c>
      <c r="P93" s="239">
        <v>0</v>
      </c>
      <c r="Q93" s="239">
        <v>0</v>
      </c>
      <c r="R93" s="239">
        <v>0</v>
      </c>
      <c r="S93" s="239">
        <v>4384052</v>
      </c>
      <c r="T93" s="239">
        <v>0</v>
      </c>
      <c r="U93" s="239">
        <v>4455733</v>
      </c>
      <c r="V93" s="239">
        <v>0</v>
      </c>
      <c r="W93" s="239">
        <v>-71681</v>
      </c>
      <c r="X93" s="239">
        <v>0</v>
      </c>
      <c r="Y93" s="239">
        <v>116971</v>
      </c>
      <c r="Z93" s="239">
        <v>114631</v>
      </c>
      <c r="AA93" s="239">
        <v>0</v>
      </c>
      <c r="AB93" s="239">
        <v>2339</v>
      </c>
      <c r="AC93" s="239">
        <v>116081.5</v>
      </c>
      <c r="AD93" s="239">
        <v>114620.5</v>
      </c>
      <c r="AE93" s="239">
        <v>0</v>
      </c>
      <c r="AF93" s="239">
        <v>1461</v>
      </c>
      <c r="AG93" s="239">
        <v>890</v>
      </c>
      <c r="AH93" s="239">
        <v>11</v>
      </c>
      <c r="AI93" s="239">
        <v>0</v>
      </c>
      <c r="AJ93" s="239">
        <v>878</v>
      </c>
      <c r="AK93" s="239">
        <v>0</v>
      </c>
      <c r="AL93" s="239">
        <v>0</v>
      </c>
      <c r="AM93" s="239">
        <v>0</v>
      </c>
      <c r="AN93" s="239">
        <v>0</v>
      </c>
      <c r="AO93" s="239">
        <v>0</v>
      </c>
      <c r="AP93" s="239">
        <v>0</v>
      </c>
      <c r="AQ93" s="239">
        <v>0</v>
      </c>
      <c r="AR93" s="239">
        <v>0</v>
      </c>
      <c r="AS93" s="239">
        <v>0</v>
      </c>
      <c r="AT93" s="239">
        <v>0</v>
      </c>
      <c r="AU93" s="239">
        <v>0</v>
      </c>
      <c r="AV93" s="239">
        <v>0</v>
      </c>
      <c r="AW93" s="239">
        <v>0</v>
      </c>
      <c r="AX93" s="239">
        <v>0</v>
      </c>
      <c r="AY93" s="239">
        <v>0</v>
      </c>
      <c r="AZ93" s="239">
        <v>0</v>
      </c>
      <c r="BA93" s="239">
        <v>0</v>
      </c>
      <c r="BB93" s="239">
        <v>0</v>
      </c>
      <c r="BC93" s="239">
        <v>4041855</v>
      </c>
      <c r="BD93" s="239">
        <v>0</v>
      </c>
      <c r="BE93" s="239">
        <v>82487</v>
      </c>
      <c r="BF93" s="239">
        <v>3965437.421604292</v>
      </c>
      <c r="BG93" s="239">
        <v>0</v>
      </c>
      <c r="BH93" s="239">
        <v>80927.294318454937</v>
      </c>
      <c r="BI93" s="239">
        <v>243377.01424517165</v>
      </c>
      <c r="BJ93" s="239">
        <v>0</v>
      </c>
      <c r="BK93" s="239">
        <v>4966.8778417381964</v>
      </c>
      <c r="BL93" s="239">
        <v>4077905</v>
      </c>
      <c r="BM93" s="239">
        <v>0</v>
      </c>
      <c r="BN93" s="239">
        <v>61507</v>
      </c>
      <c r="BO93" s="239">
        <v>-36050</v>
      </c>
      <c r="BP93" s="239">
        <v>0</v>
      </c>
      <c r="BQ93" s="239">
        <v>20980</v>
      </c>
      <c r="BR93" s="239">
        <v>7982</v>
      </c>
      <c r="BS93" s="239">
        <v>0</v>
      </c>
      <c r="BT93" s="239">
        <v>163</v>
      </c>
      <c r="BU93" s="239">
        <v>0</v>
      </c>
      <c r="BV93" s="239">
        <v>0</v>
      </c>
      <c r="BW93" s="239">
        <v>0</v>
      </c>
      <c r="BX93" s="239">
        <v>7982</v>
      </c>
      <c r="BY93" s="239">
        <v>0</v>
      </c>
      <c r="BZ93" s="239">
        <v>163</v>
      </c>
      <c r="CA93" s="239">
        <v>0</v>
      </c>
      <c r="CB93" s="239">
        <v>0</v>
      </c>
      <c r="CC93" s="239">
        <v>0</v>
      </c>
      <c r="CD93" s="239">
        <v>0</v>
      </c>
      <c r="CE93" s="239">
        <v>0</v>
      </c>
      <c r="CF93" s="239">
        <v>0</v>
      </c>
      <c r="CG93" s="239">
        <v>0</v>
      </c>
      <c r="CH93" s="239">
        <v>0</v>
      </c>
      <c r="CI93" s="239">
        <v>0</v>
      </c>
      <c r="CJ93" s="239">
        <v>939</v>
      </c>
      <c r="CK93" s="239">
        <v>0</v>
      </c>
      <c r="CL93" s="239">
        <v>19</v>
      </c>
      <c r="CM93" s="239">
        <v>8628</v>
      </c>
      <c r="CN93" s="239">
        <v>0</v>
      </c>
      <c r="CO93" s="239">
        <v>176</v>
      </c>
      <c r="CP93" s="239">
        <v>-7689</v>
      </c>
      <c r="CQ93" s="239">
        <v>0</v>
      </c>
      <c r="CR93" s="239">
        <v>-157</v>
      </c>
      <c r="CS93" s="239">
        <v>-6933</v>
      </c>
      <c r="CT93" s="239">
        <v>0</v>
      </c>
      <c r="CU93" s="239">
        <v>-141</v>
      </c>
      <c r="CV93" s="239">
        <v>889</v>
      </c>
      <c r="CW93" s="239">
        <v>0</v>
      </c>
      <c r="CX93" s="239">
        <v>18</v>
      </c>
      <c r="CY93" s="239">
        <v>0</v>
      </c>
      <c r="CZ93" s="239">
        <v>0</v>
      </c>
      <c r="DA93" s="239">
        <v>0</v>
      </c>
      <c r="DB93" s="239">
        <v>889</v>
      </c>
      <c r="DC93" s="239">
        <v>0</v>
      </c>
      <c r="DD93" s="239">
        <v>18</v>
      </c>
      <c r="DE93" s="239">
        <v>0</v>
      </c>
      <c r="DF93" s="239">
        <v>0</v>
      </c>
      <c r="DG93" s="239">
        <v>0</v>
      </c>
      <c r="DH93" s="239">
        <v>32376</v>
      </c>
      <c r="DI93" s="239">
        <v>0</v>
      </c>
      <c r="DJ93" s="239">
        <v>661</v>
      </c>
      <c r="DK93" s="239">
        <v>53029</v>
      </c>
      <c r="DL93" s="239">
        <v>0</v>
      </c>
      <c r="DM93" s="239">
        <v>1082</v>
      </c>
      <c r="DN93" s="239">
        <v>-20653</v>
      </c>
      <c r="DO93" s="239">
        <v>0</v>
      </c>
      <c r="DP93" s="239">
        <v>-421</v>
      </c>
      <c r="DQ93" s="239">
        <v>746</v>
      </c>
      <c r="DR93" s="239">
        <v>0</v>
      </c>
      <c r="DS93" s="239">
        <v>15</v>
      </c>
      <c r="DT93" s="239">
        <v>14920</v>
      </c>
      <c r="DU93" s="239">
        <v>0</v>
      </c>
      <c r="DV93" s="239">
        <v>305</v>
      </c>
      <c r="DW93" s="239">
        <v>-14174</v>
      </c>
      <c r="DX93" s="239">
        <v>0</v>
      </c>
      <c r="DY93" s="239">
        <v>-290</v>
      </c>
      <c r="DZ93" s="239">
        <v>74125</v>
      </c>
      <c r="EA93" s="239">
        <v>0</v>
      </c>
      <c r="EB93" s="239">
        <v>1513</v>
      </c>
      <c r="EC93" s="239">
        <v>70401</v>
      </c>
      <c r="ED93" s="239">
        <v>0</v>
      </c>
      <c r="EE93" s="239">
        <v>0</v>
      </c>
      <c r="EF93" s="239">
        <v>3724</v>
      </c>
      <c r="EG93" s="239">
        <v>0</v>
      </c>
      <c r="EH93" s="239">
        <v>1513</v>
      </c>
      <c r="EI93" s="239">
        <v>278933</v>
      </c>
      <c r="EJ93" s="239">
        <v>0</v>
      </c>
      <c r="EK93" s="239">
        <v>5693</v>
      </c>
      <c r="EL93" s="239">
        <v>280413</v>
      </c>
      <c r="EM93" s="239">
        <v>0</v>
      </c>
      <c r="EN93" s="239">
        <v>0</v>
      </c>
      <c r="EO93" s="239">
        <v>-1480</v>
      </c>
      <c r="EP93" s="239">
        <v>0</v>
      </c>
      <c r="EQ93" s="239">
        <v>5693</v>
      </c>
      <c r="ER93" s="239">
        <v>80880</v>
      </c>
      <c r="ES93" s="239">
        <v>0</v>
      </c>
      <c r="ET93" s="239">
        <v>1651</v>
      </c>
      <c r="EU93" s="239">
        <v>81579</v>
      </c>
      <c r="EV93" s="239">
        <v>0</v>
      </c>
      <c r="EW93" s="239">
        <v>0</v>
      </c>
      <c r="EX93" s="239">
        <v>-699</v>
      </c>
      <c r="EY93" s="239">
        <v>0</v>
      </c>
      <c r="EZ93" s="239">
        <v>1651</v>
      </c>
      <c r="FA93" s="239">
        <v>709837</v>
      </c>
      <c r="FB93" s="239">
        <v>0</v>
      </c>
      <c r="FC93" s="239">
        <v>13143</v>
      </c>
      <c r="FD93" s="239">
        <v>737826</v>
      </c>
      <c r="FE93" s="239">
        <v>0</v>
      </c>
      <c r="FF93" s="239">
        <v>13679</v>
      </c>
      <c r="FG93" s="239">
        <v>-27989</v>
      </c>
      <c r="FH93" s="239">
        <v>0</v>
      </c>
      <c r="FI93" s="239">
        <v>-536</v>
      </c>
      <c r="FJ93" s="239">
        <v>0</v>
      </c>
      <c r="FK93" s="239">
        <v>0</v>
      </c>
      <c r="FL93" s="239">
        <v>0</v>
      </c>
      <c r="FM93" s="239">
        <v>0</v>
      </c>
      <c r="FN93" s="239">
        <v>0</v>
      </c>
      <c r="FO93" s="239">
        <v>0</v>
      </c>
      <c r="FP93" s="239">
        <v>0</v>
      </c>
      <c r="FQ93" s="239">
        <v>0</v>
      </c>
      <c r="FR93" s="239">
        <v>0</v>
      </c>
      <c r="FS93" s="239">
        <v>0</v>
      </c>
      <c r="FT93" s="239">
        <v>0</v>
      </c>
      <c r="FU93" s="239">
        <v>0</v>
      </c>
      <c r="FV93" s="239">
        <v>5221629</v>
      </c>
      <c r="FW93" s="239">
        <v>0</v>
      </c>
      <c r="FX93" s="239">
        <v>105222</v>
      </c>
      <c r="FY93" s="834">
        <v>0.5</v>
      </c>
      <c r="FZ93" s="834">
        <v>0.49</v>
      </c>
      <c r="GA93" s="834">
        <v>0</v>
      </c>
      <c r="GB93" s="834">
        <v>0.01</v>
      </c>
      <c r="GC93" s="214" t="s">
        <v>746</v>
      </c>
    </row>
    <row r="94" spans="1:185" s="214" customFormat="1" x14ac:dyDescent="0.2">
      <c r="B94" s="602" t="s">
        <v>271</v>
      </c>
      <c r="C94" s="602" t="s">
        <v>270</v>
      </c>
      <c r="D94" s="239">
        <v>-1319248</v>
      </c>
      <c r="E94" s="239">
        <v>0</v>
      </c>
      <c r="F94" s="239">
        <v>-1319248</v>
      </c>
      <c r="G94" s="239">
        <v>-922055</v>
      </c>
      <c r="H94" s="239">
        <v>0</v>
      </c>
      <c r="I94" s="239">
        <v>-922055</v>
      </c>
      <c r="J94" s="239">
        <v>-397193</v>
      </c>
      <c r="K94" s="239">
        <v>0</v>
      </c>
      <c r="L94" s="239">
        <v>-397193</v>
      </c>
      <c r="M94" s="239">
        <v>175258</v>
      </c>
      <c r="N94" s="239">
        <v>175258</v>
      </c>
      <c r="O94" s="239">
        <v>0</v>
      </c>
      <c r="P94" s="239">
        <v>0</v>
      </c>
      <c r="Q94" s="239">
        <v>0</v>
      </c>
      <c r="R94" s="239">
        <v>0</v>
      </c>
      <c r="S94" s="239">
        <v>0</v>
      </c>
      <c r="T94" s="239">
        <v>0</v>
      </c>
      <c r="U94" s="239">
        <v>0</v>
      </c>
      <c r="V94" s="239">
        <v>0</v>
      </c>
      <c r="W94" s="239">
        <v>0</v>
      </c>
      <c r="X94" s="239">
        <v>0</v>
      </c>
      <c r="Y94" s="239">
        <v>0</v>
      </c>
      <c r="Z94" s="239">
        <v>0</v>
      </c>
      <c r="AA94" s="239">
        <v>0</v>
      </c>
      <c r="AB94" s="239">
        <v>0</v>
      </c>
      <c r="AC94" s="239">
        <v>0</v>
      </c>
      <c r="AD94" s="239">
        <v>0</v>
      </c>
      <c r="AE94" s="239">
        <v>0</v>
      </c>
      <c r="AF94" s="239">
        <v>0</v>
      </c>
      <c r="AG94" s="239">
        <v>0</v>
      </c>
      <c r="AH94" s="239">
        <v>0</v>
      </c>
      <c r="AI94" s="239">
        <v>0</v>
      </c>
      <c r="AJ94" s="239">
        <v>0</v>
      </c>
      <c r="AK94" s="239">
        <v>0</v>
      </c>
      <c r="AL94" s="239">
        <v>0</v>
      </c>
      <c r="AM94" s="239">
        <v>0</v>
      </c>
      <c r="AN94" s="239">
        <v>0</v>
      </c>
      <c r="AO94" s="239">
        <v>0</v>
      </c>
      <c r="AP94" s="239">
        <v>0</v>
      </c>
      <c r="AQ94" s="239">
        <v>0</v>
      </c>
      <c r="AR94" s="239">
        <v>0</v>
      </c>
      <c r="AS94" s="239">
        <v>0</v>
      </c>
      <c r="AT94" s="239">
        <v>0</v>
      </c>
      <c r="AU94" s="239">
        <v>0</v>
      </c>
      <c r="AV94" s="239">
        <v>0</v>
      </c>
      <c r="AW94" s="239">
        <v>0</v>
      </c>
      <c r="AX94" s="239">
        <v>0</v>
      </c>
      <c r="AY94" s="239">
        <v>0</v>
      </c>
      <c r="AZ94" s="239">
        <v>0</v>
      </c>
      <c r="BA94" s="239">
        <v>0</v>
      </c>
      <c r="BB94" s="239">
        <v>0</v>
      </c>
      <c r="BC94" s="239">
        <v>1131760</v>
      </c>
      <c r="BD94" s="239">
        <v>254646</v>
      </c>
      <c r="BE94" s="239">
        <v>28294</v>
      </c>
      <c r="BF94" s="239">
        <v>1101495.6866652363</v>
      </c>
      <c r="BG94" s="239">
        <v>247836.52949967812</v>
      </c>
      <c r="BH94" s="239">
        <v>27537.392166630903</v>
      </c>
      <c r="BI94" s="239">
        <v>89207.607145922753</v>
      </c>
      <c r="BJ94" s="239">
        <v>20071.711607832614</v>
      </c>
      <c r="BK94" s="239">
        <v>2230.1901786480685</v>
      </c>
      <c r="BL94" s="239">
        <v>1070712</v>
      </c>
      <c r="BM94" s="239">
        <v>159016</v>
      </c>
      <c r="BN94" s="239">
        <v>17668</v>
      </c>
      <c r="BO94" s="239">
        <v>61048</v>
      </c>
      <c r="BP94" s="239">
        <v>95630</v>
      </c>
      <c r="BQ94" s="239">
        <v>10626</v>
      </c>
      <c r="BR94" s="239">
        <v>0</v>
      </c>
      <c r="BS94" s="239">
        <v>0</v>
      </c>
      <c r="BT94" s="239">
        <v>0</v>
      </c>
      <c r="BU94" s="239">
        <v>1078</v>
      </c>
      <c r="BV94" s="239">
        <v>243</v>
      </c>
      <c r="BW94" s="239">
        <v>27</v>
      </c>
      <c r="BX94" s="239">
        <v>-1078</v>
      </c>
      <c r="BY94" s="239">
        <v>-243</v>
      </c>
      <c r="BZ94" s="239">
        <v>-27</v>
      </c>
      <c r="CA94" s="239">
        <v>0</v>
      </c>
      <c r="CB94" s="239">
        <v>0</v>
      </c>
      <c r="CC94" s="239">
        <v>0</v>
      </c>
      <c r="CD94" s="239">
        <v>1343</v>
      </c>
      <c r="CE94" s="239">
        <v>302</v>
      </c>
      <c r="CF94" s="239">
        <v>34</v>
      </c>
      <c r="CG94" s="239">
        <v>-1343</v>
      </c>
      <c r="CH94" s="239">
        <v>-302</v>
      </c>
      <c r="CI94" s="239">
        <v>-34</v>
      </c>
      <c r="CJ94" s="239">
        <v>55</v>
      </c>
      <c r="CK94" s="239">
        <v>12</v>
      </c>
      <c r="CL94" s="239">
        <v>1</v>
      </c>
      <c r="CM94" s="239">
        <v>0</v>
      </c>
      <c r="CN94" s="239">
        <v>0</v>
      </c>
      <c r="CO94" s="239">
        <v>0</v>
      </c>
      <c r="CP94" s="239">
        <v>55</v>
      </c>
      <c r="CQ94" s="239">
        <v>12</v>
      </c>
      <c r="CR94" s="239">
        <v>1</v>
      </c>
      <c r="CS94" s="239">
        <v>-2599</v>
      </c>
      <c r="CT94" s="239">
        <v>-585</v>
      </c>
      <c r="CU94" s="239">
        <v>-65</v>
      </c>
      <c r="CV94" s="239">
        <v>0</v>
      </c>
      <c r="CW94" s="239">
        <v>0</v>
      </c>
      <c r="CX94" s="239">
        <v>0</v>
      </c>
      <c r="CY94" s="239">
        <v>0</v>
      </c>
      <c r="CZ94" s="239">
        <v>0</v>
      </c>
      <c r="DA94" s="239">
        <v>0</v>
      </c>
      <c r="DB94" s="239">
        <v>0</v>
      </c>
      <c r="DC94" s="239">
        <v>0</v>
      </c>
      <c r="DD94" s="239">
        <v>0</v>
      </c>
      <c r="DE94" s="239">
        <v>0</v>
      </c>
      <c r="DF94" s="239">
        <v>0</v>
      </c>
      <c r="DG94" s="239">
        <v>0</v>
      </c>
      <c r="DH94" s="239">
        <v>0</v>
      </c>
      <c r="DI94" s="239">
        <v>0</v>
      </c>
      <c r="DJ94" s="239">
        <v>0</v>
      </c>
      <c r="DK94" s="239">
        <v>979</v>
      </c>
      <c r="DL94" s="239">
        <v>221</v>
      </c>
      <c r="DM94" s="239">
        <v>25</v>
      </c>
      <c r="DN94" s="239">
        <v>-979</v>
      </c>
      <c r="DO94" s="239">
        <v>-221</v>
      </c>
      <c r="DP94" s="239">
        <v>-25</v>
      </c>
      <c r="DQ94" s="239">
        <v>0</v>
      </c>
      <c r="DR94" s="239">
        <v>0</v>
      </c>
      <c r="DS94" s="239">
        <v>0</v>
      </c>
      <c r="DT94" s="239">
        <v>0</v>
      </c>
      <c r="DU94" s="239">
        <v>0</v>
      </c>
      <c r="DV94" s="239">
        <v>0</v>
      </c>
      <c r="DW94" s="239">
        <v>0</v>
      </c>
      <c r="DX94" s="239">
        <v>0</v>
      </c>
      <c r="DY94" s="239">
        <v>0</v>
      </c>
      <c r="DZ94" s="239">
        <v>11879</v>
      </c>
      <c r="EA94" s="239">
        <v>2673</v>
      </c>
      <c r="EB94" s="239">
        <v>297</v>
      </c>
      <c r="EC94" s="239">
        <v>25258</v>
      </c>
      <c r="ED94" s="239">
        <v>0</v>
      </c>
      <c r="EE94" s="239">
        <v>0</v>
      </c>
      <c r="EF94" s="239">
        <v>-13379</v>
      </c>
      <c r="EG94" s="239">
        <v>2673</v>
      </c>
      <c r="EH94" s="239">
        <v>297</v>
      </c>
      <c r="EI94" s="239">
        <v>149449</v>
      </c>
      <c r="EJ94" s="239">
        <v>33626</v>
      </c>
      <c r="EK94" s="239">
        <v>3736</v>
      </c>
      <c r="EL94" s="239">
        <v>184993</v>
      </c>
      <c r="EM94" s="239">
        <v>0</v>
      </c>
      <c r="EN94" s="239">
        <v>0</v>
      </c>
      <c r="EO94" s="239">
        <v>-35544</v>
      </c>
      <c r="EP94" s="239">
        <v>33626</v>
      </c>
      <c r="EQ94" s="239">
        <v>3736</v>
      </c>
      <c r="ER94" s="239">
        <v>9667</v>
      </c>
      <c r="ES94" s="239">
        <v>2175</v>
      </c>
      <c r="ET94" s="239">
        <v>242</v>
      </c>
      <c r="EU94" s="239">
        <v>13930</v>
      </c>
      <c r="EV94" s="239">
        <v>0</v>
      </c>
      <c r="EW94" s="239">
        <v>0</v>
      </c>
      <c r="EX94" s="239">
        <v>-4263</v>
      </c>
      <c r="EY94" s="239">
        <v>2175</v>
      </c>
      <c r="EZ94" s="239">
        <v>242</v>
      </c>
      <c r="FA94" s="239">
        <v>325334</v>
      </c>
      <c r="FB94" s="239">
        <v>73200</v>
      </c>
      <c r="FC94" s="239">
        <v>8133</v>
      </c>
      <c r="FD94" s="239">
        <v>313510</v>
      </c>
      <c r="FE94" s="239">
        <v>70540</v>
      </c>
      <c r="FF94" s="239">
        <v>7838</v>
      </c>
      <c r="FG94" s="239">
        <v>11824</v>
      </c>
      <c r="FH94" s="239">
        <v>2660</v>
      </c>
      <c r="FI94" s="239">
        <v>295</v>
      </c>
      <c r="FJ94" s="239">
        <v>0</v>
      </c>
      <c r="FK94" s="239">
        <v>0</v>
      </c>
      <c r="FL94" s="239">
        <v>0</v>
      </c>
      <c r="FM94" s="239">
        <v>0</v>
      </c>
      <c r="FN94" s="239">
        <v>0</v>
      </c>
      <c r="FO94" s="239">
        <v>0</v>
      </c>
      <c r="FP94" s="239">
        <v>0</v>
      </c>
      <c r="FQ94" s="239">
        <v>0</v>
      </c>
      <c r="FR94" s="239">
        <v>0</v>
      </c>
      <c r="FS94" s="239">
        <v>0</v>
      </c>
      <c r="FT94" s="239">
        <v>0</v>
      </c>
      <c r="FU94" s="239">
        <v>0</v>
      </c>
      <c r="FV94" s="239">
        <v>1625545</v>
      </c>
      <c r="FW94" s="239">
        <v>365747</v>
      </c>
      <c r="FX94" s="239">
        <v>40638</v>
      </c>
      <c r="FY94" s="834">
        <v>0.5</v>
      </c>
      <c r="FZ94" s="834">
        <v>0.4</v>
      </c>
      <c r="GA94" s="834">
        <v>0.09</v>
      </c>
      <c r="GB94" s="834">
        <v>0.01</v>
      </c>
      <c r="GC94" s="214" t="s">
        <v>1158</v>
      </c>
    </row>
    <row r="95" spans="1:185" s="214" customFormat="1" x14ac:dyDescent="0.2">
      <c r="B95" s="602" t="s">
        <v>273</v>
      </c>
      <c r="C95" s="602" t="s">
        <v>272</v>
      </c>
      <c r="D95" s="239">
        <v>556252</v>
      </c>
      <c r="E95" s="239">
        <v>0</v>
      </c>
      <c r="F95" s="239">
        <v>556252</v>
      </c>
      <c r="G95" s="239">
        <v>748643</v>
      </c>
      <c r="H95" s="239">
        <v>0</v>
      </c>
      <c r="I95" s="239">
        <v>748643</v>
      </c>
      <c r="J95" s="239">
        <v>-192391</v>
      </c>
      <c r="K95" s="239">
        <v>0</v>
      </c>
      <c r="L95" s="239">
        <v>-192391</v>
      </c>
      <c r="M95" s="239">
        <v>125525</v>
      </c>
      <c r="N95" s="239">
        <v>125525</v>
      </c>
      <c r="O95" s="239">
        <v>0</v>
      </c>
      <c r="P95" s="239">
        <v>0</v>
      </c>
      <c r="Q95" s="239">
        <v>0</v>
      </c>
      <c r="R95" s="239">
        <v>0</v>
      </c>
      <c r="S95" s="239">
        <v>0</v>
      </c>
      <c r="T95" s="239">
        <v>0</v>
      </c>
      <c r="U95" s="239">
        <v>0</v>
      </c>
      <c r="V95" s="239">
        <v>0</v>
      </c>
      <c r="W95" s="239">
        <v>0</v>
      </c>
      <c r="X95" s="239">
        <v>0</v>
      </c>
      <c r="Y95" s="239">
        <v>0</v>
      </c>
      <c r="Z95" s="239">
        <v>0</v>
      </c>
      <c r="AA95" s="239">
        <v>0</v>
      </c>
      <c r="AB95" s="239">
        <v>0</v>
      </c>
      <c r="AC95" s="239">
        <v>0</v>
      </c>
      <c r="AD95" s="239">
        <v>0</v>
      </c>
      <c r="AE95" s="239">
        <v>0</v>
      </c>
      <c r="AF95" s="239">
        <v>0</v>
      </c>
      <c r="AG95" s="239">
        <v>0</v>
      </c>
      <c r="AH95" s="239">
        <v>0</v>
      </c>
      <c r="AI95" s="239">
        <v>0</v>
      </c>
      <c r="AJ95" s="239">
        <v>0</v>
      </c>
      <c r="AK95" s="239">
        <v>0</v>
      </c>
      <c r="AL95" s="239">
        <v>0</v>
      </c>
      <c r="AM95" s="239">
        <v>0</v>
      </c>
      <c r="AN95" s="239">
        <v>0</v>
      </c>
      <c r="AO95" s="239">
        <v>0</v>
      </c>
      <c r="AP95" s="239">
        <v>0</v>
      </c>
      <c r="AQ95" s="239">
        <v>0</v>
      </c>
      <c r="AR95" s="239">
        <v>0</v>
      </c>
      <c r="AS95" s="239">
        <v>0</v>
      </c>
      <c r="AT95" s="239">
        <v>0</v>
      </c>
      <c r="AU95" s="239">
        <v>0</v>
      </c>
      <c r="AV95" s="239">
        <v>0</v>
      </c>
      <c r="AW95" s="239">
        <v>0</v>
      </c>
      <c r="AX95" s="239">
        <v>0</v>
      </c>
      <c r="AY95" s="239">
        <v>0</v>
      </c>
      <c r="AZ95" s="239">
        <v>0</v>
      </c>
      <c r="BA95" s="239">
        <v>0</v>
      </c>
      <c r="BB95" s="239">
        <v>0</v>
      </c>
      <c r="BC95" s="239">
        <v>916469</v>
      </c>
      <c r="BD95" s="239">
        <v>206206</v>
      </c>
      <c r="BE95" s="239">
        <v>22912</v>
      </c>
      <c r="BF95" s="239">
        <v>892216.96740000008</v>
      </c>
      <c r="BG95" s="239">
        <v>200748.81766499998</v>
      </c>
      <c r="BH95" s="239">
        <v>22305.424185</v>
      </c>
      <c r="BI95" s="239">
        <v>72973.191523605143</v>
      </c>
      <c r="BJ95" s="239">
        <v>16418.968092811156</v>
      </c>
      <c r="BK95" s="239">
        <v>1824.3297880901287</v>
      </c>
      <c r="BL95" s="239">
        <v>876837</v>
      </c>
      <c r="BM95" s="239">
        <v>127695</v>
      </c>
      <c r="BN95" s="239">
        <v>14188</v>
      </c>
      <c r="BO95" s="239">
        <v>39632</v>
      </c>
      <c r="BP95" s="239">
        <v>78511</v>
      </c>
      <c r="BQ95" s="239">
        <v>8724</v>
      </c>
      <c r="BR95" s="239">
        <v>0</v>
      </c>
      <c r="BS95" s="239">
        <v>0</v>
      </c>
      <c r="BT95" s="239">
        <v>0</v>
      </c>
      <c r="BU95" s="239">
        <v>0</v>
      </c>
      <c r="BV95" s="239">
        <v>0</v>
      </c>
      <c r="BW95" s="239">
        <v>0</v>
      </c>
      <c r="BX95" s="239">
        <v>0</v>
      </c>
      <c r="BY95" s="239">
        <v>0</v>
      </c>
      <c r="BZ95" s="239">
        <v>0</v>
      </c>
      <c r="CA95" s="239">
        <v>0</v>
      </c>
      <c r="CB95" s="239">
        <v>0</v>
      </c>
      <c r="CC95" s="239">
        <v>0</v>
      </c>
      <c r="CD95" s="239">
        <v>0</v>
      </c>
      <c r="CE95" s="239">
        <v>0</v>
      </c>
      <c r="CF95" s="239">
        <v>0</v>
      </c>
      <c r="CG95" s="239">
        <v>0</v>
      </c>
      <c r="CH95" s="239">
        <v>0</v>
      </c>
      <c r="CI95" s="239">
        <v>0</v>
      </c>
      <c r="CJ95" s="239">
        <v>1492</v>
      </c>
      <c r="CK95" s="239">
        <v>336</v>
      </c>
      <c r="CL95" s="239">
        <v>37</v>
      </c>
      <c r="CM95" s="239">
        <v>0</v>
      </c>
      <c r="CN95" s="239">
        <v>0</v>
      </c>
      <c r="CO95" s="239">
        <v>0</v>
      </c>
      <c r="CP95" s="239">
        <v>1492</v>
      </c>
      <c r="CQ95" s="239">
        <v>336</v>
      </c>
      <c r="CR95" s="239">
        <v>37</v>
      </c>
      <c r="CS95" s="239">
        <v>-1801</v>
      </c>
      <c r="CT95" s="239">
        <v>-405</v>
      </c>
      <c r="CU95" s="239">
        <v>-45</v>
      </c>
      <c r="CV95" s="239">
        <v>0</v>
      </c>
      <c r="CW95" s="239">
        <v>0</v>
      </c>
      <c r="CX95" s="239">
        <v>0</v>
      </c>
      <c r="CY95" s="239">
        <v>0</v>
      </c>
      <c r="CZ95" s="239">
        <v>0</v>
      </c>
      <c r="DA95" s="239">
        <v>0</v>
      </c>
      <c r="DB95" s="239">
        <v>0</v>
      </c>
      <c r="DC95" s="239">
        <v>0</v>
      </c>
      <c r="DD95" s="239">
        <v>0</v>
      </c>
      <c r="DE95" s="239">
        <v>-3517</v>
      </c>
      <c r="DF95" s="239">
        <v>-791</v>
      </c>
      <c r="DG95" s="239">
        <v>-88</v>
      </c>
      <c r="DH95" s="239">
        <v>0</v>
      </c>
      <c r="DI95" s="239">
        <v>0</v>
      </c>
      <c r="DJ95" s="239">
        <v>0</v>
      </c>
      <c r="DK95" s="239">
        <v>0</v>
      </c>
      <c r="DL95" s="239">
        <v>0</v>
      </c>
      <c r="DM95" s="239">
        <v>0</v>
      </c>
      <c r="DN95" s="239">
        <v>0</v>
      </c>
      <c r="DO95" s="239">
        <v>0</v>
      </c>
      <c r="DP95" s="239">
        <v>0</v>
      </c>
      <c r="DQ95" s="239">
        <v>0</v>
      </c>
      <c r="DR95" s="239">
        <v>0</v>
      </c>
      <c r="DS95" s="239">
        <v>0</v>
      </c>
      <c r="DT95" s="239">
        <v>0</v>
      </c>
      <c r="DU95" s="239">
        <v>0</v>
      </c>
      <c r="DV95" s="239">
        <v>0</v>
      </c>
      <c r="DW95" s="239">
        <v>0</v>
      </c>
      <c r="DX95" s="239">
        <v>0</v>
      </c>
      <c r="DY95" s="239">
        <v>0</v>
      </c>
      <c r="DZ95" s="239">
        <v>20780</v>
      </c>
      <c r="EA95" s="239">
        <v>4676</v>
      </c>
      <c r="EB95" s="239">
        <v>520</v>
      </c>
      <c r="EC95" s="239">
        <v>26398</v>
      </c>
      <c r="ED95" s="239">
        <v>0</v>
      </c>
      <c r="EE95" s="239">
        <v>0</v>
      </c>
      <c r="EF95" s="239">
        <v>-5618</v>
      </c>
      <c r="EG95" s="239">
        <v>4676</v>
      </c>
      <c r="EH95" s="239">
        <v>520</v>
      </c>
      <c r="EI95" s="239">
        <v>79183</v>
      </c>
      <c r="EJ95" s="239">
        <v>17816</v>
      </c>
      <c r="EK95" s="239">
        <v>1980</v>
      </c>
      <c r="EL95" s="239">
        <v>147133</v>
      </c>
      <c r="EM95" s="239">
        <v>0</v>
      </c>
      <c r="EN95" s="239">
        <v>0</v>
      </c>
      <c r="EO95" s="239">
        <v>-67950</v>
      </c>
      <c r="EP95" s="239">
        <v>17816</v>
      </c>
      <c r="EQ95" s="239">
        <v>1980</v>
      </c>
      <c r="ER95" s="239">
        <v>11176</v>
      </c>
      <c r="ES95" s="239">
        <v>2515</v>
      </c>
      <c r="ET95" s="239">
        <v>279</v>
      </c>
      <c r="EU95" s="239">
        <v>13970</v>
      </c>
      <c r="EV95" s="239">
        <v>0</v>
      </c>
      <c r="EW95" s="239">
        <v>0</v>
      </c>
      <c r="EX95" s="239">
        <v>-2794</v>
      </c>
      <c r="EY95" s="239">
        <v>2515</v>
      </c>
      <c r="EZ95" s="239">
        <v>279</v>
      </c>
      <c r="FA95" s="239">
        <v>202683</v>
      </c>
      <c r="FB95" s="239">
        <v>45604</v>
      </c>
      <c r="FC95" s="239">
        <v>5067</v>
      </c>
      <c r="FD95" s="239">
        <v>214691</v>
      </c>
      <c r="FE95" s="239">
        <v>48305</v>
      </c>
      <c r="FF95" s="239">
        <v>5367</v>
      </c>
      <c r="FG95" s="239">
        <v>-12008</v>
      </c>
      <c r="FH95" s="239">
        <v>-2701</v>
      </c>
      <c r="FI95" s="239">
        <v>-300</v>
      </c>
      <c r="FJ95" s="239">
        <v>0</v>
      </c>
      <c r="FK95" s="239">
        <v>0</v>
      </c>
      <c r="FL95" s="239">
        <v>0</v>
      </c>
      <c r="FM95" s="239">
        <v>0</v>
      </c>
      <c r="FN95" s="239">
        <v>0</v>
      </c>
      <c r="FO95" s="239">
        <v>0</v>
      </c>
      <c r="FP95" s="239">
        <v>0</v>
      </c>
      <c r="FQ95" s="239">
        <v>0</v>
      </c>
      <c r="FR95" s="239">
        <v>0</v>
      </c>
      <c r="FS95" s="239">
        <v>0</v>
      </c>
      <c r="FT95" s="239">
        <v>0</v>
      </c>
      <c r="FU95" s="239">
        <v>0</v>
      </c>
      <c r="FV95" s="239">
        <v>1226465</v>
      </c>
      <c r="FW95" s="239">
        <v>275957</v>
      </c>
      <c r="FX95" s="239">
        <v>30662</v>
      </c>
      <c r="FY95" s="834">
        <v>0.5</v>
      </c>
      <c r="FZ95" s="834">
        <v>0.4</v>
      </c>
      <c r="GA95" s="834">
        <v>0.09</v>
      </c>
      <c r="GB95" s="834">
        <v>0.01</v>
      </c>
      <c r="GC95" s="214" t="s">
        <v>1158</v>
      </c>
    </row>
    <row r="96" spans="1:185" s="214" customFormat="1" x14ac:dyDescent="0.2">
      <c r="A96" s="215"/>
      <c r="B96" s="602" t="s">
        <v>275</v>
      </c>
      <c r="C96" s="602" t="s">
        <v>274</v>
      </c>
      <c r="D96" s="239">
        <v>-2131970</v>
      </c>
      <c r="E96" s="239">
        <v>0</v>
      </c>
      <c r="F96" s="239">
        <v>-2131970</v>
      </c>
      <c r="G96" s="239">
        <v>-2311413</v>
      </c>
      <c r="H96" s="239">
        <v>0</v>
      </c>
      <c r="I96" s="239">
        <v>-2311413</v>
      </c>
      <c r="J96" s="239">
        <v>179443</v>
      </c>
      <c r="K96" s="239">
        <v>0</v>
      </c>
      <c r="L96" s="239">
        <v>179443</v>
      </c>
      <c r="M96" s="239">
        <v>145309</v>
      </c>
      <c r="N96" s="239">
        <v>145309</v>
      </c>
      <c r="O96" s="239">
        <v>0</v>
      </c>
      <c r="P96" s="239">
        <v>0</v>
      </c>
      <c r="Q96" s="239">
        <v>0</v>
      </c>
      <c r="R96" s="239">
        <v>0</v>
      </c>
      <c r="S96" s="239">
        <v>0</v>
      </c>
      <c r="T96" s="239">
        <v>0</v>
      </c>
      <c r="U96" s="239">
        <v>0</v>
      </c>
      <c r="V96" s="239">
        <v>0</v>
      </c>
      <c r="W96" s="239">
        <v>0</v>
      </c>
      <c r="X96" s="239">
        <v>0</v>
      </c>
      <c r="Y96" s="239">
        <v>0</v>
      </c>
      <c r="Z96" s="239">
        <v>0</v>
      </c>
      <c r="AA96" s="239">
        <v>0</v>
      </c>
      <c r="AB96" s="239">
        <v>0</v>
      </c>
      <c r="AC96" s="239">
        <v>0</v>
      </c>
      <c r="AD96" s="239">
        <v>0</v>
      </c>
      <c r="AE96" s="239">
        <v>0</v>
      </c>
      <c r="AF96" s="239">
        <v>0</v>
      </c>
      <c r="AG96" s="239">
        <v>0</v>
      </c>
      <c r="AH96" s="239">
        <v>0</v>
      </c>
      <c r="AI96" s="239">
        <v>0</v>
      </c>
      <c r="AJ96" s="239">
        <v>0</v>
      </c>
      <c r="AK96" s="239">
        <v>0</v>
      </c>
      <c r="AL96" s="239">
        <v>0</v>
      </c>
      <c r="AM96" s="239">
        <v>0</v>
      </c>
      <c r="AN96" s="239">
        <v>0</v>
      </c>
      <c r="AO96" s="239">
        <v>0</v>
      </c>
      <c r="AP96" s="239">
        <v>0</v>
      </c>
      <c r="AQ96" s="239">
        <v>0</v>
      </c>
      <c r="AR96" s="239">
        <v>0</v>
      </c>
      <c r="AS96" s="239">
        <v>0</v>
      </c>
      <c r="AT96" s="239">
        <v>0</v>
      </c>
      <c r="AU96" s="239">
        <v>0</v>
      </c>
      <c r="AV96" s="239">
        <v>0</v>
      </c>
      <c r="AW96" s="239">
        <v>0</v>
      </c>
      <c r="AX96" s="239">
        <v>0</v>
      </c>
      <c r="AY96" s="239">
        <v>0</v>
      </c>
      <c r="AZ96" s="239">
        <v>0</v>
      </c>
      <c r="BA96" s="239">
        <v>0</v>
      </c>
      <c r="BB96" s="239">
        <v>0</v>
      </c>
      <c r="BC96" s="239">
        <v>855292</v>
      </c>
      <c r="BD96" s="239">
        <v>192441</v>
      </c>
      <c r="BE96" s="239">
        <v>21382</v>
      </c>
      <c r="BF96" s="239">
        <v>822646.87486351933</v>
      </c>
      <c r="BG96" s="239">
        <v>185095.54684429185</v>
      </c>
      <c r="BH96" s="239">
        <v>20566.17187158798</v>
      </c>
      <c r="BI96" s="239">
        <v>102019.03545064376</v>
      </c>
      <c r="BJ96" s="239">
        <v>22954.282976394847</v>
      </c>
      <c r="BK96" s="239">
        <v>2550.4758862660942</v>
      </c>
      <c r="BL96" s="239">
        <v>858520</v>
      </c>
      <c r="BM96" s="239">
        <v>118872</v>
      </c>
      <c r="BN96" s="239">
        <v>13208</v>
      </c>
      <c r="BO96" s="239">
        <v>-3228</v>
      </c>
      <c r="BP96" s="239">
        <v>73569</v>
      </c>
      <c r="BQ96" s="239">
        <v>8174</v>
      </c>
      <c r="BR96" s="239">
        <v>4606</v>
      </c>
      <c r="BS96" s="239">
        <v>1036</v>
      </c>
      <c r="BT96" s="239">
        <v>115</v>
      </c>
      <c r="BU96" s="239">
        <v>0</v>
      </c>
      <c r="BV96" s="239">
        <v>0</v>
      </c>
      <c r="BW96" s="239">
        <v>0</v>
      </c>
      <c r="BX96" s="239">
        <v>4606</v>
      </c>
      <c r="BY96" s="239">
        <v>1036</v>
      </c>
      <c r="BZ96" s="239">
        <v>115</v>
      </c>
      <c r="CA96" s="239">
        <v>0</v>
      </c>
      <c r="CB96" s="239">
        <v>0</v>
      </c>
      <c r="CC96" s="239">
        <v>0</v>
      </c>
      <c r="CD96" s="239">
        <v>0</v>
      </c>
      <c r="CE96" s="239">
        <v>0</v>
      </c>
      <c r="CF96" s="239">
        <v>0</v>
      </c>
      <c r="CG96" s="239">
        <v>0</v>
      </c>
      <c r="CH96" s="239">
        <v>0</v>
      </c>
      <c r="CI96" s="239">
        <v>0</v>
      </c>
      <c r="CJ96" s="239">
        <v>262</v>
      </c>
      <c r="CK96" s="239">
        <v>59</v>
      </c>
      <c r="CL96" s="239">
        <v>7</v>
      </c>
      <c r="CM96" s="239">
        <v>1537</v>
      </c>
      <c r="CN96" s="239">
        <v>346</v>
      </c>
      <c r="CO96" s="239">
        <v>38</v>
      </c>
      <c r="CP96" s="239">
        <v>-1275</v>
      </c>
      <c r="CQ96" s="239">
        <v>-287</v>
      </c>
      <c r="CR96" s="239">
        <v>-31</v>
      </c>
      <c r="CS96" s="239">
        <v>-200</v>
      </c>
      <c r="CT96" s="239">
        <v>-45</v>
      </c>
      <c r="CU96" s="239">
        <v>-5</v>
      </c>
      <c r="CV96" s="239">
        <v>0</v>
      </c>
      <c r="CW96" s="239">
        <v>0</v>
      </c>
      <c r="CX96" s="239">
        <v>0</v>
      </c>
      <c r="CY96" s="239">
        <v>0</v>
      </c>
      <c r="CZ96" s="239">
        <v>0</v>
      </c>
      <c r="DA96" s="239">
        <v>0</v>
      </c>
      <c r="DB96" s="239">
        <v>0</v>
      </c>
      <c r="DC96" s="239">
        <v>0</v>
      </c>
      <c r="DD96" s="239">
        <v>0</v>
      </c>
      <c r="DE96" s="239">
        <v>0</v>
      </c>
      <c r="DF96" s="239">
        <v>0</v>
      </c>
      <c r="DG96" s="239">
        <v>0</v>
      </c>
      <c r="DH96" s="239">
        <v>0</v>
      </c>
      <c r="DI96" s="239">
        <v>0</v>
      </c>
      <c r="DJ96" s="239">
        <v>0</v>
      </c>
      <c r="DK96" s="239">
        <v>0</v>
      </c>
      <c r="DL96" s="239">
        <v>0</v>
      </c>
      <c r="DM96" s="239">
        <v>0</v>
      </c>
      <c r="DN96" s="239">
        <v>0</v>
      </c>
      <c r="DO96" s="239">
        <v>0</v>
      </c>
      <c r="DP96" s="239">
        <v>0</v>
      </c>
      <c r="DQ96" s="239">
        <v>0</v>
      </c>
      <c r="DR96" s="239">
        <v>0</v>
      </c>
      <c r="DS96" s="239">
        <v>0</v>
      </c>
      <c r="DT96" s="239">
        <v>0</v>
      </c>
      <c r="DU96" s="239">
        <v>0</v>
      </c>
      <c r="DV96" s="239">
        <v>0</v>
      </c>
      <c r="DW96" s="239">
        <v>0</v>
      </c>
      <c r="DX96" s="239">
        <v>0</v>
      </c>
      <c r="DY96" s="239">
        <v>0</v>
      </c>
      <c r="DZ96" s="239">
        <v>4004</v>
      </c>
      <c r="EA96" s="239">
        <v>901</v>
      </c>
      <c r="EB96" s="239">
        <v>100</v>
      </c>
      <c r="EC96" s="239">
        <v>0</v>
      </c>
      <c r="ED96" s="239">
        <v>0</v>
      </c>
      <c r="EE96" s="239">
        <v>0</v>
      </c>
      <c r="EF96" s="239">
        <v>4004</v>
      </c>
      <c r="EG96" s="239">
        <v>901</v>
      </c>
      <c r="EH96" s="239">
        <v>100</v>
      </c>
      <c r="EI96" s="239">
        <v>14265</v>
      </c>
      <c r="EJ96" s="239">
        <v>3210</v>
      </c>
      <c r="EK96" s="239">
        <v>357</v>
      </c>
      <c r="EL96" s="239">
        <v>83827</v>
      </c>
      <c r="EM96" s="239">
        <v>0</v>
      </c>
      <c r="EN96" s="239">
        <v>0</v>
      </c>
      <c r="EO96" s="239">
        <v>-69562</v>
      </c>
      <c r="EP96" s="239">
        <v>3210</v>
      </c>
      <c r="EQ96" s="239">
        <v>357</v>
      </c>
      <c r="ER96" s="239">
        <v>6259</v>
      </c>
      <c r="ES96" s="239">
        <v>1408</v>
      </c>
      <c r="ET96" s="239">
        <v>156</v>
      </c>
      <c r="EU96" s="239">
        <v>0</v>
      </c>
      <c r="EV96" s="239">
        <v>0</v>
      </c>
      <c r="EW96" s="239">
        <v>0</v>
      </c>
      <c r="EX96" s="239">
        <v>6259</v>
      </c>
      <c r="EY96" s="239">
        <v>1408</v>
      </c>
      <c r="EZ96" s="239">
        <v>156</v>
      </c>
      <c r="FA96" s="239">
        <v>349814</v>
      </c>
      <c r="FB96" s="239">
        <v>78708</v>
      </c>
      <c r="FC96" s="239">
        <v>8745</v>
      </c>
      <c r="FD96" s="239">
        <v>336146</v>
      </c>
      <c r="FE96" s="239">
        <v>75633</v>
      </c>
      <c r="FF96" s="239">
        <v>8404</v>
      </c>
      <c r="FG96" s="239">
        <v>13668</v>
      </c>
      <c r="FH96" s="239">
        <v>3075</v>
      </c>
      <c r="FI96" s="239">
        <v>341</v>
      </c>
      <c r="FJ96" s="239">
        <v>0</v>
      </c>
      <c r="FK96" s="239">
        <v>0</v>
      </c>
      <c r="FL96" s="239">
        <v>0</v>
      </c>
      <c r="FM96" s="239">
        <v>0</v>
      </c>
      <c r="FN96" s="239">
        <v>0</v>
      </c>
      <c r="FO96" s="239">
        <v>0</v>
      </c>
      <c r="FP96" s="239">
        <v>0</v>
      </c>
      <c r="FQ96" s="239">
        <v>0</v>
      </c>
      <c r="FR96" s="239">
        <v>0</v>
      </c>
      <c r="FS96" s="239">
        <v>0</v>
      </c>
      <c r="FT96" s="239">
        <v>0</v>
      </c>
      <c r="FU96" s="239">
        <v>0</v>
      </c>
      <c r="FV96" s="239">
        <v>1234302</v>
      </c>
      <c r="FW96" s="239">
        <v>277718</v>
      </c>
      <c r="FX96" s="239">
        <v>30857</v>
      </c>
      <c r="FY96" s="834">
        <v>0.5</v>
      </c>
      <c r="FZ96" s="834">
        <v>0.4</v>
      </c>
      <c r="GA96" s="834">
        <v>0.09</v>
      </c>
      <c r="GB96" s="834">
        <v>0.01</v>
      </c>
      <c r="GC96" s="214" t="s">
        <v>1158</v>
      </c>
    </row>
    <row r="97" spans="2:185" s="214" customFormat="1" x14ac:dyDescent="0.2">
      <c r="B97" s="602" t="s">
        <v>277</v>
      </c>
      <c r="C97" s="602" t="s">
        <v>276</v>
      </c>
      <c r="D97" s="239">
        <v>295766</v>
      </c>
      <c r="E97" s="239">
        <v>0</v>
      </c>
      <c r="F97" s="239">
        <v>295766</v>
      </c>
      <c r="G97" s="239">
        <v>320990</v>
      </c>
      <c r="H97" s="239">
        <v>0</v>
      </c>
      <c r="I97" s="239">
        <v>320990</v>
      </c>
      <c r="J97" s="239">
        <v>-25224</v>
      </c>
      <c r="K97" s="239">
        <v>0</v>
      </c>
      <c r="L97" s="239">
        <v>-25224</v>
      </c>
      <c r="M97" s="239">
        <v>125987</v>
      </c>
      <c r="N97" s="239">
        <v>125987</v>
      </c>
      <c r="O97" s="239">
        <v>0</v>
      </c>
      <c r="P97" s="239">
        <v>0</v>
      </c>
      <c r="Q97" s="239">
        <v>0</v>
      </c>
      <c r="R97" s="239">
        <v>0</v>
      </c>
      <c r="S97" s="239">
        <v>0</v>
      </c>
      <c r="T97" s="239">
        <v>0</v>
      </c>
      <c r="U97" s="239">
        <v>0</v>
      </c>
      <c r="V97" s="239">
        <v>0</v>
      </c>
      <c r="W97" s="239">
        <v>0</v>
      </c>
      <c r="X97" s="239">
        <v>0</v>
      </c>
      <c r="Y97" s="239">
        <v>0</v>
      </c>
      <c r="Z97" s="239">
        <v>0</v>
      </c>
      <c r="AA97" s="239">
        <v>0</v>
      </c>
      <c r="AB97" s="239">
        <v>0</v>
      </c>
      <c r="AC97" s="239">
        <v>0</v>
      </c>
      <c r="AD97" s="239">
        <v>0</v>
      </c>
      <c r="AE97" s="239">
        <v>0</v>
      </c>
      <c r="AF97" s="239">
        <v>0</v>
      </c>
      <c r="AG97" s="239">
        <v>0</v>
      </c>
      <c r="AH97" s="239">
        <v>0</v>
      </c>
      <c r="AI97" s="239">
        <v>0</v>
      </c>
      <c r="AJ97" s="239">
        <v>0</v>
      </c>
      <c r="AK97" s="239">
        <v>0</v>
      </c>
      <c r="AL97" s="239">
        <v>0</v>
      </c>
      <c r="AM97" s="239">
        <v>0</v>
      </c>
      <c r="AN97" s="239">
        <v>0</v>
      </c>
      <c r="AO97" s="239">
        <v>0</v>
      </c>
      <c r="AP97" s="239">
        <v>0</v>
      </c>
      <c r="AQ97" s="239">
        <v>0</v>
      </c>
      <c r="AR97" s="239">
        <v>0</v>
      </c>
      <c r="AS97" s="239">
        <v>0</v>
      </c>
      <c r="AT97" s="239">
        <v>0</v>
      </c>
      <c r="AU97" s="239">
        <v>0</v>
      </c>
      <c r="AV97" s="239">
        <v>0</v>
      </c>
      <c r="AW97" s="239">
        <v>0</v>
      </c>
      <c r="AX97" s="239">
        <v>0</v>
      </c>
      <c r="AY97" s="239">
        <v>0</v>
      </c>
      <c r="AZ97" s="239">
        <v>0</v>
      </c>
      <c r="BA97" s="239">
        <v>0</v>
      </c>
      <c r="BB97" s="239">
        <v>0</v>
      </c>
      <c r="BC97" s="239">
        <v>849815</v>
      </c>
      <c r="BD97" s="239">
        <v>212454</v>
      </c>
      <c r="BE97" s="239">
        <v>0</v>
      </c>
      <c r="BF97" s="239">
        <v>837219.32073905587</v>
      </c>
      <c r="BG97" s="239">
        <v>209304.83018476397</v>
      </c>
      <c r="BH97" s="239">
        <v>0</v>
      </c>
      <c r="BI97" s="239">
        <v>40796.899613733905</v>
      </c>
      <c r="BJ97" s="239">
        <v>10199.224903433476</v>
      </c>
      <c r="BK97" s="239">
        <v>0</v>
      </c>
      <c r="BL97" s="239">
        <v>906330</v>
      </c>
      <c r="BM97" s="239">
        <v>165691</v>
      </c>
      <c r="BN97" s="239">
        <v>0</v>
      </c>
      <c r="BO97" s="239">
        <v>-56515</v>
      </c>
      <c r="BP97" s="239">
        <v>46763</v>
      </c>
      <c r="BQ97" s="239">
        <v>0</v>
      </c>
      <c r="BR97" s="239">
        <v>0</v>
      </c>
      <c r="BS97" s="239">
        <v>0</v>
      </c>
      <c r="BT97" s="239">
        <v>0</v>
      </c>
      <c r="BU97" s="239">
        <v>0</v>
      </c>
      <c r="BV97" s="239">
        <v>0</v>
      </c>
      <c r="BW97" s="239">
        <v>0</v>
      </c>
      <c r="BX97" s="239">
        <v>0</v>
      </c>
      <c r="BY97" s="239">
        <v>0</v>
      </c>
      <c r="BZ97" s="239">
        <v>0</v>
      </c>
      <c r="CA97" s="239">
        <v>0</v>
      </c>
      <c r="CB97" s="239">
        <v>0</v>
      </c>
      <c r="CC97" s="239">
        <v>0</v>
      </c>
      <c r="CD97" s="239">
        <v>0</v>
      </c>
      <c r="CE97" s="239">
        <v>0</v>
      </c>
      <c r="CF97" s="239">
        <v>0</v>
      </c>
      <c r="CG97" s="239">
        <v>0</v>
      </c>
      <c r="CH97" s="239">
        <v>0</v>
      </c>
      <c r="CI97" s="239">
        <v>0</v>
      </c>
      <c r="CJ97" s="239">
        <v>807</v>
      </c>
      <c r="CK97" s="239">
        <v>202</v>
      </c>
      <c r="CL97" s="239">
        <v>0</v>
      </c>
      <c r="CM97" s="239">
        <v>0</v>
      </c>
      <c r="CN97" s="239">
        <v>0</v>
      </c>
      <c r="CO97" s="239">
        <v>0</v>
      </c>
      <c r="CP97" s="239">
        <v>807</v>
      </c>
      <c r="CQ97" s="239">
        <v>202</v>
      </c>
      <c r="CR97" s="239">
        <v>0</v>
      </c>
      <c r="CS97" s="239">
        <v>-87</v>
      </c>
      <c r="CT97" s="239">
        <v>-22</v>
      </c>
      <c r="CU97" s="239">
        <v>0</v>
      </c>
      <c r="CV97" s="239">
        <v>2085</v>
      </c>
      <c r="CW97" s="239">
        <v>521</v>
      </c>
      <c r="CX97" s="239">
        <v>0</v>
      </c>
      <c r="CY97" s="239">
        <v>0</v>
      </c>
      <c r="CZ97" s="239">
        <v>0</v>
      </c>
      <c r="DA97" s="239">
        <v>0</v>
      </c>
      <c r="DB97" s="239">
        <v>2085</v>
      </c>
      <c r="DC97" s="239">
        <v>521</v>
      </c>
      <c r="DD97" s="239">
        <v>0</v>
      </c>
      <c r="DE97" s="239">
        <v>-121</v>
      </c>
      <c r="DF97" s="239">
        <v>-30</v>
      </c>
      <c r="DG97" s="239">
        <v>0</v>
      </c>
      <c r="DH97" s="239">
        <v>25701</v>
      </c>
      <c r="DI97" s="239">
        <v>6425</v>
      </c>
      <c r="DJ97" s="239">
        <v>0</v>
      </c>
      <c r="DK97" s="239">
        <v>28850</v>
      </c>
      <c r="DL97" s="239">
        <v>7213</v>
      </c>
      <c r="DM97" s="239">
        <v>0</v>
      </c>
      <c r="DN97" s="239">
        <v>-3149</v>
      </c>
      <c r="DO97" s="239">
        <v>-788</v>
      </c>
      <c r="DP97" s="239">
        <v>0</v>
      </c>
      <c r="DQ97" s="239">
        <v>609</v>
      </c>
      <c r="DR97" s="239">
        <v>152</v>
      </c>
      <c r="DS97" s="239">
        <v>0</v>
      </c>
      <c r="DT97" s="239">
        <v>609</v>
      </c>
      <c r="DU97" s="239">
        <v>152</v>
      </c>
      <c r="DV97" s="239">
        <v>0</v>
      </c>
      <c r="DW97" s="239">
        <v>0</v>
      </c>
      <c r="DX97" s="239">
        <v>0</v>
      </c>
      <c r="DY97" s="239">
        <v>0</v>
      </c>
      <c r="DZ97" s="239">
        <v>0</v>
      </c>
      <c r="EA97" s="239">
        <v>0</v>
      </c>
      <c r="EB97" s="239">
        <v>0</v>
      </c>
      <c r="EC97" s="239">
        <v>12688</v>
      </c>
      <c r="ED97" s="239">
        <v>0</v>
      </c>
      <c r="EE97" s="239">
        <v>0</v>
      </c>
      <c r="EF97" s="239">
        <v>-12688</v>
      </c>
      <c r="EG97" s="239">
        <v>0</v>
      </c>
      <c r="EH97" s="239">
        <v>0</v>
      </c>
      <c r="EI97" s="239">
        <v>38163</v>
      </c>
      <c r="EJ97" s="239">
        <v>9541</v>
      </c>
      <c r="EK97" s="239">
        <v>0</v>
      </c>
      <c r="EL97" s="239">
        <v>86080</v>
      </c>
      <c r="EM97" s="239">
        <v>0</v>
      </c>
      <c r="EN97" s="239">
        <v>0</v>
      </c>
      <c r="EO97" s="239">
        <v>-47917</v>
      </c>
      <c r="EP97" s="239">
        <v>9541</v>
      </c>
      <c r="EQ97" s="239">
        <v>0</v>
      </c>
      <c r="ER97" s="239">
        <v>24133</v>
      </c>
      <c r="ES97" s="239">
        <v>6033</v>
      </c>
      <c r="ET97" s="239">
        <v>0</v>
      </c>
      <c r="EU97" s="239">
        <v>30958</v>
      </c>
      <c r="EV97" s="239">
        <v>0</v>
      </c>
      <c r="EW97" s="239">
        <v>0</v>
      </c>
      <c r="EX97" s="239">
        <v>-6825</v>
      </c>
      <c r="EY97" s="239">
        <v>6033</v>
      </c>
      <c r="EZ97" s="239">
        <v>0</v>
      </c>
      <c r="FA97" s="239">
        <v>119758</v>
      </c>
      <c r="FB97" s="239">
        <v>29939</v>
      </c>
      <c r="FC97" s="239">
        <v>0</v>
      </c>
      <c r="FD97" s="239">
        <v>125416</v>
      </c>
      <c r="FE97" s="239">
        <v>31354</v>
      </c>
      <c r="FF97" s="239">
        <v>0</v>
      </c>
      <c r="FG97" s="239">
        <v>-5658</v>
      </c>
      <c r="FH97" s="239">
        <v>-1415</v>
      </c>
      <c r="FI97" s="239">
        <v>0</v>
      </c>
      <c r="FJ97" s="239">
        <v>0</v>
      </c>
      <c r="FK97" s="239">
        <v>0</v>
      </c>
      <c r="FL97" s="239">
        <v>0</v>
      </c>
      <c r="FM97" s="239">
        <v>0</v>
      </c>
      <c r="FN97" s="239">
        <v>0</v>
      </c>
      <c r="FO97" s="239">
        <v>0</v>
      </c>
      <c r="FP97" s="239">
        <v>0</v>
      </c>
      <c r="FQ97" s="239">
        <v>0</v>
      </c>
      <c r="FR97" s="239">
        <v>0</v>
      </c>
      <c r="FS97" s="239">
        <v>0</v>
      </c>
      <c r="FT97" s="239">
        <v>0</v>
      </c>
      <c r="FU97" s="239">
        <v>0</v>
      </c>
      <c r="FV97" s="239">
        <v>1060863</v>
      </c>
      <c r="FW97" s="239">
        <v>265215</v>
      </c>
      <c r="FX97" s="239">
        <v>0</v>
      </c>
      <c r="FY97" s="834">
        <v>0.5</v>
      </c>
      <c r="FZ97" s="834">
        <v>0.4</v>
      </c>
      <c r="GA97" s="834">
        <v>0.1</v>
      </c>
      <c r="GB97" s="834">
        <v>0</v>
      </c>
      <c r="GC97" s="214" t="s">
        <v>1158</v>
      </c>
    </row>
    <row r="98" spans="2:185" s="214" customFormat="1" x14ac:dyDescent="0.2">
      <c r="B98" s="602" t="s">
        <v>279</v>
      </c>
      <c r="C98" s="602" t="s">
        <v>278</v>
      </c>
      <c r="D98" s="239">
        <v>4491597</v>
      </c>
      <c r="E98" s="239">
        <v>0</v>
      </c>
      <c r="F98" s="239">
        <v>4491597</v>
      </c>
      <c r="G98" s="239">
        <v>5062654</v>
      </c>
      <c r="H98" s="239">
        <v>0</v>
      </c>
      <c r="I98" s="239">
        <v>5062654</v>
      </c>
      <c r="J98" s="239">
        <v>-571057</v>
      </c>
      <c r="K98" s="239">
        <v>0</v>
      </c>
      <c r="L98" s="239">
        <v>-571057</v>
      </c>
      <c r="M98" s="239">
        <v>183674</v>
      </c>
      <c r="N98" s="239">
        <v>183674</v>
      </c>
      <c r="O98" s="239">
        <v>0</v>
      </c>
      <c r="P98" s="239">
        <v>0</v>
      </c>
      <c r="Q98" s="239">
        <v>0</v>
      </c>
      <c r="R98" s="239">
        <v>0</v>
      </c>
      <c r="S98" s="239">
        <v>22549</v>
      </c>
      <c r="T98" s="239">
        <v>0</v>
      </c>
      <c r="U98" s="239">
        <v>22549</v>
      </c>
      <c r="V98" s="239">
        <v>0</v>
      </c>
      <c r="W98" s="239">
        <v>0</v>
      </c>
      <c r="X98" s="239">
        <v>0</v>
      </c>
      <c r="Y98" s="239">
        <v>0</v>
      </c>
      <c r="Z98" s="239">
        <v>0</v>
      </c>
      <c r="AA98" s="239">
        <v>0</v>
      </c>
      <c r="AB98" s="239">
        <v>0</v>
      </c>
      <c r="AC98" s="239">
        <v>0</v>
      </c>
      <c r="AD98" s="239">
        <v>0</v>
      </c>
      <c r="AE98" s="239">
        <v>0</v>
      </c>
      <c r="AF98" s="239">
        <v>0</v>
      </c>
      <c r="AG98" s="239">
        <v>0</v>
      </c>
      <c r="AH98" s="239">
        <v>0</v>
      </c>
      <c r="AI98" s="239">
        <v>0</v>
      </c>
      <c r="AJ98" s="239">
        <v>0</v>
      </c>
      <c r="AK98" s="239">
        <v>0</v>
      </c>
      <c r="AL98" s="239">
        <v>0</v>
      </c>
      <c r="AM98" s="239">
        <v>0</v>
      </c>
      <c r="AN98" s="239">
        <v>0</v>
      </c>
      <c r="AO98" s="239">
        <v>0</v>
      </c>
      <c r="AP98" s="239">
        <v>0</v>
      </c>
      <c r="AQ98" s="239">
        <v>0</v>
      </c>
      <c r="AR98" s="239">
        <v>0</v>
      </c>
      <c r="AS98" s="239">
        <v>0</v>
      </c>
      <c r="AT98" s="239">
        <v>0</v>
      </c>
      <c r="AU98" s="239">
        <v>0</v>
      </c>
      <c r="AV98" s="239">
        <v>0</v>
      </c>
      <c r="AW98" s="239">
        <v>0</v>
      </c>
      <c r="AX98" s="239">
        <v>0</v>
      </c>
      <c r="AY98" s="239">
        <v>0</v>
      </c>
      <c r="AZ98" s="239">
        <v>0</v>
      </c>
      <c r="BA98" s="239">
        <v>0</v>
      </c>
      <c r="BB98" s="239">
        <v>0</v>
      </c>
      <c r="BC98" s="239">
        <v>886138</v>
      </c>
      <c r="BD98" s="239">
        <v>221534</v>
      </c>
      <c r="BE98" s="239">
        <v>0</v>
      </c>
      <c r="BF98" s="239">
        <v>852104.62058884127</v>
      </c>
      <c r="BG98" s="239">
        <v>213026.15514721032</v>
      </c>
      <c r="BH98" s="239">
        <v>0</v>
      </c>
      <c r="BI98" s="239">
        <v>122054.48313304721</v>
      </c>
      <c r="BJ98" s="239">
        <v>30513.620783261802</v>
      </c>
      <c r="BK98" s="239">
        <v>0</v>
      </c>
      <c r="BL98" s="239">
        <v>876210</v>
      </c>
      <c r="BM98" s="239">
        <v>128477</v>
      </c>
      <c r="BN98" s="239">
        <v>0</v>
      </c>
      <c r="BO98" s="239">
        <v>9928</v>
      </c>
      <c r="BP98" s="239">
        <v>93057</v>
      </c>
      <c r="BQ98" s="239">
        <v>0</v>
      </c>
      <c r="BR98" s="239">
        <v>67</v>
      </c>
      <c r="BS98" s="239">
        <v>17</v>
      </c>
      <c r="BT98" s="239">
        <v>0</v>
      </c>
      <c r="BU98" s="239">
        <v>405</v>
      </c>
      <c r="BV98" s="239">
        <v>101</v>
      </c>
      <c r="BW98" s="239">
        <v>0</v>
      </c>
      <c r="BX98" s="239">
        <v>-338</v>
      </c>
      <c r="BY98" s="239">
        <v>-84</v>
      </c>
      <c r="BZ98" s="239">
        <v>0</v>
      </c>
      <c r="CA98" s="239">
        <v>14080</v>
      </c>
      <c r="CB98" s="239">
        <v>3520</v>
      </c>
      <c r="CC98" s="239">
        <v>0</v>
      </c>
      <c r="CD98" s="239">
        <v>0</v>
      </c>
      <c r="CE98" s="239">
        <v>0</v>
      </c>
      <c r="CF98" s="239">
        <v>0</v>
      </c>
      <c r="CG98" s="239">
        <v>14080</v>
      </c>
      <c r="CH98" s="239">
        <v>3520</v>
      </c>
      <c r="CI98" s="239">
        <v>0</v>
      </c>
      <c r="CJ98" s="239">
        <v>-41</v>
      </c>
      <c r="CK98" s="239">
        <v>-10</v>
      </c>
      <c r="CL98" s="239">
        <v>0</v>
      </c>
      <c r="CM98" s="239">
        <v>0</v>
      </c>
      <c r="CN98" s="239">
        <v>0</v>
      </c>
      <c r="CO98" s="239">
        <v>0</v>
      </c>
      <c r="CP98" s="239">
        <v>-41</v>
      </c>
      <c r="CQ98" s="239">
        <v>-10</v>
      </c>
      <c r="CR98" s="239">
        <v>0</v>
      </c>
      <c r="CS98" s="239">
        <v>-793</v>
      </c>
      <c r="CT98" s="239">
        <v>-198</v>
      </c>
      <c r="CU98" s="239">
        <v>0</v>
      </c>
      <c r="CV98" s="239">
        <v>0</v>
      </c>
      <c r="CW98" s="239">
        <v>0</v>
      </c>
      <c r="CX98" s="239">
        <v>0</v>
      </c>
      <c r="CY98" s="239">
        <v>0</v>
      </c>
      <c r="CZ98" s="239">
        <v>0</v>
      </c>
      <c r="DA98" s="239">
        <v>0</v>
      </c>
      <c r="DB98" s="239">
        <v>0</v>
      </c>
      <c r="DC98" s="239">
        <v>0</v>
      </c>
      <c r="DD98" s="239">
        <v>0</v>
      </c>
      <c r="DE98" s="239">
        <v>-6</v>
      </c>
      <c r="DF98" s="239">
        <v>-2</v>
      </c>
      <c r="DG98" s="239">
        <v>0</v>
      </c>
      <c r="DH98" s="239">
        <v>0</v>
      </c>
      <c r="DI98" s="239">
        <v>0</v>
      </c>
      <c r="DJ98" s="239">
        <v>0</v>
      </c>
      <c r="DK98" s="239">
        <v>0</v>
      </c>
      <c r="DL98" s="239">
        <v>0</v>
      </c>
      <c r="DM98" s="239">
        <v>0</v>
      </c>
      <c r="DN98" s="239">
        <v>0</v>
      </c>
      <c r="DO98" s="239">
        <v>0</v>
      </c>
      <c r="DP98" s="239">
        <v>0</v>
      </c>
      <c r="DQ98" s="239">
        <v>0</v>
      </c>
      <c r="DR98" s="239">
        <v>0</v>
      </c>
      <c r="DS98" s="239">
        <v>0</v>
      </c>
      <c r="DT98" s="239">
        <v>0</v>
      </c>
      <c r="DU98" s="239">
        <v>0</v>
      </c>
      <c r="DV98" s="239">
        <v>0</v>
      </c>
      <c r="DW98" s="239">
        <v>0</v>
      </c>
      <c r="DX98" s="239">
        <v>0</v>
      </c>
      <c r="DY98" s="239">
        <v>0</v>
      </c>
      <c r="DZ98" s="239">
        <v>37923</v>
      </c>
      <c r="EA98" s="239">
        <v>9481</v>
      </c>
      <c r="EB98" s="239">
        <v>0</v>
      </c>
      <c r="EC98" s="239">
        <v>48278</v>
      </c>
      <c r="ED98" s="239">
        <v>0</v>
      </c>
      <c r="EE98" s="239">
        <v>0</v>
      </c>
      <c r="EF98" s="239">
        <v>-10355</v>
      </c>
      <c r="EG98" s="239">
        <v>9481</v>
      </c>
      <c r="EH98" s="239">
        <v>0</v>
      </c>
      <c r="EI98" s="239">
        <v>328792</v>
      </c>
      <c r="EJ98" s="239">
        <v>82198</v>
      </c>
      <c r="EK98" s="239">
        <v>0</v>
      </c>
      <c r="EL98" s="239">
        <v>413506</v>
      </c>
      <c r="EM98" s="239">
        <v>0</v>
      </c>
      <c r="EN98" s="239">
        <v>0</v>
      </c>
      <c r="EO98" s="239">
        <v>-84714</v>
      </c>
      <c r="EP98" s="239">
        <v>82198</v>
      </c>
      <c r="EQ98" s="239">
        <v>0</v>
      </c>
      <c r="ER98" s="239">
        <v>10562</v>
      </c>
      <c r="ES98" s="239">
        <v>2640</v>
      </c>
      <c r="ET98" s="239">
        <v>0</v>
      </c>
      <c r="EU98" s="239">
        <v>17763</v>
      </c>
      <c r="EV98" s="239">
        <v>0</v>
      </c>
      <c r="EW98" s="239">
        <v>0</v>
      </c>
      <c r="EX98" s="239">
        <v>-7201</v>
      </c>
      <c r="EY98" s="239">
        <v>2640</v>
      </c>
      <c r="EZ98" s="239">
        <v>0</v>
      </c>
      <c r="FA98" s="239">
        <v>371528</v>
      </c>
      <c r="FB98" s="239">
        <v>92797</v>
      </c>
      <c r="FC98" s="239">
        <v>0</v>
      </c>
      <c r="FD98" s="239">
        <v>382101</v>
      </c>
      <c r="FE98" s="239">
        <v>95441</v>
      </c>
      <c r="FF98" s="239">
        <v>0</v>
      </c>
      <c r="FG98" s="239">
        <v>-10573</v>
      </c>
      <c r="FH98" s="239">
        <v>-2644</v>
      </c>
      <c r="FI98" s="239">
        <v>0</v>
      </c>
      <c r="FJ98" s="239">
        <v>0</v>
      </c>
      <c r="FK98" s="239">
        <v>0</v>
      </c>
      <c r="FL98" s="239">
        <v>0</v>
      </c>
      <c r="FM98" s="239">
        <v>0</v>
      </c>
      <c r="FN98" s="239">
        <v>0</v>
      </c>
      <c r="FO98" s="239">
        <v>0</v>
      </c>
      <c r="FP98" s="239">
        <v>0</v>
      </c>
      <c r="FQ98" s="239">
        <v>0</v>
      </c>
      <c r="FR98" s="239">
        <v>0</v>
      </c>
      <c r="FS98" s="239">
        <v>0</v>
      </c>
      <c r="FT98" s="239">
        <v>0</v>
      </c>
      <c r="FU98" s="239">
        <v>0</v>
      </c>
      <c r="FV98" s="239">
        <v>1648250</v>
      </c>
      <c r="FW98" s="239">
        <v>411977</v>
      </c>
      <c r="FX98" s="239">
        <v>0</v>
      </c>
      <c r="FY98" s="834">
        <v>0.5</v>
      </c>
      <c r="FZ98" s="834">
        <v>0.4</v>
      </c>
      <c r="GA98" s="834">
        <v>0.1</v>
      </c>
      <c r="GB98" s="834">
        <v>0</v>
      </c>
      <c r="GC98" s="214" t="s">
        <v>1158</v>
      </c>
    </row>
    <row r="99" spans="2:185" s="214" customFormat="1" x14ac:dyDescent="0.2">
      <c r="B99" s="602" t="s">
        <v>281</v>
      </c>
      <c r="C99" s="602" t="s">
        <v>280</v>
      </c>
      <c r="D99" s="239">
        <v>-1657910</v>
      </c>
      <c r="E99" s="239">
        <v>0</v>
      </c>
      <c r="F99" s="239">
        <v>-1657910</v>
      </c>
      <c r="G99" s="239">
        <v>0</v>
      </c>
      <c r="H99" s="239">
        <v>0</v>
      </c>
      <c r="I99" s="239">
        <v>0</v>
      </c>
      <c r="J99" s="239">
        <v>-1657910</v>
      </c>
      <c r="K99" s="239">
        <v>0</v>
      </c>
      <c r="L99" s="239">
        <v>-1657910</v>
      </c>
      <c r="M99" s="239">
        <v>339782</v>
      </c>
      <c r="N99" s="239">
        <v>339782</v>
      </c>
      <c r="O99" s="239">
        <v>0</v>
      </c>
      <c r="P99" s="239">
        <v>0</v>
      </c>
      <c r="Q99" s="239">
        <v>0</v>
      </c>
      <c r="R99" s="239">
        <v>0</v>
      </c>
      <c r="S99" s="239">
        <v>0</v>
      </c>
      <c r="T99" s="239">
        <v>0</v>
      </c>
      <c r="U99" s="239">
        <v>0</v>
      </c>
      <c r="V99" s="239">
        <v>0</v>
      </c>
      <c r="W99" s="239">
        <v>0</v>
      </c>
      <c r="X99" s="239">
        <v>0</v>
      </c>
      <c r="Y99" s="239">
        <v>0</v>
      </c>
      <c r="Z99" s="239">
        <v>0</v>
      </c>
      <c r="AA99" s="239">
        <v>0</v>
      </c>
      <c r="AB99" s="239">
        <v>0</v>
      </c>
      <c r="AC99" s="239">
        <v>0</v>
      </c>
      <c r="AD99" s="239">
        <v>0</v>
      </c>
      <c r="AE99" s="239">
        <v>0</v>
      </c>
      <c r="AF99" s="239">
        <v>0</v>
      </c>
      <c r="AG99" s="239">
        <v>0</v>
      </c>
      <c r="AH99" s="239">
        <v>0</v>
      </c>
      <c r="AI99" s="239">
        <v>0</v>
      </c>
      <c r="AJ99" s="239">
        <v>0</v>
      </c>
      <c r="AK99" s="239">
        <v>0</v>
      </c>
      <c r="AL99" s="239">
        <v>0</v>
      </c>
      <c r="AM99" s="239">
        <v>0</v>
      </c>
      <c r="AN99" s="239">
        <v>0</v>
      </c>
      <c r="AO99" s="239">
        <v>0</v>
      </c>
      <c r="AP99" s="239">
        <v>0</v>
      </c>
      <c r="AQ99" s="239">
        <v>0</v>
      </c>
      <c r="AR99" s="239">
        <v>0</v>
      </c>
      <c r="AS99" s="239">
        <v>0</v>
      </c>
      <c r="AT99" s="239">
        <v>0</v>
      </c>
      <c r="AU99" s="239">
        <v>0</v>
      </c>
      <c r="AV99" s="239">
        <v>0</v>
      </c>
      <c r="AW99" s="239">
        <v>0</v>
      </c>
      <c r="AX99" s="239">
        <v>0</v>
      </c>
      <c r="AY99" s="239">
        <v>0</v>
      </c>
      <c r="AZ99" s="239">
        <v>0</v>
      </c>
      <c r="BA99" s="239">
        <v>0</v>
      </c>
      <c r="BB99" s="239">
        <v>0</v>
      </c>
      <c r="BC99" s="239">
        <v>1515581</v>
      </c>
      <c r="BD99" s="239">
        <v>1869217</v>
      </c>
      <c r="BE99" s="239">
        <v>0</v>
      </c>
      <c r="BF99" s="239">
        <v>1480379.7426849785</v>
      </c>
      <c r="BG99" s="239">
        <v>1825801.6826448068</v>
      </c>
      <c r="BH99" s="239">
        <v>0</v>
      </c>
      <c r="BI99" s="239">
        <v>104812.01417381973</v>
      </c>
      <c r="BJ99" s="239">
        <v>129268.15081437769</v>
      </c>
      <c r="BK99" s="239">
        <v>0</v>
      </c>
      <c r="BL99" s="239">
        <v>2086714</v>
      </c>
      <c r="BM99" s="239">
        <v>1161938</v>
      </c>
      <c r="BN99" s="239">
        <v>0</v>
      </c>
      <c r="BO99" s="239">
        <v>-571133</v>
      </c>
      <c r="BP99" s="239">
        <v>707279</v>
      </c>
      <c r="BQ99" s="239">
        <v>0</v>
      </c>
      <c r="BR99" s="239">
        <v>0</v>
      </c>
      <c r="BS99" s="239">
        <v>0</v>
      </c>
      <c r="BT99" s="239">
        <v>0</v>
      </c>
      <c r="BU99" s="239">
        <v>0</v>
      </c>
      <c r="BV99" s="239">
        <v>0</v>
      </c>
      <c r="BW99" s="239">
        <v>0</v>
      </c>
      <c r="BX99" s="239">
        <v>0</v>
      </c>
      <c r="BY99" s="239">
        <v>0</v>
      </c>
      <c r="BZ99" s="239">
        <v>0</v>
      </c>
      <c r="CA99" s="239">
        <v>0</v>
      </c>
      <c r="CB99" s="239">
        <v>0</v>
      </c>
      <c r="CC99" s="239">
        <v>0</v>
      </c>
      <c r="CD99" s="239">
        <v>0</v>
      </c>
      <c r="CE99" s="239">
        <v>0</v>
      </c>
      <c r="CF99" s="239">
        <v>0</v>
      </c>
      <c r="CG99" s="239">
        <v>0</v>
      </c>
      <c r="CH99" s="239">
        <v>0</v>
      </c>
      <c r="CI99" s="239">
        <v>0</v>
      </c>
      <c r="CJ99" s="239">
        <v>890</v>
      </c>
      <c r="CK99" s="239">
        <v>1098</v>
      </c>
      <c r="CL99" s="239">
        <v>0</v>
      </c>
      <c r="CM99" s="239">
        <v>0</v>
      </c>
      <c r="CN99" s="239">
        <v>0</v>
      </c>
      <c r="CO99" s="239">
        <v>0</v>
      </c>
      <c r="CP99" s="239">
        <v>890</v>
      </c>
      <c r="CQ99" s="239">
        <v>1098</v>
      </c>
      <c r="CR99" s="239">
        <v>0</v>
      </c>
      <c r="CS99" s="239">
        <v>-949</v>
      </c>
      <c r="CT99" s="239">
        <v>-1170</v>
      </c>
      <c r="CU99" s="239">
        <v>0</v>
      </c>
      <c r="CV99" s="239">
        <v>0</v>
      </c>
      <c r="CW99" s="239">
        <v>0</v>
      </c>
      <c r="CX99" s="239">
        <v>0</v>
      </c>
      <c r="CY99" s="239">
        <v>0</v>
      </c>
      <c r="CZ99" s="239">
        <v>0</v>
      </c>
      <c r="DA99" s="239">
        <v>0</v>
      </c>
      <c r="DB99" s="239">
        <v>0</v>
      </c>
      <c r="DC99" s="239">
        <v>0</v>
      </c>
      <c r="DD99" s="239">
        <v>0</v>
      </c>
      <c r="DE99" s="239">
        <v>0</v>
      </c>
      <c r="DF99" s="239">
        <v>0</v>
      </c>
      <c r="DG99" s="239">
        <v>0</v>
      </c>
      <c r="DH99" s="239">
        <v>0</v>
      </c>
      <c r="DI99" s="239">
        <v>0</v>
      </c>
      <c r="DJ99" s="239">
        <v>0</v>
      </c>
      <c r="DK99" s="239">
        <v>0</v>
      </c>
      <c r="DL99" s="239">
        <v>0</v>
      </c>
      <c r="DM99" s="239">
        <v>0</v>
      </c>
      <c r="DN99" s="239">
        <v>0</v>
      </c>
      <c r="DO99" s="239">
        <v>0</v>
      </c>
      <c r="DP99" s="239">
        <v>0</v>
      </c>
      <c r="DQ99" s="239">
        <v>648</v>
      </c>
      <c r="DR99" s="239">
        <v>800</v>
      </c>
      <c r="DS99" s="239">
        <v>0</v>
      </c>
      <c r="DT99" s="239">
        <v>457</v>
      </c>
      <c r="DU99" s="239">
        <v>563</v>
      </c>
      <c r="DV99" s="239">
        <v>0</v>
      </c>
      <c r="DW99" s="239">
        <v>191</v>
      </c>
      <c r="DX99" s="239">
        <v>237</v>
      </c>
      <c r="DY99" s="239">
        <v>0</v>
      </c>
      <c r="DZ99" s="239">
        <v>13470</v>
      </c>
      <c r="EA99" s="239">
        <v>16613</v>
      </c>
      <c r="EB99" s="239">
        <v>0</v>
      </c>
      <c r="EC99" s="239">
        <v>33851</v>
      </c>
      <c r="ED99" s="239">
        <v>0</v>
      </c>
      <c r="EE99" s="239">
        <v>0</v>
      </c>
      <c r="EF99" s="239">
        <v>-20381</v>
      </c>
      <c r="EG99" s="239">
        <v>16613</v>
      </c>
      <c r="EH99" s="239">
        <v>0</v>
      </c>
      <c r="EI99" s="239">
        <v>271170</v>
      </c>
      <c r="EJ99" s="239">
        <v>334443</v>
      </c>
      <c r="EK99" s="239">
        <v>0</v>
      </c>
      <c r="EL99" s="239">
        <v>609580</v>
      </c>
      <c r="EM99" s="239">
        <v>0</v>
      </c>
      <c r="EN99" s="239">
        <v>0</v>
      </c>
      <c r="EO99" s="239">
        <v>-338410</v>
      </c>
      <c r="EP99" s="239">
        <v>334443</v>
      </c>
      <c r="EQ99" s="239">
        <v>0</v>
      </c>
      <c r="ER99" s="239">
        <v>13228</v>
      </c>
      <c r="ES99" s="239">
        <v>16315</v>
      </c>
      <c r="ET99" s="239">
        <v>0</v>
      </c>
      <c r="EU99" s="239">
        <v>28183</v>
      </c>
      <c r="EV99" s="239">
        <v>0</v>
      </c>
      <c r="EW99" s="239">
        <v>0</v>
      </c>
      <c r="EX99" s="239">
        <v>-14955</v>
      </c>
      <c r="EY99" s="239">
        <v>16315</v>
      </c>
      <c r="EZ99" s="239">
        <v>0</v>
      </c>
      <c r="FA99" s="239">
        <v>469506</v>
      </c>
      <c r="FB99" s="239">
        <v>579058</v>
      </c>
      <c r="FC99" s="239">
        <v>0</v>
      </c>
      <c r="FD99" s="239">
        <v>514483</v>
      </c>
      <c r="FE99" s="239">
        <v>634529</v>
      </c>
      <c r="FF99" s="239">
        <v>0</v>
      </c>
      <c r="FG99" s="239">
        <v>-44977</v>
      </c>
      <c r="FH99" s="239">
        <v>-55471</v>
      </c>
      <c r="FI99" s="239">
        <v>0</v>
      </c>
      <c r="FJ99" s="239">
        <v>0</v>
      </c>
      <c r="FK99" s="239">
        <v>0</v>
      </c>
      <c r="FL99" s="239">
        <v>0</v>
      </c>
      <c r="FM99" s="239">
        <v>0</v>
      </c>
      <c r="FN99" s="239">
        <v>0</v>
      </c>
      <c r="FO99" s="239">
        <v>0</v>
      </c>
      <c r="FP99" s="239">
        <v>0</v>
      </c>
      <c r="FQ99" s="239">
        <v>0</v>
      </c>
      <c r="FR99" s="239">
        <v>0</v>
      </c>
      <c r="FS99" s="239">
        <v>0</v>
      </c>
      <c r="FT99" s="239">
        <v>0</v>
      </c>
      <c r="FU99" s="239">
        <v>0</v>
      </c>
      <c r="FV99" s="239">
        <v>2283544</v>
      </c>
      <c r="FW99" s="239">
        <v>2816374</v>
      </c>
      <c r="FX99" s="239">
        <v>0</v>
      </c>
      <c r="FY99" s="834">
        <v>0.33000000000000007</v>
      </c>
      <c r="FZ99" s="834">
        <v>0.3</v>
      </c>
      <c r="GA99" s="834">
        <v>0.37</v>
      </c>
      <c r="GB99" s="834">
        <v>0</v>
      </c>
      <c r="GC99" s="214" t="s">
        <v>1159</v>
      </c>
    </row>
    <row r="100" spans="2:185" s="214" customFormat="1" x14ac:dyDescent="0.2">
      <c r="B100" s="602" t="s">
        <v>283</v>
      </c>
      <c r="C100" s="602" t="s">
        <v>282</v>
      </c>
      <c r="D100" s="239">
        <v>884144</v>
      </c>
      <c r="E100" s="239">
        <v>0</v>
      </c>
      <c r="F100" s="239">
        <v>884144</v>
      </c>
      <c r="G100" s="239">
        <v>981919</v>
      </c>
      <c r="H100" s="239">
        <v>0</v>
      </c>
      <c r="I100" s="239">
        <v>981919</v>
      </c>
      <c r="J100" s="239">
        <v>-97775</v>
      </c>
      <c r="K100" s="239">
        <v>0</v>
      </c>
      <c r="L100" s="239">
        <v>-97775</v>
      </c>
      <c r="M100" s="239">
        <v>172654</v>
      </c>
      <c r="N100" s="239">
        <v>172654</v>
      </c>
      <c r="O100" s="239">
        <v>0</v>
      </c>
      <c r="P100" s="239">
        <v>0</v>
      </c>
      <c r="Q100" s="239">
        <v>0</v>
      </c>
      <c r="R100" s="239">
        <v>0</v>
      </c>
      <c r="S100" s="239">
        <v>0</v>
      </c>
      <c r="T100" s="239">
        <v>0</v>
      </c>
      <c r="U100" s="239">
        <v>0</v>
      </c>
      <c r="V100" s="239">
        <v>0</v>
      </c>
      <c r="W100" s="239">
        <v>0</v>
      </c>
      <c r="X100" s="239">
        <v>0</v>
      </c>
      <c r="Y100" s="239">
        <v>0</v>
      </c>
      <c r="Z100" s="239">
        <v>0</v>
      </c>
      <c r="AA100" s="239">
        <v>0</v>
      </c>
      <c r="AB100" s="239">
        <v>0</v>
      </c>
      <c r="AC100" s="239">
        <v>0</v>
      </c>
      <c r="AD100" s="239">
        <v>0</v>
      </c>
      <c r="AE100" s="239">
        <v>0</v>
      </c>
      <c r="AF100" s="239">
        <v>0</v>
      </c>
      <c r="AG100" s="239">
        <v>0</v>
      </c>
      <c r="AH100" s="239">
        <v>0</v>
      </c>
      <c r="AI100" s="239">
        <v>0</v>
      </c>
      <c r="AJ100" s="239">
        <v>0</v>
      </c>
      <c r="AK100" s="239">
        <v>0</v>
      </c>
      <c r="AL100" s="239">
        <v>0</v>
      </c>
      <c r="AM100" s="239">
        <v>0</v>
      </c>
      <c r="AN100" s="239">
        <v>0</v>
      </c>
      <c r="AO100" s="239">
        <v>0</v>
      </c>
      <c r="AP100" s="239">
        <v>0</v>
      </c>
      <c r="AQ100" s="239">
        <v>0</v>
      </c>
      <c r="AR100" s="239">
        <v>0</v>
      </c>
      <c r="AS100" s="239">
        <v>0</v>
      </c>
      <c r="AT100" s="239">
        <v>0</v>
      </c>
      <c r="AU100" s="239">
        <v>0</v>
      </c>
      <c r="AV100" s="239">
        <v>0</v>
      </c>
      <c r="AW100" s="239">
        <v>0</v>
      </c>
      <c r="AX100" s="239">
        <v>0</v>
      </c>
      <c r="AY100" s="239">
        <v>0</v>
      </c>
      <c r="AZ100" s="239">
        <v>0</v>
      </c>
      <c r="BA100" s="239">
        <v>0</v>
      </c>
      <c r="BB100" s="239">
        <v>0</v>
      </c>
      <c r="BC100" s="239">
        <v>1305175</v>
      </c>
      <c r="BD100" s="239">
        <v>293664</v>
      </c>
      <c r="BE100" s="239">
        <v>32629</v>
      </c>
      <c r="BF100" s="239">
        <v>1267670.7612403433</v>
      </c>
      <c r="BG100" s="239">
        <v>285225.92127907719</v>
      </c>
      <c r="BH100" s="239">
        <v>31691.769031008582</v>
      </c>
      <c r="BI100" s="239">
        <v>112494.76742489271</v>
      </c>
      <c r="BJ100" s="239">
        <v>25311.322670600854</v>
      </c>
      <c r="BK100" s="239">
        <v>2812.3691856223172</v>
      </c>
      <c r="BL100" s="239">
        <v>1292643</v>
      </c>
      <c r="BM100" s="239">
        <v>179811</v>
      </c>
      <c r="BN100" s="239">
        <v>19979</v>
      </c>
      <c r="BO100" s="239">
        <v>12532</v>
      </c>
      <c r="BP100" s="239">
        <v>113853</v>
      </c>
      <c r="BQ100" s="239">
        <v>12650</v>
      </c>
      <c r="BR100" s="239">
        <v>3853</v>
      </c>
      <c r="BS100" s="239">
        <v>867</v>
      </c>
      <c r="BT100" s="239">
        <v>96</v>
      </c>
      <c r="BU100" s="239">
        <v>1186</v>
      </c>
      <c r="BV100" s="239">
        <v>267</v>
      </c>
      <c r="BW100" s="239">
        <v>30</v>
      </c>
      <c r="BX100" s="239">
        <v>2667</v>
      </c>
      <c r="BY100" s="239">
        <v>600</v>
      </c>
      <c r="BZ100" s="239">
        <v>66</v>
      </c>
      <c r="CA100" s="239">
        <v>0</v>
      </c>
      <c r="CB100" s="239">
        <v>0</v>
      </c>
      <c r="CC100" s="239">
        <v>0</v>
      </c>
      <c r="CD100" s="239">
        <v>0</v>
      </c>
      <c r="CE100" s="239">
        <v>0</v>
      </c>
      <c r="CF100" s="239">
        <v>0</v>
      </c>
      <c r="CG100" s="239">
        <v>0</v>
      </c>
      <c r="CH100" s="239">
        <v>0</v>
      </c>
      <c r="CI100" s="239">
        <v>0</v>
      </c>
      <c r="CJ100" s="239">
        <v>82</v>
      </c>
      <c r="CK100" s="239">
        <v>18</v>
      </c>
      <c r="CL100" s="239">
        <v>2</v>
      </c>
      <c r="CM100" s="239">
        <v>0</v>
      </c>
      <c r="CN100" s="239">
        <v>0</v>
      </c>
      <c r="CO100" s="239">
        <v>0</v>
      </c>
      <c r="CP100" s="239">
        <v>82</v>
      </c>
      <c r="CQ100" s="239">
        <v>18</v>
      </c>
      <c r="CR100" s="239">
        <v>2</v>
      </c>
      <c r="CS100" s="239">
        <v>0</v>
      </c>
      <c r="CT100" s="239">
        <v>0</v>
      </c>
      <c r="CU100" s="239">
        <v>0</v>
      </c>
      <c r="CV100" s="239">
        <v>0</v>
      </c>
      <c r="CW100" s="239">
        <v>0</v>
      </c>
      <c r="CX100" s="239">
        <v>0</v>
      </c>
      <c r="CY100" s="239">
        <v>0</v>
      </c>
      <c r="CZ100" s="239">
        <v>0</v>
      </c>
      <c r="DA100" s="239">
        <v>0</v>
      </c>
      <c r="DB100" s="239">
        <v>0</v>
      </c>
      <c r="DC100" s="239">
        <v>0</v>
      </c>
      <c r="DD100" s="239">
        <v>0</v>
      </c>
      <c r="DE100" s="239">
        <v>0</v>
      </c>
      <c r="DF100" s="239">
        <v>0</v>
      </c>
      <c r="DG100" s="239">
        <v>0</v>
      </c>
      <c r="DH100" s="239">
        <v>0</v>
      </c>
      <c r="DI100" s="239">
        <v>0</v>
      </c>
      <c r="DJ100" s="239">
        <v>0</v>
      </c>
      <c r="DK100" s="239">
        <v>0</v>
      </c>
      <c r="DL100" s="239">
        <v>0</v>
      </c>
      <c r="DM100" s="239">
        <v>0</v>
      </c>
      <c r="DN100" s="239">
        <v>0</v>
      </c>
      <c r="DO100" s="239">
        <v>0</v>
      </c>
      <c r="DP100" s="239">
        <v>0</v>
      </c>
      <c r="DQ100" s="239">
        <v>0</v>
      </c>
      <c r="DR100" s="239">
        <v>0</v>
      </c>
      <c r="DS100" s="239">
        <v>0</v>
      </c>
      <c r="DT100" s="239">
        <v>0</v>
      </c>
      <c r="DU100" s="239">
        <v>0</v>
      </c>
      <c r="DV100" s="239">
        <v>0</v>
      </c>
      <c r="DW100" s="239">
        <v>0</v>
      </c>
      <c r="DX100" s="239">
        <v>0</v>
      </c>
      <c r="DY100" s="239">
        <v>0</v>
      </c>
      <c r="DZ100" s="239">
        <v>12366</v>
      </c>
      <c r="EA100" s="239">
        <v>2782</v>
      </c>
      <c r="EB100" s="239">
        <v>309</v>
      </c>
      <c r="EC100" s="239">
        <v>15458</v>
      </c>
      <c r="ED100" s="239">
        <v>0</v>
      </c>
      <c r="EE100" s="239">
        <v>0</v>
      </c>
      <c r="EF100" s="239">
        <v>-3092</v>
      </c>
      <c r="EG100" s="239">
        <v>2782</v>
      </c>
      <c r="EH100" s="239">
        <v>309</v>
      </c>
      <c r="EI100" s="239">
        <v>107220</v>
      </c>
      <c r="EJ100" s="239">
        <v>24124</v>
      </c>
      <c r="EK100" s="239">
        <v>2680</v>
      </c>
      <c r="EL100" s="239">
        <v>149527</v>
      </c>
      <c r="EM100" s="239">
        <v>0</v>
      </c>
      <c r="EN100" s="239">
        <v>0</v>
      </c>
      <c r="EO100" s="239">
        <v>-42307</v>
      </c>
      <c r="EP100" s="239">
        <v>24124</v>
      </c>
      <c r="EQ100" s="239">
        <v>2680</v>
      </c>
      <c r="ER100" s="239">
        <v>16633</v>
      </c>
      <c r="ES100" s="239">
        <v>3742</v>
      </c>
      <c r="ET100" s="239">
        <v>416</v>
      </c>
      <c r="EU100" s="239">
        <v>27913</v>
      </c>
      <c r="EV100" s="239">
        <v>0</v>
      </c>
      <c r="EW100" s="239">
        <v>0</v>
      </c>
      <c r="EX100" s="239">
        <v>-11280</v>
      </c>
      <c r="EY100" s="239">
        <v>3742</v>
      </c>
      <c r="EZ100" s="239">
        <v>416</v>
      </c>
      <c r="FA100" s="239">
        <v>212264</v>
      </c>
      <c r="FB100" s="239">
        <v>47759</v>
      </c>
      <c r="FC100" s="239">
        <v>5307</v>
      </c>
      <c r="FD100" s="239">
        <v>208568</v>
      </c>
      <c r="FE100" s="239">
        <v>46928</v>
      </c>
      <c r="FF100" s="239">
        <v>5214</v>
      </c>
      <c r="FG100" s="239">
        <v>3696</v>
      </c>
      <c r="FH100" s="239">
        <v>831</v>
      </c>
      <c r="FI100" s="239">
        <v>93</v>
      </c>
      <c r="FJ100" s="239">
        <v>0</v>
      </c>
      <c r="FK100" s="239">
        <v>0</v>
      </c>
      <c r="FL100" s="239">
        <v>0</v>
      </c>
      <c r="FM100" s="239">
        <v>0</v>
      </c>
      <c r="FN100" s="239">
        <v>0</v>
      </c>
      <c r="FO100" s="239">
        <v>0</v>
      </c>
      <c r="FP100" s="239">
        <v>0</v>
      </c>
      <c r="FQ100" s="239">
        <v>0</v>
      </c>
      <c r="FR100" s="239">
        <v>0</v>
      </c>
      <c r="FS100" s="239">
        <v>0</v>
      </c>
      <c r="FT100" s="239">
        <v>0</v>
      </c>
      <c r="FU100" s="239">
        <v>0</v>
      </c>
      <c r="FV100" s="239">
        <v>1657593</v>
      </c>
      <c r="FW100" s="239">
        <v>372956</v>
      </c>
      <c r="FX100" s="239">
        <v>41439</v>
      </c>
      <c r="FY100" s="834">
        <v>0.5</v>
      </c>
      <c r="FZ100" s="834">
        <v>0.4</v>
      </c>
      <c r="GA100" s="834">
        <v>0.09</v>
      </c>
      <c r="GB100" s="834">
        <v>0.01</v>
      </c>
      <c r="GC100" s="214" t="s">
        <v>1158</v>
      </c>
    </row>
    <row r="101" spans="2:185" s="214" customFormat="1" x14ac:dyDescent="0.2">
      <c r="B101" s="602" t="s">
        <v>285</v>
      </c>
      <c r="C101" s="602" t="s">
        <v>284</v>
      </c>
      <c r="D101" s="239">
        <v>97314</v>
      </c>
      <c r="E101" s="239">
        <v>0</v>
      </c>
      <c r="F101" s="239">
        <v>97314</v>
      </c>
      <c r="G101" s="239">
        <v>277933</v>
      </c>
      <c r="H101" s="239">
        <v>0</v>
      </c>
      <c r="I101" s="239">
        <v>277933</v>
      </c>
      <c r="J101" s="239">
        <v>-180619</v>
      </c>
      <c r="K101" s="239">
        <v>0</v>
      </c>
      <c r="L101" s="239">
        <v>-180619</v>
      </c>
      <c r="M101" s="239">
        <v>83437</v>
      </c>
      <c r="N101" s="239">
        <v>83437</v>
      </c>
      <c r="O101" s="239">
        <v>0</v>
      </c>
      <c r="P101" s="239">
        <v>0</v>
      </c>
      <c r="Q101" s="239">
        <v>0</v>
      </c>
      <c r="R101" s="239">
        <v>0</v>
      </c>
      <c r="S101" s="239">
        <v>0</v>
      </c>
      <c r="T101" s="239">
        <v>0</v>
      </c>
      <c r="U101" s="239">
        <v>0</v>
      </c>
      <c r="V101" s="239">
        <v>0</v>
      </c>
      <c r="W101" s="239">
        <v>0</v>
      </c>
      <c r="X101" s="239">
        <v>0</v>
      </c>
      <c r="Y101" s="239">
        <v>0</v>
      </c>
      <c r="Z101" s="239">
        <v>0</v>
      </c>
      <c r="AA101" s="239">
        <v>0</v>
      </c>
      <c r="AB101" s="239">
        <v>0</v>
      </c>
      <c r="AC101" s="239">
        <v>0</v>
      </c>
      <c r="AD101" s="239">
        <v>0</v>
      </c>
      <c r="AE101" s="239">
        <v>0</v>
      </c>
      <c r="AF101" s="239">
        <v>0</v>
      </c>
      <c r="AG101" s="239">
        <v>0</v>
      </c>
      <c r="AH101" s="239">
        <v>0</v>
      </c>
      <c r="AI101" s="239">
        <v>0</v>
      </c>
      <c r="AJ101" s="239">
        <v>0</v>
      </c>
      <c r="AK101" s="239">
        <v>0</v>
      </c>
      <c r="AL101" s="239">
        <v>0</v>
      </c>
      <c r="AM101" s="239">
        <v>0</v>
      </c>
      <c r="AN101" s="239">
        <v>0</v>
      </c>
      <c r="AO101" s="239">
        <v>0</v>
      </c>
      <c r="AP101" s="239">
        <v>0</v>
      </c>
      <c r="AQ101" s="239">
        <v>0</v>
      </c>
      <c r="AR101" s="239">
        <v>0</v>
      </c>
      <c r="AS101" s="239">
        <v>0</v>
      </c>
      <c r="AT101" s="239">
        <v>0</v>
      </c>
      <c r="AU101" s="239">
        <v>0</v>
      </c>
      <c r="AV101" s="239">
        <v>0</v>
      </c>
      <c r="AW101" s="239">
        <v>0</v>
      </c>
      <c r="AX101" s="239">
        <v>0</v>
      </c>
      <c r="AY101" s="239">
        <v>0</v>
      </c>
      <c r="AZ101" s="239">
        <v>0</v>
      </c>
      <c r="BA101" s="239">
        <v>0</v>
      </c>
      <c r="BB101" s="239">
        <v>0</v>
      </c>
      <c r="BC101" s="239">
        <v>475231</v>
      </c>
      <c r="BD101" s="239">
        <v>118808</v>
      </c>
      <c r="BE101" s="239">
        <v>0</v>
      </c>
      <c r="BF101" s="239">
        <v>461017.60914849787</v>
      </c>
      <c r="BG101" s="239">
        <v>115254.40228712447</v>
      </c>
      <c r="BH101" s="239">
        <v>0</v>
      </c>
      <c r="BI101" s="239">
        <v>45428.970343347639</v>
      </c>
      <c r="BJ101" s="239">
        <v>11357.24258583691</v>
      </c>
      <c r="BK101" s="239">
        <v>0</v>
      </c>
      <c r="BL101" s="239">
        <v>484200</v>
      </c>
      <c r="BM101" s="239">
        <v>72377</v>
      </c>
      <c r="BN101" s="239">
        <v>0</v>
      </c>
      <c r="BO101" s="239">
        <v>-8969</v>
      </c>
      <c r="BP101" s="239">
        <v>46431</v>
      </c>
      <c r="BQ101" s="239">
        <v>0</v>
      </c>
      <c r="BR101" s="239">
        <v>0</v>
      </c>
      <c r="BS101" s="239">
        <v>0</v>
      </c>
      <c r="BT101" s="239">
        <v>0</v>
      </c>
      <c r="BU101" s="239">
        <v>0</v>
      </c>
      <c r="BV101" s="239">
        <v>0</v>
      </c>
      <c r="BW101" s="239">
        <v>0</v>
      </c>
      <c r="BX101" s="239">
        <v>0</v>
      </c>
      <c r="BY101" s="239">
        <v>0</v>
      </c>
      <c r="BZ101" s="239">
        <v>0</v>
      </c>
      <c r="CA101" s="239">
        <v>0</v>
      </c>
      <c r="CB101" s="239">
        <v>0</v>
      </c>
      <c r="CC101" s="239">
        <v>0</v>
      </c>
      <c r="CD101" s="239">
        <v>0</v>
      </c>
      <c r="CE101" s="239">
        <v>0</v>
      </c>
      <c r="CF101" s="239">
        <v>0</v>
      </c>
      <c r="CG101" s="239">
        <v>0</v>
      </c>
      <c r="CH101" s="239">
        <v>0</v>
      </c>
      <c r="CI101" s="239">
        <v>0</v>
      </c>
      <c r="CJ101" s="239">
        <v>0</v>
      </c>
      <c r="CK101" s="239">
        <v>0</v>
      </c>
      <c r="CL101" s="239">
        <v>0</v>
      </c>
      <c r="CM101" s="239">
        <v>0</v>
      </c>
      <c r="CN101" s="239">
        <v>0</v>
      </c>
      <c r="CO101" s="239">
        <v>0</v>
      </c>
      <c r="CP101" s="239">
        <v>0</v>
      </c>
      <c r="CQ101" s="239">
        <v>0</v>
      </c>
      <c r="CR101" s="239">
        <v>0</v>
      </c>
      <c r="CS101" s="239">
        <v>0</v>
      </c>
      <c r="CT101" s="239">
        <v>0</v>
      </c>
      <c r="CU101" s="239">
        <v>0</v>
      </c>
      <c r="CV101" s="239">
        <v>0</v>
      </c>
      <c r="CW101" s="239">
        <v>0</v>
      </c>
      <c r="CX101" s="239">
        <v>0</v>
      </c>
      <c r="CY101" s="239">
        <v>0</v>
      </c>
      <c r="CZ101" s="239">
        <v>0</v>
      </c>
      <c r="DA101" s="239">
        <v>0</v>
      </c>
      <c r="DB101" s="239">
        <v>0</v>
      </c>
      <c r="DC101" s="239">
        <v>0</v>
      </c>
      <c r="DD101" s="239">
        <v>0</v>
      </c>
      <c r="DE101" s="239">
        <v>0</v>
      </c>
      <c r="DF101" s="239">
        <v>0</v>
      </c>
      <c r="DG101" s="239">
        <v>0</v>
      </c>
      <c r="DH101" s="239">
        <v>0</v>
      </c>
      <c r="DI101" s="239">
        <v>0</v>
      </c>
      <c r="DJ101" s="239">
        <v>0</v>
      </c>
      <c r="DK101" s="239">
        <v>0</v>
      </c>
      <c r="DL101" s="239">
        <v>0</v>
      </c>
      <c r="DM101" s="239">
        <v>0</v>
      </c>
      <c r="DN101" s="239">
        <v>0</v>
      </c>
      <c r="DO101" s="239">
        <v>0</v>
      </c>
      <c r="DP101" s="239">
        <v>0</v>
      </c>
      <c r="DQ101" s="239">
        <v>0</v>
      </c>
      <c r="DR101" s="239">
        <v>0</v>
      </c>
      <c r="DS101" s="239">
        <v>0</v>
      </c>
      <c r="DT101" s="239">
        <v>0</v>
      </c>
      <c r="DU101" s="239">
        <v>0</v>
      </c>
      <c r="DV101" s="239">
        <v>0</v>
      </c>
      <c r="DW101" s="239">
        <v>0</v>
      </c>
      <c r="DX101" s="239">
        <v>0</v>
      </c>
      <c r="DY101" s="239">
        <v>0</v>
      </c>
      <c r="DZ101" s="239">
        <v>7659</v>
      </c>
      <c r="EA101" s="239">
        <v>1915</v>
      </c>
      <c r="EB101" s="239">
        <v>0</v>
      </c>
      <c r="EC101" s="239">
        <v>9578</v>
      </c>
      <c r="ED101" s="239">
        <v>0</v>
      </c>
      <c r="EE101" s="239">
        <v>0</v>
      </c>
      <c r="EF101" s="239">
        <v>-1919</v>
      </c>
      <c r="EG101" s="239">
        <v>1915</v>
      </c>
      <c r="EH101" s="239">
        <v>0</v>
      </c>
      <c r="EI101" s="239">
        <v>103776</v>
      </c>
      <c r="EJ101" s="239">
        <v>25944</v>
      </c>
      <c r="EK101" s="239">
        <v>0</v>
      </c>
      <c r="EL101" s="239">
        <v>127805</v>
      </c>
      <c r="EM101" s="239">
        <v>0</v>
      </c>
      <c r="EN101" s="239">
        <v>0</v>
      </c>
      <c r="EO101" s="239">
        <v>-24029</v>
      </c>
      <c r="EP101" s="239">
        <v>25944</v>
      </c>
      <c r="EQ101" s="239">
        <v>0</v>
      </c>
      <c r="ER101" s="239">
        <v>5765</v>
      </c>
      <c r="ES101" s="239">
        <v>1441</v>
      </c>
      <c r="ET101" s="239">
        <v>0</v>
      </c>
      <c r="EU101" s="239">
        <v>7186</v>
      </c>
      <c r="EV101" s="239">
        <v>0</v>
      </c>
      <c r="EW101" s="239">
        <v>0</v>
      </c>
      <c r="EX101" s="239">
        <v>-1421</v>
      </c>
      <c r="EY101" s="239">
        <v>1441</v>
      </c>
      <c r="EZ101" s="239">
        <v>0</v>
      </c>
      <c r="FA101" s="239">
        <v>122443</v>
      </c>
      <c r="FB101" s="239">
        <v>30611</v>
      </c>
      <c r="FC101" s="239">
        <v>0</v>
      </c>
      <c r="FD101" s="239">
        <v>148262</v>
      </c>
      <c r="FE101" s="239">
        <v>37065</v>
      </c>
      <c r="FF101" s="239">
        <v>0</v>
      </c>
      <c r="FG101" s="239">
        <v>-25819</v>
      </c>
      <c r="FH101" s="239">
        <v>-6454</v>
      </c>
      <c r="FI101" s="239">
        <v>0</v>
      </c>
      <c r="FJ101" s="239">
        <v>0</v>
      </c>
      <c r="FK101" s="239">
        <v>0</v>
      </c>
      <c r="FL101" s="239">
        <v>0</v>
      </c>
      <c r="FM101" s="239">
        <v>0</v>
      </c>
      <c r="FN101" s="239">
        <v>0</v>
      </c>
      <c r="FO101" s="239">
        <v>0</v>
      </c>
      <c r="FP101" s="239">
        <v>0</v>
      </c>
      <c r="FQ101" s="239">
        <v>0</v>
      </c>
      <c r="FR101" s="239">
        <v>0</v>
      </c>
      <c r="FS101" s="239">
        <v>0</v>
      </c>
      <c r="FT101" s="239">
        <v>0</v>
      </c>
      <c r="FU101" s="239">
        <v>0</v>
      </c>
      <c r="FV101" s="239">
        <v>714874</v>
      </c>
      <c r="FW101" s="239">
        <v>178719</v>
      </c>
      <c r="FX101" s="239">
        <v>0</v>
      </c>
      <c r="FY101" s="834">
        <v>0.5</v>
      </c>
      <c r="FZ101" s="834">
        <v>0.4</v>
      </c>
      <c r="GA101" s="834">
        <v>0.1</v>
      </c>
      <c r="GB101" s="834">
        <v>0</v>
      </c>
      <c r="GC101" s="214" t="s">
        <v>1158</v>
      </c>
    </row>
    <row r="102" spans="2:185" s="214" customFormat="1" x14ac:dyDescent="0.2">
      <c r="B102" s="602" t="s">
        <v>287</v>
      </c>
      <c r="C102" s="602" t="s">
        <v>286</v>
      </c>
      <c r="D102" s="239">
        <v>-99909</v>
      </c>
      <c r="E102" s="239">
        <v>0</v>
      </c>
      <c r="F102" s="239">
        <v>-99909</v>
      </c>
      <c r="G102" s="239">
        <v>-342248</v>
      </c>
      <c r="H102" s="239">
        <v>0</v>
      </c>
      <c r="I102" s="239">
        <v>-342248</v>
      </c>
      <c r="J102" s="239">
        <v>242339</v>
      </c>
      <c r="K102" s="239">
        <v>0</v>
      </c>
      <c r="L102" s="239">
        <v>242339</v>
      </c>
      <c r="M102" s="239">
        <v>134458</v>
      </c>
      <c r="N102" s="239">
        <v>134458</v>
      </c>
      <c r="O102" s="239">
        <v>0</v>
      </c>
      <c r="P102" s="239">
        <v>0</v>
      </c>
      <c r="Q102" s="239">
        <v>0</v>
      </c>
      <c r="R102" s="239">
        <v>0</v>
      </c>
      <c r="S102" s="239">
        <v>0</v>
      </c>
      <c r="T102" s="239">
        <v>0</v>
      </c>
      <c r="U102" s="239">
        <v>0</v>
      </c>
      <c r="V102" s="239">
        <v>0</v>
      </c>
      <c r="W102" s="239">
        <v>0</v>
      </c>
      <c r="X102" s="239">
        <v>0</v>
      </c>
      <c r="Y102" s="239">
        <v>0</v>
      </c>
      <c r="Z102" s="239">
        <v>0</v>
      </c>
      <c r="AA102" s="239">
        <v>0</v>
      </c>
      <c r="AB102" s="239">
        <v>0</v>
      </c>
      <c r="AC102" s="239">
        <v>0</v>
      </c>
      <c r="AD102" s="239">
        <v>0</v>
      </c>
      <c r="AE102" s="239">
        <v>0</v>
      </c>
      <c r="AF102" s="239">
        <v>0</v>
      </c>
      <c r="AG102" s="239">
        <v>0</v>
      </c>
      <c r="AH102" s="239">
        <v>0</v>
      </c>
      <c r="AI102" s="239">
        <v>0</v>
      </c>
      <c r="AJ102" s="239">
        <v>0</v>
      </c>
      <c r="AK102" s="239">
        <v>0</v>
      </c>
      <c r="AL102" s="239">
        <v>0</v>
      </c>
      <c r="AM102" s="239">
        <v>0</v>
      </c>
      <c r="AN102" s="239">
        <v>0</v>
      </c>
      <c r="AO102" s="239">
        <v>0</v>
      </c>
      <c r="AP102" s="239">
        <v>0</v>
      </c>
      <c r="AQ102" s="239">
        <v>0</v>
      </c>
      <c r="AR102" s="239">
        <v>0</v>
      </c>
      <c r="AS102" s="239">
        <v>0</v>
      </c>
      <c r="AT102" s="239">
        <v>0</v>
      </c>
      <c r="AU102" s="239">
        <v>0</v>
      </c>
      <c r="AV102" s="239">
        <v>0</v>
      </c>
      <c r="AW102" s="239">
        <v>0</v>
      </c>
      <c r="AX102" s="239">
        <v>0</v>
      </c>
      <c r="AY102" s="239">
        <v>0</v>
      </c>
      <c r="AZ102" s="239">
        <v>0</v>
      </c>
      <c r="BA102" s="239">
        <v>0</v>
      </c>
      <c r="BB102" s="239">
        <v>0</v>
      </c>
      <c r="BC102" s="239">
        <v>1082148</v>
      </c>
      <c r="BD102" s="239">
        <v>243483</v>
      </c>
      <c r="BE102" s="239">
        <v>27054</v>
      </c>
      <c r="BF102" s="239">
        <v>1059252.2588575108</v>
      </c>
      <c r="BG102" s="239">
        <v>238331.75824293995</v>
      </c>
      <c r="BH102" s="239">
        <v>26481.306471437772</v>
      </c>
      <c r="BI102" s="239">
        <v>68613.69303261803</v>
      </c>
      <c r="BJ102" s="239">
        <v>15438.080932339055</v>
      </c>
      <c r="BK102" s="239">
        <v>1715.3423258154507</v>
      </c>
      <c r="BL102" s="239">
        <v>1235717</v>
      </c>
      <c r="BM102" s="239">
        <v>187862</v>
      </c>
      <c r="BN102" s="239">
        <v>20874</v>
      </c>
      <c r="BO102" s="239">
        <v>-153569</v>
      </c>
      <c r="BP102" s="239">
        <v>55621</v>
      </c>
      <c r="BQ102" s="239">
        <v>6180</v>
      </c>
      <c r="BR102" s="239">
        <v>8788</v>
      </c>
      <c r="BS102" s="239">
        <v>1977</v>
      </c>
      <c r="BT102" s="239">
        <v>220</v>
      </c>
      <c r="BU102" s="239">
        <v>609</v>
      </c>
      <c r="BV102" s="239">
        <v>137</v>
      </c>
      <c r="BW102" s="239">
        <v>15</v>
      </c>
      <c r="BX102" s="239">
        <v>8179</v>
      </c>
      <c r="BY102" s="239">
        <v>1840</v>
      </c>
      <c r="BZ102" s="239">
        <v>205</v>
      </c>
      <c r="CA102" s="239">
        <v>0</v>
      </c>
      <c r="CB102" s="239">
        <v>0</v>
      </c>
      <c r="CC102" s="239">
        <v>0</v>
      </c>
      <c r="CD102" s="239">
        <v>0</v>
      </c>
      <c r="CE102" s="239">
        <v>0</v>
      </c>
      <c r="CF102" s="239">
        <v>0</v>
      </c>
      <c r="CG102" s="239">
        <v>0</v>
      </c>
      <c r="CH102" s="239">
        <v>0</v>
      </c>
      <c r="CI102" s="239">
        <v>0</v>
      </c>
      <c r="CJ102" s="239">
        <v>45</v>
      </c>
      <c r="CK102" s="239">
        <v>10</v>
      </c>
      <c r="CL102" s="239">
        <v>1</v>
      </c>
      <c r="CM102" s="239">
        <v>211</v>
      </c>
      <c r="CN102" s="239">
        <v>48</v>
      </c>
      <c r="CO102" s="239">
        <v>5</v>
      </c>
      <c r="CP102" s="239">
        <v>-166</v>
      </c>
      <c r="CQ102" s="239">
        <v>-38</v>
      </c>
      <c r="CR102" s="239">
        <v>-4</v>
      </c>
      <c r="CS102" s="239">
        <v>-1245</v>
      </c>
      <c r="CT102" s="239">
        <v>-280</v>
      </c>
      <c r="CU102" s="239">
        <v>-31</v>
      </c>
      <c r="CV102" s="239">
        <v>0</v>
      </c>
      <c r="CW102" s="239">
        <v>0</v>
      </c>
      <c r="CX102" s="239">
        <v>0</v>
      </c>
      <c r="CY102" s="239">
        <v>0</v>
      </c>
      <c r="CZ102" s="239">
        <v>0</v>
      </c>
      <c r="DA102" s="239">
        <v>0</v>
      </c>
      <c r="DB102" s="239">
        <v>0</v>
      </c>
      <c r="DC102" s="239">
        <v>0</v>
      </c>
      <c r="DD102" s="239">
        <v>0</v>
      </c>
      <c r="DE102" s="239">
        <v>0</v>
      </c>
      <c r="DF102" s="239">
        <v>0</v>
      </c>
      <c r="DG102" s="239">
        <v>0</v>
      </c>
      <c r="DH102" s="239">
        <v>0</v>
      </c>
      <c r="DI102" s="239">
        <v>0</v>
      </c>
      <c r="DJ102" s="239">
        <v>0</v>
      </c>
      <c r="DK102" s="239">
        <v>536</v>
      </c>
      <c r="DL102" s="239">
        <v>121</v>
      </c>
      <c r="DM102" s="239">
        <v>13</v>
      </c>
      <c r="DN102" s="239">
        <v>-536</v>
      </c>
      <c r="DO102" s="239">
        <v>-121</v>
      </c>
      <c r="DP102" s="239">
        <v>-13</v>
      </c>
      <c r="DQ102" s="239">
        <v>0</v>
      </c>
      <c r="DR102" s="239">
        <v>0</v>
      </c>
      <c r="DS102" s="239">
        <v>0</v>
      </c>
      <c r="DT102" s="239">
        <v>0</v>
      </c>
      <c r="DU102" s="239">
        <v>0</v>
      </c>
      <c r="DV102" s="239">
        <v>0</v>
      </c>
      <c r="DW102" s="239">
        <v>0</v>
      </c>
      <c r="DX102" s="239">
        <v>0</v>
      </c>
      <c r="DY102" s="239">
        <v>0</v>
      </c>
      <c r="DZ102" s="239">
        <v>8801</v>
      </c>
      <c r="EA102" s="239">
        <v>1980</v>
      </c>
      <c r="EB102" s="239">
        <v>220</v>
      </c>
      <c r="EC102" s="239">
        <v>11589</v>
      </c>
      <c r="ED102" s="239">
        <v>0</v>
      </c>
      <c r="EE102" s="239">
        <v>0</v>
      </c>
      <c r="EF102" s="239">
        <v>-2788</v>
      </c>
      <c r="EG102" s="239">
        <v>1980</v>
      </c>
      <c r="EH102" s="239">
        <v>220</v>
      </c>
      <c r="EI102" s="239">
        <v>55272</v>
      </c>
      <c r="EJ102" s="239">
        <v>12436</v>
      </c>
      <c r="EK102" s="239">
        <v>1382</v>
      </c>
      <c r="EL102" s="239">
        <v>70263</v>
      </c>
      <c r="EM102" s="239">
        <v>0</v>
      </c>
      <c r="EN102" s="239">
        <v>0</v>
      </c>
      <c r="EO102" s="239">
        <v>-14991</v>
      </c>
      <c r="EP102" s="239">
        <v>12436</v>
      </c>
      <c r="EQ102" s="239">
        <v>1382</v>
      </c>
      <c r="ER102" s="239">
        <v>17755</v>
      </c>
      <c r="ES102" s="239">
        <v>3995</v>
      </c>
      <c r="ET102" s="239">
        <v>444</v>
      </c>
      <c r="EU102" s="239">
        <v>21784</v>
      </c>
      <c r="EV102" s="239">
        <v>0</v>
      </c>
      <c r="EW102" s="239">
        <v>0</v>
      </c>
      <c r="EX102" s="239">
        <v>-4029</v>
      </c>
      <c r="EY102" s="239">
        <v>3995</v>
      </c>
      <c r="EZ102" s="239">
        <v>444</v>
      </c>
      <c r="FA102" s="239">
        <v>133038</v>
      </c>
      <c r="FB102" s="239">
        <v>29934</v>
      </c>
      <c r="FC102" s="239">
        <v>3326</v>
      </c>
      <c r="FD102" s="239">
        <v>146851</v>
      </c>
      <c r="FE102" s="239">
        <v>33042</v>
      </c>
      <c r="FF102" s="239">
        <v>3671</v>
      </c>
      <c r="FG102" s="239">
        <v>-13813</v>
      </c>
      <c r="FH102" s="239">
        <v>-3108</v>
      </c>
      <c r="FI102" s="239">
        <v>-345</v>
      </c>
      <c r="FJ102" s="239">
        <v>0</v>
      </c>
      <c r="FK102" s="239">
        <v>0</v>
      </c>
      <c r="FL102" s="239">
        <v>0</v>
      </c>
      <c r="FM102" s="239">
        <v>0</v>
      </c>
      <c r="FN102" s="239">
        <v>0</v>
      </c>
      <c r="FO102" s="239">
        <v>0</v>
      </c>
      <c r="FP102" s="239">
        <v>0</v>
      </c>
      <c r="FQ102" s="239">
        <v>0</v>
      </c>
      <c r="FR102" s="239">
        <v>0</v>
      </c>
      <c r="FS102" s="239">
        <v>0</v>
      </c>
      <c r="FT102" s="239">
        <v>0</v>
      </c>
      <c r="FU102" s="239">
        <v>0</v>
      </c>
      <c r="FV102" s="239">
        <v>1304602</v>
      </c>
      <c r="FW102" s="239">
        <v>293535</v>
      </c>
      <c r="FX102" s="239">
        <v>32616</v>
      </c>
      <c r="FY102" s="834">
        <v>0.5</v>
      </c>
      <c r="FZ102" s="834">
        <v>0.4</v>
      </c>
      <c r="GA102" s="834">
        <v>0.09</v>
      </c>
      <c r="GB102" s="834">
        <v>0.01</v>
      </c>
      <c r="GC102" s="214" t="s">
        <v>1158</v>
      </c>
    </row>
    <row r="103" spans="2:185" s="214" customFormat="1" x14ac:dyDescent="0.2">
      <c r="B103" s="602" t="s">
        <v>289</v>
      </c>
      <c r="C103" s="602" t="s">
        <v>288</v>
      </c>
      <c r="D103" s="239">
        <v>-4960872</v>
      </c>
      <c r="E103" s="239">
        <v>0</v>
      </c>
      <c r="F103" s="239">
        <v>-4960872</v>
      </c>
      <c r="G103" s="239">
        <v>-5394536</v>
      </c>
      <c r="H103" s="239">
        <v>0</v>
      </c>
      <c r="I103" s="239">
        <v>-5394536</v>
      </c>
      <c r="J103" s="239">
        <v>433664</v>
      </c>
      <c r="K103" s="239">
        <v>0</v>
      </c>
      <c r="L103" s="239">
        <v>433664</v>
      </c>
      <c r="M103" s="239">
        <v>215774</v>
      </c>
      <c r="N103" s="239">
        <v>215774</v>
      </c>
      <c r="O103" s="239">
        <v>0</v>
      </c>
      <c r="P103" s="239">
        <v>0</v>
      </c>
      <c r="Q103" s="239">
        <v>0</v>
      </c>
      <c r="R103" s="239">
        <v>0</v>
      </c>
      <c r="S103" s="239">
        <v>0</v>
      </c>
      <c r="T103" s="239">
        <v>0</v>
      </c>
      <c r="U103" s="239">
        <v>0</v>
      </c>
      <c r="V103" s="239">
        <v>0</v>
      </c>
      <c r="W103" s="239">
        <v>0</v>
      </c>
      <c r="X103" s="239">
        <v>0</v>
      </c>
      <c r="Y103" s="239">
        <v>0</v>
      </c>
      <c r="Z103" s="239">
        <v>0</v>
      </c>
      <c r="AA103" s="239">
        <v>0</v>
      </c>
      <c r="AB103" s="239">
        <v>0</v>
      </c>
      <c r="AC103" s="239">
        <v>0</v>
      </c>
      <c r="AD103" s="239">
        <v>0</v>
      </c>
      <c r="AE103" s="239">
        <v>0</v>
      </c>
      <c r="AF103" s="239">
        <v>0</v>
      </c>
      <c r="AG103" s="239">
        <v>0</v>
      </c>
      <c r="AH103" s="239">
        <v>0</v>
      </c>
      <c r="AI103" s="239">
        <v>0</v>
      </c>
      <c r="AJ103" s="239">
        <v>0</v>
      </c>
      <c r="AK103" s="239">
        <v>0</v>
      </c>
      <c r="AL103" s="239">
        <v>0</v>
      </c>
      <c r="AM103" s="239">
        <v>0</v>
      </c>
      <c r="AN103" s="239">
        <v>0</v>
      </c>
      <c r="AO103" s="239">
        <v>0</v>
      </c>
      <c r="AP103" s="239">
        <v>0</v>
      </c>
      <c r="AQ103" s="239">
        <v>0</v>
      </c>
      <c r="AR103" s="239">
        <v>0</v>
      </c>
      <c r="AS103" s="239">
        <v>0</v>
      </c>
      <c r="AT103" s="239">
        <v>0</v>
      </c>
      <c r="AU103" s="239">
        <v>0</v>
      </c>
      <c r="AV103" s="239">
        <v>0</v>
      </c>
      <c r="AW103" s="239">
        <v>0</v>
      </c>
      <c r="AX103" s="239">
        <v>0</v>
      </c>
      <c r="AY103" s="239">
        <v>0</v>
      </c>
      <c r="AZ103" s="239">
        <v>0</v>
      </c>
      <c r="BA103" s="239">
        <v>0</v>
      </c>
      <c r="BB103" s="239">
        <v>0</v>
      </c>
      <c r="BC103" s="239">
        <v>1062755</v>
      </c>
      <c r="BD103" s="239">
        <v>239120</v>
      </c>
      <c r="BE103" s="239">
        <v>26569</v>
      </c>
      <c r="BF103" s="239">
        <v>1028620.4317201717</v>
      </c>
      <c r="BG103" s="239">
        <v>231439.59713703863</v>
      </c>
      <c r="BH103" s="239">
        <v>25715.51079300429</v>
      </c>
      <c r="BI103" s="239">
        <v>127435.7818025751</v>
      </c>
      <c r="BJ103" s="239">
        <v>28673.050905579395</v>
      </c>
      <c r="BK103" s="239">
        <v>3185.8945450643773</v>
      </c>
      <c r="BL103" s="239">
        <v>1000452</v>
      </c>
      <c r="BM103" s="239">
        <v>141351</v>
      </c>
      <c r="BN103" s="239">
        <v>15706</v>
      </c>
      <c r="BO103" s="239">
        <v>62303</v>
      </c>
      <c r="BP103" s="239">
        <v>97769</v>
      </c>
      <c r="BQ103" s="239">
        <v>10863</v>
      </c>
      <c r="BR103" s="239">
        <v>3579</v>
      </c>
      <c r="BS103" s="239">
        <v>805</v>
      </c>
      <c r="BT103" s="239">
        <v>89</v>
      </c>
      <c r="BU103" s="239">
        <v>9451</v>
      </c>
      <c r="BV103" s="239">
        <v>2126</v>
      </c>
      <c r="BW103" s="239">
        <v>236</v>
      </c>
      <c r="BX103" s="239">
        <v>-5872</v>
      </c>
      <c r="BY103" s="239">
        <v>-1321</v>
      </c>
      <c r="BZ103" s="239">
        <v>-147</v>
      </c>
      <c r="CA103" s="239">
        <v>-203</v>
      </c>
      <c r="CB103" s="239">
        <v>-46</v>
      </c>
      <c r="CC103" s="239">
        <v>-5</v>
      </c>
      <c r="CD103" s="239">
        <v>0</v>
      </c>
      <c r="CE103" s="239">
        <v>0</v>
      </c>
      <c r="CF103" s="239">
        <v>0</v>
      </c>
      <c r="CG103" s="239">
        <v>-203</v>
      </c>
      <c r="CH103" s="239">
        <v>-46</v>
      </c>
      <c r="CI103" s="239">
        <v>-5</v>
      </c>
      <c r="CJ103" s="239">
        <v>29266</v>
      </c>
      <c r="CK103" s="239">
        <v>6585</v>
      </c>
      <c r="CL103" s="239">
        <v>732</v>
      </c>
      <c r="CM103" s="239">
        <v>1584</v>
      </c>
      <c r="CN103" s="239">
        <v>357</v>
      </c>
      <c r="CO103" s="239">
        <v>40</v>
      </c>
      <c r="CP103" s="239">
        <v>27682</v>
      </c>
      <c r="CQ103" s="239">
        <v>6228</v>
      </c>
      <c r="CR103" s="239">
        <v>692</v>
      </c>
      <c r="CS103" s="239">
        <v>-4192</v>
      </c>
      <c r="CT103" s="239">
        <v>-943</v>
      </c>
      <c r="CU103" s="239">
        <v>-105</v>
      </c>
      <c r="CV103" s="239">
        <v>0</v>
      </c>
      <c r="CW103" s="239">
        <v>0</v>
      </c>
      <c r="CX103" s="239">
        <v>0</v>
      </c>
      <c r="CY103" s="239">
        <v>0</v>
      </c>
      <c r="CZ103" s="239">
        <v>0</v>
      </c>
      <c r="DA103" s="239">
        <v>0</v>
      </c>
      <c r="DB103" s="239">
        <v>0</v>
      </c>
      <c r="DC103" s="239">
        <v>0</v>
      </c>
      <c r="DD103" s="239">
        <v>0</v>
      </c>
      <c r="DE103" s="239">
        <v>-1828</v>
      </c>
      <c r="DF103" s="239">
        <v>-411</v>
      </c>
      <c r="DG103" s="239">
        <v>-46</v>
      </c>
      <c r="DH103" s="239">
        <v>0</v>
      </c>
      <c r="DI103" s="239">
        <v>0</v>
      </c>
      <c r="DJ103" s="239">
        <v>0</v>
      </c>
      <c r="DK103" s="239">
        <v>0</v>
      </c>
      <c r="DL103" s="239">
        <v>0</v>
      </c>
      <c r="DM103" s="239">
        <v>0</v>
      </c>
      <c r="DN103" s="239">
        <v>0</v>
      </c>
      <c r="DO103" s="239">
        <v>0</v>
      </c>
      <c r="DP103" s="239">
        <v>0</v>
      </c>
      <c r="DQ103" s="239">
        <v>609</v>
      </c>
      <c r="DR103" s="239">
        <v>137</v>
      </c>
      <c r="DS103" s="239">
        <v>15</v>
      </c>
      <c r="DT103" s="239">
        <v>0</v>
      </c>
      <c r="DU103" s="239">
        <v>0</v>
      </c>
      <c r="DV103" s="239">
        <v>0</v>
      </c>
      <c r="DW103" s="239">
        <v>609</v>
      </c>
      <c r="DX103" s="239">
        <v>137</v>
      </c>
      <c r="DY103" s="239">
        <v>15</v>
      </c>
      <c r="DZ103" s="239">
        <v>9026</v>
      </c>
      <c r="EA103" s="239">
        <v>2031</v>
      </c>
      <c r="EB103" s="239">
        <v>226</v>
      </c>
      <c r="EC103" s="239">
        <v>10798</v>
      </c>
      <c r="ED103" s="239">
        <v>0</v>
      </c>
      <c r="EE103" s="239">
        <v>0</v>
      </c>
      <c r="EF103" s="239">
        <v>-1772</v>
      </c>
      <c r="EG103" s="239">
        <v>2031</v>
      </c>
      <c r="EH103" s="239">
        <v>226</v>
      </c>
      <c r="EI103" s="239">
        <v>143443</v>
      </c>
      <c r="EJ103" s="239">
        <v>32275</v>
      </c>
      <c r="EK103" s="239">
        <v>3586</v>
      </c>
      <c r="EL103" s="239">
        <v>178748</v>
      </c>
      <c r="EM103" s="239">
        <v>0</v>
      </c>
      <c r="EN103" s="239">
        <v>0</v>
      </c>
      <c r="EO103" s="239">
        <v>-35305</v>
      </c>
      <c r="EP103" s="239">
        <v>32275</v>
      </c>
      <c r="EQ103" s="239">
        <v>3586</v>
      </c>
      <c r="ER103" s="239">
        <v>15451</v>
      </c>
      <c r="ES103" s="239">
        <v>3476</v>
      </c>
      <c r="ET103" s="239">
        <v>386</v>
      </c>
      <c r="EU103" s="239">
        <v>27913</v>
      </c>
      <c r="EV103" s="239">
        <v>0</v>
      </c>
      <c r="EW103" s="239">
        <v>0</v>
      </c>
      <c r="EX103" s="239">
        <v>-12462</v>
      </c>
      <c r="EY103" s="239">
        <v>3476</v>
      </c>
      <c r="EZ103" s="239">
        <v>386</v>
      </c>
      <c r="FA103" s="239">
        <v>420268</v>
      </c>
      <c r="FB103" s="239">
        <v>94560</v>
      </c>
      <c r="FC103" s="239">
        <v>10507</v>
      </c>
      <c r="FD103" s="239">
        <v>440057</v>
      </c>
      <c r="FE103" s="239">
        <v>99013</v>
      </c>
      <c r="FF103" s="239">
        <v>11001</v>
      </c>
      <c r="FG103" s="239">
        <v>-19789</v>
      </c>
      <c r="FH103" s="239">
        <v>-4453</v>
      </c>
      <c r="FI103" s="239">
        <v>-494</v>
      </c>
      <c r="FJ103" s="239">
        <v>0</v>
      </c>
      <c r="FK103" s="239">
        <v>0</v>
      </c>
      <c r="FL103" s="239">
        <v>0</v>
      </c>
      <c r="FM103" s="239">
        <v>0</v>
      </c>
      <c r="FN103" s="239">
        <v>0</v>
      </c>
      <c r="FO103" s="239">
        <v>0</v>
      </c>
      <c r="FP103" s="239">
        <v>0</v>
      </c>
      <c r="FQ103" s="239">
        <v>0</v>
      </c>
      <c r="FR103" s="239">
        <v>0</v>
      </c>
      <c r="FS103" s="239">
        <v>0</v>
      </c>
      <c r="FT103" s="239">
        <v>0</v>
      </c>
      <c r="FU103" s="239">
        <v>0</v>
      </c>
      <c r="FV103" s="239">
        <v>1678174</v>
      </c>
      <c r="FW103" s="239">
        <v>377589</v>
      </c>
      <c r="FX103" s="239">
        <v>41954</v>
      </c>
      <c r="FY103" s="834">
        <v>0.5</v>
      </c>
      <c r="FZ103" s="834">
        <v>0.4</v>
      </c>
      <c r="GA103" s="834">
        <v>0.09</v>
      </c>
      <c r="GB103" s="834">
        <v>0.01</v>
      </c>
      <c r="GC103" s="214" t="s">
        <v>1158</v>
      </c>
    </row>
    <row r="104" spans="2:185" s="214" customFormat="1" x14ac:dyDescent="0.2">
      <c r="B104" s="602" t="s">
        <v>291</v>
      </c>
      <c r="C104" s="602" t="s">
        <v>290</v>
      </c>
      <c r="D104" s="239">
        <v>-1729254</v>
      </c>
      <c r="E104" s="239">
        <v>-1617</v>
      </c>
      <c r="F104" s="239">
        <v>-1730871</v>
      </c>
      <c r="G104" s="239">
        <v>-1955487</v>
      </c>
      <c r="H104" s="239">
        <v>49</v>
      </c>
      <c r="I104" s="239">
        <v>-1955438</v>
      </c>
      <c r="J104" s="239">
        <v>226233</v>
      </c>
      <c r="K104" s="239">
        <v>-1666</v>
      </c>
      <c r="L104" s="239">
        <v>224567</v>
      </c>
      <c r="M104" s="239">
        <v>138082</v>
      </c>
      <c r="N104" s="239">
        <v>138082</v>
      </c>
      <c r="O104" s="239">
        <v>0</v>
      </c>
      <c r="P104" s="239">
        <v>41572</v>
      </c>
      <c r="Q104" s="239">
        <v>206050</v>
      </c>
      <c r="R104" s="239">
        <v>-164478</v>
      </c>
      <c r="S104" s="239">
        <v>79829</v>
      </c>
      <c r="T104" s="239">
        <v>0</v>
      </c>
      <c r="U104" s="239">
        <v>75611</v>
      </c>
      <c r="V104" s="239">
        <v>0</v>
      </c>
      <c r="W104" s="239">
        <v>4218</v>
      </c>
      <c r="X104" s="239">
        <v>0</v>
      </c>
      <c r="Y104" s="239">
        <v>110671</v>
      </c>
      <c r="Z104" s="239">
        <v>110671</v>
      </c>
      <c r="AA104" s="239">
        <v>0</v>
      </c>
      <c r="AB104" s="239">
        <v>0</v>
      </c>
      <c r="AC104" s="239">
        <v>318655</v>
      </c>
      <c r="AD104" s="239">
        <v>318655</v>
      </c>
      <c r="AE104" s="239">
        <v>0</v>
      </c>
      <c r="AF104" s="239">
        <v>0</v>
      </c>
      <c r="AG104" s="239">
        <v>-207984</v>
      </c>
      <c r="AH104" s="239">
        <v>-207984</v>
      </c>
      <c r="AI104" s="239">
        <v>0</v>
      </c>
      <c r="AJ104" s="239">
        <v>0</v>
      </c>
      <c r="AK104" s="239">
        <v>0</v>
      </c>
      <c r="AL104" s="239">
        <v>0</v>
      </c>
      <c r="AM104" s="239">
        <v>0</v>
      </c>
      <c r="AN104" s="239">
        <v>0</v>
      </c>
      <c r="AO104" s="239">
        <v>0</v>
      </c>
      <c r="AP104" s="239">
        <v>0</v>
      </c>
      <c r="AQ104" s="239">
        <v>0</v>
      </c>
      <c r="AR104" s="239">
        <v>0</v>
      </c>
      <c r="AS104" s="239">
        <v>0</v>
      </c>
      <c r="AT104" s="239">
        <v>0</v>
      </c>
      <c r="AU104" s="239">
        <v>0</v>
      </c>
      <c r="AV104" s="239">
        <v>0</v>
      </c>
      <c r="AW104" s="239">
        <v>0</v>
      </c>
      <c r="AX104" s="239">
        <v>0</v>
      </c>
      <c r="AY104" s="239">
        <v>0</v>
      </c>
      <c r="AZ104" s="239">
        <v>0</v>
      </c>
      <c r="BA104" s="239">
        <v>0</v>
      </c>
      <c r="BB104" s="239">
        <v>0</v>
      </c>
      <c r="BC104" s="239">
        <v>900815</v>
      </c>
      <c r="BD104" s="239">
        <v>200677</v>
      </c>
      <c r="BE104" s="239">
        <v>22297</v>
      </c>
      <c r="BF104" s="239">
        <v>871895.28569613735</v>
      </c>
      <c r="BG104" s="239">
        <v>194234.95495545061</v>
      </c>
      <c r="BH104" s="239">
        <v>21581.661661716738</v>
      </c>
      <c r="BI104" s="239">
        <v>82128.471931330467</v>
      </c>
      <c r="BJ104" s="239">
        <v>18392.806989270382</v>
      </c>
      <c r="BK104" s="239">
        <v>2043.6452210300426</v>
      </c>
      <c r="BL104" s="239">
        <v>882447</v>
      </c>
      <c r="BM104" s="239">
        <v>123708</v>
      </c>
      <c r="BN104" s="239">
        <v>13745</v>
      </c>
      <c r="BO104" s="239">
        <v>18368</v>
      </c>
      <c r="BP104" s="239">
        <v>76969</v>
      </c>
      <c r="BQ104" s="239">
        <v>8552</v>
      </c>
      <c r="BR104" s="239">
        <v>3499</v>
      </c>
      <c r="BS104" s="239">
        <v>787</v>
      </c>
      <c r="BT104" s="239">
        <v>87</v>
      </c>
      <c r="BU104" s="239">
        <v>3123</v>
      </c>
      <c r="BV104" s="239">
        <v>702</v>
      </c>
      <c r="BW104" s="239">
        <v>78</v>
      </c>
      <c r="BX104" s="239">
        <v>376</v>
      </c>
      <c r="BY104" s="239">
        <v>85</v>
      </c>
      <c r="BZ104" s="239">
        <v>9</v>
      </c>
      <c r="CA104" s="239">
        <v>0</v>
      </c>
      <c r="CB104" s="239">
        <v>0</v>
      </c>
      <c r="CC104" s="239">
        <v>0</v>
      </c>
      <c r="CD104" s="239">
        <v>1219</v>
      </c>
      <c r="CE104" s="239">
        <v>274</v>
      </c>
      <c r="CF104" s="239">
        <v>30</v>
      </c>
      <c r="CG104" s="239">
        <v>-1219</v>
      </c>
      <c r="CH104" s="239">
        <v>-274</v>
      </c>
      <c r="CI104" s="239">
        <v>-30</v>
      </c>
      <c r="CJ104" s="239">
        <v>-27</v>
      </c>
      <c r="CK104" s="239">
        <v>-6</v>
      </c>
      <c r="CL104" s="239">
        <v>-1</v>
      </c>
      <c r="CM104" s="239">
        <v>1406</v>
      </c>
      <c r="CN104" s="239">
        <v>316</v>
      </c>
      <c r="CO104" s="239">
        <v>35</v>
      </c>
      <c r="CP104" s="239">
        <v>-1433</v>
      </c>
      <c r="CQ104" s="239">
        <v>-322</v>
      </c>
      <c r="CR104" s="239">
        <v>-36</v>
      </c>
      <c r="CS104" s="239">
        <v>0</v>
      </c>
      <c r="CT104" s="239">
        <v>0</v>
      </c>
      <c r="CU104" s="239">
        <v>0</v>
      </c>
      <c r="CV104" s="239">
        <v>0</v>
      </c>
      <c r="CW104" s="239">
        <v>0</v>
      </c>
      <c r="CX104" s="239">
        <v>0</v>
      </c>
      <c r="CY104" s="239">
        <v>0</v>
      </c>
      <c r="CZ104" s="239">
        <v>0</v>
      </c>
      <c r="DA104" s="239">
        <v>0</v>
      </c>
      <c r="DB104" s="239">
        <v>0</v>
      </c>
      <c r="DC104" s="239">
        <v>0</v>
      </c>
      <c r="DD104" s="239">
        <v>0</v>
      </c>
      <c r="DE104" s="239">
        <v>0</v>
      </c>
      <c r="DF104" s="239">
        <v>0</v>
      </c>
      <c r="DG104" s="239">
        <v>0</v>
      </c>
      <c r="DH104" s="239">
        <v>0</v>
      </c>
      <c r="DI104" s="239">
        <v>0</v>
      </c>
      <c r="DJ104" s="239">
        <v>0</v>
      </c>
      <c r="DK104" s="239">
        <v>0</v>
      </c>
      <c r="DL104" s="239">
        <v>0</v>
      </c>
      <c r="DM104" s="239">
        <v>0</v>
      </c>
      <c r="DN104" s="239">
        <v>0</v>
      </c>
      <c r="DO104" s="239">
        <v>0</v>
      </c>
      <c r="DP104" s="239">
        <v>0</v>
      </c>
      <c r="DQ104" s="239">
        <v>0</v>
      </c>
      <c r="DR104" s="239">
        <v>0</v>
      </c>
      <c r="DS104" s="239">
        <v>0</v>
      </c>
      <c r="DT104" s="239">
        <v>1219</v>
      </c>
      <c r="DU104" s="239">
        <v>274</v>
      </c>
      <c r="DV104" s="239">
        <v>30</v>
      </c>
      <c r="DW104" s="239">
        <v>-1219</v>
      </c>
      <c r="DX104" s="239">
        <v>-274</v>
      </c>
      <c r="DY104" s="239">
        <v>-30</v>
      </c>
      <c r="DZ104" s="239">
        <v>4188</v>
      </c>
      <c r="EA104" s="239">
        <v>942</v>
      </c>
      <c r="EB104" s="239">
        <v>105</v>
      </c>
      <c r="EC104" s="239">
        <v>5235</v>
      </c>
      <c r="ED104" s="239">
        <v>0</v>
      </c>
      <c r="EE104" s="239">
        <v>0</v>
      </c>
      <c r="EF104" s="239">
        <v>-1047</v>
      </c>
      <c r="EG104" s="239">
        <v>942</v>
      </c>
      <c r="EH104" s="239">
        <v>105</v>
      </c>
      <c r="EI104" s="239">
        <v>66947</v>
      </c>
      <c r="EJ104" s="239">
        <v>15063</v>
      </c>
      <c r="EK104" s="239">
        <v>1674</v>
      </c>
      <c r="EL104" s="239">
        <v>90898</v>
      </c>
      <c r="EM104" s="239">
        <v>0</v>
      </c>
      <c r="EN104" s="239">
        <v>0</v>
      </c>
      <c r="EO104" s="239">
        <v>-23951</v>
      </c>
      <c r="EP104" s="239">
        <v>15063</v>
      </c>
      <c r="EQ104" s="239">
        <v>1674</v>
      </c>
      <c r="ER104" s="239">
        <v>6910</v>
      </c>
      <c r="ES104" s="239">
        <v>1555</v>
      </c>
      <c r="ET104" s="239">
        <v>173</v>
      </c>
      <c r="EU104" s="239">
        <v>18270</v>
      </c>
      <c r="EV104" s="239">
        <v>0</v>
      </c>
      <c r="EW104" s="239">
        <v>0</v>
      </c>
      <c r="EX104" s="239">
        <v>-11360</v>
      </c>
      <c r="EY104" s="239">
        <v>1555</v>
      </c>
      <c r="EZ104" s="239">
        <v>173</v>
      </c>
      <c r="FA104" s="239">
        <v>240718</v>
      </c>
      <c r="FB104" s="239">
        <v>53751</v>
      </c>
      <c r="FC104" s="239">
        <v>5972</v>
      </c>
      <c r="FD104" s="239">
        <v>232435</v>
      </c>
      <c r="FE104" s="239">
        <v>50269</v>
      </c>
      <c r="FF104" s="239">
        <v>5585</v>
      </c>
      <c r="FG104" s="239">
        <v>8283</v>
      </c>
      <c r="FH104" s="239">
        <v>3482</v>
      </c>
      <c r="FI104" s="239">
        <v>387</v>
      </c>
      <c r="FJ104" s="239">
        <v>0</v>
      </c>
      <c r="FK104" s="239">
        <v>0</v>
      </c>
      <c r="FL104" s="239">
        <v>0</v>
      </c>
      <c r="FM104" s="239">
        <v>0</v>
      </c>
      <c r="FN104" s="239">
        <v>0</v>
      </c>
      <c r="FO104" s="239">
        <v>0</v>
      </c>
      <c r="FP104" s="239">
        <v>0</v>
      </c>
      <c r="FQ104" s="239">
        <v>0</v>
      </c>
      <c r="FR104" s="239">
        <v>0</v>
      </c>
      <c r="FS104" s="239">
        <v>0</v>
      </c>
      <c r="FT104" s="239">
        <v>0</v>
      </c>
      <c r="FU104" s="239">
        <v>0</v>
      </c>
      <c r="FV104" s="239">
        <v>1223050</v>
      </c>
      <c r="FW104" s="239">
        <v>272769</v>
      </c>
      <c r="FX104" s="239">
        <v>30307</v>
      </c>
      <c r="FY104" s="834">
        <v>0.5</v>
      </c>
      <c r="FZ104" s="834">
        <v>0.4</v>
      </c>
      <c r="GA104" s="834">
        <v>0.09</v>
      </c>
      <c r="GB104" s="834">
        <v>0.01</v>
      </c>
      <c r="GC104" s="214" t="s">
        <v>1158</v>
      </c>
    </row>
    <row r="105" spans="2:185" s="214" customFormat="1" x14ac:dyDescent="0.2">
      <c r="B105" s="602" t="s">
        <v>293</v>
      </c>
      <c r="C105" s="602" t="s">
        <v>292</v>
      </c>
      <c r="D105" s="239">
        <v>-481301</v>
      </c>
      <c r="E105" s="239">
        <v>0</v>
      </c>
      <c r="F105" s="239">
        <v>-481301</v>
      </c>
      <c r="G105" s="239">
        <v>-441276</v>
      </c>
      <c r="H105" s="239">
        <v>0</v>
      </c>
      <c r="I105" s="239">
        <v>-441276</v>
      </c>
      <c r="J105" s="239">
        <v>-40025</v>
      </c>
      <c r="K105" s="239">
        <v>0</v>
      </c>
      <c r="L105" s="239">
        <v>-40025</v>
      </c>
      <c r="M105" s="239">
        <v>124366</v>
      </c>
      <c r="N105" s="239">
        <v>124366</v>
      </c>
      <c r="O105" s="239">
        <v>0</v>
      </c>
      <c r="P105" s="239">
        <v>0</v>
      </c>
      <c r="Q105" s="239">
        <v>0</v>
      </c>
      <c r="R105" s="239">
        <v>0</v>
      </c>
      <c r="S105" s="239">
        <v>222929</v>
      </c>
      <c r="T105" s="239">
        <v>0</v>
      </c>
      <c r="U105" s="239">
        <v>253074</v>
      </c>
      <c r="V105" s="239">
        <v>0</v>
      </c>
      <c r="W105" s="239">
        <v>-30145</v>
      </c>
      <c r="X105" s="239">
        <v>0</v>
      </c>
      <c r="Y105" s="239">
        <v>0</v>
      </c>
      <c r="Z105" s="239">
        <v>0</v>
      </c>
      <c r="AA105" s="239">
        <v>0</v>
      </c>
      <c r="AB105" s="239">
        <v>0</v>
      </c>
      <c r="AC105" s="239">
        <v>0</v>
      </c>
      <c r="AD105" s="239">
        <v>0</v>
      </c>
      <c r="AE105" s="239">
        <v>0</v>
      </c>
      <c r="AF105" s="239">
        <v>0</v>
      </c>
      <c r="AG105" s="239">
        <v>0</v>
      </c>
      <c r="AH105" s="239">
        <v>0</v>
      </c>
      <c r="AI105" s="239">
        <v>0</v>
      </c>
      <c r="AJ105" s="239">
        <v>0</v>
      </c>
      <c r="AK105" s="239">
        <v>0</v>
      </c>
      <c r="AL105" s="239">
        <v>0</v>
      </c>
      <c r="AM105" s="239">
        <v>0</v>
      </c>
      <c r="AN105" s="239">
        <v>0</v>
      </c>
      <c r="AO105" s="239">
        <v>21554.919319508597</v>
      </c>
      <c r="AP105" s="239">
        <v>17244</v>
      </c>
      <c r="AQ105" s="239">
        <v>3880</v>
      </c>
      <c r="AR105" s="239">
        <v>431</v>
      </c>
      <c r="AS105" s="239">
        <v>-21555</v>
      </c>
      <c r="AT105" s="239">
        <v>-17244</v>
      </c>
      <c r="AU105" s="239">
        <v>-3880</v>
      </c>
      <c r="AV105" s="239">
        <v>-431</v>
      </c>
      <c r="AW105" s="239">
        <v>0</v>
      </c>
      <c r="AX105" s="239">
        <v>0</v>
      </c>
      <c r="AY105" s="239">
        <v>0</v>
      </c>
      <c r="AZ105" s="239">
        <v>0</v>
      </c>
      <c r="BA105" s="239">
        <v>0</v>
      </c>
      <c r="BB105" s="239">
        <v>0</v>
      </c>
      <c r="BC105" s="239">
        <v>967873</v>
      </c>
      <c r="BD105" s="239">
        <v>217771</v>
      </c>
      <c r="BE105" s="239">
        <v>24197</v>
      </c>
      <c r="BF105" s="239">
        <v>949730.49618884118</v>
      </c>
      <c r="BG105" s="239">
        <v>213689.36164248927</v>
      </c>
      <c r="BH105" s="239">
        <v>23743.26240472103</v>
      </c>
      <c r="BI105" s="239">
        <v>50822.14476394849</v>
      </c>
      <c r="BJ105" s="239">
        <v>11434.982571888411</v>
      </c>
      <c r="BK105" s="239">
        <v>1270.5536190987123</v>
      </c>
      <c r="BL105" s="239">
        <v>952843</v>
      </c>
      <c r="BM105" s="239">
        <v>147600</v>
      </c>
      <c r="BN105" s="239">
        <v>16400</v>
      </c>
      <c r="BO105" s="239">
        <v>15030</v>
      </c>
      <c r="BP105" s="239">
        <v>70171</v>
      </c>
      <c r="BQ105" s="239">
        <v>7797</v>
      </c>
      <c r="BR105" s="239">
        <v>-41</v>
      </c>
      <c r="BS105" s="239">
        <v>-9</v>
      </c>
      <c r="BT105" s="239">
        <v>-1</v>
      </c>
      <c r="BU105" s="239">
        <v>521</v>
      </c>
      <c r="BV105" s="239">
        <v>117</v>
      </c>
      <c r="BW105" s="239">
        <v>13</v>
      </c>
      <c r="BX105" s="239">
        <v>-562</v>
      </c>
      <c r="BY105" s="239">
        <v>-126</v>
      </c>
      <c r="BZ105" s="239">
        <v>-14</v>
      </c>
      <c r="CA105" s="239">
        <v>0</v>
      </c>
      <c r="CB105" s="239">
        <v>0</v>
      </c>
      <c r="CC105" s="239">
        <v>0</v>
      </c>
      <c r="CD105" s="239">
        <v>0</v>
      </c>
      <c r="CE105" s="239">
        <v>0</v>
      </c>
      <c r="CF105" s="239">
        <v>0</v>
      </c>
      <c r="CG105" s="239">
        <v>0</v>
      </c>
      <c r="CH105" s="239">
        <v>0</v>
      </c>
      <c r="CI105" s="239">
        <v>0</v>
      </c>
      <c r="CJ105" s="239">
        <v>0</v>
      </c>
      <c r="CK105" s="239">
        <v>0</v>
      </c>
      <c r="CL105" s="239">
        <v>0</v>
      </c>
      <c r="CM105" s="239">
        <v>0</v>
      </c>
      <c r="CN105" s="239">
        <v>0</v>
      </c>
      <c r="CO105" s="239">
        <v>0</v>
      </c>
      <c r="CP105" s="239">
        <v>0</v>
      </c>
      <c r="CQ105" s="239">
        <v>0</v>
      </c>
      <c r="CR105" s="239">
        <v>0</v>
      </c>
      <c r="CS105" s="239">
        <v>-965</v>
      </c>
      <c r="CT105" s="239">
        <v>-217</v>
      </c>
      <c r="CU105" s="239">
        <v>-24</v>
      </c>
      <c r="CV105" s="239">
        <v>0</v>
      </c>
      <c r="CW105" s="239">
        <v>0</v>
      </c>
      <c r="CX105" s="239">
        <v>0</v>
      </c>
      <c r="CY105" s="239">
        <v>0</v>
      </c>
      <c r="CZ105" s="239">
        <v>0</v>
      </c>
      <c r="DA105" s="239">
        <v>0</v>
      </c>
      <c r="DB105" s="239">
        <v>0</v>
      </c>
      <c r="DC105" s="239">
        <v>0</v>
      </c>
      <c r="DD105" s="239">
        <v>0</v>
      </c>
      <c r="DE105" s="239">
        <v>-1371</v>
      </c>
      <c r="DF105" s="239">
        <v>-308</v>
      </c>
      <c r="DG105" s="239">
        <v>-34</v>
      </c>
      <c r="DH105" s="239">
        <v>10361</v>
      </c>
      <c r="DI105" s="239">
        <v>2331</v>
      </c>
      <c r="DJ105" s="239">
        <v>259</v>
      </c>
      <c r="DK105" s="239">
        <v>11591</v>
      </c>
      <c r="DL105" s="239">
        <v>2608</v>
      </c>
      <c r="DM105" s="239">
        <v>290</v>
      </c>
      <c r="DN105" s="239">
        <v>-1230</v>
      </c>
      <c r="DO105" s="239">
        <v>-277</v>
      </c>
      <c r="DP105" s="239">
        <v>-31</v>
      </c>
      <c r="DQ105" s="239">
        <v>0</v>
      </c>
      <c r="DR105" s="239">
        <v>0</v>
      </c>
      <c r="DS105" s="239">
        <v>0</v>
      </c>
      <c r="DT105" s="239">
        <v>0</v>
      </c>
      <c r="DU105" s="239">
        <v>0</v>
      </c>
      <c r="DV105" s="239">
        <v>0</v>
      </c>
      <c r="DW105" s="239">
        <v>0</v>
      </c>
      <c r="DX105" s="239">
        <v>0</v>
      </c>
      <c r="DY105" s="239">
        <v>0</v>
      </c>
      <c r="DZ105" s="239">
        <v>10538</v>
      </c>
      <c r="EA105" s="239">
        <v>2371</v>
      </c>
      <c r="EB105" s="239">
        <v>263</v>
      </c>
      <c r="EC105" s="239">
        <v>12423</v>
      </c>
      <c r="ED105" s="239">
        <v>0</v>
      </c>
      <c r="EE105" s="239">
        <v>0</v>
      </c>
      <c r="EF105" s="239">
        <v>-1885</v>
      </c>
      <c r="EG105" s="239">
        <v>2371</v>
      </c>
      <c r="EH105" s="239">
        <v>263</v>
      </c>
      <c r="EI105" s="239">
        <v>8639</v>
      </c>
      <c r="EJ105" s="239">
        <v>1944</v>
      </c>
      <c r="EK105" s="239">
        <v>216</v>
      </c>
      <c r="EL105" s="239">
        <v>79792</v>
      </c>
      <c r="EM105" s="239">
        <v>0</v>
      </c>
      <c r="EN105" s="239">
        <v>0</v>
      </c>
      <c r="EO105" s="239">
        <v>-71153</v>
      </c>
      <c r="EP105" s="239">
        <v>1944</v>
      </c>
      <c r="EQ105" s="239">
        <v>216</v>
      </c>
      <c r="ER105" s="239">
        <v>7308</v>
      </c>
      <c r="ES105" s="239">
        <v>1644</v>
      </c>
      <c r="ET105" s="239">
        <v>183</v>
      </c>
      <c r="EU105" s="239">
        <v>11165</v>
      </c>
      <c r="EV105" s="239">
        <v>0</v>
      </c>
      <c r="EW105" s="239">
        <v>0</v>
      </c>
      <c r="EX105" s="239">
        <v>-3857</v>
      </c>
      <c r="EY105" s="239">
        <v>1644</v>
      </c>
      <c r="EZ105" s="239">
        <v>183</v>
      </c>
      <c r="FA105" s="239">
        <v>152864</v>
      </c>
      <c r="FB105" s="239">
        <v>33641</v>
      </c>
      <c r="FC105" s="239">
        <v>3738</v>
      </c>
      <c r="FD105" s="239">
        <v>148788</v>
      </c>
      <c r="FE105" s="239">
        <v>32622</v>
      </c>
      <c r="FF105" s="239">
        <v>3625</v>
      </c>
      <c r="FG105" s="239">
        <v>4076</v>
      </c>
      <c r="FH105" s="239">
        <v>1019</v>
      </c>
      <c r="FI105" s="239">
        <v>113</v>
      </c>
      <c r="FJ105" s="239">
        <v>0</v>
      </c>
      <c r="FK105" s="239">
        <v>0</v>
      </c>
      <c r="FL105" s="239">
        <v>0</v>
      </c>
      <c r="FM105" s="239">
        <v>0</v>
      </c>
      <c r="FN105" s="239">
        <v>0</v>
      </c>
      <c r="FO105" s="239">
        <v>0</v>
      </c>
      <c r="FP105" s="239">
        <v>0</v>
      </c>
      <c r="FQ105" s="239">
        <v>0</v>
      </c>
      <c r="FR105" s="239">
        <v>0</v>
      </c>
      <c r="FS105" s="239">
        <v>0</v>
      </c>
      <c r="FT105" s="239">
        <v>0</v>
      </c>
      <c r="FU105" s="239">
        <v>0</v>
      </c>
      <c r="FV105" s="239">
        <v>1155206</v>
      </c>
      <c r="FW105" s="239">
        <v>259168</v>
      </c>
      <c r="FX105" s="239">
        <v>28797</v>
      </c>
      <c r="FY105" s="834">
        <v>0.5</v>
      </c>
      <c r="FZ105" s="834">
        <v>0.4</v>
      </c>
      <c r="GA105" s="834">
        <v>0.09</v>
      </c>
      <c r="GB105" s="834">
        <v>0.01</v>
      </c>
      <c r="GC105" s="214" t="s">
        <v>1158</v>
      </c>
    </row>
    <row r="106" spans="2:185" s="214" customFormat="1" x14ac:dyDescent="0.2">
      <c r="B106" s="602" t="s">
        <v>295</v>
      </c>
      <c r="C106" s="602" t="s">
        <v>294</v>
      </c>
      <c r="D106" s="239">
        <v>732322</v>
      </c>
      <c r="E106" s="239">
        <v>0</v>
      </c>
      <c r="F106" s="239">
        <v>732322</v>
      </c>
      <c r="G106" s="239">
        <v>962712</v>
      </c>
      <c r="H106" s="239">
        <v>0</v>
      </c>
      <c r="I106" s="239">
        <v>962712</v>
      </c>
      <c r="J106" s="239">
        <v>-230390</v>
      </c>
      <c r="K106" s="239">
        <v>0</v>
      </c>
      <c r="L106" s="239">
        <v>-230390</v>
      </c>
      <c r="M106" s="239">
        <v>90908</v>
      </c>
      <c r="N106" s="239">
        <v>90908</v>
      </c>
      <c r="O106" s="239">
        <v>0</v>
      </c>
      <c r="P106" s="239">
        <v>0</v>
      </c>
      <c r="Q106" s="239">
        <v>0</v>
      </c>
      <c r="R106" s="239">
        <v>0</v>
      </c>
      <c r="S106" s="239">
        <v>90988</v>
      </c>
      <c r="T106" s="239">
        <v>0</v>
      </c>
      <c r="U106" s="239">
        <v>97797</v>
      </c>
      <c r="V106" s="239">
        <v>0</v>
      </c>
      <c r="W106" s="239">
        <v>-6809</v>
      </c>
      <c r="X106" s="239">
        <v>0</v>
      </c>
      <c r="Y106" s="239">
        <v>0</v>
      </c>
      <c r="Z106" s="239">
        <v>0</v>
      </c>
      <c r="AA106" s="239">
        <v>0</v>
      </c>
      <c r="AB106" s="239">
        <v>0</v>
      </c>
      <c r="AC106" s="239">
        <v>0</v>
      </c>
      <c r="AD106" s="239">
        <v>0</v>
      </c>
      <c r="AE106" s="239">
        <v>0</v>
      </c>
      <c r="AF106" s="239">
        <v>0</v>
      </c>
      <c r="AG106" s="239">
        <v>0</v>
      </c>
      <c r="AH106" s="239">
        <v>0</v>
      </c>
      <c r="AI106" s="239">
        <v>0</v>
      </c>
      <c r="AJ106" s="239">
        <v>0</v>
      </c>
      <c r="AK106" s="239">
        <v>0</v>
      </c>
      <c r="AL106" s="239">
        <v>0</v>
      </c>
      <c r="AM106" s="239">
        <v>0</v>
      </c>
      <c r="AN106" s="239">
        <v>0</v>
      </c>
      <c r="AO106" s="239">
        <v>0</v>
      </c>
      <c r="AP106" s="239">
        <v>0</v>
      </c>
      <c r="AQ106" s="239">
        <v>0</v>
      </c>
      <c r="AR106" s="239">
        <v>0</v>
      </c>
      <c r="AS106" s="239">
        <v>0</v>
      </c>
      <c r="AT106" s="239">
        <v>0</v>
      </c>
      <c r="AU106" s="239">
        <v>0</v>
      </c>
      <c r="AV106" s="239">
        <v>0</v>
      </c>
      <c r="AW106" s="239">
        <v>0</v>
      </c>
      <c r="AX106" s="239">
        <v>0</v>
      </c>
      <c r="AY106" s="239">
        <v>0</v>
      </c>
      <c r="AZ106" s="239">
        <v>0</v>
      </c>
      <c r="BA106" s="239">
        <v>0</v>
      </c>
      <c r="BB106" s="239">
        <v>0</v>
      </c>
      <c r="BC106" s="239">
        <v>602431</v>
      </c>
      <c r="BD106" s="239">
        <v>150608</v>
      </c>
      <c r="BE106" s="239">
        <v>0</v>
      </c>
      <c r="BF106" s="239">
        <v>586604.08924978541</v>
      </c>
      <c r="BG106" s="239">
        <v>146651.02231244635</v>
      </c>
      <c r="BH106" s="239">
        <v>0</v>
      </c>
      <c r="BI106" s="239">
        <v>56705.919656652361</v>
      </c>
      <c r="BJ106" s="239">
        <v>14176.47991416309</v>
      </c>
      <c r="BK106" s="239">
        <v>0</v>
      </c>
      <c r="BL106" s="239">
        <v>611742</v>
      </c>
      <c r="BM106" s="239">
        <v>98509</v>
      </c>
      <c r="BN106" s="239">
        <v>0</v>
      </c>
      <c r="BO106" s="239">
        <v>-9311</v>
      </c>
      <c r="BP106" s="239">
        <v>52099</v>
      </c>
      <c r="BQ106" s="239">
        <v>0</v>
      </c>
      <c r="BR106" s="239">
        <v>926</v>
      </c>
      <c r="BS106" s="239">
        <v>232</v>
      </c>
      <c r="BT106" s="239">
        <v>0</v>
      </c>
      <c r="BU106" s="239">
        <v>537</v>
      </c>
      <c r="BV106" s="239">
        <v>134</v>
      </c>
      <c r="BW106" s="239">
        <v>0</v>
      </c>
      <c r="BX106" s="239">
        <v>389</v>
      </c>
      <c r="BY106" s="239">
        <v>98</v>
      </c>
      <c r="BZ106" s="239">
        <v>0</v>
      </c>
      <c r="CA106" s="239">
        <v>0</v>
      </c>
      <c r="CB106" s="239">
        <v>0</v>
      </c>
      <c r="CC106" s="239">
        <v>0</v>
      </c>
      <c r="CD106" s="239">
        <v>0</v>
      </c>
      <c r="CE106" s="239">
        <v>0</v>
      </c>
      <c r="CF106" s="239">
        <v>0</v>
      </c>
      <c r="CG106" s="239">
        <v>0</v>
      </c>
      <c r="CH106" s="239">
        <v>0</v>
      </c>
      <c r="CI106" s="239">
        <v>0</v>
      </c>
      <c r="CJ106" s="239">
        <v>937</v>
      </c>
      <c r="CK106" s="239">
        <v>234</v>
      </c>
      <c r="CL106" s="239">
        <v>0</v>
      </c>
      <c r="CM106" s="239">
        <v>4172</v>
      </c>
      <c r="CN106" s="239">
        <v>1043</v>
      </c>
      <c r="CO106" s="239">
        <v>0</v>
      </c>
      <c r="CP106" s="239">
        <v>-3235</v>
      </c>
      <c r="CQ106" s="239">
        <v>-809</v>
      </c>
      <c r="CR106" s="239">
        <v>0</v>
      </c>
      <c r="CS106" s="239">
        <v>0</v>
      </c>
      <c r="CT106" s="239">
        <v>0</v>
      </c>
      <c r="CU106" s="239">
        <v>0</v>
      </c>
      <c r="CV106" s="239">
        <v>0</v>
      </c>
      <c r="CW106" s="239">
        <v>0</v>
      </c>
      <c r="CX106" s="239">
        <v>0</v>
      </c>
      <c r="CY106" s="239">
        <v>0</v>
      </c>
      <c r="CZ106" s="239">
        <v>0</v>
      </c>
      <c r="DA106" s="239">
        <v>0</v>
      </c>
      <c r="DB106" s="239">
        <v>0</v>
      </c>
      <c r="DC106" s="239">
        <v>0</v>
      </c>
      <c r="DD106" s="239">
        <v>0</v>
      </c>
      <c r="DE106" s="239">
        <v>0</v>
      </c>
      <c r="DF106" s="239">
        <v>0</v>
      </c>
      <c r="DG106" s="239">
        <v>0</v>
      </c>
      <c r="DH106" s="239">
        <v>2321</v>
      </c>
      <c r="DI106" s="239">
        <v>580</v>
      </c>
      <c r="DJ106" s="239">
        <v>0</v>
      </c>
      <c r="DK106" s="239">
        <v>2578</v>
      </c>
      <c r="DL106" s="239">
        <v>645</v>
      </c>
      <c r="DM106" s="239">
        <v>0</v>
      </c>
      <c r="DN106" s="239">
        <v>-257</v>
      </c>
      <c r="DO106" s="239">
        <v>-65</v>
      </c>
      <c r="DP106" s="239">
        <v>0</v>
      </c>
      <c r="DQ106" s="239">
        <v>0</v>
      </c>
      <c r="DR106" s="239">
        <v>0</v>
      </c>
      <c r="DS106" s="239">
        <v>0</v>
      </c>
      <c r="DT106" s="239">
        <v>0</v>
      </c>
      <c r="DU106" s="239">
        <v>0</v>
      </c>
      <c r="DV106" s="239">
        <v>0</v>
      </c>
      <c r="DW106" s="239">
        <v>0</v>
      </c>
      <c r="DX106" s="239">
        <v>0</v>
      </c>
      <c r="DY106" s="239">
        <v>0</v>
      </c>
      <c r="DZ106" s="239">
        <v>9324</v>
      </c>
      <c r="EA106" s="239">
        <v>2331</v>
      </c>
      <c r="EB106" s="239">
        <v>0</v>
      </c>
      <c r="EC106" s="239">
        <v>10844</v>
      </c>
      <c r="ED106" s="239">
        <v>0</v>
      </c>
      <c r="EE106" s="239">
        <v>0</v>
      </c>
      <c r="EF106" s="239">
        <v>-1520</v>
      </c>
      <c r="EG106" s="239">
        <v>2331</v>
      </c>
      <c r="EH106" s="239">
        <v>0</v>
      </c>
      <c r="EI106" s="239">
        <v>50454</v>
      </c>
      <c r="EJ106" s="239">
        <v>12614</v>
      </c>
      <c r="EK106" s="239">
        <v>0</v>
      </c>
      <c r="EL106" s="239">
        <v>113565</v>
      </c>
      <c r="EM106" s="239">
        <v>0</v>
      </c>
      <c r="EN106" s="239">
        <v>0</v>
      </c>
      <c r="EO106" s="239">
        <v>-63111</v>
      </c>
      <c r="EP106" s="239">
        <v>12614</v>
      </c>
      <c r="EQ106" s="239">
        <v>0</v>
      </c>
      <c r="ER106" s="239">
        <v>8037</v>
      </c>
      <c r="ES106" s="239">
        <v>2009</v>
      </c>
      <c r="ET106" s="239">
        <v>0</v>
      </c>
      <c r="EU106" s="239">
        <v>12162</v>
      </c>
      <c r="EV106" s="239">
        <v>0</v>
      </c>
      <c r="EW106" s="239">
        <v>0</v>
      </c>
      <c r="EX106" s="239">
        <v>-4125</v>
      </c>
      <c r="EY106" s="239">
        <v>2009</v>
      </c>
      <c r="EZ106" s="239">
        <v>0</v>
      </c>
      <c r="FA106" s="239">
        <v>143088</v>
      </c>
      <c r="FB106" s="239">
        <v>35430</v>
      </c>
      <c r="FC106" s="239">
        <v>0</v>
      </c>
      <c r="FD106" s="239">
        <v>148722</v>
      </c>
      <c r="FE106" s="239">
        <v>36813</v>
      </c>
      <c r="FF106" s="239">
        <v>0</v>
      </c>
      <c r="FG106" s="239">
        <v>-5634</v>
      </c>
      <c r="FH106" s="239">
        <v>-1383</v>
      </c>
      <c r="FI106" s="239">
        <v>0</v>
      </c>
      <c r="FJ106" s="239">
        <v>0</v>
      </c>
      <c r="FK106" s="239">
        <v>0</v>
      </c>
      <c r="FL106" s="239">
        <v>0</v>
      </c>
      <c r="FM106" s="239">
        <v>0</v>
      </c>
      <c r="FN106" s="239">
        <v>0</v>
      </c>
      <c r="FO106" s="239">
        <v>0</v>
      </c>
      <c r="FP106" s="239">
        <v>0</v>
      </c>
      <c r="FQ106" s="239">
        <v>0</v>
      </c>
      <c r="FR106" s="239">
        <v>0</v>
      </c>
      <c r="FS106" s="239">
        <v>0</v>
      </c>
      <c r="FT106" s="239">
        <v>0</v>
      </c>
      <c r="FU106" s="239">
        <v>0</v>
      </c>
      <c r="FV106" s="239">
        <v>817518</v>
      </c>
      <c r="FW106" s="239">
        <v>204038</v>
      </c>
      <c r="FX106" s="239">
        <v>0</v>
      </c>
      <c r="FY106" s="834">
        <v>0.5</v>
      </c>
      <c r="FZ106" s="834">
        <v>0.4</v>
      </c>
      <c r="GA106" s="834">
        <v>0.1</v>
      </c>
      <c r="GB106" s="834">
        <v>0</v>
      </c>
      <c r="GC106" s="214" t="s">
        <v>1158</v>
      </c>
    </row>
    <row r="107" spans="2:185" s="214" customFormat="1" x14ac:dyDescent="0.2">
      <c r="B107" s="602" t="s">
        <v>297</v>
      </c>
      <c r="C107" s="602" t="s">
        <v>296</v>
      </c>
      <c r="D107" s="239">
        <v>752674</v>
      </c>
      <c r="E107" s="239">
        <v>0</v>
      </c>
      <c r="F107" s="239">
        <v>752674</v>
      </c>
      <c r="G107" s="239">
        <v>811542</v>
      </c>
      <c r="H107" s="239">
        <v>0</v>
      </c>
      <c r="I107" s="239">
        <v>811542</v>
      </c>
      <c r="J107" s="239">
        <v>-58868</v>
      </c>
      <c r="K107" s="239">
        <v>0</v>
      </c>
      <c r="L107" s="239">
        <v>-58868</v>
      </c>
      <c r="M107" s="239">
        <v>119111</v>
      </c>
      <c r="N107" s="239">
        <v>119111</v>
      </c>
      <c r="O107" s="239">
        <v>0</v>
      </c>
      <c r="P107" s="239">
        <v>0</v>
      </c>
      <c r="Q107" s="239">
        <v>0</v>
      </c>
      <c r="R107" s="239">
        <v>0</v>
      </c>
      <c r="S107" s="239">
        <v>146405</v>
      </c>
      <c r="T107" s="239">
        <v>0</v>
      </c>
      <c r="U107" s="239">
        <v>73768</v>
      </c>
      <c r="V107" s="239">
        <v>0</v>
      </c>
      <c r="W107" s="239">
        <v>72637</v>
      </c>
      <c r="X107" s="239">
        <v>0</v>
      </c>
      <c r="Y107" s="239">
        <v>0</v>
      </c>
      <c r="Z107" s="239">
        <v>0</v>
      </c>
      <c r="AA107" s="239">
        <v>0</v>
      </c>
      <c r="AB107" s="239">
        <v>0</v>
      </c>
      <c r="AC107" s="239">
        <v>0</v>
      </c>
      <c r="AD107" s="239">
        <v>0</v>
      </c>
      <c r="AE107" s="239">
        <v>0</v>
      </c>
      <c r="AF107" s="239">
        <v>0</v>
      </c>
      <c r="AG107" s="239">
        <v>0</v>
      </c>
      <c r="AH107" s="239">
        <v>0</v>
      </c>
      <c r="AI107" s="239">
        <v>0</v>
      </c>
      <c r="AJ107" s="239">
        <v>0</v>
      </c>
      <c r="AK107" s="239">
        <v>0</v>
      </c>
      <c r="AL107" s="239">
        <v>0</v>
      </c>
      <c r="AM107" s="239">
        <v>0</v>
      </c>
      <c r="AN107" s="239">
        <v>0</v>
      </c>
      <c r="AO107" s="239">
        <v>0</v>
      </c>
      <c r="AP107" s="239">
        <v>0</v>
      </c>
      <c r="AQ107" s="239">
        <v>0</v>
      </c>
      <c r="AR107" s="239">
        <v>0</v>
      </c>
      <c r="AS107" s="239">
        <v>0</v>
      </c>
      <c r="AT107" s="239">
        <v>0</v>
      </c>
      <c r="AU107" s="239">
        <v>0</v>
      </c>
      <c r="AV107" s="239">
        <v>0</v>
      </c>
      <c r="AW107" s="239">
        <v>0</v>
      </c>
      <c r="AX107" s="239">
        <v>0</v>
      </c>
      <c r="AY107" s="239">
        <v>0</v>
      </c>
      <c r="AZ107" s="239">
        <v>0</v>
      </c>
      <c r="BA107" s="239">
        <v>0</v>
      </c>
      <c r="BB107" s="239">
        <v>0</v>
      </c>
      <c r="BC107" s="239">
        <v>809112</v>
      </c>
      <c r="BD107" s="239">
        <v>202278</v>
      </c>
      <c r="BE107" s="239">
        <v>0</v>
      </c>
      <c r="BF107" s="239">
        <v>797811.35050557938</v>
      </c>
      <c r="BG107" s="239">
        <v>199452.83762639484</v>
      </c>
      <c r="BH107" s="239">
        <v>0</v>
      </c>
      <c r="BI107" s="239">
        <v>34310.501608583691</v>
      </c>
      <c r="BJ107" s="239">
        <v>8577.6254021459226</v>
      </c>
      <c r="BK107" s="239">
        <v>0</v>
      </c>
      <c r="BL107" s="239">
        <v>787561</v>
      </c>
      <c r="BM107" s="239">
        <v>148038</v>
      </c>
      <c r="BN107" s="239">
        <v>0</v>
      </c>
      <c r="BO107" s="239">
        <v>21551</v>
      </c>
      <c r="BP107" s="239">
        <v>54240</v>
      </c>
      <c r="BQ107" s="239">
        <v>0</v>
      </c>
      <c r="BR107" s="239">
        <v>35085</v>
      </c>
      <c r="BS107" s="239">
        <v>8771</v>
      </c>
      <c r="BT107" s="239">
        <v>0</v>
      </c>
      <c r="BU107" s="239">
        <v>1918</v>
      </c>
      <c r="BV107" s="239">
        <v>479</v>
      </c>
      <c r="BW107" s="239">
        <v>0</v>
      </c>
      <c r="BX107" s="239">
        <v>33167</v>
      </c>
      <c r="BY107" s="239">
        <v>8292</v>
      </c>
      <c r="BZ107" s="239">
        <v>0</v>
      </c>
      <c r="CA107" s="239">
        <v>-143</v>
      </c>
      <c r="CB107" s="239">
        <v>-36</v>
      </c>
      <c r="CC107" s="239">
        <v>0</v>
      </c>
      <c r="CD107" s="239">
        <v>812</v>
      </c>
      <c r="CE107" s="239">
        <v>203</v>
      </c>
      <c r="CF107" s="239">
        <v>0</v>
      </c>
      <c r="CG107" s="239">
        <v>-955</v>
      </c>
      <c r="CH107" s="239">
        <v>-239</v>
      </c>
      <c r="CI107" s="239">
        <v>0</v>
      </c>
      <c r="CJ107" s="239">
        <v>0</v>
      </c>
      <c r="CK107" s="239">
        <v>0</v>
      </c>
      <c r="CL107" s="239">
        <v>0</v>
      </c>
      <c r="CM107" s="239">
        <v>0</v>
      </c>
      <c r="CN107" s="239">
        <v>0</v>
      </c>
      <c r="CO107" s="239">
        <v>0</v>
      </c>
      <c r="CP107" s="239">
        <v>0</v>
      </c>
      <c r="CQ107" s="239">
        <v>0</v>
      </c>
      <c r="CR107" s="239">
        <v>0</v>
      </c>
      <c r="CS107" s="239">
        <v>850</v>
      </c>
      <c r="CT107" s="239">
        <v>213</v>
      </c>
      <c r="CU107" s="239">
        <v>0</v>
      </c>
      <c r="CV107" s="239">
        <v>0</v>
      </c>
      <c r="CW107" s="239">
        <v>0</v>
      </c>
      <c r="CX107" s="239">
        <v>0</v>
      </c>
      <c r="CY107" s="239">
        <v>0</v>
      </c>
      <c r="CZ107" s="239">
        <v>0</v>
      </c>
      <c r="DA107" s="239">
        <v>0</v>
      </c>
      <c r="DB107" s="239">
        <v>0</v>
      </c>
      <c r="DC107" s="239">
        <v>0</v>
      </c>
      <c r="DD107" s="239">
        <v>0</v>
      </c>
      <c r="DE107" s="239">
        <v>-19</v>
      </c>
      <c r="DF107" s="239">
        <v>-5</v>
      </c>
      <c r="DG107" s="239">
        <v>0</v>
      </c>
      <c r="DH107" s="239">
        <v>17456</v>
      </c>
      <c r="DI107" s="239">
        <v>4364</v>
      </c>
      <c r="DJ107" s="239">
        <v>0</v>
      </c>
      <c r="DK107" s="239">
        <v>17092</v>
      </c>
      <c r="DL107" s="239">
        <v>4273</v>
      </c>
      <c r="DM107" s="239">
        <v>0</v>
      </c>
      <c r="DN107" s="239">
        <v>364</v>
      </c>
      <c r="DO107" s="239">
        <v>91</v>
      </c>
      <c r="DP107" s="239">
        <v>0</v>
      </c>
      <c r="DQ107" s="239">
        <v>609</v>
      </c>
      <c r="DR107" s="239">
        <v>152</v>
      </c>
      <c r="DS107" s="239">
        <v>0</v>
      </c>
      <c r="DT107" s="239">
        <v>1218</v>
      </c>
      <c r="DU107" s="239">
        <v>305</v>
      </c>
      <c r="DV107" s="239">
        <v>0</v>
      </c>
      <c r="DW107" s="239">
        <v>-609</v>
      </c>
      <c r="DX107" s="239">
        <v>-153</v>
      </c>
      <c r="DY107" s="239">
        <v>0</v>
      </c>
      <c r="DZ107" s="239">
        <v>9784</v>
      </c>
      <c r="EA107" s="239">
        <v>2446</v>
      </c>
      <c r="EB107" s="239">
        <v>0</v>
      </c>
      <c r="EC107" s="239">
        <v>12180</v>
      </c>
      <c r="ED107" s="239">
        <v>0</v>
      </c>
      <c r="EE107" s="239">
        <v>0</v>
      </c>
      <c r="EF107" s="239">
        <v>-2396</v>
      </c>
      <c r="EG107" s="239">
        <v>2446</v>
      </c>
      <c r="EH107" s="239">
        <v>0</v>
      </c>
      <c r="EI107" s="239">
        <v>62543</v>
      </c>
      <c r="EJ107" s="239">
        <v>15636</v>
      </c>
      <c r="EK107" s="239">
        <v>0</v>
      </c>
      <c r="EL107" s="239">
        <v>84259</v>
      </c>
      <c r="EM107" s="239">
        <v>0</v>
      </c>
      <c r="EN107" s="239">
        <v>0</v>
      </c>
      <c r="EO107" s="239">
        <v>-21716</v>
      </c>
      <c r="EP107" s="239">
        <v>15636</v>
      </c>
      <c r="EQ107" s="239">
        <v>0</v>
      </c>
      <c r="ER107" s="239">
        <v>14404</v>
      </c>
      <c r="ES107" s="239">
        <v>3601</v>
      </c>
      <c r="ET107" s="239">
        <v>0</v>
      </c>
      <c r="EU107" s="239">
        <v>17763</v>
      </c>
      <c r="EV107" s="239">
        <v>0</v>
      </c>
      <c r="EW107" s="239">
        <v>0</v>
      </c>
      <c r="EX107" s="239">
        <v>-3359</v>
      </c>
      <c r="EY107" s="239">
        <v>3601</v>
      </c>
      <c r="EZ107" s="239">
        <v>0</v>
      </c>
      <c r="FA107" s="239">
        <v>75781</v>
      </c>
      <c r="FB107" s="239">
        <v>18396</v>
      </c>
      <c r="FC107" s="239">
        <v>0</v>
      </c>
      <c r="FD107" s="239">
        <v>76352</v>
      </c>
      <c r="FE107" s="239">
        <v>18811</v>
      </c>
      <c r="FF107" s="239">
        <v>0</v>
      </c>
      <c r="FG107" s="239">
        <v>-571</v>
      </c>
      <c r="FH107" s="239">
        <v>-415</v>
      </c>
      <c r="FI107" s="239">
        <v>0</v>
      </c>
      <c r="FJ107" s="239">
        <v>0</v>
      </c>
      <c r="FK107" s="239">
        <v>0</v>
      </c>
      <c r="FL107" s="239">
        <v>0</v>
      </c>
      <c r="FM107" s="239">
        <v>0</v>
      </c>
      <c r="FN107" s="239">
        <v>0</v>
      </c>
      <c r="FO107" s="239">
        <v>0</v>
      </c>
      <c r="FP107" s="239">
        <v>0</v>
      </c>
      <c r="FQ107" s="239">
        <v>0</v>
      </c>
      <c r="FR107" s="239">
        <v>0</v>
      </c>
      <c r="FS107" s="239">
        <v>0</v>
      </c>
      <c r="FT107" s="239">
        <v>0</v>
      </c>
      <c r="FU107" s="239">
        <v>0</v>
      </c>
      <c r="FV107" s="239">
        <v>1025462</v>
      </c>
      <c r="FW107" s="239">
        <v>255816</v>
      </c>
      <c r="FX107" s="239">
        <v>0</v>
      </c>
      <c r="FY107" s="834">
        <v>0.5</v>
      </c>
      <c r="FZ107" s="834">
        <v>0.4</v>
      </c>
      <c r="GA107" s="834">
        <v>0.1</v>
      </c>
      <c r="GB107" s="834">
        <v>0</v>
      </c>
      <c r="GC107" s="214" t="s">
        <v>1158</v>
      </c>
    </row>
    <row r="108" spans="2:185" s="214" customFormat="1" x14ac:dyDescent="0.2">
      <c r="B108" s="602" t="s">
        <v>299</v>
      </c>
      <c r="C108" s="602" t="s">
        <v>298</v>
      </c>
      <c r="D108" s="239">
        <v>-392996</v>
      </c>
      <c r="E108" s="239">
        <v>-192517</v>
      </c>
      <c r="F108" s="239">
        <v>-585513</v>
      </c>
      <c r="G108" s="239">
        <v>-555386</v>
      </c>
      <c r="H108" s="239">
        <v>-119259</v>
      </c>
      <c r="I108" s="239">
        <v>-674645</v>
      </c>
      <c r="J108" s="239">
        <v>162390</v>
      </c>
      <c r="K108" s="239">
        <v>-73258</v>
      </c>
      <c r="L108" s="239">
        <v>89132</v>
      </c>
      <c r="M108" s="239">
        <v>112715</v>
      </c>
      <c r="N108" s="239">
        <v>112715</v>
      </c>
      <c r="O108" s="239">
        <v>0</v>
      </c>
      <c r="P108" s="239">
        <v>40693</v>
      </c>
      <c r="Q108" s="239">
        <v>0</v>
      </c>
      <c r="R108" s="239">
        <v>40693</v>
      </c>
      <c r="S108" s="239">
        <v>93400</v>
      </c>
      <c r="T108" s="239">
        <v>10056</v>
      </c>
      <c r="U108" s="239">
        <v>39531</v>
      </c>
      <c r="V108" s="239">
        <v>0</v>
      </c>
      <c r="W108" s="239">
        <v>53869</v>
      </c>
      <c r="X108" s="239">
        <v>10056</v>
      </c>
      <c r="Y108" s="239">
        <v>137330</v>
      </c>
      <c r="Z108" s="239">
        <v>137330</v>
      </c>
      <c r="AA108" s="239">
        <v>0</v>
      </c>
      <c r="AB108" s="239">
        <v>0</v>
      </c>
      <c r="AC108" s="239">
        <v>39375</v>
      </c>
      <c r="AD108" s="239">
        <v>39375</v>
      </c>
      <c r="AE108" s="239">
        <v>0</v>
      </c>
      <c r="AF108" s="239">
        <v>0</v>
      </c>
      <c r="AG108" s="239">
        <v>97955</v>
      </c>
      <c r="AH108" s="239">
        <v>97955</v>
      </c>
      <c r="AI108" s="239">
        <v>0</v>
      </c>
      <c r="AJ108" s="239">
        <v>0</v>
      </c>
      <c r="AK108" s="239">
        <v>0</v>
      </c>
      <c r="AL108" s="239">
        <v>0</v>
      </c>
      <c r="AM108" s="239">
        <v>0</v>
      </c>
      <c r="AN108" s="239">
        <v>0</v>
      </c>
      <c r="AO108" s="239">
        <v>0</v>
      </c>
      <c r="AP108" s="239">
        <v>0</v>
      </c>
      <c r="AQ108" s="239">
        <v>0</v>
      </c>
      <c r="AR108" s="239">
        <v>0</v>
      </c>
      <c r="AS108" s="239">
        <v>0</v>
      </c>
      <c r="AT108" s="239">
        <v>0</v>
      </c>
      <c r="AU108" s="239">
        <v>0</v>
      </c>
      <c r="AV108" s="239">
        <v>0</v>
      </c>
      <c r="AW108" s="239">
        <v>0</v>
      </c>
      <c r="AX108" s="239">
        <v>0</v>
      </c>
      <c r="AY108" s="239">
        <v>0</v>
      </c>
      <c r="AZ108" s="239">
        <v>0</v>
      </c>
      <c r="BA108" s="239">
        <v>0</v>
      </c>
      <c r="BB108" s="239">
        <v>0</v>
      </c>
      <c r="BC108" s="239">
        <v>973167</v>
      </c>
      <c r="BD108" s="239">
        <v>213986</v>
      </c>
      <c r="BE108" s="239">
        <v>23776</v>
      </c>
      <c r="BF108" s="239">
        <v>955055.17899141635</v>
      </c>
      <c r="BG108" s="239">
        <v>209996.94444045061</v>
      </c>
      <c r="BH108" s="239">
        <v>23332.993826716734</v>
      </c>
      <c r="BI108" s="239">
        <v>52607.070150214589</v>
      </c>
      <c r="BJ108" s="239">
        <v>9968.3866931330467</v>
      </c>
      <c r="BK108" s="239">
        <v>1107.5985214592274</v>
      </c>
      <c r="BL108" s="239">
        <v>881286</v>
      </c>
      <c r="BM108" s="239">
        <v>134742</v>
      </c>
      <c r="BN108" s="239">
        <v>14971</v>
      </c>
      <c r="BO108" s="239">
        <v>91881</v>
      </c>
      <c r="BP108" s="239">
        <v>79244</v>
      </c>
      <c r="BQ108" s="239">
        <v>8805</v>
      </c>
      <c r="BR108" s="239">
        <v>1381</v>
      </c>
      <c r="BS108" s="239">
        <v>311</v>
      </c>
      <c r="BT108" s="239">
        <v>35</v>
      </c>
      <c r="BU108" s="239">
        <v>1380</v>
      </c>
      <c r="BV108" s="239">
        <v>311</v>
      </c>
      <c r="BW108" s="239">
        <v>35</v>
      </c>
      <c r="BX108" s="239">
        <v>1</v>
      </c>
      <c r="BY108" s="239">
        <v>0</v>
      </c>
      <c r="BZ108" s="239">
        <v>0</v>
      </c>
      <c r="CA108" s="239">
        <v>14238</v>
      </c>
      <c r="CB108" s="239">
        <v>3203</v>
      </c>
      <c r="CC108" s="239">
        <v>356</v>
      </c>
      <c r="CD108" s="239">
        <v>15077</v>
      </c>
      <c r="CE108" s="239">
        <v>3392</v>
      </c>
      <c r="CF108" s="239">
        <v>377</v>
      </c>
      <c r="CG108" s="239">
        <v>-839</v>
      </c>
      <c r="CH108" s="239">
        <v>-189</v>
      </c>
      <c r="CI108" s="239">
        <v>-21</v>
      </c>
      <c r="CJ108" s="239">
        <v>1170</v>
      </c>
      <c r="CK108" s="239">
        <v>263</v>
      </c>
      <c r="CL108" s="239">
        <v>29</v>
      </c>
      <c r="CM108" s="239">
        <v>2483</v>
      </c>
      <c r="CN108" s="239">
        <v>559</v>
      </c>
      <c r="CO108" s="239">
        <v>62</v>
      </c>
      <c r="CP108" s="239">
        <v>-1313</v>
      </c>
      <c r="CQ108" s="239">
        <v>-296</v>
      </c>
      <c r="CR108" s="239">
        <v>-33</v>
      </c>
      <c r="CS108" s="239">
        <v>-1676</v>
      </c>
      <c r="CT108" s="239">
        <v>-377</v>
      </c>
      <c r="CU108" s="239">
        <v>-42</v>
      </c>
      <c r="CV108" s="239">
        <v>0</v>
      </c>
      <c r="CW108" s="239">
        <v>0</v>
      </c>
      <c r="CX108" s="239">
        <v>0</v>
      </c>
      <c r="CY108" s="239">
        <v>0</v>
      </c>
      <c r="CZ108" s="239">
        <v>0</v>
      </c>
      <c r="DA108" s="239">
        <v>0</v>
      </c>
      <c r="DB108" s="239">
        <v>0</v>
      </c>
      <c r="DC108" s="239">
        <v>0</v>
      </c>
      <c r="DD108" s="239">
        <v>0</v>
      </c>
      <c r="DE108" s="239">
        <v>-94</v>
      </c>
      <c r="DF108" s="239">
        <v>-21</v>
      </c>
      <c r="DG108" s="239">
        <v>-2</v>
      </c>
      <c r="DH108" s="239">
        <v>1520</v>
      </c>
      <c r="DI108" s="239">
        <v>342</v>
      </c>
      <c r="DJ108" s="239">
        <v>38</v>
      </c>
      <c r="DK108" s="239">
        <v>2920</v>
      </c>
      <c r="DL108" s="239">
        <v>657</v>
      </c>
      <c r="DM108" s="239">
        <v>73</v>
      </c>
      <c r="DN108" s="239">
        <v>-1400</v>
      </c>
      <c r="DO108" s="239">
        <v>-315</v>
      </c>
      <c r="DP108" s="239">
        <v>-35</v>
      </c>
      <c r="DQ108" s="239">
        <v>1523</v>
      </c>
      <c r="DR108" s="239">
        <v>0</v>
      </c>
      <c r="DS108" s="239">
        <v>0</v>
      </c>
      <c r="DT108" s="239">
        <v>0</v>
      </c>
      <c r="DU108" s="239">
        <v>0</v>
      </c>
      <c r="DV108" s="239">
        <v>0</v>
      </c>
      <c r="DW108" s="239">
        <v>1523</v>
      </c>
      <c r="DX108" s="239">
        <v>0</v>
      </c>
      <c r="DY108" s="239">
        <v>0</v>
      </c>
      <c r="DZ108" s="239">
        <v>4104</v>
      </c>
      <c r="EA108" s="239">
        <v>923</v>
      </c>
      <c r="EB108" s="239">
        <v>103</v>
      </c>
      <c r="EC108" s="239">
        <v>4218</v>
      </c>
      <c r="ED108" s="239">
        <v>0</v>
      </c>
      <c r="EE108" s="239">
        <v>0</v>
      </c>
      <c r="EF108" s="239">
        <v>-114</v>
      </c>
      <c r="EG108" s="239">
        <v>923</v>
      </c>
      <c r="EH108" s="239">
        <v>103</v>
      </c>
      <c r="EI108" s="239">
        <v>45890</v>
      </c>
      <c r="EJ108" s="239">
        <v>10325</v>
      </c>
      <c r="EK108" s="239">
        <v>1147</v>
      </c>
      <c r="EL108" s="239">
        <v>62958</v>
      </c>
      <c r="EM108" s="239">
        <v>0</v>
      </c>
      <c r="EN108" s="239">
        <v>0</v>
      </c>
      <c r="EO108" s="239">
        <v>-17068</v>
      </c>
      <c r="EP108" s="239">
        <v>10325</v>
      </c>
      <c r="EQ108" s="239">
        <v>1147</v>
      </c>
      <c r="ER108" s="239">
        <v>5514</v>
      </c>
      <c r="ES108" s="239">
        <v>1241</v>
      </c>
      <c r="ET108" s="239">
        <v>138</v>
      </c>
      <c r="EU108" s="239">
        <v>5592</v>
      </c>
      <c r="EV108" s="239">
        <v>0</v>
      </c>
      <c r="EW108" s="239">
        <v>0</v>
      </c>
      <c r="EX108" s="239">
        <v>-78</v>
      </c>
      <c r="EY108" s="239">
        <v>1241</v>
      </c>
      <c r="EZ108" s="239">
        <v>138</v>
      </c>
      <c r="FA108" s="239">
        <v>147644</v>
      </c>
      <c r="FB108" s="239">
        <v>32918</v>
      </c>
      <c r="FC108" s="239">
        <v>3641</v>
      </c>
      <c r="FD108" s="239">
        <v>147689</v>
      </c>
      <c r="FE108" s="239">
        <v>32963</v>
      </c>
      <c r="FF108" s="239">
        <v>3663</v>
      </c>
      <c r="FG108" s="239">
        <v>-45</v>
      </c>
      <c r="FH108" s="239">
        <v>-45</v>
      </c>
      <c r="FI108" s="239">
        <v>-22</v>
      </c>
      <c r="FJ108" s="239">
        <v>0</v>
      </c>
      <c r="FK108" s="239">
        <v>0</v>
      </c>
      <c r="FL108" s="239">
        <v>0</v>
      </c>
      <c r="FM108" s="239">
        <v>0</v>
      </c>
      <c r="FN108" s="239">
        <v>0</v>
      </c>
      <c r="FO108" s="239">
        <v>0</v>
      </c>
      <c r="FP108" s="239">
        <v>0</v>
      </c>
      <c r="FQ108" s="239">
        <v>0</v>
      </c>
      <c r="FR108" s="239">
        <v>0</v>
      </c>
      <c r="FS108" s="239">
        <v>0</v>
      </c>
      <c r="FT108" s="239">
        <v>0</v>
      </c>
      <c r="FU108" s="239">
        <v>0</v>
      </c>
      <c r="FV108" s="239">
        <v>1194381</v>
      </c>
      <c r="FW108" s="239">
        <v>263114</v>
      </c>
      <c r="FX108" s="239">
        <v>29219</v>
      </c>
      <c r="FY108" s="834">
        <v>0.5</v>
      </c>
      <c r="FZ108" s="834">
        <v>0.4</v>
      </c>
      <c r="GA108" s="834">
        <v>0.09</v>
      </c>
      <c r="GB108" s="834">
        <v>0.01</v>
      </c>
      <c r="GC108" s="214" t="s">
        <v>1158</v>
      </c>
    </row>
    <row r="109" spans="2:185" s="214" customFormat="1" x14ac:dyDescent="0.2">
      <c r="B109" s="602" t="s">
        <v>301</v>
      </c>
      <c r="C109" s="602" t="s">
        <v>300</v>
      </c>
      <c r="D109" s="239">
        <v>-3815468</v>
      </c>
      <c r="E109" s="239">
        <v>-19414</v>
      </c>
      <c r="F109" s="239">
        <v>-3834882</v>
      </c>
      <c r="G109" s="239">
        <v>-2670074</v>
      </c>
      <c r="H109" s="239">
        <v>-1569</v>
      </c>
      <c r="I109" s="239">
        <v>-2671643</v>
      </c>
      <c r="J109" s="239">
        <v>-1145394</v>
      </c>
      <c r="K109" s="239">
        <v>-17845</v>
      </c>
      <c r="L109" s="239">
        <v>-1163239</v>
      </c>
      <c r="M109" s="239">
        <v>285107</v>
      </c>
      <c r="N109" s="239">
        <v>285107</v>
      </c>
      <c r="O109" s="239">
        <v>0</v>
      </c>
      <c r="P109" s="239">
        <v>483062</v>
      </c>
      <c r="Q109" s="239">
        <v>481708</v>
      </c>
      <c r="R109" s="239">
        <v>1354</v>
      </c>
      <c r="S109" s="239">
        <v>0</v>
      </c>
      <c r="T109" s="239">
        <v>0</v>
      </c>
      <c r="U109" s="239">
        <v>0</v>
      </c>
      <c r="V109" s="239">
        <v>0</v>
      </c>
      <c r="W109" s="239">
        <v>0</v>
      </c>
      <c r="X109" s="239">
        <v>0</v>
      </c>
      <c r="Y109" s="239">
        <v>0</v>
      </c>
      <c r="Z109" s="239">
        <v>0</v>
      </c>
      <c r="AA109" s="239">
        <v>0</v>
      </c>
      <c r="AB109" s="239">
        <v>0</v>
      </c>
      <c r="AC109" s="239">
        <v>0</v>
      </c>
      <c r="AD109" s="239">
        <v>0</v>
      </c>
      <c r="AE109" s="239">
        <v>0</v>
      </c>
      <c r="AF109" s="239">
        <v>0</v>
      </c>
      <c r="AG109" s="239">
        <v>0</v>
      </c>
      <c r="AH109" s="239">
        <v>0</v>
      </c>
      <c r="AI109" s="239">
        <v>0</v>
      </c>
      <c r="AJ109" s="239">
        <v>0</v>
      </c>
      <c r="AK109" s="239">
        <v>0</v>
      </c>
      <c r="AL109" s="239">
        <v>0</v>
      </c>
      <c r="AM109" s="239">
        <v>0</v>
      </c>
      <c r="AN109" s="239">
        <v>0</v>
      </c>
      <c r="AO109" s="239">
        <v>0</v>
      </c>
      <c r="AP109" s="239">
        <v>0</v>
      </c>
      <c r="AQ109" s="239">
        <v>0</v>
      </c>
      <c r="AR109" s="239">
        <v>0</v>
      </c>
      <c r="AS109" s="239">
        <v>0</v>
      </c>
      <c r="AT109" s="239">
        <v>0</v>
      </c>
      <c r="AU109" s="239">
        <v>0</v>
      </c>
      <c r="AV109" s="239">
        <v>0</v>
      </c>
      <c r="AW109" s="239">
        <v>0</v>
      </c>
      <c r="AX109" s="239">
        <v>0</v>
      </c>
      <c r="AY109" s="239">
        <v>0</v>
      </c>
      <c r="AZ109" s="239">
        <v>0</v>
      </c>
      <c r="BA109" s="239">
        <v>0</v>
      </c>
      <c r="BB109" s="239">
        <v>0</v>
      </c>
      <c r="BC109" s="239">
        <v>2085134</v>
      </c>
      <c r="BD109" s="239">
        <v>0</v>
      </c>
      <c r="BE109" s="239">
        <v>41011</v>
      </c>
      <c r="BF109" s="239">
        <v>2029097.7764018241</v>
      </c>
      <c r="BG109" s="239">
        <v>0</v>
      </c>
      <c r="BH109" s="239">
        <v>39909.671640021465</v>
      </c>
      <c r="BI109" s="239">
        <v>175145.91238841199</v>
      </c>
      <c r="BJ109" s="239">
        <v>0</v>
      </c>
      <c r="BK109" s="239">
        <v>3434.3748433476389</v>
      </c>
      <c r="BL109" s="239">
        <v>1879861</v>
      </c>
      <c r="BM109" s="239">
        <v>0</v>
      </c>
      <c r="BN109" s="239">
        <v>26735</v>
      </c>
      <c r="BO109" s="239">
        <v>205273</v>
      </c>
      <c r="BP109" s="239">
        <v>0</v>
      </c>
      <c r="BQ109" s="239">
        <v>14276</v>
      </c>
      <c r="BR109" s="239">
        <v>1869</v>
      </c>
      <c r="BS109" s="239">
        <v>0</v>
      </c>
      <c r="BT109" s="239">
        <v>38</v>
      </c>
      <c r="BU109" s="239">
        <v>0</v>
      </c>
      <c r="BV109" s="239">
        <v>0</v>
      </c>
      <c r="BW109" s="239">
        <v>0</v>
      </c>
      <c r="BX109" s="239">
        <v>1869</v>
      </c>
      <c r="BY109" s="239">
        <v>0</v>
      </c>
      <c r="BZ109" s="239">
        <v>38</v>
      </c>
      <c r="CA109" s="239">
        <v>0</v>
      </c>
      <c r="CB109" s="239">
        <v>0</v>
      </c>
      <c r="CC109" s="239">
        <v>0</v>
      </c>
      <c r="CD109" s="239">
        <v>0</v>
      </c>
      <c r="CE109" s="239">
        <v>0</v>
      </c>
      <c r="CF109" s="239">
        <v>0</v>
      </c>
      <c r="CG109" s="239">
        <v>0</v>
      </c>
      <c r="CH109" s="239">
        <v>0</v>
      </c>
      <c r="CI109" s="239">
        <v>0</v>
      </c>
      <c r="CJ109" s="239">
        <v>-1638</v>
      </c>
      <c r="CK109" s="239">
        <v>0</v>
      </c>
      <c r="CL109" s="239">
        <v>-27</v>
      </c>
      <c r="CM109" s="239">
        <v>18402</v>
      </c>
      <c r="CN109" s="239">
        <v>0</v>
      </c>
      <c r="CO109" s="239">
        <v>376</v>
      </c>
      <c r="CP109" s="239">
        <v>-20040</v>
      </c>
      <c r="CQ109" s="239">
        <v>0</v>
      </c>
      <c r="CR109" s="239">
        <v>-403</v>
      </c>
      <c r="CS109" s="239">
        <v>0</v>
      </c>
      <c r="CT109" s="239">
        <v>0</v>
      </c>
      <c r="CU109" s="239">
        <v>0</v>
      </c>
      <c r="CV109" s="239">
        <v>0</v>
      </c>
      <c r="CW109" s="239">
        <v>0</v>
      </c>
      <c r="CX109" s="239">
        <v>0</v>
      </c>
      <c r="CY109" s="239">
        <v>0</v>
      </c>
      <c r="CZ109" s="239">
        <v>0</v>
      </c>
      <c r="DA109" s="239">
        <v>0</v>
      </c>
      <c r="DB109" s="239">
        <v>0</v>
      </c>
      <c r="DC109" s="239">
        <v>0</v>
      </c>
      <c r="DD109" s="239">
        <v>0</v>
      </c>
      <c r="DE109" s="239">
        <v>0</v>
      </c>
      <c r="DF109" s="239">
        <v>0</v>
      </c>
      <c r="DG109" s="239">
        <v>0</v>
      </c>
      <c r="DH109" s="239">
        <v>3394</v>
      </c>
      <c r="DI109" s="239">
        <v>0</v>
      </c>
      <c r="DJ109" s="239">
        <v>69</v>
      </c>
      <c r="DK109" s="239">
        <v>4781</v>
      </c>
      <c r="DL109" s="239">
        <v>0</v>
      </c>
      <c r="DM109" s="239">
        <v>98</v>
      </c>
      <c r="DN109" s="239">
        <v>-1387</v>
      </c>
      <c r="DO109" s="239">
        <v>0</v>
      </c>
      <c r="DP109" s="239">
        <v>-29</v>
      </c>
      <c r="DQ109" s="239">
        <v>0</v>
      </c>
      <c r="DR109" s="239">
        <v>0</v>
      </c>
      <c r="DS109" s="239">
        <v>0</v>
      </c>
      <c r="DT109" s="239">
        <v>0</v>
      </c>
      <c r="DU109" s="239">
        <v>0</v>
      </c>
      <c r="DV109" s="239">
        <v>0</v>
      </c>
      <c r="DW109" s="239">
        <v>0</v>
      </c>
      <c r="DX109" s="239">
        <v>0</v>
      </c>
      <c r="DY109" s="239">
        <v>0</v>
      </c>
      <c r="DZ109" s="239">
        <v>25421</v>
      </c>
      <c r="EA109" s="239">
        <v>0</v>
      </c>
      <c r="EB109" s="239">
        <v>519</v>
      </c>
      <c r="EC109" s="239">
        <v>26739</v>
      </c>
      <c r="ED109" s="239">
        <v>0</v>
      </c>
      <c r="EE109" s="239">
        <v>0</v>
      </c>
      <c r="EF109" s="239">
        <v>-1318</v>
      </c>
      <c r="EG109" s="239">
        <v>0</v>
      </c>
      <c r="EH109" s="239">
        <v>519</v>
      </c>
      <c r="EI109" s="239">
        <v>198680</v>
      </c>
      <c r="EJ109" s="239">
        <v>0</v>
      </c>
      <c r="EK109" s="239">
        <v>3679</v>
      </c>
      <c r="EL109" s="239">
        <v>190796</v>
      </c>
      <c r="EM109" s="239">
        <v>0</v>
      </c>
      <c r="EN109" s="239">
        <v>0</v>
      </c>
      <c r="EO109" s="239">
        <v>7884</v>
      </c>
      <c r="EP109" s="239">
        <v>0</v>
      </c>
      <c r="EQ109" s="239">
        <v>3679</v>
      </c>
      <c r="ER109" s="239">
        <v>33561</v>
      </c>
      <c r="ES109" s="239">
        <v>0</v>
      </c>
      <c r="ET109" s="239">
        <v>685</v>
      </c>
      <c r="EU109" s="239">
        <v>34589</v>
      </c>
      <c r="EV109" s="239">
        <v>0</v>
      </c>
      <c r="EW109" s="239">
        <v>0</v>
      </c>
      <c r="EX109" s="239">
        <v>-1028</v>
      </c>
      <c r="EY109" s="239">
        <v>0</v>
      </c>
      <c r="EZ109" s="239">
        <v>685</v>
      </c>
      <c r="FA109" s="239">
        <v>605231</v>
      </c>
      <c r="FB109" s="239">
        <v>0</v>
      </c>
      <c r="FC109" s="239">
        <v>12204</v>
      </c>
      <c r="FD109" s="239">
        <v>669670</v>
      </c>
      <c r="FE109" s="239">
        <v>0</v>
      </c>
      <c r="FF109" s="239">
        <v>13519</v>
      </c>
      <c r="FG109" s="239">
        <v>-64439</v>
      </c>
      <c r="FH109" s="239">
        <v>0</v>
      </c>
      <c r="FI109" s="239">
        <v>-1315</v>
      </c>
      <c r="FJ109" s="239">
        <v>0</v>
      </c>
      <c r="FK109" s="239">
        <v>0</v>
      </c>
      <c r="FL109" s="239">
        <v>0</v>
      </c>
      <c r="FM109" s="239">
        <v>0</v>
      </c>
      <c r="FN109" s="239">
        <v>0</v>
      </c>
      <c r="FO109" s="239">
        <v>0</v>
      </c>
      <c r="FP109" s="239">
        <v>0</v>
      </c>
      <c r="FQ109" s="239">
        <v>0</v>
      </c>
      <c r="FR109" s="239">
        <v>0</v>
      </c>
      <c r="FS109" s="239">
        <v>0</v>
      </c>
      <c r="FT109" s="239">
        <v>0</v>
      </c>
      <c r="FU109" s="239">
        <v>0</v>
      </c>
      <c r="FV109" s="239">
        <v>2951652</v>
      </c>
      <c r="FW109" s="239">
        <v>0</v>
      </c>
      <c r="FX109" s="239">
        <v>58178</v>
      </c>
      <c r="FY109" s="834">
        <v>0.5</v>
      </c>
      <c r="FZ109" s="834">
        <v>0.49</v>
      </c>
      <c r="GA109" s="834">
        <v>0</v>
      </c>
      <c r="GB109" s="834">
        <v>0.01</v>
      </c>
      <c r="GC109" s="214" t="s">
        <v>1160</v>
      </c>
    </row>
    <row r="110" spans="2:185" s="214" customFormat="1" x14ac:dyDescent="0.2">
      <c r="B110" s="602" t="s">
        <v>303</v>
      </c>
      <c r="C110" s="602" t="s">
        <v>302</v>
      </c>
      <c r="D110" s="239">
        <v>481864</v>
      </c>
      <c r="E110" s="239">
        <v>0</v>
      </c>
      <c r="F110" s="239">
        <v>481864</v>
      </c>
      <c r="G110" s="239">
        <v>532556.47</v>
      </c>
      <c r="H110" s="239">
        <v>0</v>
      </c>
      <c r="I110" s="239">
        <v>532556.47</v>
      </c>
      <c r="J110" s="239">
        <v>-50692.469999999972</v>
      </c>
      <c r="K110" s="239">
        <v>0</v>
      </c>
      <c r="L110" s="239">
        <v>-50692.469999999972</v>
      </c>
      <c r="M110" s="239">
        <v>100864</v>
      </c>
      <c r="N110" s="239">
        <v>100864</v>
      </c>
      <c r="O110" s="239">
        <v>0</v>
      </c>
      <c r="P110" s="239">
        <v>0</v>
      </c>
      <c r="Q110" s="239">
        <v>0</v>
      </c>
      <c r="R110" s="239">
        <v>0</v>
      </c>
      <c r="S110" s="239">
        <v>122005</v>
      </c>
      <c r="T110" s="239">
        <v>0</v>
      </c>
      <c r="U110" s="239">
        <v>74525</v>
      </c>
      <c r="V110" s="239">
        <v>0</v>
      </c>
      <c r="W110" s="239">
        <v>47480</v>
      </c>
      <c r="X110" s="239">
        <v>0</v>
      </c>
      <c r="Y110" s="239">
        <v>0</v>
      </c>
      <c r="Z110" s="239">
        <v>0</v>
      </c>
      <c r="AA110" s="239">
        <v>0</v>
      </c>
      <c r="AB110" s="239">
        <v>0</v>
      </c>
      <c r="AC110" s="239">
        <v>0</v>
      </c>
      <c r="AD110" s="239">
        <v>0</v>
      </c>
      <c r="AE110" s="239">
        <v>0</v>
      </c>
      <c r="AF110" s="239">
        <v>0</v>
      </c>
      <c r="AG110" s="239">
        <v>0</v>
      </c>
      <c r="AH110" s="239">
        <v>0</v>
      </c>
      <c r="AI110" s="239">
        <v>0</v>
      </c>
      <c r="AJ110" s="239">
        <v>0</v>
      </c>
      <c r="AK110" s="239">
        <v>0</v>
      </c>
      <c r="AL110" s="239">
        <v>0</v>
      </c>
      <c r="AM110" s="239">
        <v>0</v>
      </c>
      <c r="AN110" s="239">
        <v>0</v>
      </c>
      <c r="AO110" s="239">
        <v>0</v>
      </c>
      <c r="AP110" s="239">
        <v>0</v>
      </c>
      <c r="AQ110" s="239">
        <v>0</v>
      </c>
      <c r="AR110" s="239">
        <v>0</v>
      </c>
      <c r="AS110" s="239">
        <v>0</v>
      </c>
      <c r="AT110" s="239">
        <v>0</v>
      </c>
      <c r="AU110" s="239">
        <v>0</v>
      </c>
      <c r="AV110" s="239">
        <v>0</v>
      </c>
      <c r="AW110" s="239">
        <v>0</v>
      </c>
      <c r="AX110" s="239">
        <v>0</v>
      </c>
      <c r="AY110" s="239">
        <v>0</v>
      </c>
      <c r="AZ110" s="239">
        <v>0</v>
      </c>
      <c r="BA110" s="239">
        <v>0</v>
      </c>
      <c r="BB110" s="239">
        <v>0</v>
      </c>
      <c r="BC110" s="239">
        <v>678226</v>
      </c>
      <c r="BD110" s="239">
        <v>152601</v>
      </c>
      <c r="BE110" s="239">
        <v>16956</v>
      </c>
      <c r="BF110" s="239">
        <v>661007.41786492697</v>
      </c>
      <c r="BG110" s="239">
        <v>148726.66901960855</v>
      </c>
      <c r="BH110" s="239">
        <v>16525.185446623174</v>
      </c>
      <c r="BI110" s="239">
        <v>51548.676824034337</v>
      </c>
      <c r="BJ110" s="239">
        <v>11409.924737124462</v>
      </c>
      <c r="BK110" s="239">
        <v>1267.7694152360514</v>
      </c>
      <c r="BL110" s="239">
        <v>687998</v>
      </c>
      <c r="BM110" s="239">
        <v>101674</v>
      </c>
      <c r="BN110" s="239">
        <v>11297</v>
      </c>
      <c r="BO110" s="239">
        <v>-9772</v>
      </c>
      <c r="BP110" s="239">
        <v>50927</v>
      </c>
      <c r="BQ110" s="239">
        <v>5659</v>
      </c>
      <c r="BR110" s="239">
        <v>0</v>
      </c>
      <c r="BS110" s="239">
        <v>0</v>
      </c>
      <c r="BT110" s="239">
        <v>0</v>
      </c>
      <c r="BU110" s="239">
        <v>0</v>
      </c>
      <c r="BV110" s="239">
        <v>0</v>
      </c>
      <c r="BW110" s="239">
        <v>0</v>
      </c>
      <c r="BX110" s="239">
        <v>0</v>
      </c>
      <c r="BY110" s="239">
        <v>0</v>
      </c>
      <c r="BZ110" s="239">
        <v>0</v>
      </c>
      <c r="CA110" s="239">
        <v>0</v>
      </c>
      <c r="CB110" s="239">
        <v>0</v>
      </c>
      <c r="CC110" s="239">
        <v>0</v>
      </c>
      <c r="CD110" s="239">
        <v>0</v>
      </c>
      <c r="CE110" s="239">
        <v>0</v>
      </c>
      <c r="CF110" s="239">
        <v>0</v>
      </c>
      <c r="CG110" s="239">
        <v>0</v>
      </c>
      <c r="CH110" s="239">
        <v>0</v>
      </c>
      <c r="CI110" s="239">
        <v>0</v>
      </c>
      <c r="CJ110" s="239">
        <v>0</v>
      </c>
      <c r="CK110" s="239">
        <v>0</v>
      </c>
      <c r="CL110" s="239">
        <v>0</v>
      </c>
      <c r="CM110" s="239">
        <v>0</v>
      </c>
      <c r="CN110" s="239">
        <v>0</v>
      </c>
      <c r="CO110" s="239">
        <v>0</v>
      </c>
      <c r="CP110" s="239">
        <v>0</v>
      </c>
      <c r="CQ110" s="239">
        <v>0</v>
      </c>
      <c r="CR110" s="239">
        <v>0</v>
      </c>
      <c r="CS110" s="239">
        <v>385</v>
      </c>
      <c r="CT110" s="239">
        <v>87</v>
      </c>
      <c r="CU110" s="239">
        <v>10</v>
      </c>
      <c r="CV110" s="239">
        <v>0</v>
      </c>
      <c r="CW110" s="239">
        <v>0</v>
      </c>
      <c r="CX110" s="239">
        <v>0</v>
      </c>
      <c r="CY110" s="239">
        <v>0</v>
      </c>
      <c r="CZ110" s="239">
        <v>0</v>
      </c>
      <c r="DA110" s="239">
        <v>0</v>
      </c>
      <c r="DB110" s="239">
        <v>0</v>
      </c>
      <c r="DC110" s="239">
        <v>0</v>
      </c>
      <c r="DD110" s="239">
        <v>0</v>
      </c>
      <c r="DE110" s="239">
        <v>-747</v>
      </c>
      <c r="DF110" s="239">
        <v>-168</v>
      </c>
      <c r="DG110" s="239">
        <v>-19</v>
      </c>
      <c r="DH110" s="239">
        <v>0</v>
      </c>
      <c r="DI110" s="239">
        <v>0</v>
      </c>
      <c r="DJ110" s="239">
        <v>0</v>
      </c>
      <c r="DK110" s="239">
        <v>0</v>
      </c>
      <c r="DL110" s="239">
        <v>0</v>
      </c>
      <c r="DM110" s="239">
        <v>0</v>
      </c>
      <c r="DN110" s="239">
        <v>0</v>
      </c>
      <c r="DO110" s="239">
        <v>0</v>
      </c>
      <c r="DP110" s="239">
        <v>0</v>
      </c>
      <c r="DQ110" s="239">
        <v>0</v>
      </c>
      <c r="DR110" s="239">
        <v>0</v>
      </c>
      <c r="DS110" s="239">
        <v>0</v>
      </c>
      <c r="DT110" s="239">
        <v>0</v>
      </c>
      <c r="DU110" s="239">
        <v>0</v>
      </c>
      <c r="DV110" s="239">
        <v>0</v>
      </c>
      <c r="DW110" s="239">
        <v>0</v>
      </c>
      <c r="DX110" s="239">
        <v>0</v>
      </c>
      <c r="DY110" s="239">
        <v>0</v>
      </c>
      <c r="DZ110" s="239">
        <v>7859</v>
      </c>
      <c r="EA110" s="239">
        <v>1768</v>
      </c>
      <c r="EB110" s="239">
        <v>196</v>
      </c>
      <c r="EC110" s="239">
        <v>9895</v>
      </c>
      <c r="ED110" s="239">
        <v>0</v>
      </c>
      <c r="EE110" s="239">
        <v>0</v>
      </c>
      <c r="EF110" s="239">
        <v>-2036</v>
      </c>
      <c r="EG110" s="239">
        <v>1768</v>
      </c>
      <c r="EH110" s="239">
        <v>196</v>
      </c>
      <c r="EI110" s="239">
        <v>78164</v>
      </c>
      <c r="EJ110" s="239">
        <v>17587</v>
      </c>
      <c r="EK110" s="239">
        <v>1954</v>
      </c>
      <c r="EL110" s="239">
        <v>106529</v>
      </c>
      <c r="EM110" s="239">
        <v>0</v>
      </c>
      <c r="EN110" s="239">
        <v>0</v>
      </c>
      <c r="EO110" s="239">
        <v>-28365</v>
      </c>
      <c r="EP110" s="239">
        <v>17587</v>
      </c>
      <c r="EQ110" s="239">
        <v>1954</v>
      </c>
      <c r="ER110" s="239">
        <v>14499</v>
      </c>
      <c r="ES110" s="239">
        <v>3262</v>
      </c>
      <c r="ET110" s="239">
        <v>362</v>
      </c>
      <c r="EU110" s="239">
        <v>17931</v>
      </c>
      <c r="EV110" s="239">
        <v>0</v>
      </c>
      <c r="EW110" s="239">
        <v>0</v>
      </c>
      <c r="EX110" s="239">
        <v>-3432</v>
      </c>
      <c r="EY110" s="239">
        <v>3262</v>
      </c>
      <c r="EZ110" s="239">
        <v>362</v>
      </c>
      <c r="FA110" s="239">
        <v>135419</v>
      </c>
      <c r="FB110" s="239">
        <v>30057</v>
      </c>
      <c r="FC110" s="239">
        <v>3340</v>
      </c>
      <c r="FD110" s="239">
        <v>139789</v>
      </c>
      <c r="FE110" s="239">
        <v>31201</v>
      </c>
      <c r="FF110" s="239">
        <v>3467</v>
      </c>
      <c r="FG110" s="239">
        <v>-4370</v>
      </c>
      <c r="FH110" s="239">
        <v>-1144</v>
      </c>
      <c r="FI110" s="239">
        <v>-127</v>
      </c>
      <c r="FJ110" s="239">
        <v>0</v>
      </c>
      <c r="FK110" s="239">
        <v>0</v>
      </c>
      <c r="FL110" s="239">
        <v>0</v>
      </c>
      <c r="FM110" s="239">
        <v>0</v>
      </c>
      <c r="FN110" s="239">
        <v>0</v>
      </c>
      <c r="FO110" s="239">
        <v>0</v>
      </c>
      <c r="FP110" s="239">
        <v>0</v>
      </c>
      <c r="FQ110" s="239">
        <v>0</v>
      </c>
      <c r="FR110" s="239">
        <v>0</v>
      </c>
      <c r="FS110" s="239">
        <v>0</v>
      </c>
      <c r="FT110" s="239">
        <v>0</v>
      </c>
      <c r="FU110" s="239">
        <v>0</v>
      </c>
      <c r="FV110" s="239">
        <v>913805</v>
      </c>
      <c r="FW110" s="239">
        <v>205194</v>
      </c>
      <c r="FX110" s="239">
        <v>22799</v>
      </c>
      <c r="FY110" s="834">
        <v>0.5</v>
      </c>
      <c r="FZ110" s="834">
        <v>0.4</v>
      </c>
      <c r="GA110" s="834">
        <v>0.09</v>
      </c>
      <c r="GB110" s="834">
        <v>0.01</v>
      </c>
      <c r="GC110" s="214" t="s">
        <v>1158</v>
      </c>
    </row>
    <row r="111" spans="2:185" s="214" customFormat="1" x14ac:dyDescent="0.2">
      <c r="B111" s="602" t="s">
        <v>305</v>
      </c>
      <c r="C111" s="602" t="s">
        <v>304</v>
      </c>
      <c r="D111" s="239">
        <v>-2129963</v>
      </c>
      <c r="E111" s="239">
        <v>0</v>
      </c>
      <c r="F111" s="239">
        <v>-2129963</v>
      </c>
      <c r="G111" s="239">
        <v>-2088773</v>
      </c>
      <c r="H111" s="239">
        <v>0</v>
      </c>
      <c r="I111" s="239">
        <v>-2088773</v>
      </c>
      <c r="J111" s="239">
        <v>-41190</v>
      </c>
      <c r="K111" s="239">
        <v>0</v>
      </c>
      <c r="L111" s="239">
        <v>-41190</v>
      </c>
      <c r="M111" s="239">
        <v>174575</v>
      </c>
      <c r="N111" s="239">
        <v>174575</v>
      </c>
      <c r="O111" s="239">
        <v>0</v>
      </c>
      <c r="P111" s="239">
        <v>0</v>
      </c>
      <c r="Q111" s="239">
        <v>0</v>
      </c>
      <c r="R111" s="239">
        <v>0</v>
      </c>
      <c r="S111" s="239">
        <v>0</v>
      </c>
      <c r="T111" s="239">
        <v>0</v>
      </c>
      <c r="U111" s="239">
        <v>0</v>
      </c>
      <c r="V111" s="239">
        <v>0</v>
      </c>
      <c r="W111" s="239">
        <v>0</v>
      </c>
      <c r="X111" s="239">
        <v>0</v>
      </c>
      <c r="Y111" s="239">
        <v>0</v>
      </c>
      <c r="Z111" s="239">
        <v>0</v>
      </c>
      <c r="AA111" s="239">
        <v>0</v>
      </c>
      <c r="AB111" s="239">
        <v>0</v>
      </c>
      <c r="AC111" s="239">
        <v>0</v>
      </c>
      <c r="AD111" s="239">
        <v>0</v>
      </c>
      <c r="AE111" s="239">
        <v>0</v>
      </c>
      <c r="AF111" s="239">
        <v>0</v>
      </c>
      <c r="AG111" s="239">
        <v>0</v>
      </c>
      <c r="AH111" s="239">
        <v>0</v>
      </c>
      <c r="AI111" s="239">
        <v>0</v>
      </c>
      <c r="AJ111" s="239">
        <v>0</v>
      </c>
      <c r="AK111" s="239">
        <v>0</v>
      </c>
      <c r="AL111" s="239">
        <v>0</v>
      </c>
      <c r="AM111" s="239">
        <v>0</v>
      </c>
      <c r="AN111" s="239">
        <v>0</v>
      </c>
      <c r="AO111" s="239">
        <v>0</v>
      </c>
      <c r="AP111" s="239">
        <v>0</v>
      </c>
      <c r="AQ111" s="239">
        <v>0</v>
      </c>
      <c r="AR111" s="239">
        <v>0</v>
      </c>
      <c r="AS111" s="239">
        <v>0</v>
      </c>
      <c r="AT111" s="239">
        <v>0</v>
      </c>
      <c r="AU111" s="239">
        <v>0</v>
      </c>
      <c r="AV111" s="239">
        <v>0</v>
      </c>
      <c r="AW111" s="239">
        <v>0</v>
      </c>
      <c r="AX111" s="239">
        <v>0</v>
      </c>
      <c r="AY111" s="239">
        <v>0</v>
      </c>
      <c r="AZ111" s="239">
        <v>0</v>
      </c>
      <c r="BA111" s="239">
        <v>0</v>
      </c>
      <c r="BB111" s="239">
        <v>0</v>
      </c>
      <c r="BC111" s="239">
        <v>828554</v>
      </c>
      <c r="BD111" s="239">
        <v>207139</v>
      </c>
      <c r="BE111" s="239">
        <v>0</v>
      </c>
      <c r="BF111" s="239">
        <v>801369.16109356238</v>
      </c>
      <c r="BG111" s="239">
        <v>200342.29027339059</v>
      </c>
      <c r="BH111" s="239">
        <v>0</v>
      </c>
      <c r="BI111" s="239">
        <v>91369.653605150219</v>
      </c>
      <c r="BJ111" s="239">
        <v>22842.413401287555</v>
      </c>
      <c r="BK111" s="239">
        <v>0</v>
      </c>
      <c r="BL111" s="239">
        <v>952307</v>
      </c>
      <c r="BM111" s="239">
        <v>158454</v>
      </c>
      <c r="BN111" s="239">
        <v>0</v>
      </c>
      <c r="BO111" s="239">
        <v>-123753</v>
      </c>
      <c r="BP111" s="239">
        <v>48685</v>
      </c>
      <c r="BQ111" s="239">
        <v>0</v>
      </c>
      <c r="BR111" s="239">
        <v>410</v>
      </c>
      <c r="BS111" s="239">
        <v>103</v>
      </c>
      <c r="BT111" s="239">
        <v>0</v>
      </c>
      <c r="BU111" s="239">
        <v>0</v>
      </c>
      <c r="BV111" s="239">
        <v>0</v>
      </c>
      <c r="BW111" s="239">
        <v>0</v>
      </c>
      <c r="BX111" s="239">
        <v>410</v>
      </c>
      <c r="BY111" s="239">
        <v>103</v>
      </c>
      <c r="BZ111" s="239">
        <v>0</v>
      </c>
      <c r="CA111" s="239">
        <v>0</v>
      </c>
      <c r="CB111" s="239">
        <v>0</v>
      </c>
      <c r="CC111" s="239">
        <v>0</v>
      </c>
      <c r="CD111" s="239">
        <v>318</v>
      </c>
      <c r="CE111" s="239">
        <v>79</v>
      </c>
      <c r="CF111" s="239">
        <v>0</v>
      </c>
      <c r="CG111" s="239">
        <v>-318</v>
      </c>
      <c r="CH111" s="239">
        <v>-79</v>
      </c>
      <c r="CI111" s="239">
        <v>0</v>
      </c>
      <c r="CJ111" s="239">
        <v>23701</v>
      </c>
      <c r="CK111" s="239">
        <v>5925</v>
      </c>
      <c r="CL111" s="239">
        <v>0</v>
      </c>
      <c r="CM111" s="239">
        <v>654</v>
      </c>
      <c r="CN111" s="239">
        <v>164</v>
      </c>
      <c r="CO111" s="239">
        <v>0</v>
      </c>
      <c r="CP111" s="239">
        <v>23047</v>
      </c>
      <c r="CQ111" s="239">
        <v>5761</v>
      </c>
      <c r="CR111" s="239">
        <v>0</v>
      </c>
      <c r="CS111" s="239">
        <v>0</v>
      </c>
      <c r="CT111" s="239">
        <v>0</v>
      </c>
      <c r="CU111" s="239">
        <v>0</v>
      </c>
      <c r="CV111" s="239">
        <v>0</v>
      </c>
      <c r="CW111" s="239">
        <v>0</v>
      </c>
      <c r="CX111" s="239">
        <v>0</v>
      </c>
      <c r="CY111" s="239">
        <v>0</v>
      </c>
      <c r="CZ111" s="239">
        <v>0</v>
      </c>
      <c r="DA111" s="239">
        <v>0</v>
      </c>
      <c r="DB111" s="239">
        <v>0</v>
      </c>
      <c r="DC111" s="239">
        <v>0</v>
      </c>
      <c r="DD111" s="239">
        <v>0</v>
      </c>
      <c r="DE111" s="239">
        <v>-264</v>
      </c>
      <c r="DF111" s="239">
        <v>-66</v>
      </c>
      <c r="DG111" s="239">
        <v>0</v>
      </c>
      <c r="DH111" s="239">
        <v>0</v>
      </c>
      <c r="DI111" s="239">
        <v>0</v>
      </c>
      <c r="DJ111" s="239">
        <v>0</v>
      </c>
      <c r="DK111" s="239">
        <v>0</v>
      </c>
      <c r="DL111" s="239">
        <v>0</v>
      </c>
      <c r="DM111" s="239">
        <v>0</v>
      </c>
      <c r="DN111" s="239">
        <v>0</v>
      </c>
      <c r="DO111" s="239">
        <v>0</v>
      </c>
      <c r="DP111" s="239">
        <v>0</v>
      </c>
      <c r="DQ111" s="239">
        <v>0</v>
      </c>
      <c r="DR111" s="239">
        <v>0</v>
      </c>
      <c r="DS111" s="239">
        <v>0</v>
      </c>
      <c r="DT111" s="239">
        <v>0</v>
      </c>
      <c r="DU111" s="239">
        <v>0</v>
      </c>
      <c r="DV111" s="239">
        <v>0</v>
      </c>
      <c r="DW111" s="239">
        <v>0</v>
      </c>
      <c r="DX111" s="239">
        <v>0</v>
      </c>
      <c r="DY111" s="239">
        <v>0</v>
      </c>
      <c r="DZ111" s="239">
        <v>3611</v>
      </c>
      <c r="EA111" s="239">
        <v>903</v>
      </c>
      <c r="EB111" s="239">
        <v>0</v>
      </c>
      <c r="EC111" s="239">
        <v>4741</v>
      </c>
      <c r="ED111" s="239">
        <v>0</v>
      </c>
      <c r="EE111" s="239">
        <v>0</v>
      </c>
      <c r="EF111" s="239">
        <v>-1130</v>
      </c>
      <c r="EG111" s="239">
        <v>903</v>
      </c>
      <c r="EH111" s="239">
        <v>0</v>
      </c>
      <c r="EI111" s="239">
        <v>41277</v>
      </c>
      <c r="EJ111" s="239">
        <v>10319</v>
      </c>
      <c r="EK111" s="239">
        <v>0</v>
      </c>
      <c r="EL111" s="239">
        <v>100659</v>
      </c>
      <c r="EM111" s="239">
        <v>0</v>
      </c>
      <c r="EN111" s="239">
        <v>0</v>
      </c>
      <c r="EO111" s="239">
        <v>-59382</v>
      </c>
      <c r="EP111" s="239">
        <v>10319</v>
      </c>
      <c r="EQ111" s="239">
        <v>0</v>
      </c>
      <c r="ER111" s="239">
        <v>15933</v>
      </c>
      <c r="ES111" s="239">
        <v>3983</v>
      </c>
      <c r="ET111" s="239">
        <v>0</v>
      </c>
      <c r="EU111" s="239">
        <v>19644</v>
      </c>
      <c r="EV111" s="239">
        <v>0</v>
      </c>
      <c r="EW111" s="239">
        <v>0</v>
      </c>
      <c r="EX111" s="239">
        <v>-3711</v>
      </c>
      <c r="EY111" s="239">
        <v>3983</v>
      </c>
      <c r="EZ111" s="239">
        <v>0</v>
      </c>
      <c r="FA111" s="239">
        <v>308326</v>
      </c>
      <c r="FB111" s="239">
        <v>77082</v>
      </c>
      <c r="FC111" s="239">
        <v>0</v>
      </c>
      <c r="FD111" s="239">
        <v>314084</v>
      </c>
      <c r="FE111" s="239">
        <v>78521</v>
      </c>
      <c r="FF111" s="239">
        <v>0</v>
      </c>
      <c r="FG111" s="239">
        <v>-5758</v>
      </c>
      <c r="FH111" s="239">
        <v>-1439</v>
      </c>
      <c r="FI111" s="239">
        <v>0</v>
      </c>
      <c r="FJ111" s="239">
        <v>0</v>
      </c>
      <c r="FK111" s="239">
        <v>0</v>
      </c>
      <c r="FL111" s="239">
        <v>0</v>
      </c>
      <c r="FM111" s="239">
        <v>0</v>
      </c>
      <c r="FN111" s="239">
        <v>0</v>
      </c>
      <c r="FO111" s="239">
        <v>0</v>
      </c>
      <c r="FP111" s="239">
        <v>0</v>
      </c>
      <c r="FQ111" s="239">
        <v>0</v>
      </c>
      <c r="FR111" s="239">
        <v>0</v>
      </c>
      <c r="FS111" s="239">
        <v>0</v>
      </c>
      <c r="FT111" s="239">
        <v>0</v>
      </c>
      <c r="FU111" s="239">
        <v>0</v>
      </c>
      <c r="FV111" s="239">
        <v>1221548</v>
      </c>
      <c r="FW111" s="239">
        <v>305388</v>
      </c>
      <c r="FX111" s="239">
        <v>0</v>
      </c>
      <c r="FY111" s="834">
        <v>0.5</v>
      </c>
      <c r="FZ111" s="834">
        <v>0.4</v>
      </c>
      <c r="GA111" s="834">
        <v>0.1</v>
      </c>
      <c r="GB111" s="834">
        <v>0</v>
      </c>
      <c r="GC111" s="214" t="s">
        <v>1158</v>
      </c>
    </row>
    <row r="112" spans="2:185" s="214" customFormat="1" x14ac:dyDescent="0.2">
      <c r="B112" s="602" t="s">
        <v>307</v>
      </c>
      <c r="C112" s="602" t="s">
        <v>306</v>
      </c>
      <c r="D112" s="239">
        <v>-196814</v>
      </c>
      <c r="E112" s="239">
        <v>-37116</v>
      </c>
      <c r="F112" s="239">
        <v>-233930</v>
      </c>
      <c r="G112" s="239">
        <v>-283920</v>
      </c>
      <c r="H112" s="239">
        <v>-36333</v>
      </c>
      <c r="I112" s="239">
        <v>-320253</v>
      </c>
      <c r="J112" s="239">
        <v>87106</v>
      </c>
      <c r="K112" s="239">
        <v>-783</v>
      </c>
      <c r="L112" s="239">
        <v>86323</v>
      </c>
      <c r="M112" s="239">
        <v>78069</v>
      </c>
      <c r="N112" s="239">
        <v>78069</v>
      </c>
      <c r="O112" s="239">
        <v>0</v>
      </c>
      <c r="P112" s="239">
        <v>0</v>
      </c>
      <c r="Q112" s="239">
        <v>0</v>
      </c>
      <c r="R112" s="239">
        <v>0</v>
      </c>
      <c r="S112" s="239">
        <v>0</v>
      </c>
      <c r="T112" s="239">
        <v>0</v>
      </c>
      <c r="U112" s="239">
        <v>0</v>
      </c>
      <c r="V112" s="239">
        <v>0</v>
      </c>
      <c r="W112" s="239">
        <v>0</v>
      </c>
      <c r="X112" s="239">
        <v>0</v>
      </c>
      <c r="Y112" s="239">
        <v>280429</v>
      </c>
      <c r="Z112" s="239">
        <v>280429</v>
      </c>
      <c r="AA112" s="239">
        <v>0</v>
      </c>
      <c r="AB112" s="239">
        <v>0</v>
      </c>
      <c r="AC112" s="239">
        <v>64685</v>
      </c>
      <c r="AD112" s="239">
        <v>64685</v>
      </c>
      <c r="AE112" s="239">
        <v>0</v>
      </c>
      <c r="AF112" s="239">
        <v>0</v>
      </c>
      <c r="AG112" s="239">
        <v>215744</v>
      </c>
      <c r="AH112" s="239">
        <v>215744</v>
      </c>
      <c r="AI112" s="239">
        <v>0</v>
      </c>
      <c r="AJ112" s="239">
        <v>0</v>
      </c>
      <c r="AK112" s="239">
        <v>0</v>
      </c>
      <c r="AL112" s="239">
        <v>0</v>
      </c>
      <c r="AM112" s="239">
        <v>0</v>
      </c>
      <c r="AN112" s="239">
        <v>0</v>
      </c>
      <c r="AO112" s="239">
        <v>0</v>
      </c>
      <c r="AP112" s="239">
        <v>0</v>
      </c>
      <c r="AQ112" s="239">
        <v>0</v>
      </c>
      <c r="AR112" s="239">
        <v>0</v>
      </c>
      <c r="AS112" s="239">
        <v>0</v>
      </c>
      <c r="AT112" s="239">
        <v>0</v>
      </c>
      <c r="AU112" s="239">
        <v>0</v>
      </c>
      <c r="AV112" s="239">
        <v>0</v>
      </c>
      <c r="AW112" s="239">
        <v>0</v>
      </c>
      <c r="AX112" s="239">
        <v>0</v>
      </c>
      <c r="AY112" s="239">
        <v>0</v>
      </c>
      <c r="AZ112" s="239">
        <v>0</v>
      </c>
      <c r="BA112" s="239">
        <v>0</v>
      </c>
      <c r="BB112" s="239">
        <v>0</v>
      </c>
      <c r="BC112" s="239">
        <v>564553</v>
      </c>
      <c r="BD112" s="239">
        <v>125551</v>
      </c>
      <c r="BE112" s="239">
        <v>13950</v>
      </c>
      <c r="BF112" s="239">
        <v>555462.06076394848</v>
      </c>
      <c r="BG112" s="239">
        <v>123556.8739973176</v>
      </c>
      <c r="BH112" s="239">
        <v>13728.54155525751</v>
      </c>
      <c r="BI112" s="239">
        <v>37610.107789699563</v>
      </c>
      <c r="BJ112" s="239">
        <v>6975.5786652360512</v>
      </c>
      <c r="BK112" s="239">
        <v>775.06429613733894</v>
      </c>
      <c r="BL112" s="239">
        <v>708874</v>
      </c>
      <c r="BM112" s="239">
        <v>101155</v>
      </c>
      <c r="BN112" s="239">
        <v>11239</v>
      </c>
      <c r="BO112" s="239">
        <v>-144321</v>
      </c>
      <c r="BP112" s="239">
        <v>24396</v>
      </c>
      <c r="BQ112" s="239">
        <v>2711</v>
      </c>
      <c r="BR112" s="239">
        <v>0</v>
      </c>
      <c r="BS112" s="239">
        <v>0</v>
      </c>
      <c r="BT112" s="239">
        <v>0</v>
      </c>
      <c r="BU112" s="239">
        <v>7105</v>
      </c>
      <c r="BV112" s="239">
        <v>457</v>
      </c>
      <c r="BW112" s="239">
        <v>51</v>
      </c>
      <c r="BX112" s="239">
        <v>-7105</v>
      </c>
      <c r="BY112" s="239">
        <v>-457</v>
      </c>
      <c r="BZ112" s="239">
        <v>-51</v>
      </c>
      <c r="CA112" s="239">
        <v>0</v>
      </c>
      <c r="CB112" s="239">
        <v>0</v>
      </c>
      <c r="CC112" s="239">
        <v>0</v>
      </c>
      <c r="CD112" s="239">
        <v>2030</v>
      </c>
      <c r="CE112" s="239">
        <v>457</v>
      </c>
      <c r="CF112" s="239">
        <v>51</v>
      </c>
      <c r="CG112" s="239">
        <v>-2030</v>
      </c>
      <c r="CH112" s="239">
        <v>-457</v>
      </c>
      <c r="CI112" s="239">
        <v>-51</v>
      </c>
      <c r="CJ112" s="239">
        <v>-1</v>
      </c>
      <c r="CK112" s="239">
        <v>0</v>
      </c>
      <c r="CL112" s="239">
        <v>0</v>
      </c>
      <c r="CM112" s="239">
        <v>23</v>
      </c>
      <c r="CN112" s="239">
        <v>5</v>
      </c>
      <c r="CO112" s="239">
        <v>1</v>
      </c>
      <c r="CP112" s="239">
        <v>-24</v>
      </c>
      <c r="CQ112" s="239">
        <v>-5</v>
      </c>
      <c r="CR112" s="239">
        <v>-1</v>
      </c>
      <c r="CS112" s="239">
        <v>-609</v>
      </c>
      <c r="CT112" s="239">
        <v>-137</v>
      </c>
      <c r="CU112" s="239">
        <v>-15</v>
      </c>
      <c r="CV112" s="239">
        <v>0</v>
      </c>
      <c r="CW112" s="239">
        <v>0</v>
      </c>
      <c r="CX112" s="239">
        <v>0</v>
      </c>
      <c r="CY112" s="239">
        <v>0</v>
      </c>
      <c r="CZ112" s="239">
        <v>0</v>
      </c>
      <c r="DA112" s="239">
        <v>0</v>
      </c>
      <c r="DB112" s="239">
        <v>0</v>
      </c>
      <c r="DC112" s="239">
        <v>0</v>
      </c>
      <c r="DD112" s="239">
        <v>0</v>
      </c>
      <c r="DE112" s="239">
        <v>0</v>
      </c>
      <c r="DF112" s="239">
        <v>0</v>
      </c>
      <c r="DG112" s="239">
        <v>0</v>
      </c>
      <c r="DH112" s="239">
        <v>0</v>
      </c>
      <c r="DI112" s="239">
        <v>0</v>
      </c>
      <c r="DJ112" s="239">
        <v>0</v>
      </c>
      <c r="DK112" s="239">
        <v>0</v>
      </c>
      <c r="DL112" s="239">
        <v>0</v>
      </c>
      <c r="DM112" s="239">
        <v>0</v>
      </c>
      <c r="DN112" s="239">
        <v>0</v>
      </c>
      <c r="DO112" s="239">
        <v>0</v>
      </c>
      <c r="DP112" s="239">
        <v>0</v>
      </c>
      <c r="DQ112" s="239">
        <v>0</v>
      </c>
      <c r="DR112" s="239">
        <v>0</v>
      </c>
      <c r="DS112" s="239">
        <v>0</v>
      </c>
      <c r="DT112" s="239">
        <v>407</v>
      </c>
      <c r="DU112" s="239">
        <v>91</v>
      </c>
      <c r="DV112" s="239">
        <v>10</v>
      </c>
      <c r="DW112" s="239">
        <v>-407</v>
      </c>
      <c r="DX112" s="239">
        <v>-91</v>
      </c>
      <c r="DY112" s="239">
        <v>-10</v>
      </c>
      <c r="DZ112" s="239">
        <v>1129</v>
      </c>
      <c r="EA112" s="239">
        <v>254</v>
      </c>
      <c r="EB112" s="239">
        <v>28</v>
      </c>
      <c r="EC112" s="239">
        <v>2538</v>
      </c>
      <c r="ED112" s="239">
        <v>0</v>
      </c>
      <c r="EE112" s="239">
        <v>0</v>
      </c>
      <c r="EF112" s="239">
        <v>-1409</v>
      </c>
      <c r="EG112" s="239">
        <v>254</v>
      </c>
      <c r="EH112" s="239">
        <v>28</v>
      </c>
      <c r="EI112" s="239">
        <v>41335</v>
      </c>
      <c r="EJ112" s="239">
        <v>9036</v>
      </c>
      <c r="EK112" s="239">
        <v>1004</v>
      </c>
      <c r="EL112" s="239">
        <v>59115</v>
      </c>
      <c r="EM112" s="239">
        <v>0</v>
      </c>
      <c r="EN112" s="239">
        <v>0</v>
      </c>
      <c r="EO112" s="239">
        <v>-17780</v>
      </c>
      <c r="EP112" s="239">
        <v>9036</v>
      </c>
      <c r="EQ112" s="239">
        <v>1004</v>
      </c>
      <c r="ER112" s="239">
        <v>9950</v>
      </c>
      <c r="ES112" s="239">
        <v>2239</v>
      </c>
      <c r="ET112" s="239">
        <v>249</v>
      </c>
      <c r="EU112" s="239">
        <v>12688</v>
      </c>
      <c r="EV112" s="239">
        <v>0</v>
      </c>
      <c r="EW112" s="239">
        <v>0</v>
      </c>
      <c r="EX112" s="239">
        <v>-2738</v>
      </c>
      <c r="EY112" s="239">
        <v>2239</v>
      </c>
      <c r="EZ112" s="239">
        <v>249</v>
      </c>
      <c r="FA112" s="239">
        <v>95205</v>
      </c>
      <c r="FB112" s="239">
        <v>21421</v>
      </c>
      <c r="FC112" s="239">
        <v>2380</v>
      </c>
      <c r="FD112" s="239">
        <v>88587</v>
      </c>
      <c r="FE112" s="239">
        <v>19713</v>
      </c>
      <c r="FF112" s="239">
        <v>2190</v>
      </c>
      <c r="FG112" s="239">
        <v>6618</v>
      </c>
      <c r="FH112" s="239">
        <v>1708</v>
      </c>
      <c r="FI112" s="239">
        <v>190</v>
      </c>
      <c r="FJ112" s="239">
        <v>0</v>
      </c>
      <c r="FK112" s="239">
        <v>0</v>
      </c>
      <c r="FL112" s="239">
        <v>0</v>
      </c>
      <c r="FM112" s="239">
        <v>0</v>
      </c>
      <c r="FN112" s="239">
        <v>0</v>
      </c>
      <c r="FO112" s="239">
        <v>0</v>
      </c>
      <c r="FP112" s="239">
        <v>0</v>
      </c>
      <c r="FQ112" s="239">
        <v>0</v>
      </c>
      <c r="FR112" s="239">
        <v>0</v>
      </c>
      <c r="FS112" s="239">
        <v>0</v>
      </c>
      <c r="FT112" s="239">
        <v>0</v>
      </c>
      <c r="FU112" s="239">
        <v>0</v>
      </c>
      <c r="FV112" s="239">
        <v>711562</v>
      </c>
      <c r="FW112" s="239">
        <v>158364</v>
      </c>
      <c r="FX112" s="239">
        <v>17596</v>
      </c>
      <c r="FY112" s="834">
        <v>0.5</v>
      </c>
      <c r="FZ112" s="834">
        <v>0.4</v>
      </c>
      <c r="GA112" s="834">
        <v>0.09</v>
      </c>
      <c r="GB112" s="834">
        <v>0.01</v>
      </c>
      <c r="GC112" s="214" t="s">
        <v>1158</v>
      </c>
    </row>
    <row r="113" spans="1:185" s="214" customFormat="1" x14ac:dyDescent="0.2">
      <c r="B113" s="602" t="s">
        <v>309</v>
      </c>
      <c r="C113" s="602" t="s">
        <v>308</v>
      </c>
      <c r="D113" s="239">
        <v>-143579</v>
      </c>
      <c r="E113" s="239">
        <v>0</v>
      </c>
      <c r="F113" s="239">
        <v>-143579</v>
      </c>
      <c r="G113" s="239">
        <v>-443714</v>
      </c>
      <c r="H113" s="239">
        <v>0</v>
      </c>
      <c r="I113" s="239">
        <v>-443714</v>
      </c>
      <c r="J113" s="239">
        <v>300135</v>
      </c>
      <c r="K113" s="239">
        <v>0</v>
      </c>
      <c r="L113" s="239">
        <v>300135</v>
      </c>
      <c r="M113" s="239">
        <v>94419</v>
      </c>
      <c r="N113" s="239">
        <v>94419</v>
      </c>
      <c r="O113" s="239">
        <v>0</v>
      </c>
      <c r="P113" s="239">
        <v>0</v>
      </c>
      <c r="Q113" s="239">
        <v>0</v>
      </c>
      <c r="R113" s="239">
        <v>0</v>
      </c>
      <c r="S113" s="239">
        <v>0</v>
      </c>
      <c r="T113" s="239">
        <v>0</v>
      </c>
      <c r="U113" s="239">
        <v>0</v>
      </c>
      <c r="V113" s="239">
        <v>0</v>
      </c>
      <c r="W113" s="239">
        <v>0</v>
      </c>
      <c r="X113" s="239">
        <v>0</v>
      </c>
      <c r="Y113" s="239">
        <v>0</v>
      </c>
      <c r="Z113" s="239">
        <v>0</v>
      </c>
      <c r="AA113" s="239">
        <v>0</v>
      </c>
      <c r="AB113" s="239">
        <v>0</v>
      </c>
      <c r="AC113" s="239">
        <v>0</v>
      </c>
      <c r="AD113" s="239">
        <v>0</v>
      </c>
      <c r="AE113" s="239">
        <v>0</v>
      </c>
      <c r="AF113" s="239">
        <v>0</v>
      </c>
      <c r="AG113" s="239">
        <v>0</v>
      </c>
      <c r="AH113" s="239">
        <v>0</v>
      </c>
      <c r="AI113" s="239">
        <v>0</v>
      </c>
      <c r="AJ113" s="239">
        <v>0</v>
      </c>
      <c r="AK113" s="239">
        <v>0</v>
      </c>
      <c r="AL113" s="239">
        <v>0</v>
      </c>
      <c r="AM113" s="239">
        <v>0</v>
      </c>
      <c r="AN113" s="239">
        <v>0</v>
      </c>
      <c r="AO113" s="239">
        <v>0</v>
      </c>
      <c r="AP113" s="239">
        <v>0</v>
      </c>
      <c r="AQ113" s="239">
        <v>0</v>
      </c>
      <c r="AR113" s="239">
        <v>0</v>
      </c>
      <c r="AS113" s="239">
        <v>0</v>
      </c>
      <c r="AT113" s="239">
        <v>0</v>
      </c>
      <c r="AU113" s="239">
        <v>0</v>
      </c>
      <c r="AV113" s="239">
        <v>0</v>
      </c>
      <c r="AW113" s="239">
        <v>0</v>
      </c>
      <c r="AX113" s="239">
        <v>0</v>
      </c>
      <c r="AY113" s="239">
        <v>0</v>
      </c>
      <c r="AZ113" s="239">
        <v>0</v>
      </c>
      <c r="BA113" s="239">
        <v>0</v>
      </c>
      <c r="BB113" s="239">
        <v>0</v>
      </c>
      <c r="BC113" s="239">
        <v>740401</v>
      </c>
      <c r="BD113" s="239">
        <v>166590</v>
      </c>
      <c r="BE113" s="239">
        <v>18510</v>
      </c>
      <c r="BF113" s="239">
        <v>724305.30519656651</v>
      </c>
      <c r="BG113" s="239">
        <v>162968.69366922745</v>
      </c>
      <c r="BH113" s="239">
        <v>18107.632629914162</v>
      </c>
      <c r="BI113" s="239">
        <v>34846.594124463518</v>
      </c>
      <c r="BJ113" s="239">
        <v>7840.4836780042915</v>
      </c>
      <c r="BK113" s="239">
        <v>871.16485311158806</v>
      </c>
      <c r="BL113" s="239">
        <v>727984</v>
      </c>
      <c r="BM113" s="239">
        <v>105335</v>
      </c>
      <c r="BN113" s="239">
        <v>11704</v>
      </c>
      <c r="BO113" s="239">
        <v>12417</v>
      </c>
      <c r="BP113" s="239">
        <v>61255</v>
      </c>
      <c r="BQ113" s="239">
        <v>6806</v>
      </c>
      <c r="BR113" s="239">
        <v>594</v>
      </c>
      <c r="BS113" s="239">
        <v>134</v>
      </c>
      <c r="BT113" s="239">
        <v>15</v>
      </c>
      <c r="BU113" s="239">
        <v>0</v>
      </c>
      <c r="BV113" s="239">
        <v>0</v>
      </c>
      <c r="BW113" s="239">
        <v>0</v>
      </c>
      <c r="BX113" s="239">
        <v>594</v>
      </c>
      <c r="BY113" s="239">
        <v>134</v>
      </c>
      <c r="BZ113" s="239">
        <v>15</v>
      </c>
      <c r="CA113" s="239">
        <v>0</v>
      </c>
      <c r="CB113" s="239">
        <v>0</v>
      </c>
      <c r="CC113" s="239">
        <v>0</v>
      </c>
      <c r="CD113" s="239">
        <v>0</v>
      </c>
      <c r="CE113" s="239">
        <v>0</v>
      </c>
      <c r="CF113" s="239">
        <v>0</v>
      </c>
      <c r="CG113" s="239">
        <v>0</v>
      </c>
      <c r="CH113" s="239">
        <v>0</v>
      </c>
      <c r="CI113" s="239">
        <v>0</v>
      </c>
      <c r="CJ113" s="239">
        <v>-511</v>
      </c>
      <c r="CK113" s="239">
        <v>-115</v>
      </c>
      <c r="CL113" s="239">
        <v>-13</v>
      </c>
      <c r="CM113" s="239">
        <v>6027</v>
      </c>
      <c r="CN113" s="239">
        <v>1356</v>
      </c>
      <c r="CO113" s="239">
        <v>151</v>
      </c>
      <c r="CP113" s="239">
        <v>-6538</v>
      </c>
      <c r="CQ113" s="239">
        <v>-1471</v>
      </c>
      <c r="CR113" s="239">
        <v>-164</v>
      </c>
      <c r="CS113" s="239">
        <v>-1028</v>
      </c>
      <c r="CT113" s="239">
        <v>-231</v>
      </c>
      <c r="CU113" s="239">
        <v>-26</v>
      </c>
      <c r="CV113" s="239">
        <v>0</v>
      </c>
      <c r="CW113" s="239">
        <v>0</v>
      </c>
      <c r="CX113" s="239">
        <v>0</v>
      </c>
      <c r="CY113" s="239">
        <v>0</v>
      </c>
      <c r="CZ113" s="239">
        <v>0</v>
      </c>
      <c r="DA113" s="239">
        <v>0</v>
      </c>
      <c r="DB113" s="239">
        <v>0</v>
      </c>
      <c r="DC113" s="239">
        <v>0</v>
      </c>
      <c r="DD113" s="239">
        <v>0</v>
      </c>
      <c r="DE113" s="239">
        <v>0</v>
      </c>
      <c r="DF113" s="239">
        <v>0</v>
      </c>
      <c r="DG113" s="239">
        <v>0</v>
      </c>
      <c r="DH113" s="239">
        <v>3525</v>
      </c>
      <c r="DI113" s="239">
        <v>793</v>
      </c>
      <c r="DJ113" s="239">
        <v>88</v>
      </c>
      <c r="DK113" s="239">
        <v>0</v>
      </c>
      <c r="DL113" s="239">
        <v>0</v>
      </c>
      <c r="DM113" s="239">
        <v>0</v>
      </c>
      <c r="DN113" s="239">
        <v>3525</v>
      </c>
      <c r="DO113" s="239">
        <v>793</v>
      </c>
      <c r="DP113" s="239">
        <v>88</v>
      </c>
      <c r="DQ113" s="239">
        <v>609</v>
      </c>
      <c r="DR113" s="239">
        <v>137</v>
      </c>
      <c r="DS113" s="239">
        <v>15</v>
      </c>
      <c r="DT113" s="239">
        <v>609</v>
      </c>
      <c r="DU113" s="239">
        <v>137</v>
      </c>
      <c r="DV113" s="239">
        <v>15</v>
      </c>
      <c r="DW113" s="239">
        <v>0</v>
      </c>
      <c r="DX113" s="239">
        <v>0</v>
      </c>
      <c r="DY113" s="239">
        <v>0</v>
      </c>
      <c r="DZ113" s="239">
        <v>12255</v>
      </c>
      <c r="EA113" s="239">
        <v>2757</v>
      </c>
      <c r="EB113" s="239">
        <v>306</v>
      </c>
      <c r="EC113" s="239">
        <v>15920</v>
      </c>
      <c r="ED113" s="239">
        <v>0</v>
      </c>
      <c r="EE113" s="239">
        <v>0</v>
      </c>
      <c r="EF113" s="239">
        <v>-3665</v>
      </c>
      <c r="EG113" s="239">
        <v>2757</v>
      </c>
      <c r="EH113" s="239">
        <v>306</v>
      </c>
      <c r="EI113" s="239">
        <v>56895</v>
      </c>
      <c r="EJ113" s="239">
        <v>12801</v>
      </c>
      <c r="EK113" s="239">
        <v>1422</v>
      </c>
      <c r="EL113" s="239">
        <v>86866</v>
      </c>
      <c r="EM113" s="239">
        <v>0</v>
      </c>
      <c r="EN113" s="239">
        <v>0</v>
      </c>
      <c r="EO113" s="239">
        <v>-29971</v>
      </c>
      <c r="EP113" s="239">
        <v>12801</v>
      </c>
      <c r="EQ113" s="239">
        <v>1422</v>
      </c>
      <c r="ER113" s="239">
        <v>17766</v>
      </c>
      <c r="ES113" s="239">
        <v>3997</v>
      </c>
      <c r="ET113" s="239">
        <v>444</v>
      </c>
      <c r="EU113" s="239">
        <v>22942</v>
      </c>
      <c r="EV113" s="239">
        <v>0</v>
      </c>
      <c r="EW113" s="239">
        <v>0</v>
      </c>
      <c r="EX113" s="239">
        <v>-5176</v>
      </c>
      <c r="EY113" s="239">
        <v>3997</v>
      </c>
      <c r="EZ113" s="239">
        <v>444</v>
      </c>
      <c r="FA113" s="239">
        <v>140758</v>
      </c>
      <c r="FB113" s="239">
        <v>31670</v>
      </c>
      <c r="FC113" s="239">
        <v>3519</v>
      </c>
      <c r="FD113" s="239">
        <v>139488</v>
      </c>
      <c r="FE113" s="239">
        <v>31385</v>
      </c>
      <c r="FF113" s="239">
        <v>3487</v>
      </c>
      <c r="FG113" s="239">
        <v>1270</v>
      </c>
      <c r="FH113" s="239">
        <v>285</v>
      </c>
      <c r="FI113" s="239">
        <v>32</v>
      </c>
      <c r="FJ113" s="239">
        <v>0</v>
      </c>
      <c r="FK113" s="239">
        <v>0</v>
      </c>
      <c r="FL113" s="239">
        <v>0</v>
      </c>
      <c r="FM113" s="239">
        <v>0</v>
      </c>
      <c r="FN113" s="239">
        <v>0</v>
      </c>
      <c r="FO113" s="239">
        <v>0</v>
      </c>
      <c r="FP113" s="239">
        <v>0</v>
      </c>
      <c r="FQ113" s="239">
        <v>0</v>
      </c>
      <c r="FR113" s="239">
        <v>0</v>
      </c>
      <c r="FS113" s="239">
        <v>0</v>
      </c>
      <c r="FT113" s="239">
        <v>0</v>
      </c>
      <c r="FU113" s="239">
        <v>0</v>
      </c>
      <c r="FV113" s="239">
        <v>971264</v>
      </c>
      <c r="FW113" s="239">
        <v>218533</v>
      </c>
      <c r="FX113" s="239">
        <v>24280</v>
      </c>
      <c r="FY113" s="834">
        <v>0.5</v>
      </c>
      <c r="FZ113" s="834">
        <v>0.4</v>
      </c>
      <c r="GA113" s="834">
        <v>0.09</v>
      </c>
      <c r="GB113" s="834">
        <v>0.01</v>
      </c>
      <c r="GC113" s="214" t="s">
        <v>1158</v>
      </c>
    </row>
    <row r="114" spans="1:185" s="214" customFormat="1" x14ac:dyDescent="0.2">
      <c r="A114" s="215"/>
      <c r="B114" s="602" t="s">
        <v>311</v>
      </c>
      <c r="C114" s="602" t="s">
        <v>310</v>
      </c>
      <c r="D114" s="239">
        <v>-1467475</v>
      </c>
      <c r="E114" s="239">
        <v>136707</v>
      </c>
      <c r="F114" s="239">
        <v>-1330768</v>
      </c>
      <c r="G114" s="239">
        <v>-1818763</v>
      </c>
      <c r="H114" s="239">
        <v>-15630</v>
      </c>
      <c r="I114" s="239">
        <v>-1834393</v>
      </c>
      <c r="J114" s="239">
        <v>351288</v>
      </c>
      <c r="K114" s="239">
        <v>152337</v>
      </c>
      <c r="L114" s="239">
        <v>503625</v>
      </c>
      <c r="M114" s="239">
        <v>179649</v>
      </c>
      <c r="N114" s="239">
        <v>179649</v>
      </c>
      <c r="O114" s="239">
        <v>0</v>
      </c>
      <c r="P114" s="239">
        <v>373528</v>
      </c>
      <c r="Q114" s="239">
        <v>207196</v>
      </c>
      <c r="R114" s="239">
        <v>166332</v>
      </c>
      <c r="S114" s="239">
        <v>72951</v>
      </c>
      <c r="T114" s="239">
        <v>0</v>
      </c>
      <c r="U114" s="239">
        <v>49763</v>
      </c>
      <c r="V114" s="239">
        <v>0</v>
      </c>
      <c r="W114" s="239">
        <v>23188</v>
      </c>
      <c r="X114" s="239">
        <v>0</v>
      </c>
      <c r="Y114" s="239">
        <v>459253</v>
      </c>
      <c r="Z114" s="239">
        <v>459253</v>
      </c>
      <c r="AA114" s="239">
        <v>0</v>
      </c>
      <c r="AB114" s="239">
        <v>0</v>
      </c>
      <c r="AC114" s="239">
        <v>509477</v>
      </c>
      <c r="AD114" s="239">
        <v>509477</v>
      </c>
      <c r="AE114" s="239">
        <v>0</v>
      </c>
      <c r="AF114" s="239">
        <v>0</v>
      </c>
      <c r="AG114" s="239">
        <v>-50224</v>
      </c>
      <c r="AH114" s="239">
        <v>-50224</v>
      </c>
      <c r="AI114" s="239">
        <v>0</v>
      </c>
      <c r="AJ114" s="239">
        <v>0</v>
      </c>
      <c r="AK114" s="239">
        <v>0</v>
      </c>
      <c r="AL114" s="239">
        <v>0</v>
      </c>
      <c r="AM114" s="239">
        <v>0</v>
      </c>
      <c r="AN114" s="239">
        <v>0</v>
      </c>
      <c r="AO114" s="239">
        <v>0</v>
      </c>
      <c r="AP114" s="239">
        <v>0</v>
      </c>
      <c r="AQ114" s="239">
        <v>0</v>
      </c>
      <c r="AR114" s="239">
        <v>0</v>
      </c>
      <c r="AS114" s="239">
        <v>0</v>
      </c>
      <c r="AT114" s="239">
        <v>0</v>
      </c>
      <c r="AU114" s="239">
        <v>0</v>
      </c>
      <c r="AV114" s="239">
        <v>0</v>
      </c>
      <c r="AW114" s="239">
        <v>0</v>
      </c>
      <c r="AX114" s="239">
        <v>0</v>
      </c>
      <c r="AY114" s="239">
        <v>0</v>
      </c>
      <c r="AZ114" s="239">
        <v>0</v>
      </c>
      <c r="BA114" s="239">
        <v>0</v>
      </c>
      <c r="BB114" s="239">
        <v>0</v>
      </c>
      <c r="BC114" s="239">
        <v>1020783</v>
      </c>
      <c r="BD114" s="239">
        <v>254928</v>
      </c>
      <c r="BE114" s="239">
        <v>0</v>
      </c>
      <c r="BF114" s="239">
        <v>1000043.7095991417</v>
      </c>
      <c r="BG114" s="239">
        <v>249746.30521523609</v>
      </c>
      <c r="BH114" s="239">
        <v>0</v>
      </c>
      <c r="BI114" s="239">
        <v>66025.745193133043</v>
      </c>
      <c r="BJ114" s="239">
        <v>15355.972913090127</v>
      </c>
      <c r="BK114" s="239">
        <v>0</v>
      </c>
      <c r="BL114" s="239">
        <v>1004195</v>
      </c>
      <c r="BM114" s="239">
        <v>175866</v>
      </c>
      <c r="BN114" s="239">
        <v>0</v>
      </c>
      <c r="BO114" s="239">
        <v>16588</v>
      </c>
      <c r="BP114" s="239">
        <v>79062</v>
      </c>
      <c r="BQ114" s="239">
        <v>0</v>
      </c>
      <c r="BR114" s="239">
        <v>2510</v>
      </c>
      <c r="BS114" s="239">
        <v>627</v>
      </c>
      <c r="BT114" s="239">
        <v>0</v>
      </c>
      <c r="BU114" s="239">
        <v>0</v>
      </c>
      <c r="BV114" s="239">
        <v>0</v>
      </c>
      <c r="BW114" s="239">
        <v>0</v>
      </c>
      <c r="BX114" s="239">
        <v>2510</v>
      </c>
      <c r="BY114" s="239">
        <v>627</v>
      </c>
      <c r="BZ114" s="239">
        <v>0</v>
      </c>
      <c r="CA114" s="239">
        <v>-9973</v>
      </c>
      <c r="CB114" s="239">
        <v>-2493</v>
      </c>
      <c r="CC114" s="239">
        <v>0</v>
      </c>
      <c r="CD114" s="239">
        <v>1420</v>
      </c>
      <c r="CE114" s="239">
        <v>355</v>
      </c>
      <c r="CF114" s="239">
        <v>0</v>
      </c>
      <c r="CG114" s="239">
        <v>-11393</v>
      </c>
      <c r="CH114" s="239">
        <v>-2848</v>
      </c>
      <c r="CI114" s="239">
        <v>0</v>
      </c>
      <c r="CJ114" s="239">
        <v>5350</v>
      </c>
      <c r="CK114" s="239">
        <v>1337</v>
      </c>
      <c r="CL114" s="239">
        <v>0</v>
      </c>
      <c r="CM114" s="239">
        <v>185</v>
      </c>
      <c r="CN114" s="239">
        <v>46</v>
      </c>
      <c r="CO114" s="239">
        <v>0</v>
      </c>
      <c r="CP114" s="239">
        <v>5165</v>
      </c>
      <c r="CQ114" s="239">
        <v>1291</v>
      </c>
      <c r="CR114" s="239">
        <v>0</v>
      </c>
      <c r="CS114" s="239">
        <v>-594</v>
      </c>
      <c r="CT114" s="239">
        <v>-149</v>
      </c>
      <c r="CU114" s="239">
        <v>0</v>
      </c>
      <c r="CV114" s="239">
        <v>0</v>
      </c>
      <c r="CW114" s="239">
        <v>0</v>
      </c>
      <c r="CX114" s="239">
        <v>0</v>
      </c>
      <c r="CY114" s="239">
        <v>0</v>
      </c>
      <c r="CZ114" s="239">
        <v>0</v>
      </c>
      <c r="DA114" s="239">
        <v>0</v>
      </c>
      <c r="DB114" s="239">
        <v>0</v>
      </c>
      <c r="DC114" s="239">
        <v>0</v>
      </c>
      <c r="DD114" s="239">
        <v>0</v>
      </c>
      <c r="DE114" s="239">
        <v>1</v>
      </c>
      <c r="DF114" s="239">
        <v>0</v>
      </c>
      <c r="DG114" s="239">
        <v>0</v>
      </c>
      <c r="DH114" s="239">
        <v>266</v>
      </c>
      <c r="DI114" s="239">
        <v>66</v>
      </c>
      <c r="DJ114" s="239">
        <v>0</v>
      </c>
      <c r="DK114" s="239">
        <v>266</v>
      </c>
      <c r="DL114" s="239">
        <v>66</v>
      </c>
      <c r="DM114" s="239">
        <v>0</v>
      </c>
      <c r="DN114" s="239">
        <v>0</v>
      </c>
      <c r="DO114" s="239">
        <v>0</v>
      </c>
      <c r="DP114" s="239">
        <v>0</v>
      </c>
      <c r="DQ114" s="239">
        <v>841</v>
      </c>
      <c r="DR114" s="239">
        <v>210</v>
      </c>
      <c r="DS114" s="239">
        <v>0</v>
      </c>
      <c r="DT114" s="239">
        <v>609</v>
      </c>
      <c r="DU114" s="239">
        <v>152</v>
      </c>
      <c r="DV114" s="239">
        <v>0</v>
      </c>
      <c r="DW114" s="239">
        <v>232</v>
      </c>
      <c r="DX114" s="239">
        <v>58</v>
      </c>
      <c r="DY114" s="239">
        <v>0</v>
      </c>
      <c r="DZ114" s="239">
        <v>13118</v>
      </c>
      <c r="EA114" s="239">
        <v>3280</v>
      </c>
      <c r="EB114" s="239">
        <v>0</v>
      </c>
      <c r="EC114" s="239">
        <v>12688</v>
      </c>
      <c r="ED114" s="239">
        <v>0</v>
      </c>
      <c r="EE114" s="239">
        <v>0</v>
      </c>
      <c r="EF114" s="239">
        <v>430</v>
      </c>
      <c r="EG114" s="239">
        <v>3280</v>
      </c>
      <c r="EH114" s="239">
        <v>0</v>
      </c>
      <c r="EI114" s="239">
        <v>130716</v>
      </c>
      <c r="EJ114" s="239">
        <v>32679</v>
      </c>
      <c r="EK114" s="239">
        <v>0</v>
      </c>
      <c r="EL114" s="239">
        <v>160978</v>
      </c>
      <c r="EM114" s="239">
        <v>0</v>
      </c>
      <c r="EN114" s="239">
        <v>0</v>
      </c>
      <c r="EO114" s="239">
        <v>-30262</v>
      </c>
      <c r="EP114" s="239">
        <v>32679</v>
      </c>
      <c r="EQ114" s="239">
        <v>0</v>
      </c>
      <c r="ER114" s="239">
        <v>21384</v>
      </c>
      <c r="ES114" s="239">
        <v>5346</v>
      </c>
      <c r="ET114" s="239">
        <v>0</v>
      </c>
      <c r="EU114" s="239">
        <v>30451</v>
      </c>
      <c r="EV114" s="239">
        <v>0</v>
      </c>
      <c r="EW114" s="239">
        <v>0</v>
      </c>
      <c r="EX114" s="239">
        <v>-9067</v>
      </c>
      <c r="EY114" s="239">
        <v>5346</v>
      </c>
      <c r="EZ114" s="239">
        <v>0</v>
      </c>
      <c r="FA114" s="239">
        <v>163312</v>
      </c>
      <c r="FB114" s="239">
        <v>39151</v>
      </c>
      <c r="FC114" s="239">
        <v>0</v>
      </c>
      <c r="FD114" s="239">
        <v>179821</v>
      </c>
      <c r="FE114" s="239">
        <v>42077</v>
      </c>
      <c r="FF114" s="239">
        <v>0</v>
      </c>
      <c r="FG114" s="239">
        <v>-16509</v>
      </c>
      <c r="FH114" s="239">
        <v>-2926</v>
      </c>
      <c r="FI114" s="239">
        <v>0</v>
      </c>
      <c r="FJ114" s="239">
        <v>0</v>
      </c>
      <c r="FK114" s="239">
        <v>0</v>
      </c>
      <c r="FL114" s="239">
        <v>0</v>
      </c>
      <c r="FM114" s="239">
        <v>0</v>
      </c>
      <c r="FN114" s="239">
        <v>0</v>
      </c>
      <c r="FO114" s="239">
        <v>0</v>
      </c>
      <c r="FP114" s="239">
        <v>0</v>
      </c>
      <c r="FQ114" s="239">
        <v>0</v>
      </c>
      <c r="FR114" s="239">
        <v>0</v>
      </c>
      <c r="FS114" s="239">
        <v>0</v>
      </c>
      <c r="FT114" s="239">
        <v>0</v>
      </c>
      <c r="FU114" s="239">
        <v>0</v>
      </c>
      <c r="FV114" s="239">
        <v>1347714</v>
      </c>
      <c r="FW114" s="239">
        <v>334982</v>
      </c>
      <c r="FX114" s="239">
        <v>0</v>
      </c>
      <c r="FY114" s="834">
        <v>0.5</v>
      </c>
      <c r="FZ114" s="834">
        <v>0.4</v>
      </c>
      <c r="GA114" s="834">
        <v>0.1</v>
      </c>
      <c r="GB114" s="834">
        <v>0</v>
      </c>
      <c r="GC114" s="214" t="s">
        <v>1158</v>
      </c>
    </row>
    <row r="115" spans="1:185" s="214" customFormat="1" x14ac:dyDescent="0.2">
      <c r="B115" s="602" t="s">
        <v>313</v>
      </c>
      <c r="C115" s="602" t="s">
        <v>312</v>
      </c>
      <c r="D115" s="239">
        <v>5013038</v>
      </c>
      <c r="E115" s="239">
        <v>0</v>
      </c>
      <c r="F115" s="239">
        <v>5013038</v>
      </c>
      <c r="G115" s="239">
        <v>5551565</v>
      </c>
      <c r="H115" s="239">
        <v>0</v>
      </c>
      <c r="I115" s="239">
        <v>5551565</v>
      </c>
      <c r="J115" s="239">
        <v>-538527</v>
      </c>
      <c r="K115" s="239">
        <v>0</v>
      </c>
      <c r="L115" s="239">
        <v>-538527</v>
      </c>
      <c r="M115" s="239">
        <v>290353</v>
      </c>
      <c r="N115" s="239">
        <v>290353</v>
      </c>
      <c r="O115" s="239">
        <v>0</v>
      </c>
      <c r="P115" s="239">
        <v>0</v>
      </c>
      <c r="Q115" s="239">
        <v>0</v>
      </c>
      <c r="R115" s="239">
        <v>0</v>
      </c>
      <c r="S115" s="239">
        <v>0</v>
      </c>
      <c r="T115" s="239">
        <v>0</v>
      </c>
      <c r="U115" s="239">
        <v>0</v>
      </c>
      <c r="V115" s="239">
        <v>0</v>
      </c>
      <c r="W115" s="239">
        <v>0</v>
      </c>
      <c r="X115" s="239">
        <v>0</v>
      </c>
      <c r="Y115" s="239">
        <v>0</v>
      </c>
      <c r="Z115" s="239">
        <v>0</v>
      </c>
      <c r="AA115" s="239">
        <v>0</v>
      </c>
      <c r="AB115" s="239">
        <v>0</v>
      </c>
      <c r="AC115" s="239">
        <v>0</v>
      </c>
      <c r="AD115" s="239">
        <v>0</v>
      </c>
      <c r="AE115" s="239">
        <v>0</v>
      </c>
      <c r="AF115" s="239">
        <v>0</v>
      </c>
      <c r="AG115" s="239">
        <v>0</v>
      </c>
      <c r="AH115" s="239">
        <v>0</v>
      </c>
      <c r="AI115" s="239">
        <v>0</v>
      </c>
      <c r="AJ115" s="239">
        <v>0</v>
      </c>
      <c r="AK115" s="239">
        <v>0</v>
      </c>
      <c r="AL115" s="239">
        <v>0</v>
      </c>
      <c r="AM115" s="239">
        <v>0</v>
      </c>
      <c r="AN115" s="239">
        <v>0</v>
      </c>
      <c r="AO115" s="239">
        <v>0</v>
      </c>
      <c r="AP115" s="239">
        <v>0</v>
      </c>
      <c r="AQ115" s="239">
        <v>0</v>
      </c>
      <c r="AR115" s="239">
        <v>0</v>
      </c>
      <c r="AS115" s="239">
        <v>0</v>
      </c>
      <c r="AT115" s="239">
        <v>0</v>
      </c>
      <c r="AU115" s="239">
        <v>0</v>
      </c>
      <c r="AV115" s="239">
        <v>0</v>
      </c>
      <c r="AW115" s="239">
        <v>0</v>
      </c>
      <c r="AX115" s="239">
        <v>0</v>
      </c>
      <c r="AY115" s="239">
        <v>0</v>
      </c>
      <c r="AZ115" s="239">
        <v>0</v>
      </c>
      <c r="BA115" s="239">
        <v>0</v>
      </c>
      <c r="BB115" s="239">
        <v>0</v>
      </c>
      <c r="BC115" s="239">
        <v>1093145</v>
      </c>
      <c r="BD115" s="239">
        <v>1348212</v>
      </c>
      <c r="BE115" s="239">
        <v>0</v>
      </c>
      <c r="BF115" s="239">
        <v>1069989.3141965664</v>
      </c>
      <c r="BG115" s="239">
        <v>1319653.4875090986</v>
      </c>
      <c r="BH115" s="239">
        <v>0</v>
      </c>
      <c r="BI115" s="239">
        <v>70890.31673819742</v>
      </c>
      <c r="BJ115" s="239">
        <v>87431.390643776816</v>
      </c>
      <c r="BK115" s="239">
        <v>0</v>
      </c>
      <c r="BL115" s="239">
        <v>1365877</v>
      </c>
      <c r="BM115" s="239">
        <v>821881</v>
      </c>
      <c r="BN115" s="239">
        <v>0</v>
      </c>
      <c r="BO115" s="239">
        <v>-272732</v>
      </c>
      <c r="BP115" s="239">
        <v>526331</v>
      </c>
      <c r="BQ115" s="239">
        <v>0</v>
      </c>
      <c r="BR115" s="239">
        <v>0</v>
      </c>
      <c r="BS115" s="239">
        <v>0</v>
      </c>
      <c r="BT115" s="239">
        <v>0</v>
      </c>
      <c r="BU115" s="239">
        <v>0</v>
      </c>
      <c r="BV115" s="239">
        <v>0</v>
      </c>
      <c r="BW115" s="239">
        <v>0</v>
      </c>
      <c r="BX115" s="239">
        <v>0</v>
      </c>
      <c r="BY115" s="239">
        <v>0</v>
      </c>
      <c r="BZ115" s="239">
        <v>0</v>
      </c>
      <c r="CA115" s="239">
        <v>50850</v>
      </c>
      <c r="CB115" s="239">
        <v>62715</v>
      </c>
      <c r="CC115" s="239">
        <v>0</v>
      </c>
      <c r="CD115" s="239">
        <v>0</v>
      </c>
      <c r="CE115" s="239">
        <v>0</v>
      </c>
      <c r="CF115" s="239">
        <v>0</v>
      </c>
      <c r="CG115" s="239">
        <v>50850</v>
      </c>
      <c r="CH115" s="239">
        <v>62715</v>
      </c>
      <c r="CI115" s="239">
        <v>0</v>
      </c>
      <c r="CJ115" s="239">
        <v>196</v>
      </c>
      <c r="CK115" s="239">
        <v>242</v>
      </c>
      <c r="CL115" s="239">
        <v>0</v>
      </c>
      <c r="CM115" s="239">
        <v>0</v>
      </c>
      <c r="CN115" s="239">
        <v>0</v>
      </c>
      <c r="CO115" s="239">
        <v>0</v>
      </c>
      <c r="CP115" s="239">
        <v>196</v>
      </c>
      <c r="CQ115" s="239">
        <v>242</v>
      </c>
      <c r="CR115" s="239">
        <v>0</v>
      </c>
      <c r="CS115" s="239">
        <v>-4165</v>
      </c>
      <c r="CT115" s="239">
        <v>-5137</v>
      </c>
      <c r="CU115" s="239">
        <v>0</v>
      </c>
      <c r="CV115" s="239">
        <v>0</v>
      </c>
      <c r="CW115" s="239">
        <v>0</v>
      </c>
      <c r="CX115" s="239">
        <v>0</v>
      </c>
      <c r="CY115" s="239">
        <v>0</v>
      </c>
      <c r="CZ115" s="239">
        <v>0</v>
      </c>
      <c r="DA115" s="239">
        <v>0</v>
      </c>
      <c r="DB115" s="239">
        <v>0</v>
      </c>
      <c r="DC115" s="239">
        <v>0</v>
      </c>
      <c r="DD115" s="239">
        <v>0</v>
      </c>
      <c r="DE115" s="239">
        <v>0</v>
      </c>
      <c r="DF115" s="239">
        <v>0</v>
      </c>
      <c r="DG115" s="239">
        <v>0</v>
      </c>
      <c r="DH115" s="239">
        <v>0</v>
      </c>
      <c r="DI115" s="239">
        <v>0</v>
      </c>
      <c r="DJ115" s="239">
        <v>0</v>
      </c>
      <c r="DK115" s="239">
        <v>0</v>
      </c>
      <c r="DL115" s="239">
        <v>0</v>
      </c>
      <c r="DM115" s="239">
        <v>0</v>
      </c>
      <c r="DN115" s="239">
        <v>0</v>
      </c>
      <c r="DO115" s="239">
        <v>0</v>
      </c>
      <c r="DP115" s="239">
        <v>0</v>
      </c>
      <c r="DQ115" s="239">
        <v>0</v>
      </c>
      <c r="DR115" s="239">
        <v>0</v>
      </c>
      <c r="DS115" s="239">
        <v>0</v>
      </c>
      <c r="DT115" s="239">
        <v>0</v>
      </c>
      <c r="DU115" s="239">
        <v>0</v>
      </c>
      <c r="DV115" s="239">
        <v>0</v>
      </c>
      <c r="DW115" s="239">
        <v>0</v>
      </c>
      <c r="DX115" s="239">
        <v>0</v>
      </c>
      <c r="DY115" s="239">
        <v>0</v>
      </c>
      <c r="DZ115" s="239">
        <v>22239</v>
      </c>
      <c r="EA115" s="239">
        <v>27428</v>
      </c>
      <c r="EB115" s="239">
        <v>0</v>
      </c>
      <c r="EC115" s="239">
        <v>55085</v>
      </c>
      <c r="ED115" s="239">
        <v>0</v>
      </c>
      <c r="EE115" s="239">
        <v>0</v>
      </c>
      <c r="EF115" s="239">
        <v>-32846</v>
      </c>
      <c r="EG115" s="239">
        <v>27428</v>
      </c>
      <c r="EH115" s="239">
        <v>0</v>
      </c>
      <c r="EI115" s="239">
        <v>280420</v>
      </c>
      <c r="EJ115" s="239">
        <v>345852</v>
      </c>
      <c r="EK115" s="239">
        <v>0</v>
      </c>
      <c r="EL115" s="239">
        <v>617004</v>
      </c>
      <c r="EM115" s="239">
        <v>0</v>
      </c>
      <c r="EN115" s="239">
        <v>0</v>
      </c>
      <c r="EO115" s="239">
        <v>-336584</v>
      </c>
      <c r="EP115" s="239">
        <v>345852</v>
      </c>
      <c r="EQ115" s="239">
        <v>0</v>
      </c>
      <c r="ER115" s="239">
        <v>21821</v>
      </c>
      <c r="ES115" s="239">
        <v>26912</v>
      </c>
      <c r="ET115" s="239">
        <v>0</v>
      </c>
      <c r="EU115" s="239">
        <v>68006</v>
      </c>
      <c r="EV115" s="239">
        <v>0</v>
      </c>
      <c r="EW115" s="239">
        <v>0</v>
      </c>
      <c r="EX115" s="239">
        <v>-46185</v>
      </c>
      <c r="EY115" s="239">
        <v>26912</v>
      </c>
      <c r="EZ115" s="239">
        <v>0</v>
      </c>
      <c r="FA115" s="239">
        <v>374904</v>
      </c>
      <c r="FB115" s="239">
        <v>462381</v>
      </c>
      <c r="FC115" s="239">
        <v>0</v>
      </c>
      <c r="FD115" s="239">
        <v>321300</v>
      </c>
      <c r="FE115" s="239">
        <v>396269</v>
      </c>
      <c r="FF115" s="239">
        <v>0</v>
      </c>
      <c r="FG115" s="239">
        <v>53604</v>
      </c>
      <c r="FH115" s="239">
        <v>66112</v>
      </c>
      <c r="FI115" s="239">
        <v>0</v>
      </c>
      <c r="FJ115" s="239">
        <v>0</v>
      </c>
      <c r="FK115" s="239">
        <v>0</v>
      </c>
      <c r="FL115" s="239">
        <v>0</v>
      </c>
      <c r="FM115" s="239">
        <v>0</v>
      </c>
      <c r="FN115" s="239">
        <v>0</v>
      </c>
      <c r="FO115" s="239">
        <v>0</v>
      </c>
      <c r="FP115" s="239">
        <v>0</v>
      </c>
      <c r="FQ115" s="239">
        <v>0</v>
      </c>
      <c r="FR115" s="239">
        <v>0</v>
      </c>
      <c r="FS115" s="239">
        <v>0</v>
      </c>
      <c r="FT115" s="239">
        <v>0</v>
      </c>
      <c r="FU115" s="239">
        <v>0</v>
      </c>
      <c r="FV115" s="239">
        <v>1839410</v>
      </c>
      <c r="FW115" s="239">
        <v>2268605</v>
      </c>
      <c r="FX115" s="239">
        <v>0</v>
      </c>
      <c r="FY115" s="834">
        <v>0.33000000000000007</v>
      </c>
      <c r="FZ115" s="834">
        <v>0.3</v>
      </c>
      <c r="GA115" s="834">
        <v>0.37</v>
      </c>
      <c r="GB115" s="834">
        <v>0</v>
      </c>
      <c r="GC115" s="214" t="s">
        <v>1161</v>
      </c>
    </row>
    <row r="116" spans="1:185" s="214" customFormat="1" x14ac:dyDescent="0.2">
      <c r="B116" s="602" t="s">
        <v>315</v>
      </c>
      <c r="C116" s="602" t="s">
        <v>314</v>
      </c>
      <c r="D116" s="239">
        <v>1657606</v>
      </c>
      <c r="E116" s="239">
        <v>0</v>
      </c>
      <c r="F116" s="239">
        <v>1657606</v>
      </c>
      <c r="G116" s="239">
        <v>2779137</v>
      </c>
      <c r="H116" s="239">
        <v>0</v>
      </c>
      <c r="I116" s="239">
        <v>2779137</v>
      </c>
      <c r="J116" s="239">
        <v>-1121531</v>
      </c>
      <c r="K116" s="239">
        <v>0</v>
      </c>
      <c r="L116" s="239">
        <v>-1121531</v>
      </c>
      <c r="M116" s="239">
        <v>231721</v>
      </c>
      <c r="N116" s="239">
        <v>231721</v>
      </c>
      <c r="O116" s="239">
        <v>0</v>
      </c>
      <c r="P116" s="239">
        <v>0</v>
      </c>
      <c r="Q116" s="239">
        <v>0</v>
      </c>
      <c r="R116" s="239">
        <v>0</v>
      </c>
      <c r="S116" s="239">
        <v>0</v>
      </c>
      <c r="T116" s="239">
        <v>0</v>
      </c>
      <c r="U116" s="239">
        <v>0</v>
      </c>
      <c r="V116" s="239">
        <v>0</v>
      </c>
      <c r="W116" s="239">
        <v>0</v>
      </c>
      <c r="X116" s="239">
        <v>0</v>
      </c>
      <c r="Y116" s="239">
        <v>0</v>
      </c>
      <c r="Z116" s="239">
        <v>0</v>
      </c>
      <c r="AA116" s="239">
        <v>0</v>
      </c>
      <c r="AB116" s="239">
        <v>0</v>
      </c>
      <c r="AC116" s="239">
        <v>0</v>
      </c>
      <c r="AD116" s="239">
        <v>0</v>
      </c>
      <c r="AE116" s="239">
        <v>0</v>
      </c>
      <c r="AF116" s="239">
        <v>0</v>
      </c>
      <c r="AG116" s="239">
        <v>0</v>
      </c>
      <c r="AH116" s="239">
        <v>0</v>
      </c>
      <c r="AI116" s="239">
        <v>0</v>
      </c>
      <c r="AJ116" s="239">
        <v>0</v>
      </c>
      <c r="AK116" s="239">
        <v>0</v>
      </c>
      <c r="AL116" s="239">
        <v>0</v>
      </c>
      <c r="AM116" s="239">
        <v>0</v>
      </c>
      <c r="AN116" s="239">
        <v>0</v>
      </c>
      <c r="AO116" s="239">
        <v>0</v>
      </c>
      <c r="AP116" s="239">
        <v>0</v>
      </c>
      <c r="AQ116" s="239">
        <v>0</v>
      </c>
      <c r="AR116" s="239">
        <v>0</v>
      </c>
      <c r="AS116" s="239">
        <v>0</v>
      </c>
      <c r="AT116" s="239">
        <v>0</v>
      </c>
      <c r="AU116" s="239">
        <v>0</v>
      </c>
      <c r="AV116" s="239">
        <v>0</v>
      </c>
      <c r="AW116" s="239">
        <v>0</v>
      </c>
      <c r="AX116" s="239">
        <v>0</v>
      </c>
      <c r="AY116" s="239">
        <v>0</v>
      </c>
      <c r="AZ116" s="239">
        <v>0</v>
      </c>
      <c r="BA116" s="239">
        <v>0</v>
      </c>
      <c r="BB116" s="239">
        <v>0</v>
      </c>
      <c r="BC116" s="239">
        <v>893530</v>
      </c>
      <c r="BD116" s="239">
        <v>223382</v>
      </c>
      <c r="BE116" s="239">
        <v>0</v>
      </c>
      <c r="BF116" s="239">
        <v>861862.1859038627</v>
      </c>
      <c r="BG116" s="239">
        <v>215465.54647596568</v>
      </c>
      <c r="BH116" s="239">
        <v>0</v>
      </c>
      <c r="BI116" s="239">
        <v>118650.62896995709</v>
      </c>
      <c r="BJ116" s="239">
        <v>29662.657242489273</v>
      </c>
      <c r="BK116" s="239">
        <v>0</v>
      </c>
      <c r="BL116" s="239">
        <v>841990</v>
      </c>
      <c r="BM116" s="239">
        <v>130339</v>
      </c>
      <c r="BN116" s="239">
        <v>0</v>
      </c>
      <c r="BO116" s="239">
        <v>51540</v>
      </c>
      <c r="BP116" s="239">
        <v>93043</v>
      </c>
      <c r="BQ116" s="239">
        <v>0</v>
      </c>
      <c r="BR116" s="239">
        <v>0</v>
      </c>
      <c r="BS116" s="239">
        <v>0</v>
      </c>
      <c r="BT116" s="239">
        <v>0</v>
      </c>
      <c r="BU116" s="239">
        <v>0</v>
      </c>
      <c r="BV116" s="239">
        <v>0</v>
      </c>
      <c r="BW116" s="239">
        <v>0</v>
      </c>
      <c r="BX116" s="239">
        <v>0</v>
      </c>
      <c r="BY116" s="239">
        <v>0</v>
      </c>
      <c r="BZ116" s="239">
        <v>0</v>
      </c>
      <c r="CA116" s="239">
        <v>0</v>
      </c>
      <c r="CB116" s="239">
        <v>0</v>
      </c>
      <c r="CC116" s="239">
        <v>0</v>
      </c>
      <c r="CD116" s="239">
        <v>0</v>
      </c>
      <c r="CE116" s="239">
        <v>0</v>
      </c>
      <c r="CF116" s="239">
        <v>0</v>
      </c>
      <c r="CG116" s="239">
        <v>0</v>
      </c>
      <c r="CH116" s="239">
        <v>0</v>
      </c>
      <c r="CI116" s="239">
        <v>0</v>
      </c>
      <c r="CJ116" s="239">
        <v>12631</v>
      </c>
      <c r="CK116" s="239">
        <v>3158</v>
      </c>
      <c r="CL116" s="239">
        <v>0</v>
      </c>
      <c r="CM116" s="239">
        <v>9794</v>
      </c>
      <c r="CN116" s="239">
        <v>2449</v>
      </c>
      <c r="CO116" s="239">
        <v>0</v>
      </c>
      <c r="CP116" s="239">
        <v>2837</v>
      </c>
      <c r="CQ116" s="239">
        <v>709</v>
      </c>
      <c r="CR116" s="239">
        <v>0</v>
      </c>
      <c r="CS116" s="239">
        <v>-1833</v>
      </c>
      <c r="CT116" s="239">
        <v>-458</v>
      </c>
      <c r="CU116" s="239">
        <v>0</v>
      </c>
      <c r="CV116" s="239">
        <v>0</v>
      </c>
      <c r="CW116" s="239">
        <v>0</v>
      </c>
      <c r="CX116" s="239">
        <v>0</v>
      </c>
      <c r="CY116" s="239">
        <v>0</v>
      </c>
      <c r="CZ116" s="239">
        <v>0</v>
      </c>
      <c r="DA116" s="239">
        <v>0</v>
      </c>
      <c r="DB116" s="239">
        <v>0</v>
      </c>
      <c r="DC116" s="239">
        <v>0</v>
      </c>
      <c r="DD116" s="239">
        <v>0</v>
      </c>
      <c r="DE116" s="239">
        <v>0</v>
      </c>
      <c r="DF116" s="239">
        <v>0</v>
      </c>
      <c r="DG116" s="239">
        <v>0</v>
      </c>
      <c r="DH116" s="239">
        <v>5823</v>
      </c>
      <c r="DI116" s="239">
        <v>1456</v>
      </c>
      <c r="DJ116" s="239">
        <v>0</v>
      </c>
      <c r="DK116" s="239">
        <v>9402</v>
      </c>
      <c r="DL116" s="239">
        <v>2350</v>
      </c>
      <c r="DM116" s="239">
        <v>0</v>
      </c>
      <c r="DN116" s="239">
        <v>-3579</v>
      </c>
      <c r="DO116" s="239">
        <v>-894</v>
      </c>
      <c r="DP116" s="239">
        <v>0</v>
      </c>
      <c r="DQ116" s="239">
        <v>609</v>
      </c>
      <c r="DR116" s="239">
        <v>152</v>
      </c>
      <c r="DS116" s="239">
        <v>0</v>
      </c>
      <c r="DT116" s="239">
        <v>609</v>
      </c>
      <c r="DU116" s="239">
        <v>152</v>
      </c>
      <c r="DV116" s="239">
        <v>0</v>
      </c>
      <c r="DW116" s="239">
        <v>0</v>
      </c>
      <c r="DX116" s="239">
        <v>0</v>
      </c>
      <c r="DY116" s="239">
        <v>0</v>
      </c>
      <c r="DZ116" s="239">
        <v>13356</v>
      </c>
      <c r="EA116" s="239">
        <v>3339</v>
      </c>
      <c r="EB116" s="239">
        <v>0</v>
      </c>
      <c r="EC116" s="239">
        <v>16695</v>
      </c>
      <c r="ED116" s="239">
        <v>0</v>
      </c>
      <c r="EE116" s="239">
        <v>0</v>
      </c>
      <c r="EF116" s="239">
        <v>-3339</v>
      </c>
      <c r="EG116" s="239">
        <v>3339</v>
      </c>
      <c r="EH116" s="239">
        <v>0</v>
      </c>
      <c r="EI116" s="239">
        <v>216662</v>
      </c>
      <c r="EJ116" s="239">
        <v>54165</v>
      </c>
      <c r="EK116" s="239">
        <v>0</v>
      </c>
      <c r="EL116" s="239">
        <v>321248</v>
      </c>
      <c r="EM116" s="239">
        <v>0</v>
      </c>
      <c r="EN116" s="239">
        <v>0</v>
      </c>
      <c r="EO116" s="239">
        <v>-104586</v>
      </c>
      <c r="EP116" s="239">
        <v>54165</v>
      </c>
      <c r="EQ116" s="239">
        <v>0</v>
      </c>
      <c r="ER116" s="239">
        <v>25431</v>
      </c>
      <c r="ES116" s="239">
        <v>6358</v>
      </c>
      <c r="ET116" s="239">
        <v>0</v>
      </c>
      <c r="EU116" s="239">
        <v>32616</v>
      </c>
      <c r="EV116" s="239">
        <v>0</v>
      </c>
      <c r="EW116" s="239">
        <v>0</v>
      </c>
      <c r="EX116" s="239">
        <v>-7185</v>
      </c>
      <c r="EY116" s="239">
        <v>6358</v>
      </c>
      <c r="EZ116" s="239">
        <v>0</v>
      </c>
      <c r="FA116" s="239">
        <v>463662</v>
      </c>
      <c r="FB116" s="239">
        <v>115916</v>
      </c>
      <c r="FC116" s="239">
        <v>0</v>
      </c>
      <c r="FD116" s="239">
        <v>529517</v>
      </c>
      <c r="FE116" s="239">
        <v>132379</v>
      </c>
      <c r="FF116" s="239">
        <v>0</v>
      </c>
      <c r="FG116" s="239">
        <v>-65855</v>
      </c>
      <c r="FH116" s="239">
        <v>-16463</v>
      </c>
      <c r="FI116" s="239">
        <v>0</v>
      </c>
      <c r="FJ116" s="239">
        <v>0</v>
      </c>
      <c r="FK116" s="239">
        <v>0</v>
      </c>
      <c r="FL116" s="239">
        <v>0</v>
      </c>
      <c r="FM116" s="239">
        <v>0</v>
      </c>
      <c r="FN116" s="239">
        <v>0</v>
      </c>
      <c r="FO116" s="239">
        <v>0</v>
      </c>
      <c r="FP116" s="239">
        <v>0</v>
      </c>
      <c r="FQ116" s="239">
        <v>0</v>
      </c>
      <c r="FR116" s="239">
        <v>0</v>
      </c>
      <c r="FS116" s="239">
        <v>0</v>
      </c>
      <c r="FT116" s="239">
        <v>0</v>
      </c>
      <c r="FU116" s="239">
        <v>0</v>
      </c>
      <c r="FV116" s="239">
        <v>1629871</v>
      </c>
      <c r="FW116" s="239">
        <v>407468</v>
      </c>
      <c r="FX116" s="239">
        <v>0</v>
      </c>
      <c r="FY116" s="834">
        <v>0.5</v>
      </c>
      <c r="FZ116" s="834">
        <v>0.4</v>
      </c>
      <c r="GA116" s="834">
        <v>0.1</v>
      </c>
      <c r="GB116" s="834">
        <v>0</v>
      </c>
      <c r="GC116" s="214" t="s">
        <v>1158</v>
      </c>
    </row>
    <row r="117" spans="1:185" s="214" customFormat="1" x14ac:dyDescent="0.2">
      <c r="B117" s="602" t="s">
        <v>317</v>
      </c>
      <c r="C117" s="602" t="s">
        <v>316</v>
      </c>
      <c r="D117" s="239">
        <v>26658777</v>
      </c>
      <c r="E117" s="239">
        <v>0</v>
      </c>
      <c r="F117" s="239">
        <v>26658777</v>
      </c>
      <c r="G117" s="239">
        <v>27268208</v>
      </c>
      <c r="H117" s="239">
        <v>0</v>
      </c>
      <c r="I117" s="239">
        <v>27268208</v>
      </c>
      <c r="J117" s="239">
        <v>-609431</v>
      </c>
      <c r="K117" s="239">
        <v>0</v>
      </c>
      <c r="L117" s="239">
        <v>-609431</v>
      </c>
      <c r="M117" s="239">
        <v>534739</v>
      </c>
      <c r="N117" s="239">
        <v>534739</v>
      </c>
      <c r="O117" s="239">
        <v>0</v>
      </c>
      <c r="P117" s="239">
        <v>0</v>
      </c>
      <c r="Q117" s="239">
        <v>0</v>
      </c>
      <c r="R117" s="239">
        <v>0</v>
      </c>
      <c r="S117" s="239">
        <v>0</v>
      </c>
      <c r="T117" s="239">
        <v>0</v>
      </c>
      <c r="U117" s="239">
        <v>0</v>
      </c>
      <c r="V117" s="239">
        <v>0</v>
      </c>
      <c r="W117" s="239">
        <v>0</v>
      </c>
      <c r="X117" s="239">
        <v>0</v>
      </c>
      <c r="Y117" s="239">
        <v>0</v>
      </c>
      <c r="Z117" s="239">
        <v>0</v>
      </c>
      <c r="AA117" s="239">
        <v>0</v>
      </c>
      <c r="AB117" s="239">
        <v>0</v>
      </c>
      <c r="AC117" s="239">
        <v>0</v>
      </c>
      <c r="AD117" s="239">
        <v>0</v>
      </c>
      <c r="AE117" s="239">
        <v>0</v>
      </c>
      <c r="AF117" s="239">
        <v>0</v>
      </c>
      <c r="AG117" s="239">
        <v>0</v>
      </c>
      <c r="AH117" s="239">
        <v>0</v>
      </c>
      <c r="AI117" s="239">
        <v>0</v>
      </c>
      <c r="AJ117" s="239">
        <v>0</v>
      </c>
      <c r="AK117" s="239">
        <v>0</v>
      </c>
      <c r="AL117" s="239">
        <v>0</v>
      </c>
      <c r="AM117" s="239">
        <v>0</v>
      </c>
      <c r="AN117" s="239">
        <v>0</v>
      </c>
      <c r="AO117" s="239">
        <v>0</v>
      </c>
      <c r="AP117" s="239">
        <v>0</v>
      </c>
      <c r="AQ117" s="239">
        <v>0</v>
      </c>
      <c r="AR117" s="239">
        <v>0</v>
      </c>
      <c r="AS117" s="239">
        <v>0</v>
      </c>
      <c r="AT117" s="239">
        <v>0</v>
      </c>
      <c r="AU117" s="239">
        <v>0</v>
      </c>
      <c r="AV117" s="239">
        <v>0</v>
      </c>
      <c r="AW117" s="239">
        <v>0</v>
      </c>
      <c r="AX117" s="239">
        <v>0</v>
      </c>
      <c r="AY117" s="239">
        <v>0</v>
      </c>
      <c r="AZ117" s="239">
        <v>0</v>
      </c>
      <c r="BA117" s="239">
        <v>0</v>
      </c>
      <c r="BB117" s="239">
        <v>0</v>
      </c>
      <c r="BC117" s="239">
        <v>1726983</v>
      </c>
      <c r="BD117" s="239">
        <v>2129945</v>
      </c>
      <c r="BE117" s="239">
        <v>0</v>
      </c>
      <c r="BF117" s="239">
        <v>1681828.2701330471</v>
      </c>
      <c r="BG117" s="239">
        <v>2074254.8664974247</v>
      </c>
      <c r="BH117" s="239">
        <v>0</v>
      </c>
      <c r="BI117" s="239">
        <v>184245.74623390555</v>
      </c>
      <c r="BJ117" s="239">
        <v>227236.42035515019</v>
      </c>
      <c r="BK117" s="239">
        <v>0</v>
      </c>
      <c r="BL117" s="239">
        <v>2587523</v>
      </c>
      <c r="BM117" s="239">
        <v>1415117</v>
      </c>
      <c r="BN117" s="239">
        <v>0</v>
      </c>
      <c r="BO117" s="239">
        <v>-860540</v>
      </c>
      <c r="BP117" s="239">
        <v>714828</v>
      </c>
      <c r="BQ117" s="239">
        <v>0</v>
      </c>
      <c r="BR117" s="239">
        <v>0</v>
      </c>
      <c r="BS117" s="239">
        <v>0</v>
      </c>
      <c r="BT117" s="239">
        <v>0</v>
      </c>
      <c r="BU117" s="239">
        <v>0</v>
      </c>
      <c r="BV117" s="239">
        <v>0</v>
      </c>
      <c r="BW117" s="239">
        <v>0</v>
      </c>
      <c r="BX117" s="239">
        <v>0</v>
      </c>
      <c r="BY117" s="239">
        <v>0</v>
      </c>
      <c r="BZ117" s="239">
        <v>0</v>
      </c>
      <c r="CA117" s="239">
        <v>0</v>
      </c>
      <c r="CB117" s="239">
        <v>0</v>
      </c>
      <c r="CC117" s="239">
        <v>0</v>
      </c>
      <c r="CD117" s="239">
        <v>0</v>
      </c>
      <c r="CE117" s="239">
        <v>0</v>
      </c>
      <c r="CF117" s="239">
        <v>0</v>
      </c>
      <c r="CG117" s="239">
        <v>0</v>
      </c>
      <c r="CH117" s="239">
        <v>0</v>
      </c>
      <c r="CI117" s="239">
        <v>0</v>
      </c>
      <c r="CJ117" s="239">
        <v>4055</v>
      </c>
      <c r="CK117" s="239">
        <v>5002</v>
      </c>
      <c r="CL117" s="239">
        <v>0</v>
      </c>
      <c r="CM117" s="239">
        <v>0</v>
      </c>
      <c r="CN117" s="239">
        <v>0</v>
      </c>
      <c r="CO117" s="239">
        <v>0</v>
      </c>
      <c r="CP117" s="239">
        <v>4055</v>
      </c>
      <c r="CQ117" s="239">
        <v>5002</v>
      </c>
      <c r="CR117" s="239">
        <v>0</v>
      </c>
      <c r="CS117" s="239">
        <v>0</v>
      </c>
      <c r="CT117" s="239">
        <v>0</v>
      </c>
      <c r="CU117" s="239">
        <v>0</v>
      </c>
      <c r="CV117" s="239">
        <v>0</v>
      </c>
      <c r="CW117" s="239">
        <v>0</v>
      </c>
      <c r="CX117" s="239">
        <v>0</v>
      </c>
      <c r="CY117" s="239">
        <v>0</v>
      </c>
      <c r="CZ117" s="239">
        <v>0</v>
      </c>
      <c r="DA117" s="239">
        <v>0</v>
      </c>
      <c r="DB117" s="239">
        <v>0</v>
      </c>
      <c r="DC117" s="239">
        <v>0</v>
      </c>
      <c r="DD117" s="239">
        <v>0</v>
      </c>
      <c r="DE117" s="239">
        <v>0</v>
      </c>
      <c r="DF117" s="239">
        <v>0</v>
      </c>
      <c r="DG117" s="239">
        <v>0</v>
      </c>
      <c r="DH117" s="239">
        <v>0</v>
      </c>
      <c r="DI117" s="239">
        <v>0</v>
      </c>
      <c r="DJ117" s="239">
        <v>0</v>
      </c>
      <c r="DK117" s="239">
        <v>0</v>
      </c>
      <c r="DL117" s="239">
        <v>0</v>
      </c>
      <c r="DM117" s="239">
        <v>0</v>
      </c>
      <c r="DN117" s="239">
        <v>0</v>
      </c>
      <c r="DO117" s="239">
        <v>0</v>
      </c>
      <c r="DP117" s="239">
        <v>0</v>
      </c>
      <c r="DQ117" s="239">
        <v>0</v>
      </c>
      <c r="DR117" s="239">
        <v>0</v>
      </c>
      <c r="DS117" s="239">
        <v>0</v>
      </c>
      <c r="DT117" s="239">
        <v>0</v>
      </c>
      <c r="DU117" s="239">
        <v>0</v>
      </c>
      <c r="DV117" s="239">
        <v>0</v>
      </c>
      <c r="DW117" s="239">
        <v>0</v>
      </c>
      <c r="DX117" s="239">
        <v>0</v>
      </c>
      <c r="DY117" s="239">
        <v>0</v>
      </c>
      <c r="DZ117" s="239">
        <v>209538</v>
      </c>
      <c r="EA117" s="239">
        <v>258430</v>
      </c>
      <c r="EB117" s="239">
        <v>0</v>
      </c>
      <c r="EC117" s="239">
        <v>502941</v>
      </c>
      <c r="ED117" s="239">
        <v>0</v>
      </c>
      <c r="EE117" s="239">
        <v>0</v>
      </c>
      <c r="EF117" s="239">
        <v>-293403</v>
      </c>
      <c r="EG117" s="239">
        <v>258430</v>
      </c>
      <c r="EH117" s="239">
        <v>0</v>
      </c>
      <c r="EI117" s="239">
        <v>1221840</v>
      </c>
      <c r="EJ117" s="239">
        <v>1506936</v>
      </c>
      <c r="EK117" s="239">
        <v>0</v>
      </c>
      <c r="EL117" s="239">
        <v>2778289</v>
      </c>
      <c r="EM117" s="239">
        <v>0</v>
      </c>
      <c r="EN117" s="239">
        <v>0</v>
      </c>
      <c r="EO117" s="239">
        <v>-1556449</v>
      </c>
      <c r="EP117" s="239">
        <v>1506936</v>
      </c>
      <c r="EQ117" s="239">
        <v>0</v>
      </c>
      <c r="ER117" s="239">
        <v>8485</v>
      </c>
      <c r="ES117" s="239">
        <v>10465</v>
      </c>
      <c r="ET117" s="239">
        <v>0</v>
      </c>
      <c r="EU117" s="239">
        <v>94529</v>
      </c>
      <c r="EV117" s="239">
        <v>0</v>
      </c>
      <c r="EW117" s="239">
        <v>0</v>
      </c>
      <c r="EX117" s="239">
        <v>-86044</v>
      </c>
      <c r="EY117" s="239">
        <v>10465</v>
      </c>
      <c r="EZ117" s="239">
        <v>0</v>
      </c>
      <c r="FA117" s="239">
        <v>555516</v>
      </c>
      <c r="FB117" s="239">
        <v>685137</v>
      </c>
      <c r="FC117" s="239">
        <v>0</v>
      </c>
      <c r="FD117" s="239">
        <v>538823</v>
      </c>
      <c r="FE117" s="239">
        <v>664549</v>
      </c>
      <c r="FF117" s="239">
        <v>0</v>
      </c>
      <c r="FG117" s="239">
        <v>16693</v>
      </c>
      <c r="FH117" s="239">
        <v>20588</v>
      </c>
      <c r="FI117" s="239">
        <v>0</v>
      </c>
      <c r="FJ117" s="239">
        <v>0</v>
      </c>
      <c r="FK117" s="239">
        <v>0</v>
      </c>
      <c r="FL117" s="239">
        <v>0</v>
      </c>
      <c r="FM117" s="239">
        <v>0</v>
      </c>
      <c r="FN117" s="239">
        <v>0</v>
      </c>
      <c r="FO117" s="239">
        <v>0</v>
      </c>
      <c r="FP117" s="239">
        <v>0</v>
      </c>
      <c r="FQ117" s="239">
        <v>0</v>
      </c>
      <c r="FR117" s="239">
        <v>0</v>
      </c>
      <c r="FS117" s="239">
        <v>0</v>
      </c>
      <c r="FT117" s="239">
        <v>0</v>
      </c>
      <c r="FU117" s="239">
        <v>0</v>
      </c>
      <c r="FV117" s="239">
        <v>3726417</v>
      </c>
      <c r="FW117" s="239">
        <v>4595915</v>
      </c>
      <c r="FX117" s="239">
        <v>0</v>
      </c>
      <c r="FY117" s="834">
        <v>0.33000000000000007</v>
      </c>
      <c r="FZ117" s="834">
        <v>0.3</v>
      </c>
      <c r="GA117" s="834">
        <v>0.37</v>
      </c>
      <c r="GB117" s="834">
        <v>0</v>
      </c>
      <c r="GC117" s="214" t="s">
        <v>1161</v>
      </c>
    </row>
    <row r="118" spans="1:185" s="214" customFormat="1" x14ac:dyDescent="0.2">
      <c r="B118" s="602" t="s">
        <v>319</v>
      </c>
      <c r="C118" s="602" t="s">
        <v>318</v>
      </c>
      <c r="D118" s="239">
        <v>-5896956</v>
      </c>
      <c r="E118" s="239">
        <v>0</v>
      </c>
      <c r="F118" s="239">
        <v>-5896956</v>
      </c>
      <c r="G118" s="239">
        <v>3902936</v>
      </c>
      <c r="H118" s="239">
        <v>0</v>
      </c>
      <c r="I118" s="239">
        <v>3902936</v>
      </c>
      <c r="J118" s="239">
        <v>-9799892</v>
      </c>
      <c r="K118" s="239">
        <v>0</v>
      </c>
      <c r="L118" s="239">
        <v>-9799892</v>
      </c>
      <c r="M118" s="239">
        <v>157675</v>
      </c>
      <c r="N118" s="239">
        <v>157675</v>
      </c>
      <c r="O118" s="239">
        <v>0</v>
      </c>
      <c r="P118" s="239">
        <v>0</v>
      </c>
      <c r="Q118" s="239">
        <v>0</v>
      </c>
      <c r="R118" s="239">
        <v>0</v>
      </c>
      <c r="S118" s="239">
        <v>0</v>
      </c>
      <c r="T118" s="239">
        <v>0</v>
      </c>
      <c r="U118" s="239">
        <v>0</v>
      </c>
      <c r="V118" s="239">
        <v>0</v>
      </c>
      <c r="W118" s="239">
        <v>0</v>
      </c>
      <c r="X118" s="239">
        <v>0</v>
      </c>
      <c r="Y118" s="239">
        <v>0</v>
      </c>
      <c r="Z118" s="239">
        <v>0</v>
      </c>
      <c r="AA118" s="239">
        <v>0</v>
      </c>
      <c r="AB118" s="239">
        <v>0</v>
      </c>
      <c r="AC118" s="239">
        <v>0</v>
      </c>
      <c r="AD118" s="239">
        <v>0</v>
      </c>
      <c r="AE118" s="239">
        <v>0</v>
      </c>
      <c r="AF118" s="239">
        <v>0</v>
      </c>
      <c r="AG118" s="239">
        <v>0</v>
      </c>
      <c r="AH118" s="239">
        <v>0</v>
      </c>
      <c r="AI118" s="239">
        <v>0</v>
      </c>
      <c r="AJ118" s="239">
        <v>0</v>
      </c>
      <c r="AK118" s="239">
        <v>0</v>
      </c>
      <c r="AL118" s="239">
        <v>0</v>
      </c>
      <c r="AM118" s="239">
        <v>0</v>
      </c>
      <c r="AN118" s="239">
        <v>0</v>
      </c>
      <c r="AO118" s="239">
        <v>0</v>
      </c>
      <c r="AP118" s="239">
        <v>0</v>
      </c>
      <c r="AQ118" s="239">
        <v>0</v>
      </c>
      <c r="AR118" s="239">
        <v>0</v>
      </c>
      <c r="AS118" s="239">
        <v>0</v>
      </c>
      <c r="AT118" s="239">
        <v>0</v>
      </c>
      <c r="AU118" s="239">
        <v>0</v>
      </c>
      <c r="AV118" s="239">
        <v>0</v>
      </c>
      <c r="AW118" s="239">
        <v>0</v>
      </c>
      <c r="AX118" s="239">
        <v>0</v>
      </c>
      <c r="AY118" s="239">
        <v>0</v>
      </c>
      <c r="AZ118" s="239">
        <v>0</v>
      </c>
      <c r="BA118" s="239">
        <v>0</v>
      </c>
      <c r="BB118" s="239">
        <v>0</v>
      </c>
      <c r="BC118" s="239">
        <v>2105838</v>
      </c>
      <c r="BD118" s="239">
        <v>0</v>
      </c>
      <c r="BE118" s="239">
        <v>21270</v>
      </c>
      <c r="BF118" s="239">
        <v>2035372.7238170605</v>
      </c>
      <c r="BG118" s="239">
        <v>0</v>
      </c>
      <c r="BH118" s="239">
        <v>20558.697588519313</v>
      </c>
      <c r="BI118" s="239">
        <v>218917.6942435622</v>
      </c>
      <c r="BJ118" s="239">
        <v>0</v>
      </c>
      <c r="BK118" s="239">
        <v>2162.607258583691</v>
      </c>
      <c r="BL118" s="239">
        <v>1823344</v>
      </c>
      <c r="BM118" s="239">
        <v>0</v>
      </c>
      <c r="BN118" s="239">
        <v>13136</v>
      </c>
      <c r="BO118" s="239">
        <v>282494</v>
      </c>
      <c r="BP118" s="239">
        <v>0</v>
      </c>
      <c r="BQ118" s="239">
        <v>8134</v>
      </c>
      <c r="BR118" s="239">
        <v>18902</v>
      </c>
      <c r="BS118" s="239">
        <v>0</v>
      </c>
      <c r="BT118" s="239">
        <v>191</v>
      </c>
      <c r="BU118" s="239">
        <v>0</v>
      </c>
      <c r="BV118" s="239">
        <v>0</v>
      </c>
      <c r="BW118" s="239">
        <v>0</v>
      </c>
      <c r="BX118" s="239">
        <v>18902</v>
      </c>
      <c r="BY118" s="239">
        <v>0</v>
      </c>
      <c r="BZ118" s="239">
        <v>191</v>
      </c>
      <c r="CA118" s="239">
        <v>0</v>
      </c>
      <c r="CB118" s="239">
        <v>0</v>
      </c>
      <c r="CC118" s="239">
        <v>0</v>
      </c>
      <c r="CD118" s="239">
        <v>0</v>
      </c>
      <c r="CE118" s="239">
        <v>0</v>
      </c>
      <c r="CF118" s="239">
        <v>0</v>
      </c>
      <c r="CG118" s="239">
        <v>0</v>
      </c>
      <c r="CH118" s="239">
        <v>0</v>
      </c>
      <c r="CI118" s="239">
        <v>0</v>
      </c>
      <c r="CJ118" s="239">
        <v>-1369</v>
      </c>
      <c r="CK118" s="239">
        <v>0</v>
      </c>
      <c r="CL118" s="239">
        <v>-14</v>
      </c>
      <c r="CM118" s="239">
        <v>0</v>
      </c>
      <c r="CN118" s="239">
        <v>0</v>
      </c>
      <c r="CO118" s="239">
        <v>0</v>
      </c>
      <c r="CP118" s="239">
        <v>-1369</v>
      </c>
      <c r="CQ118" s="239">
        <v>0</v>
      </c>
      <c r="CR118" s="239">
        <v>-14</v>
      </c>
      <c r="CS118" s="239">
        <v>-21748</v>
      </c>
      <c r="CT118" s="239">
        <v>0</v>
      </c>
      <c r="CU118" s="239">
        <v>-220</v>
      </c>
      <c r="CV118" s="239">
        <v>0</v>
      </c>
      <c r="CW118" s="239">
        <v>0</v>
      </c>
      <c r="CX118" s="239">
        <v>0</v>
      </c>
      <c r="CY118" s="239">
        <v>0</v>
      </c>
      <c r="CZ118" s="239">
        <v>0</v>
      </c>
      <c r="DA118" s="239">
        <v>0</v>
      </c>
      <c r="DB118" s="239">
        <v>0</v>
      </c>
      <c r="DC118" s="239">
        <v>0</v>
      </c>
      <c r="DD118" s="239">
        <v>0</v>
      </c>
      <c r="DE118" s="239">
        <v>0</v>
      </c>
      <c r="DF118" s="239">
        <v>0</v>
      </c>
      <c r="DG118" s="239">
        <v>0</v>
      </c>
      <c r="DH118" s="239">
        <v>0</v>
      </c>
      <c r="DI118" s="239">
        <v>0</v>
      </c>
      <c r="DJ118" s="239">
        <v>0</v>
      </c>
      <c r="DK118" s="239">
        <v>0</v>
      </c>
      <c r="DL118" s="239">
        <v>0</v>
      </c>
      <c r="DM118" s="239">
        <v>0</v>
      </c>
      <c r="DN118" s="239">
        <v>0</v>
      </c>
      <c r="DO118" s="239">
        <v>0</v>
      </c>
      <c r="DP118" s="239">
        <v>0</v>
      </c>
      <c r="DQ118" s="239">
        <v>0</v>
      </c>
      <c r="DR118" s="239">
        <v>0</v>
      </c>
      <c r="DS118" s="239">
        <v>0</v>
      </c>
      <c r="DT118" s="239">
        <v>0</v>
      </c>
      <c r="DU118" s="239">
        <v>0</v>
      </c>
      <c r="DV118" s="239">
        <v>0</v>
      </c>
      <c r="DW118" s="239">
        <v>0</v>
      </c>
      <c r="DX118" s="239">
        <v>0</v>
      </c>
      <c r="DY118" s="239">
        <v>0</v>
      </c>
      <c r="DZ118" s="239">
        <v>14612</v>
      </c>
      <c r="EA118" s="239">
        <v>0</v>
      </c>
      <c r="EB118" s="239">
        <v>148</v>
      </c>
      <c r="EC118" s="239">
        <v>14873</v>
      </c>
      <c r="ED118" s="239">
        <v>0</v>
      </c>
      <c r="EE118" s="239">
        <v>0</v>
      </c>
      <c r="EF118" s="239">
        <v>-261</v>
      </c>
      <c r="EG118" s="239">
        <v>0</v>
      </c>
      <c r="EH118" s="239">
        <v>148</v>
      </c>
      <c r="EI118" s="239">
        <v>166714</v>
      </c>
      <c r="EJ118" s="239">
        <v>0</v>
      </c>
      <c r="EK118" s="239">
        <v>1684</v>
      </c>
      <c r="EL118" s="239">
        <v>166134</v>
      </c>
      <c r="EM118" s="239">
        <v>0</v>
      </c>
      <c r="EN118" s="239">
        <v>0</v>
      </c>
      <c r="EO118" s="239">
        <v>580</v>
      </c>
      <c r="EP118" s="239">
        <v>0</v>
      </c>
      <c r="EQ118" s="239">
        <v>1684</v>
      </c>
      <c r="ER118" s="239">
        <v>13492</v>
      </c>
      <c r="ES118" s="239">
        <v>0</v>
      </c>
      <c r="ET118" s="239">
        <v>136</v>
      </c>
      <c r="EU118" s="239">
        <v>12166</v>
      </c>
      <c r="EV118" s="239">
        <v>0</v>
      </c>
      <c r="EW118" s="239">
        <v>0</v>
      </c>
      <c r="EX118" s="239">
        <v>1326</v>
      </c>
      <c r="EY118" s="239">
        <v>0</v>
      </c>
      <c r="EZ118" s="239">
        <v>136</v>
      </c>
      <c r="FA118" s="239">
        <v>733304</v>
      </c>
      <c r="FB118" s="239">
        <v>0</v>
      </c>
      <c r="FC118" s="239">
        <v>7407</v>
      </c>
      <c r="FD118" s="239">
        <v>747375</v>
      </c>
      <c r="FE118" s="239">
        <v>0</v>
      </c>
      <c r="FF118" s="239">
        <v>7549</v>
      </c>
      <c r="FG118" s="239">
        <v>-14071</v>
      </c>
      <c r="FH118" s="239">
        <v>0</v>
      </c>
      <c r="FI118" s="239">
        <v>-142</v>
      </c>
      <c r="FJ118" s="239">
        <v>260084</v>
      </c>
      <c r="FK118" s="239">
        <v>0</v>
      </c>
      <c r="FL118" s="239">
        <v>473</v>
      </c>
      <c r="FM118" s="239">
        <v>207134.18</v>
      </c>
      <c r="FN118" s="239">
        <v>0</v>
      </c>
      <c r="FO118" s="239">
        <v>322.82</v>
      </c>
      <c r="FP118" s="239">
        <v>52949</v>
      </c>
      <c r="FQ118" s="239">
        <v>0</v>
      </c>
      <c r="FR118" s="239">
        <v>151</v>
      </c>
      <c r="FS118" s="239">
        <v>0</v>
      </c>
      <c r="FT118" s="239">
        <v>0</v>
      </c>
      <c r="FU118" s="239">
        <v>0</v>
      </c>
      <c r="FV118" s="239">
        <v>3289829</v>
      </c>
      <c r="FW118" s="239">
        <v>0</v>
      </c>
      <c r="FX118" s="239">
        <v>31075</v>
      </c>
      <c r="FY118" s="834">
        <v>0</v>
      </c>
      <c r="FZ118" s="834">
        <v>0.99</v>
      </c>
      <c r="GA118" s="834">
        <v>0</v>
      </c>
      <c r="GB118" s="834">
        <v>0.01</v>
      </c>
      <c r="GC118" s="214" t="s">
        <v>746</v>
      </c>
    </row>
    <row r="119" spans="1:185" s="214" customFormat="1" x14ac:dyDescent="0.2">
      <c r="B119" s="602" t="s">
        <v>321</v>
      </c>
      <c r="C119" s="602" t="s">
        <v>320</v>
      </c>
      <c r="D119" s="239">
        <v>152889</v>
      </c>
      <c r="E119" s="239">
        <v>0</v>
      </c>
      <c r="F119" s="239">
        <v>152889</v>
      </c>
      <c r="G119" s="239">
        <v>178721</v>
      </c>
      <c r="H119" s="239">
        <v>0</v>
      </c>
      <c r="I119" s="239">
        <v>178721</v>
      </c>
      <c r="J119" s="239">
        <v>-25832</v>
      </c>
      <c r="K119" s="239">
        <v>0</v>
      </c>
      <c r="L119" s="239">
        <v>-25832</v>
      </c>
      <c r="M119" s="239">
        <v>154954</v>
      </c>
      <c r="N119" s="239">
        <v>154954</v>
      </c>
      <c r="O119" s="239">
        <v>0</v>
      </c>
      <c r="P119" s="239">
        <v>0</v>
      </c>
      <c r="Q119" s="239">
        <v>0</v>
      </c>
      <c r="R119" s="239">
        <v>0</v>
      </c>
      <c r="S119" s="239">
        <v>43431</v>
      </c>
      <c r="T119" s="239">
        <v>0</v>
      </c>
      <c r="U119" s="239">
        <v>0</v>
      </c>
      <c r="V119" s="239">
        <v>0</v>
      </c>
      <c r="W119" s="239">
        <v>43431</v>
      </c>
      <c r="X119" s="239">
        <v>0</v>
      </c>
      <c r="Y119" s="239">
        <v>0</v>
      </c>
      <c r="Z119" s="239">
        <v>0</v>
      </c>
      <c r="AA119" s="239">
        <v>0</v>
      </c>
      <c r="AB119" s="239">
        <v>0</v>
      </c>
      <c r="AC119" s="239">
        <v>0</v>
      </c>
      <c r="AD119" s="239">
        <v>0</v>
      </c>
      <c r="AE119" s="239">
        <v>0</v>
      </c>
      <c r="AF119" s="239">
        <v>0</v>
      </c>
      <c r="AG119" s="239">
        <v>0</v>
      </c>
      <c r="AH119" s="239">
        <v>0</v>
      </c>
      <c r="AI119" s="239">
        <v>0</v>
      </c>
      <c r="AJ119" s="239">
        <v>0</v>
      </c>
      <c r="AK119" s="239">
        <v>0</v>
      </c>
      <c r="AL119" s="239">
        <v>0</v>
      </c>
      <c r="AM119" s="239">
        <v>0</v>
      </c>
      <c r="AN119" s="239">
        <v>0</v>
      </c>
      <c r="AO119" s="239">
        <v>0</v>
      </c>
      <c r="AP119" s="239">
        <v>0</v>
      </c>
      <c r="AQ119" s="239">
        <v>0</v>
      </c>
      <c r="AR119" s="239">
        <v>0</v>
      </c>
      <c r="AS119" s="239">
        <v>0</v>
      </c>
      <c r="AT119" s="239">
        <v>0</v>
      </c>
      <c r="AU119" s="239">
        <v>0</v>
      </c>
      <c r="AV119" s="239">
        <v>0</v>
      </c>
      <c r="AW119" s="239">
        <v>0</v>
      </c>
      <c r="AX119" s="239">
        <v>0</v>
      </c>
      <c r="AY119" s="239">
        <v>0</v>
      </c>
      <c r="AZ119" s="239">
        <v>0</v>
      </c>
      <c r="BA119" s="239">
        <v>0</v>
      </c>
      <c r="BB119" s="239">
        <v>0</v>
      </c>
      <c r="BC119" s="239">
        <v>1181557</v>
      </c>
      <c r="BD119" s="239">
        <v>265850</v>
      </c>
      <c r="BE119" s="239">
        <v>29539</v>
      </c>
      <c r="BF119" s="239">
        <v>1161356.9974420602</v>
      </c>
      <c r="BG119" s="239">
        <v>261305.3244244635</v>
      </c>
      <c r="BH119" s="239">
        <v>29033.924936051502</v>
      </c>
      <c r="BI119" s="239">
        <v>65792.267927038629</v>
      </c>
      <c r="BJ119" s="239">
        <v>14803.26028358369</v>
      </c>
      <c r="BK119" s="239">
        <v>1644.8066981759657</v>
      </c>
      <c r="BL119" s="239">
        <v>1124685</v>
      </c>
      <c r="BM119" s="239">
        <v>172733</v>
      </c>
      <c r="BN119" s="239">
        <v>19193</v>
      </c>
      <c r="BO119" s="239">
        <v>56872</v>
      </c>
      <c r="BP119" s="239">
        <v>93117</v>
      </c>
      <c r="BQ119" s="239">
        <v>10346</v>
      </c>
      <c r="BR119" s="239">
        <v>14289</v>
      </c>
      <c r="BS119" s="239">
        <v>3215</v>
      </c>
      <c r="BT119" s="239">
        <v>357</v>
      </c>
      <c r="BU119" s="239">
        <v>4865</v>
      </c>
      <c r="BV119" s="239">
        <v>1095</v>
      </c>
      <c r="BW119" s="239">
        <v>122</v>
      </c>
      <c r="BX119" s="239">
        <v>9424</v>
      </c>
      <c r="BY119" s="239">
        <v>2120</v>
      </c>
      <c r="BZ119" s="239">
        <v>235</v>
      </c>
      <c r="CA119" s="239">
        <v>0</v>
      </c>
      <c r="CB119" s="239">
        <v>0</v>
      </c>
      <c r="CC119" s="239">
        <v>0</v>
      </c>
      <c r="CD119" s="239">
        <v>0</v>
      </c>
      <c r="CE119" s="239">
        <v>0</v>
      </c>
      <c r="CF119" s="239">
        <v>0</v>
      </c>
      <c r="CG119" s="239">
        <v>0</v>
      </c>
      <c r="CH119" s="239">
        <v>0</v>
      </c>
      <c r="CI119" s="239">
        <v>0</v>
      </c>
      <c r="CJ119" s="239">
        <v>0</v>
      </c>
      <c r="CK119" s="239">
        <v>0</v>
      </c>
      <c r="CL119" s="239">
        <v>0</v>
      </c>
      <c r="CM119" s="239">
        <v>0</v>
      </c>
      <c r="CN119" s="239">
        <v>0</v>
      </c>
      <c r="CO119" s="239">
        <v>0</v>
      </c>
      <c r="CP119" s="239">
        <v>0</v>
      </c>
      <c r="CQ119" s="239">
        <v>0</v>
      </c>
      <c r="CR119" s="239">
        <v>0</v>
      </c>
      <c r="CS119" s="239">
        <v>1227</v>
      </c>
      <c r="CT119" s="239">
        <v>276</v>
      </c>
      <c r="CU119" s="239">
        <v>31</v>
      </c>
      <c r="CV119" s="239">
        <v>0</v>
      </c>
      <c r="CW119" s="239">
        <v>0</v>
      </c>
      <c r="CX119" s="239">
        <v>0</v>
      </c>
      <c r="CY119" s="239">
        <v>0</v>
      </c>
      <c r="CZ119" s="239">
        <v>0</v>
      </c>
      <c r="DA119" s="239">
        <v>0</v>
      </c>
      <c r="DB119" s="239">
        <v>0</v>
      </c>
      <c r="DC119" s="239">
        <v>0</v>
      </c>
      <c r="DD119" s="239">
        <v>0</v>
      </c>
      <c r="DE119" s="239">
        <v>0</v>
      </c>
      <c r="DF119" s="239">
        <v>0</v>
      </c>
      <c r="DG119" s="239">
        <v>0</v>
      </c>
      <c r="DH119" s="239">
        <v>23873</v>
      </c>
      <c r="DI119" s="239">
        <v>5371</v>
      </c>
      <c r="DJ119" s="239">
        <v>597</v>
      </c>
      <c r="DK119" s="239">
        <v>27843</v>
      </c>
      <c r="DL119" s="239">
        <v>6264</v>
      </c>
      <c r="DM119" s="239">
        <v>696</v>
      </c>
      <c r="DN119" s="239">
        <v>-3970</v>
      </c>
      <c r="DO119" s="239">
        <v>-893</v>
      </c>
      <c r="DP119" s="239">
        <v>-99</v>
      </c>
      <c r="DQ119" s="239">
        <v>0</v>
      </c>
      <c r="DR119" s="239">
        <v>0</v>
      </c>
      <c r="DS119" s="239">
        <v>0</v>
      </c>
      <c r="DT119" s="239">
        <v>0</v>
      </c>
      <c r="DU119" s="239">
        <v>0</v>
      </c>
      <c r="DV119" s="239">
        <v>0</v>
      </c>
      <c r="DW119" s="239">
        <v>0</v>
      </c>
      <c r="DX119" s="239">
        <v>0</v>
      </c>
      <c r="DY119" s="239">
        <v>0</v>
      </c>
      <c r="DZ119" s="239">
        <v>14898</v>
      </c>
      <c r="EA119" s="239">
        <v>3352</v>
      </c>
      <c r="EB119" s="239">
        <v>372</v>
      </c>
      <c r="EC119" s="239">
        <v>17864</v>
      </c>
      <c r="ED119" s="239">
        <v>0</v>
      </c>
      <c r="EE119" s="239">
        <v>0</v>
      </c>
      <c r="EF119" s="239">
        <v>-2966</v>
      </c>
      <c r="EG119" s="239">
        <v>3352</v>
      </c>
      <c r="EH119" s="239">
        <v>372</v>
      </c>
      <c r="EI119" s="239">
        <v>78771</v>
      </c>
      <c r="EJ119" s="239">
        <v>17724</v>
      </c>
      <c r="EK119" s="239">
        <v>1969</v>
      </c>
      <c r="EL119" s="239">
        <v>119690</v>
      </c>
      <c r="EM119" s="239">
        <v>0</v>
      </c>
      <c r="EN119" s="239">
        <v>0</v>
      </c>
      <c r="EO119" s="239">
        <v>-40919</v>
      </c>
      <c r="EP119" s="239">
        <v>17724</v>
      </c>
      <c r="EQ119" s="239">
        <v>1969</v>
      </c>
      <c r="ER119" s="239">
        <v>32774</v>
      </c>
      <c r="ES119" s="239">
        <v>7374</v>
      </c>
      <c r="ET119" s="239">
        <v>819</v>
      </c>
      <c r="EU119" s="239">
        <v>40670</v>
      </c>
      <c r="EV119" s="239">
        <v>0</v>
      </c>
      <c r="EW119" s="239">
        <v>0</v>
      </c>
      <c r="EX119" s="239">
        <v>-7896</v>
      </c>
      <c r="EY119" s="239">
        <v>7374</v>
      </c>
      <c r="EZ119" s="239">
        <v>819</v>
      </c>
      <c r="FA119" s="239">
        <v>164368</v>
      </c>
      <c r="FB119" s="239">
        <v>36836</v>
      </c>
      <c r="FC119" s="239">
        <v>4093</v>
      </c>
      <c r="FD119" s="239">
        <v>163760</v>
      </c>
      <c r="FE119" s="239">
        <v>36846</v>
      </c>
      <c r="FF119" s="239">
        <v>4094</v>
      </c>
      <c r="FG119" s="239">
        <v>608</v>
      </c>
      <c r="FH119" s="239">
        <v>-10</v>
      </c>
      <c r="FI119" s="239">
        <v>-1</v>
      </c>
      <c r="FJ119" s="239">
        <v>0</v>
      </c>
      <c r="FK119" s="239">
        <v>0</v>
      </c>
      <c r="FL119" s="239">
        <v>0</v>
      </c>
      <c r="FM119" s="239">
        <v>0</v>
      </c>
      <c r="FN119" s="239">
        <v>0</v>
      </c>
      <c r="FO119" s="239">
        <v>0</v>
      </c>
      <c r="FP119" s="239">
        <v>0</v>
      </c>
      <c r="FQ119" s="239">
        <v>0</v>
      </c>
      <c r="FR119" s="239">
        <v>0</v>
      </c>
      <c r="FS119" s="239">
        <v>0</v>
      </c>
      <c r="FT119" s="239">
        <v>0</v>
      </c>
      <c r="FU119" s="239">
        <v>0</v>
      </c>
      <c r="FV119" s="239">
        <v>1511757</v>
      </c>
      <c r="FW119" s="239">
        <v>339998</v>
      </c>
      <c r="FX119" s="239">
        <v>37777</v>
      </c>
      <c r="FY119" s="834">
        <v>0.5</v>
      </c>
      <c r="FZ119" s="834">
        <v>0.4</v>
      </c>
      <c r="GA119" s="834">
        <v>0.09</v>
      </c>
      <c r="GB119" s="834">
        <v>0.01</v>
      </c>
      <c r="GC119" s="214" t="s">
        <v>1158</v>
      </c>
    </row>
    <row r="120" spans="1:185" s="214" customFormat="1" x14ac:dyDescent="0.2">
      <c r="B120" s="602" t="s">
        <v>323</v>
      </c>
      <c r="C120" s="602" t="s">
        <v>322</v>
      </c>
      <c r="D120" s="239">
        <v>23821594</v>
      </c>
      <c r="E120" s="239">
        <v>0</v>
      </c>
      <c r="F120" s="239">
        <v>23821594</v>
      </c>
      <c r="G120" s="239">
        <v>25152301</v>
      </c>
      <c r="H120" s="239">
        <v>0</v>
      </c>
      <c r="I120" s="239">
        <v>25152301</v>
      </c>
      <c r="J120" s="239">
        <v>-1330707</v>
      </c>
      <c r="K120" s="239">
        <v>0</v>
      </c>
      <c r="L120" s="239">
        <v>-1330707</v>
      </c>
      <c r="M120" s="239">
        <v>584390</v>
      </c>
      <c r="N120" s="239">
        <v>584390</v>
      </c>
      <c r="O120" s="239">
        <v>0</v>
      </c>
      <c r="P120" s="239">
        <v>0</v>
      </c>
      <c r="Q120" s="239">
        <v>0</v>
      </c>
      <c r="R120" s="239">
        <v>0</v>
      </c>
      <c r="S120" s="239">
        <v>0</v>
      </c>
      <c r="T120" s="239">
        <v>0</v>
      </c>
      <c r="U120" s="239">
        <v>0</v>
      </c>
      <c r="V120" s="239">
        <v>0</v>
      </c>
      <c r="W120" s="239">
        <v>0</v>
      </c>
      <c r="X120" s="239">
        <v>0</v>
      </c>
      <c r="Y120" s="239">
        <v>0</v>
      </c>
      <c r="Z120" s="239">
        <v>0</v>
      </c>
      <c r="AA120" s="239">
        <v>0</v>
      </c>
      <c r="AB120" s="239">
        <v>0</v>
      </c>
      <c r="AC120" s="239">
        <v>0</v>
      </c>
      <c r="AD120" s="239">
        <v>0</v>
      </c>
      <c r="AE120" s="239">
        <v>0</v>
      </c>
      <c r="AF120" s="239">
        <v>0</v>
      </c>
      <c r="AG120" s="239">
        <v>0</v>
      </c>
      <c r="AH120" s="239">
        <v>0</v>
      </c>
      <c r="AI120" s="239">
        <v>0</v>
      </c>
      <c r="AJ120" s="239">
        <v>0</v>
      </c>
      <c r="AK120" s="239">
        <v>0</v>
      </c>
      <c r="AL120" s="239">
        <v>0</v>
      </c>
      <c r="AM120" s="239">
        <v>0</v>
      </c>
      <c r="AN120" s="239">
        <v>0</v>
      </c>
      <c r="AO120" s="239">
        <v>0</v>
      </c>
      <c r="AP120" s="239">
        <v>0</v>
      </c>
      <c r="AQ120" s="239">
        <v>0</v>
      </c>
      <c r="AR120" s="239">
        <v>0</v>
      </c>
      <c r="AS120" s="239">
        <v>0</v>
      </c>
      <c r="AT120" s="239">
        <v>0</v>
      </c>
      <c r="AU120" s="239">
        <v>0</v>
      </c>
      <c r="AV120" s="239">
        <v>0</v>
      </c>
      <c r="AW120" s="239">
        <v>0</v>
      </c>
      <c r="AX120" s="239">
        <v>0</v>
      </c>
      <c r="AY120" s="239">
        <v>0</v>
      </c>
      <c r="AZ120" s="239">
        <v>0</v>
      </c>
      <c r="BA120" s="239">
        <v>0</v>
      </c>
      <c r="BB120" s="239">
        <v>0</v>
      </c>
      <c r="BC120" s="239">
        <v>1095452</v>
      </c>
      <c r="BD120" s="239">
        <v>1351057</v>
      </c>
      <c r="BE120" s="239">
        <v>0</v>
      </c>
      <c r="BF120" s="239">
        <v>1059286.8389130901</v>
      </c>
      <c r="BG120" s="239">
        <v>1306453.767992811</v>
      </c>
      <c r="BH120" s="239">
        <v>0</v>
      </c>
      <c r="BI120" s="239">
        <v>150583.13810085834</v>
      </c>
      <c r="BJ120" s="239">
        <v>185719.2036577253</v>
      </c>
      <c r="BK120" s="239">
        <v>0</v>
      </c>
      <c r="BL120" s="239">
        <v>1249355</v>
      </c>
      <c r="BM120" s="239">
        <v>679237</v>
      </c>
      <c r="BN120" s="239">
        <v>0</v>
      </c>
      <c r="BO120" s="239">
        <v>-153903</v>
      </c>
      <c r="BP120" s="239">
        <v>671820</v>
      </c>
      <c r="BQ120" s="239">
        <v>0</v>
      </c>
      <c r="BR120" s="239">
        <v>1054</v>
      </c>
      <c r="BS120" s="239">
        <v>1299</v>
      </c>
      <c r="BT120" s="239">
        <v>0</v>
      </c>
      <c r="BU120" s="239">
        <v>0</v>
      </c>
      <c r="BV120" s="239">
        <v>0</v>
      </c>
      <c r="BW120" s="239">
        <v>0</v>
      </c>
      <c r="BX120" s="239">
        <v>1054</v>
      </c>
      <c r="BY120" s="239">
        <v>1299</v>
      </c>
      <c r="BZ120" s="239">
        <v>0</v>
      </c>
      <c r="CA120" s="239">
        <v>4669</v>
      </c>
      <c r="CB120" s="239">
        <v>5758</v>
      </c>
      <c r="CC120" s="239">
        <v>0</v>
      </c>
      <c r="CD120" s="239">
        <v>114079</v>
      </c>
      <c r="CE120" s="239">
        <v>140698</v>
      </c>
      <c r="CF120" s="239">
        <v>0</v>
      </c>
      <c r="CG120" s="239">
        <v>-109410</v>
      </c>
      <c r="CH120" s="239">
        <v>-134940</v>
      </c>
      <c r="CI120" s="239">
        <v>0</v>
      </c>
      <c r="CJ120" s="239">
        <v>25713</v>
      </c>
      <c r="CK120" s="239">
        <v>31713</v>
      </c>
      <c r="CL120" s="239">
        <v>0</v>
      </c>
      <c r="CM120" s="239">
        <v>8907</v>
      </c>
      <c r="CN120" s="239">
        <v>10984</v>
      </c>
      <c r="CO120" s="239">
        <v>0</v>
      </c>
      <c r="CP120" s="239">
        <v>16806</v>
      </c>
      <c r="CQ120" s="239">
        <v>20729</v>
      </c>
      <c r="CR120" s="239">
        <v>0</v>
      </c>
      <c r="CS120" s="239">
        <v>-1826</v>
      </c>
      <c r="CT120" s="239">
        <v>-2253</v>
      </c>
      <c r="CU120" s="239">
        <v>0</v>
      </c>
      <c r="CV120" s="239">
        <v>0</v>
      </c>
      <c r="CW120" s="239">
        <v>0</v>
      </c>
      <c r="CX120" s="239">
        <v>0</v>
      </c>
      <c r="CY120" s="239">
        <v>0</v>
      </c>
      <c r="CZ120" s="239">
        <v>0</v>
      </c>
      <c r="DA120" s="239">
        <v>0</v>
      </c>
      <c r="DB120" s="239">
        <v>0</v>
      </c>
      <c r="DC120" s="239">
        <v>0</v>
      </c>
      <c r="DD120" s="239">
        <v>0</v>
      </c>
      <c r="DE120" s="239">
        <v>0</v>
      </c>
      <c r="DF120" s="239">
        <v>0</v>
      </c>
      <c r="DG120" s="239">
        <v>0</v>
      </c>
      <c r="DH120" s="239">
        <v>0</v>
      </c>
      <c r="DI120" s="239">
        <v>0</v>
      </c>
      <c r="DJ120" s="239">
        <v>0</v>
      </c>
      <c r="DK120" s="239">
        <v>0</v>
      </c>
      <c r="DL120" s="239">
        <v>0</v>
      </c>
      <c r="DM120" s="239">
        <v>0</v>
      </c>
      <c r="DN120" s="239">
        <v>0</v>
      </c>
      <c r="DO120" s="239">
        <v>0</v>
      </c>
      <c r="DP120" s="239">
        <v>0</v>
      </c>
      <c r="DQ120" s="239">
        <v>0</v>
      </c>
      <c r="DR120" s="239">
        <v>0</v>
      </c>
      <c r="DS120" s="239">
        <v>0</v>
      </c>
      <c r="DT120" s="239">
        <v>0</v>
      </c>
      <c r="DU120" s="239">
        <v>0</v>
      </c>
      <c r="DV120" s="239">
        <v>0</v>
      </c>
      <c r="DW120" s="239">
        <v>0</v>
      </c>
      <c r="DX120" s="239">
        <v>0</v>
      </c>
      <c r="DY120" s="239">
        <v>0</v>
      </c>
      <c r="DZ120" s="239">
        <v>16231</v>
      </c>
      <c r="EA120" s="239">
        <v>20018</v>
      </c>
      <c r="EB120" s="239">
        <v>0</v>
      </c>
      <c r="EC120" s="239">
        <v>37302</v>
      </c>
      <c r="ED120" s="239">
        <v>0</v>
      </c>
      <c r="EE120" s="239">
        <v>0</v>
      </c>
      <c r="EF120" s="239">
        <v>-21071</v>
      </c>
      <c r="EG120" s="239">
        <v>20018</v>
      </c>
      <c r="EH120" s="239">
        <v>0</v>
      </c>
      <c r="EI120" s="239">
        <v>665142</v>
      </c>
      <c r="EJ120" s="239">
        <v>820342</v>
      </c>
      <c r="EK120" s="239">
        <v>0</v>
      </c>
      <c r="EL120" s="239">
        <v>1599029</v>
      </c>
      <c r="EM120" s="239">
        <v>0</v>
      </c>
      <c r="EN120" s="239">
        <v>0</v>
      </c>
      <c r="EO120" s="239">
        <v>-933887</v>
      </c>
      <c r="EP120" s="239">
        <v>820342</v>
      </c>
      <c r="EQ120" s="239">
        <v>0</v>
      </c>
      <c r="ER120" s="239">
        <v>8545</v>
      </c>
      <c r="ES120" s="239">
        <v>10539</v>
      </c>
      <c r="ET120" s="239">
        <v>0</v>
      </c>
      <c r="EU120" s="239">
        <v>17682</v>
      </c>
      <c r="EV120" s="239">
        <v>0</v>
      </c>
      <c r="EW120" s="239">
        <v>0</v>
      </c>
      <c r="EX120" s="239">
        <v>-9137</v>
      </c>
      <c r="EY120" s="239">
        <v>10539</v>
      </c>
      <c r="EZ120" s="239">
        <v>0</v>
      </c>
      <c r="FA120" s="239">
        <v>967112</v>
      </c>
      <c r="FB120" s="239">
        <v>1192771</v>
      </c>
      <c r="FC120" s="239">
        <v>0</v>
      </c>
      <c r="FD120" s="239">
        <v>1051865</v>
      </c>
      <c r="FE120" s="239">
        <v>1297300</v>
      </c>
      <c r="FF120" s="239">
        <v>0</v>
      </c>
      <c r="FG120" s="239">
        <v>-84753</v>
      </c>
      <c r="FH120" s="239">
        <v>-104529</v>
      </c>
      <c r="FI120" s="239">
        <v>0</v>
      </c>
      <c r="FJ120" s="239">
        <v>0</v>
      </c>
      <c r="FK120" s="239">
        <v>0</v>
      </c>
      <c r="FL120" s="239">
        <v>0</v>
      </c>
      <c r="FM120" s="239">
        <v>0</v>
      </c>
      <c r="FN120" s="239">
        <v>0</v>
      </c>
      <c r="FO120" s="239">
        <v>0</v>
      </c>
      <c r="FP120" s="239">
        <v>0</v>
      </c>
      <c r="FQ120" s="239">
        <v>0</v>
      </c>
      <c r="FR120" s="239">
        <v>0</v>
      </c>
      <c r="FS120" s="239">
        <v>0</v>
      </c>
      <c r="FT120" s="239">
        <v>0</v>
      </c>
      <c r="FU120" s="239">
        <v>0</v>
      </c>
      <c r="FV120" s="239">
        <v>2782092</v>
      </c>
      <c r="FW120" s="239">
        <v>3431244</v>
      </c>
      <c r="FX120" s="239">
        <v>0</v>
      </c>
      <c r="FY120" s="834">
        <v>0.33000000000000007</v>
      </c>
      <c r="FZ120" s="834">
        <v>0.3</v>
      </c>
      <c r="GA120" s="834">
        <v>0.37</v>
      </c>
      <c r="GB120" s="834">
        <v>0</v>
      </c>
      <c r="GC120" s="214" t="s">
        <v>1161</v>
      </c>
    </row>
    <row r="121" spans="1:185" s="214" customFormat="1" x14ac:dyDescent="0.2">
      <c r="B121" s="602" t="s">
        <v>325</v>
      </c>
      <c r="C121" s="602" t="s">
        <v>324</v>
      </c>
      <c r="D121" s="239">
        <v>1894818</v>
      </c>
      <c r="E121" s="239">
        <v>0</v>
      </c>
      <c r="F121" s="239">
        <v>1894818</v>
      </c>
      <c r="G121" s="239">
        <v>1886707</v>
      </c>
      <c r="H121" s="239">
        <v>0</v>
      </c>
      <c r="I121" s="239">
        <v>1886707</v>
      </c>
      <c r="J121" s="239">
        <v>8111</v>
      </c>
      <c r="K121" s="239">
        <v>0</v>
      </c>
      <c r="L121" s="239">
        <v>8111</v>
      </c>
      <c r="M121" s="239">
        <v>127153</v>
      </c>
      <c r="N121" s="239">
        <v>127153</v>
      </c>
      <c r="O121" s="239">
        <v>0</v>
      </c>
      <c r="P121" s="239">
        <v>0</v>
      </c>
      <c r="Q121" s="239">
        <v>0</v>
      </c>
      <c r="R121" s="239">
        <v>0</v>
      </c>
      <c r="S121" s="239">
        <v>-652</v>
      </c>
      <c r="T121" s="239">
        <v>0</v>
      </c>
      <c r="U121" s="239">
        <v>33000</v>
      </c>
      <c r="V121" s="239">
        <v>0</v>
      </c>
      <c r="W121" s="239">
        <v>-33652</v>
      </c>
      <c r="X121" s="239">
        <v>0</v>
      </c>
      <c r="Y121" s="239">
        <v>0</v>
      </c>
      <c r="Z121" s="239">
        <v>0</v>
      </c>
      <c r="AA121" s="239">
        <v>0</v>
      </c>
      <c r="AB121" s="239">
        <v>0</v>
      </c>
      <c r="AC121" s="239">
        <v>0</v>
      </c>
      <c r="AD121" s="239">
        <v>0</v>
      </c>
      <c r="AE121" s="239">
        <v>0</v>
      </c>
      <c r="AF121" s="239">
        <v>0</v>
      </c>
      <c r="AG121" s="239">
        <v>0</v>
      </c>
      <c r="AH121" s="239">
        <v>0</v>
      </c>
      <c r="AI121" s="239">
        <v>0</v>
      </c>
      <c r="AJ121" s="239">
        <v>0</v>
      </c>
      <c r="AK121" s="239">
        <v>0</v>
      </c>
      <c r="AL121" s="239">
        <v>0</v>
      </c>
      <c r="AM121" s="239">
        <v>0</v>
      </c>
      <c r="AN121" s="239">
        <v>0</v>
      </c>
      <c r="AO121" s="239">
        <v>0</v>
      </c>
      <c r="AP121" s="239">
        <v>0</v>
      </c>
      <c r="AQ121" s="239">
        <v>0</v>
      </c>
      <c r="AR121" s="239">
        <v>0</v>
      </c>
      <c r="AS121" s="239">
        <v>0</v>
      </c>
      <c r="AT121" s="239">
        <v>0</v>
      </c>
      <c r="AU121" s="239">
        <v>0</v>
      </c>
      <c r="AV121" s="239">
        <v>0</v>
      </c>
      <c r="AW121" s="239">
        <v>0</v>
      </c>
      <c r="AX121" s="239">
        <v>0</v>
      </c>
      <c r="AY121" s="239">
        <v>0</v>
      </c>
      <c r="AZ121" s="239">
        <v>0</v>
      </c>
      <c r="BA121" s="239">
        <v>0</v>
      </c>
      <c r="BB121" s="239">
        <v>0</v>
      </c>
      <c r="BC121" s="239">
        <v>769577</v>
      </c>
      <c r="BD121" s="239">
        <v>173155</v>
      </c>
      <c r="BE121" s="239">
        <v>19239</v>
      </c>
      <c r="BF121" s="239">
        <v>749694.89444635191</v>
      </c>
      <c r="BG121" s="239">
        <v>168681.35125042914</v>
      </c>
      <c r="BH121" s="239">
        <v>18742.372361158796</v>
      </c>
      <c r="BI121" s="239">
        <v>74872.915836909873</v>
      </c>
      <c r="BJ121" s="239">
        <v>16846.406063304719</v>
      </c>
      <c r="BK121" s="239">
        <v>1871.8228959227467</v>
      </c>
      <c r="BL121" s="239">
        <v>735726</v>
      </c>
      <c r="BM121" s="239">
        <v>106627</v>
      </c>
      <c r="BN121" s="239">
        <v>11847</v>
      </c>
      <c r="BO121" s="239">
        <v>33851</v>
      </c>
      <c r="BP121" s="239">
        <v>66528</v>
      </c>
      <c r="BQ121" s="239">
        <v>7392</v>
      </c>
      <c r="BR121" s="239">
        <v>2053</v>
      </c>
      <c r="BS121" s="239">
        <v>462</v>
      </c>
      <c r="BT121" s="239">
        <v>51</v>
      </c>
      <c r="BU121" s="239">
        <v>800</v>
      </c>
      <c r="BV121" s="239">
        <v>180</v>
      </c>
      <c r="BW121" s="239">
        <v>20</v>
      </c>
      <c r="BX121" s="239">
        <v>1253</v>
      </c>
      <c r="BY121" s="239">
        <v>282</v>
      </c>
      <c r="BZ121" s="239">
        <v>31</v>
      </c>
      <c r="CA121" s="239">
        <v>0</v>
      </c>
      <c r="CB121" s="239">
        <v>0</v>
      </c>
      <c r="CC121" s="239">
        <v>0</v>
      </c>
      <c r="CD121" s="239">
        <v>0</v>
      </c>
      <c r="CE121" s="239">
        <v>0</v>
      </c>
      <c r="CF121" s="239">
        <v>0</v>
      </c>
      <c r="CG121" s="239">
        <v>0</v>
      </c>
      <c r="CH121" s="239">
        <v>0</v>
      </c>
      <c r="CI121" s="239">
        <v>0</v>
      </c>
      <c r="CJ121" s="239">
        <v>0</v>
      </c>
      <c r="CK121" s="239">
        <v>0</v>
      </c>
      <c r="CL121" s="239">
        <v>0</v>
      </c>
      <c r="CM121" s="239">
        <v>0</v>
      </c>
      <c r="CN121" s="239">
        <v>0</v>
      </c>
      <c r="CO121" s="239">
        <v>0</v>
      </c>
      <c r="CP121" s="239">
        <v>0</v>
      </c>
      <c r="CQ121" s="239">
        <v>0</v>
      </c>
      <c r="CR121" s="239">
        <v>0</v>
      </c>
      <c r="CS121" s="239">
        <v>-576</v>
      </c>
      <c r="CT121" s="239">
        <v>-130</v>
      </c>
      <c r="CU121" s="239">
        <v>-14</v>
      </c>
      <c r="CV121" s="239">
        <v>0</v>
      </c>
      <c r="CW121" s="239">
        <v>0</v>
      </c>
      <c r="CX121" s="239">
        <v>0</v>
      </c>
      <c r="CY121" s="239">
        <v>0</v>
      </c>
      <c r="CZ121" s="239">
        <v>0</v>
      </c>
      <c r="DA121" s="239">
        <v>0</v>
      </c>
      <c r="DB121" s="239">
        <v>0</v>
      </c>
      <c r="DC121" s="239">
        <v>0</v>
      </c>
      <c r="DD121" s="239">
        <v>0</v>
      </c>
      <c r="DE121" s="239">
        <v>-12</v>
      </c>
      <c r="DF121" s="239">
        <v>-3</v>
      </c>
      <c r="DG121" s="239">
        <v>0</v>
      </c>
      <c r="DH121" s="239">
        <v>8604</v>
      </c>
      <c r="DI121" s="239">
        <v>1936</v>
      </c>
      <c r="DJ121" s="239">
        <v>215</v>
      </c>
      <c r="DK121" s="239">
        <v>8016</v>
      </c>
      <c r="DL121" s="239">
        <v>1804</v>
      </c>
      <c r="DM121" s="239">
        <v>200</v>
      </c>
      <c r="DN121" s="239">
        <v>588</v>
      </c>
      <c r="DO121" s="239">
        <v>132</v>
      </c>
      <c r="DP121" s="239">
        <v>15</v>
      </c>
      <c r="DQ121" s="239">
        <v>0</v>
      </c>
      <c r="DR121" s="239">
        <v>0</v>
      </c>
      <c r="DS121" s="239">
        <v>0</v>
      </c>
      <c r="DT121" s="239">
        <v>0</v>
      </c>
      <c r="DU121" s="239">
        <v>0</v>
      </c>
      <c r="DV121" s="239">
        <v>0</v>
      </c>
      <c r="DW121" s="239">
        <v>0</v>
      </c>
      <c r="DX121" s="239">
        <v>0</v>
      </c>
      <c r="DY121" s="239">
        <v>0</v>
      </c>
      <c r="DZ121" s="239">
        <v>20662</v>
      </c>
      <c r="EA121" s="239">
        <v>4649</v>
      </c>
      <c r="EB121" s="239">
        <v>517</v>
      </c>
      <c r="EC121" s="239">
        <v>26103</v>
      </c>
      <c r="ED121" s="239">
        <v>0</v>
      </c>
      <c r="EE121" s="239">
        <v>0</v>
      </c>
      <c r="EF121" s="239">
        <v>-5441</v>
      </c>
      <c r="EG121" s="239">
        <v>4649</v>
      </c>
      <c r="EH121" s="239">
        <v>517</v>
      </c>
      <c r="EI121" s="239">
        <v>133248</v>
      </c>
      <c r="EJ121" s="239">
        <v>29981</v>
      </c>
      <c r="EK121" s="239">
        <v>3331</v>
      </c>
      <c r="EL121" s="239">
        <v>185155</v>
      </c>
      <c r="EM121" s="239">
        <v>0</v>
      </c>
      <c r="EN121" s="239">
        <v>0</v>
      </c>
      <c r="EO121" s="239">
        <v>-51907</v>
      </c>
      <c r="EP121" s="239">
        <v>29981</v>
      </c>
      <c r="EQ121" s="239">
        <v>3331</v>
      </c>
      <c r="ER121" s="239">
        <v>15763</v>
      </c>
      <c r="ES121" s="239">
        <v>3547</v>
      </c>
      <c r="ET121" s="239">
        <v>394</v>
      </c>
      <c r="EU121" s="239">
        <v>25376</v>
      </c>
      <c r="EV121" s="239">
        <v>0</v>
      </c>
      <c r="EW121" s="239">
        <v>0</v>
      </c>
      <c r="EX121" s="239">
        <v>-9613</v>
      </c>
      <c r="EY121" s="239">
        <v>3547</v>
      </c>
      <c r="EZ121" s="239">
        <v>394</v>
      </c>
      <c r="FA121" s="239">
        <v>223866</v>
      </c>
      <c r="FB121" s="239">
        <v>50372</v>
      </c>
      <c r="FC121" s="239">
        <v>5597</v>
      </c>
      <c r="FD121" s="239">
        <v>239121</v>
      </c>
      <c r="FE121" s="239">
        <v>53691</v>
      </c>
      <c r="FF121" s="239">
        <v>5966</v>
      </c>
      <c r="FG121" s="239">
        <v>-15255</v>
      </c>
      <c r="FH121" s="239">
        <v>-3319</v>
      </c>
      <c r="FI121" s="239">
        <v>-369</v>
      </c>
      <c r="FJ121" s="239">
        <v>0</v>
      </c>
      <c r="FK121" s="239">
        <v>0</v>
      </c>
      <c r="FL121" s="239">
        <v>0</v>
      </c>
      <c r="FM121" s="239">
        <v>0</v>
      </c>
      <c r="FN121" s="239">
        <v>0</v>
      </c>
      <c r="FO121" s="239">
        <v>0</v>
      </c>
      <c r="FP121" s="239">
        <v>0</v>
      </c>
      <c r="FQ121" s="239">
        <v>0</v>
      </c>
      <c r="FR121" s="239">
        <v>0</v>
      </c>
      <c r="FS121" s="239">
        <v>0</v>
      </c>
      <c r="FT121" s="239">
        <v>0</v>
      </c>
      <c r="FU121" s="239">
        <v>0</v>
      </c>
      <c r="FV121" s="239">
        <v>1173185</v>
      </c>
      <c r="FW121" s="239">
        <v>263969</v>
      </c>
      <c r="FX121" s="239">
        <v>29330</v>
      </c>
      <c r="FY121" s="834">
        <v>0.5</v>
      </c>
      <c r="FZ121" s="834">
        <v>0.4</v>
      </c>
      <c r="GA121" s="834">
        <v>0.09</v>
      </c>
      <c r="GB121" s="834">
        <v>0.01</v>
      </c>
      <c r="GC121" s="214" t="s">
        <v>1158</v>
      </c>
    </row>
    <row r="122" spans="1:185" s="214" customFormat="1" x14ac:dyDescent="0.2">
      <c r="B122" s="602" t="s">
        <v>327</v>
      </c>
      <c r="C122" s="602" t="s">
        <v>326</v>
      </c>
      <c r="D122" s="239">
        <v>6541305</v>
      </c>
      <c r="E122" s="239">
        <v>0</v>
      </c>
      <c r="F122" s="239">
        <v>6541305</v>
      </c>
      <c r="G122" s="239">
        <v>8304922</v>
      </c>
      <c r="H122" s="239">
        <v>0</v>
      </c>
      <c r="I122" s="239">
        <v>8304922</v>
      </c>
      <c r="J122" s="239">
        <v>-1763617</v>
      </c>
      <c r="K122" s="239">
        <v>0</v>
      </c>
      <c r="L122" s="239">
        <v>-1763617</v>
      </c>
      <c r="M122" s="239">
        <v>309182</v>
      </c>
      <c r="N122" s="239">
        <v>309182</v>
      </c>
      <c r="O122" s="239">
        <v>0</v>
      </c>
      <c r="P122" s="239">
        <v>0</v>
      </c>
      <c r="Q122" s="239">
        <v>0</v>
      </c>
      <c r="R122" s="239">
        <v>0</v>
      </c>
      <c r="S122" s="239">
        <v>0</v>
      </c>
      <c r="T122" s="239">
        <v>0</v>
      </c>
      <c r="U122" s="239">
        <v>0</v>
      </c>
      <c r="V122" s="239">
        <v>0</v>
      </c>
      <c r="W122" s="239">
        <v>0</v>
      </c>
      <c r="X122" s="239">
        <v>0</v>
      </c>
      <c r="Y122" s="239">
        <v>0</v>
      </c>
      <c r="Z122" s="239">
        <v>0</v>
      </c>
      <c r="AA122" s="239">
        <v>0</v>
      </c>
      <c r="AB122" s="239">
        <v>0</v>
      </c>
      <c r="AC122" s="239">
        <v>0</v>
      </c>
      <c r="AD122" s="239">
        <v>0</v>
      </c>
      <c r="AE122" s="239">
        <v>0</v>
      </c>
      <c r="AF122" s="239">
        <v>0</v>
      </c>
      <c r="AG122" s="239">
        <v>0</v>
      </c>
      <c r="AH122" s="239">
        <v>0</v>
      </c>
      <c r="AI122" s="239">
        <v>0</v>
      </c>
      <c r="AJ122" s="239">
        <v>0</v>
      </c>
      <c r="AK122" s="239">
        <v>0</v>
      </c>
      <c r="AL122" s="239">
        <v>0</v>
      </c>
      <c r="AM122" s="239">
        <v>0</v>
      </c>
      <c r="AN122" s="239">
        <v>0</v>
      </c>
      <c r="AO122" s="239">
        <v>0</v>
      </c>
      <c r="AP122" s="239">
        <v>0</v>
      </c>
      <c r="AQ122" s="239">
        <v>0</v>
      </c>
      <c r="AR122" s="239">
        <v>0</v>
      </c>
      <c r="AS122" s="239">
        <v>0</v>
      </c>
      <c r="AT122" s="239">
        <v>0</v>
      </c>
      <c r="AU122" s="239">
        <v>0</v>
      </c>
      <c r="AV122" s="239">
        <v>0</v>
      </c>
      <c r="AW122" s="239">
        <v>0</v>
      </c>
      <c r="AX122" s="239">
        <v>0</v>
      </c>
      <c r="AY122" s="239">
        <v>0</v>
      </c>
      <c r="AZ122" s="239">
        <v>0</v>
      </c>
      <c r="BA122" s="239">
        <v>0</v>
      </c>
      <c r="BB122" s="239">
        <v>0</v>
      </c>
      <c r="BC122" s="239">
        <v>1758569</v>
      </c>
      <c r="BD122" s="239">
        <v>2168902</v>
      </c>
      <c r="BE122" s="239">
        <v>0</v>
      </c>
      <c r="BF122" s="239">
        <v>1720021.6520871243</v>
      </c>
      <c r="BG122" s="239">
        <v>2121360.0375741199</v>
      </c>
      <c r="BH122" s="239">
        <v>0</v>
      </c>
      <c r="BI122" s="239">
        <v>114349.429860515</v>
      </c>
      <c r="BJ122" s="239">
        <v>141030.96349463519</v>
      </c>
      <c r="BK122" s="239">
        <v>0</v>
      </c>
      <c r="BL122" s="239">
        <v>2282436</v>
      </c>
      <c r="BM122" s="239">
        <v>1263278</v>
      </c>
      <c r="BN122" s="239">
        <v>0</v>
      </c>
      <c r="BO122" s="239">
        <v>-523867</v>
      </c>
      <c r="BP122" s="239">
        <v>905624</v>
      </c>
      <c r="BQ122" s="239">
        <v>0</v>
      </c>
      <c r="BR122" s="239">
        <v>0</v>
      </c>
      <c r="BS122" s="239">
        <v>0</v>
      </c>
      <c r="BT122" s="239">
        <v>0</v>
      </c>
      <c r="BU122" s="239">
        <v>3504</v>
      </c>
      <c r="BV122" s="239">
        <v>4322</v>
      </c>
      <c r="BW122" s="239">
        <v>0</v>
      </c>
      <c r="BX122" s="239">
        <v>-3504</v>
      </c>
      <c r="BY122" s="239">
        <v>-4322</v>
      </c>
      <c r="BZ122" s="239">
        <v>0</v>
      </c>
      <c r="CA122" s="239">
        <v>-23319</v>
      </c>
      <c r="CB122" s="239">
        <v>-28761</v>
      </c>
      <c r="CC122" s="239">
        <v>0</v>
      </c>
      <c r="CD122" s="239">
        <v>23028</v>
      </c>
      <c r="CE122" s="239">
        <v>28401</v>
      </c>
      <c r="CF122" s="239">
        <v>0</v>
      </c>
      <c r="CG122" s="239">
        <v>-46347</v>
      </c>
      <c r="CH122" s="239">
        <v>-57162</v>
      </c>
      <c r="CI122" s="239">
        <v>0</v>
      </c>
      <c r="CJ122" s="239">
        <v>1102</v>
      </c>
      <c r="CK122" s="239">
        <v>1359</v>
      </c>
      <c r="CL122" s="239">
        <v>0</v>
      </c>
      <c r="CM122" s="239">
        <v>6593</v>
      </c>
      <c r="CN122" s="239">
        <v>8130</v>
      </c>
      <c r="CO122" s="239">
        <v>0</v>
      </c>
      <c r="CP122" s="239">
        <v>-5491</v>
      </c>
      <c r="CQ122" s="239">
        <v>-6771</v>
      </c>
      <c r="CR122" s="239">
        <v>0</v>
      </c>
      <c r="CS122" s="239">
        <v>-2456</v>
      </c>
      <c r="CT122" s="239">
        <v>-3030</v>
      </c>
      <c r="CU122" s="239">
        <v>0</v>
      </c>
      <c r="CV122" s="239">
        <v>0</v>
      </c>
      <c r="CW122" s="239">
        <v>0</v>
      </c>
      <c r="CX122" s="239">
        <v>0</v>
      </c>
      <c r="CY122" s="239">
        <v>0</v>
      </c>
      <c r="CZ122" s="239">
        <v>0</v>
      </c>
      <c r="DA122" s="239">
        <v>0</v>
      </c>
      <c r="DB122" s="239">
        <v>0</v>
      </c>
      <c r="DC122" s="239">
        <v>0</v>
      </c>
      <c r="DD122" s="239">
        <v>0</v>
      </c>
      <c r="DE122" s="239">
        <v>0</v>
      </c>
      <c r="DF122" s="239">
        <v>0</v>
      </c>
      <c r="DG122" s="239">
        <v>0</v>
      </c>
      <c r="DH122" s="239">
        <v>0</v>
      </c>
      <c r="DI122" s="239">
        <v>0</v>
      </c>
      <c r="DJ122" s="239">
        <v>0</v>
      </c>
      <c r="DK122" s="239">
        <v>0</v>
      </c>
      <c r="DL122" s="239">
        <v>0</v>
      </c>
      <c r="DM122" s="239">
        <v>0</v>
      </c>
      <c r="DN122" s="239">
        <v>0</v>
      </c>
      <c r="DO122" s="239">
        <v>0</v>
      </c>
      <c r="DP122" s="239">
        <v>0</v>
      </c>
      <c r="DQ122" s="239">
        <v>0</v>
      </c>
      <c r="DR122" s="239">
        <v>0</v>
      </c>
      <c r="DS122" s="239">
        <v>0</v>
      </c>
      <c r="DT122" s="239">
        <v>0</v>
      </c>
      <c r="DU122" s="239">
        <v>0</v>
      </c>
      <c r="DV122" s="239">
        <v>0</v>
      </c>
      <c r="DW122" s="239">
        <v>0</v>
      </c>
      <c r="DX122" s="239">
        <v>0</v>
      </c>
      <c r="DY122" s="239">
        <v>0</v>
      </c>
      <c r="DZ122" s="239">
        <v>27684</v>
      </c>
      <c r="EA122" s="239">
        <v>34143</v>
      </c>
      <c r="EB122" s="239">
        <v>0</v>
      </c>
      <c r="EC122" s="239">
        <v>61041</v>
      </c>
      <c r="ED122" s="239">
        <v>0</v>
      </c>
      <c r="EE122" s="239">
        <v>0</v>
      </c>
      <c r="EF122" s="239">
        <v>-33357</v>
      </c>
      <c r="EG122" s="239">
        <v>34143</v>
      </c>
      <c r="EH122" s="239">
        <v>0</v>
      </c>
      <c r="EI122" s="239">
        <v>362429</v>
      </c>
      <c r="EJ122" s="239">
        <v>446996</v>
      </c>
      <c r="EK122" s="239">
        <v>0</v>
      </c>
      <c r="EL122" s="239">
        <v>812817</v>
      </c>
      <c r="EM122" s="239">
        <v>0</v>
      </c>
      <c r="EN122" s="239">
        <v>0</v>
      </c>
      <c r="EO122" s="239">
        <v>-450388</v>
      </c>
      <c r="EP122" s="239">
        <v>446996</v>
      </c>
      <c r="EQ122" s="239">
        <v>0</v>
      </c>
      <c r="ER122" s="239">
        <v>11075</v>
      </c>
      <c r="ES122" s="239">
        <v>13659</v>
      </c>
      <c r="ET122" s="239">
        <v>0</v>
      </c>
      <c r="EU122" s="239">
        <v>28317</v>
      </c>
      <c r="EV122" s="239">
        <v>0</v>
      </c>
      <c r="EW122" s="239">
        <v>0</v>
      </c>
      <c r="EX122" s="239">
        <v>-17242</v>
      </c>
      <c r="EY122" s="239">
        <v>13659</v>
      </c>
      <c r="EZ122" s="239">
        <v>0</v>
      </c>
      <c r="FA122" s="239">
        <v>316161</v>
      </c>
      <c r="FB122" s="239">
        <v>389932</v>
      </c>
      <c r="FC122" s="239">
        <v>0</v>
      </c>
      <c r="FD122" s="239">
        <v>324967</v>
      </c>
      <c r="FE122" s="239">
        <v>400792</v>
      </c>
      <c r="FF122" s="239">
        <v>0</v>
      </c>
      <c r="FG122" s="239">
        <v>-8806</v>
      </c>
      <c r="FH122" s="239">
        <v>-10860</v>
      </c>
      <c r="FI122" s="239">
        <v>0</v>
      </c>
      <c r="FJ122" s="239">
        <v>0</v>
      </c>
      <c r="FK122" s="239">
        <v>0</v>
      </c>
      <c r="FL122" s="239">
        <v>0</v>
      </c>
      <c r="FM122" s="239">
        <v>0</v>
      </c>
      <c r="FN122" s="239">
        <v>0</v>
      </c>
      <c r="FO122" s="239">
        <v>0</v>
      </c>
      <c r="FP122" s="239">
        <v>0</v>
      </c>
      <c r="FQ122" s="239">
        <v>0</v>
      </c>
      <c r="FR122" s="239">
        <v>0</v>
      </c>
      <c r="FS122" s="239">
        <v>0</v>
      </c>
      <c r="FT122" s="239">
        <v>0</v>
      </c>
      <c r="FU122" s="239">
        <v>0</v>
      </c>
      <c r="FV122" s="239">
        <v>2451245</v>
      </c>
      <c r="FW122" s="239">
        <v>3023200</v>
      </c>
      <c r="FX122" s="239">
        <v>0</v>
      </c>
      <c r="FY122" s="834">
        <v>0.33000000000000007</v>
      </c>
      <c r="FZ122" s="834">
        <v>0.3</v>
      </c>
      <c r="GA122" s="834">
        <v>0.37</v>
      </c>
      <c r="GB122" s="834">
        <v>0</v>
      </c>
      <c r="GC122" s="214" t="s">
        <v>1159</v>
      </c>
    </row>
    <row r="123" spans="1:185" s="214" customFormat="1" x14ac:dyDescent="0.2">
      <c r="B123" s="602" t="s">
        <v>329</v>
      </c>
      <c r="C123" s="602" t="s">
        <v>328</v>
      </c>
      <c r="D123" s="239">
        <v>-1202371</v>
      </c>
      <c r="E123" s="239">
        <v>484</v>
      </c>
      <c r="F123" s="239">
        <v>-1201887</v>
      </c>
      <c r="G123" s="239">
        <v>-1055700</v>
      </c>
      <c r="H123" s="239">
        <v>-17366</v>
      </c>
      <c r="I123" s="239">
        <v>-1073066</v>
      </c>
      <c r="J123" s="239">
        <v>-146671</v>
      </c>
      <c r="K123" s="239">
        <v>17850</v>
      </c>
      <c r="L123" s="239">
        <v>-128821</v>
      </c>
      <c r="M123" s="239">
        <v>117691</v>
      </c>
      <c r="N123" s="239">
        <v>117691</v>
      </c>
      <c r="O123" s="239">
        <v>0</v>
      </c>
      <c r="P123" s="239">
        <v>1773820</v>
      </c>
      <c r="Q123" s="239">
        <v>0</v>
      </c>
      <c r="R123" s="239">
        <v>1773820</v>
      </c>
      <c r="S123" s="239">
        <v>0</v>
      </c>
      <c r="T123" s="239">
        <v>0</v>
      </c>
      <c r="U123" s="239">
        <v>0</v>
      </c>
      <c r="V123" s="239">
        <v>0</v>
      </c>
      <c r="W123" s="239">
        <v>0</v>
      </c>
      <c r="X123" s="239">
        <v>0</v>
      </c>
      <c r="Y123" s="239">
        <v>0</v>
      </c>
      <c r="Z123" s="239">
        <v>0</v>
      </c>
      <c r="AA123" s="239">
        <v>0</v>
      </c>
      <c r="AB123" s="239">
        <v>0</v>
      </c>
      <c r="AC123" s="239">
        <v>0</v>
      </c>
      <c r="AD123" s="239">
        <v>0</v>
      </c>
      <c r="AE123" s="239">
        <v>0</v>
      </c>
      <c r="AF123" s="239">
        <v>0</v>
      </c>
      <c r="AG123" s="239">
        <v>0</v>
      </c>
      <c r="AH123" s="239">
        <v>0</v>
      </c>
      <c r="AI123" s="239">
        <v>0</v>
      </c>
      <c r="AJ123" s="239">
        <v>0</v>
      </c>
      <c r="AK123" s="239">
        <v>0</v>
      </c>
      <c r="AL123" s="239">
        <v>0</v>
      </c>
      <c r="AM123" s="239">
        <v>0</v>
      </c>
      <c r="AN123" s="239">
        <v>0</v>
      </c>
      <c r="AO123" s="239">
        <v>0</v>
      </c>
      <c r="AP123" s="239">
        <v>0</v>
      </c>
      <c r="AQ123" s="239">
        <v>0</v>
      </c>
      <c r="AR123" s="239">
        <v>0</v>
      </c>
      <c r="AS123" s="239">
        <v>0</v>
      </c>
      <c r="AT123" s="239">
        <v>0</v>
      </c>
      <c r="AU123" s="239">
        <v>0</v>
      </c>
      <c r="AV123" s="239">
        <v>0</v>
      </c>
      <c r="AW123" s="239">
        <v>0</v>
      </c>
      <c r="AX123" s="239">
        <v>0</v>
      </c>
      <c r="AY123" s="239">
        <v>0</v>
      </c>
      <c r="AZ123" s="239">
        <v>0</v>
      </c>
      <c r="BA123" s="239">
        <v>0</v>
      </c>
      <c r="BB123" s="239">
        <v>0</v>
      </c>
      <c r="BC123" s="239">
        <v>563047</v>
      </c>
      <c r="BD123" s="239">
        <v>111906</v>
      </c>
      <c r="BE123" s="239">
        <v>12434</v>
      </c>
      <c r="BF123" s="239">
        <v>541138.77849914157</v>
      </c>
      <c r="BG123" s="239">
        <v>107551.95104240342</v>
      </c>
      <c r="BH123" s="239">
        <v>11950.216782489271</v>
      </c>
      <c r="BI123" s="239">
        <v>85218.674313304713</v>
      </c>
      <c r="BJ123" s="239">
        <v>15974.429040772531</v>
      </c>
      <c r="BK123" s="239">
        <v>1774.9365600858366</v>
      </c>
      <c r="BL123" s="239">
        <v>533177</v>
      </c>
      <c r="BM123" s="239">
        <v>61985</v>
      </c>
      <c r="BN123" s="239">
        <v>6887</v>
      </c>
      <c r="BO123" s="239">
        <v>29870</v>
      </c>
      <c r="BP123" s="239">
        <v>49921</v>
      </c>
      <c r="BQ123" s="239">
        <v>5547</v>
      </c>
      <c r="BR123" s="239">
        <v>0</v>
      </c>
      <c r="BS123" s="239">
        <v>0</v>
      </c>
      <c r="BT123" s="239">
        <v>0</v>
      </c>
      <c r="BU123" s="239">
        <v>0</v>
      </c>
      <c r="BV123" s="239">
        <v>0</v>
      </c>
      <c r="BW123" s="239">
        <v>0</v>
      </c>
      <c r="BX123" s="239">
        <v>0</v>
      </c>
      <c r="BY123" s="239">
        <v>0</v>
      </c>
      <c r="BZ123" s="239">
        <v>0</v>
      </c>
      <c r="CA123" s="239">
        <v>38008</v>
      </c>
      <c r="CB123" s="239">
        <v>8552</v>
      </c>
      <c r="CC123" s="239">
        <v>950</v>
      </c>
      <c r="CD123" s="239">
        <v>0</v>
      </c>
      <c r="CE123" s="239">
        <v>0</v>
      </c>
      <c r="CF123" s="239">
        <v>0</v>
      </c>
      <c r="CG123" s="239">
        <v>38008</v>
      </c>
      <c r="CH123" s="239">
        <v>8552</v>
      </c>
      <c r="CI123" s="239">
        <v>950</v>
      </c>
      <c r="CJ123" s="239">
        <v>0</v>
      </c>
      <c r="CK123" s="239">
        <v>0</v>
      </c>
      <c r="CL123" s="239">
        <v>0</v>
      </c>
      <c r="CM123" s="239">
        <v>0</v>
      </c>
      <c r="CN123" s="239">
        <v>0</v>
      </c>
      <c r="CO123" s="239">
        <v>0</v>
      </c>
      <c r="CP123" s="239">
        <v>0</v>
      </c>
      <c r="CQ123" s="239">
        <v>0</v>
      </c>
      <c r="CR123" s="239">
        <v>0</v>
      </c>
      <c r="CS123" s="239">
        <v>-1071</v>
      </c>
      <c r="CT123" s="239">
        <v>-241</v>
      </c>
      <c r="CU123" s="239">
        <v>-27</v>
      </c>
      <c r="CV123" s="239">
        <v>0</v>
      </c>
      <c r="CW123" s="239">
        <v>0</v>
      </c>
      <c r="CX123" s="239">
        <v>0</v>
      </c>
      <c r="CY123" s="239">
        <v>0</v>
      </c>
      <c r="CZ123" s="239">
        <v>0</v>
      </c>
      <c r="DA123" s="239">
        <v>0</v>
      </c>
      <c r="DB123" s="239">
        <v>0</v>
      </c>
      <c r="DC123" s="239">
        <v>0</v>
      </c>
      <c r="DD123" s="239">
        <v>0</v>
      </c>
      <c r="DE123" s="239">
        <v>0</v>
      </c>
      <c r="DF123" s="239">
        <v>0</v>
      </c>
      <c r="DG123" s="239">
        <v>0</v>
      </c>
      <c r="DH123" s="239">
        <v>0</v>
      </c>
      <c r="DI123" s="239">
        <v>0</v>
      </c>
      <c r="DJ123" s="239">
        <v>0</v>
      </c>
      <c r="DK123" s="239">
        <v>0</v>
      </c>
      <c r="DL123" s="239">
        <v>0</v>
      </c>
      <c r="DM123" s="239">
        <v>0</v>
      </c>
      <c r="DN123" s="239">
        <v>0</v>
      </c>
      <c r="DO123" s="239">
        <v>0</v>
      </c>
      <c r="DP123" s="239">
        <v>0</v>
      </c>
      <c r="DQ123" s="239">
        <v>0</v>
      </c>
      <c r="DR123" s="239">
        <v>0</v>
      </c>
      <c r="DS123" s="239">
        <v>0</v>
      </c>
      <c r="DT123" s="239">
        <v>0</v>
      </c>
      <c r="DU123" s="239">
        <v>0</v>
      </c>
      <c r="DV123" s="239">
        <v>0</v>
      </c>
      <c r="DW123" s="239">
        <v>0</v>
      </c>
      <c r="DX123" s="239">
        <v>0</v>
      </c>
      <c r="DY123" s="239">
        <v>0</v>
      </c>
      <c r="DZ123" s="239">
        <v>4779</v>
      </c>
      <c r="EA123" s="239">
        <v>653</v>
      </c>
      <c r="EB123" s="239">
        <v>73</v>
      </c>
      <c r="EC123" s="239">
        <v>4566</v>
      </c>
      <c r="ED123" s="239">
        <v>0</v>
      </c>
      <c r="EE123" s="239">
        <v>0</v>
      </c>
      <c r="EF123" s="239">
        <v>213</v>
      </c>
      <c r="EG123" s="239">
        <v>653</v>
      </c>
      <c r="EH123" s="239">
        <v>73</v>
      </c>
      <c r="EI123" s="239">
        <v>36841</v>
      </c>
      <c r="EJ123" s="239">
        <v>8289</v>
      </c>
      <c r="EK123" s="239">
        <v>921</v>
      </c>
      <c r="EL123" s="239">
        <v>68265</v>
      </c>
      <c r="EM123" s="239">
        <v>0</v>
      </c>
      <c r="EN123" s="239">
        <v>0</v>
      </c>
      <c r="EO123" s="239">
        <v>-31424</v>
      </c>
      <c r="EP123" s="239">
        <v>8289</v>
      </c>
      <c r="EQ123" s="239">
        <v>921</v>
      </c>
      <c r="ER123" s="239">
        <v>4852</v>
      </c>
      <c r="ES123" s="239">
        <v>1092</v>
      </c>
      <c r="ET123" s="239">
        <v>121</v>
      </c>
      <c r="EU123" s="239">
        <v>4543</v>
      </c>
      <c r="EV123" s="239">
        <v>0</v>
      </c>
      <c r="EW123" s="239">
        <v>0</v>
      </c>
      <c r="EX123" s="239">
        <v>309</v>
      </c>
      <c r="EY123" s="239">
        <v>1092</v>
      </c>
      <c r="EZ123" s="239">
        <v>121</v>
      </c>
      <c r="FA123" s="239">
        <v>291620</v>
      </c>
      <c r="FB123" s="239">
        <v>59619</v>
      </c>
      <c r="FC123" s="239">
        <v>6624</v>
      </c>
      <c r="FD123" s="239">
        <v>273534</v>
      </c>
      <c r="FE123" s="239">
        <v>61545</v>
      </c>
      <c r="FF123" s="239">
        <v>6838</v>
      </c>
      <c r="FG123" s="239">
        <v>18086</v>
      </c>
      <c r="FH123" s="239">
        <v>-1926</v>
      </c>
      <c r="FI123" s="239">
        <v>-214</v>
      </c>
      <c r="FJ123" s="239">
        <v>0</v>
      </c>
      <c r="FK123" s="239">
        <v>0</v>
      </c>
      <c r="FL123" s="239">
        <v>0</v>
      </c>
      <c r="FM123" s="239">
        <v>0</v>
      </c>
      <c r="FN123" s="239">
        <v>0</v>
      </c>
      <c r="FO123" s="239">
        <v>0</v>
      </c>
      <c r="FP123" s="239">
        <v>0</v>
      </c>
      <c r="FQ123" s="239">
        <v>0</v>
      </c>
      <c r="FR123" s="239">
        <v>0</v>
      </c>
      <c r="FS123" s="239">
        <v>0</v>
      </c>
      <c r="FT123" s="239">
        <v>0</v>
      </c>
      <c r="FU123" s="239">
        <v>0</v>
      </c>
      <c r="FV123" s="239">
        <v>938076</v>
      </c>
      <c r="FW123" s="239">
        <v>189870</v>
      </c>
      <c r="FX123" s="239">
        <v>21096</v>
      </c>
      <c r="FY123" s="834">
        <v>0.5</v>
      </c>
      <c r="FZ123" s="834">
        <v>0.4</v>
      </c>
      <c r="GA123" s="834">
        <v>0.09</v>
      </c>
      <c r="GB123" s="834">
        <v>0.01</v>
      </c>
      <c r="GC123" s="214" t="s">
        <v>1158</v>
      </c>
    </row>
    <row r="124" spans="1:185" s="214" customFormat="1" x14ac:dyDescent="0.2">
      <c r="B124" s="602" t="s">
        <v>331</v>
      </c>
      <c r="C124" s="602" t="s">
        <v>330</v>
      </c>
      <c r="D124" s="239">
        <v>33249</v>
      </c>
      <c r="E124" s="239">
        <v>0</v>
      </c>
      <c r="F124" s="239">
        <v>33249</v>
      </c>
      <c r="G124" s="239">
        <v>89668</v>
      </c>
      <c r="H124" s="239">
        <v>0</v>
      </c>
      <c r="I124" s="239">
        <v>89668</v>
      </c>
      <c r="J124" s="239">
        <v>-56419</v>
      </c>
      <c r="K124" s="239">
        <v>0</v>
      </c>
      <c r="L124" s="239">
        <v>-56419</v>
      </c>
      <c r="M124" s="239">
        <v>287118</v>
      </c>
      <c r="N124" s="239">
        <v>287118</v>
      </c>
      <c r="O124" s="239">
        <v>0</v>
      </c>
      <c r="P124" s="239">
        <v>0</v>
      </c>
      <c r="Q124" s="239">
        <v>0</v>
      </c>
      <c r="R124" s="239">
        <v>0</v>
      </c>
      <c r="S124" s="239">
        <v>0</v>
      </c>
      <c r="T124" s="239">
        <v>0</v>
      </c>
      <c r="U124" s="239">
        <v>0</v>
      </c>
      <c r="V124" s="239">
        <v>0</v>
      </c>
      <c r="W124" s="239">
        <v>0</v>
      </c>
      <c r="X124" s="239">
        <v>0</v>
      </c>
      <c r="Y124" s="239">
        <v>0</v>
      </c>
      <c r="Z124" s="239">
        <v>0</v>
      </c>
      <c r="AA124" s="239">
        <v>0</v>
      </c>
      <c r="AB124" s="239">
        <v>0</v>
      </c>
      <c r="AC124" s="239">
        <v>0</v>
      </c>
      <c r="AD124" s="239">
        <v>0</v>
      </c>
      <c r="AE124" s="239">
        <v>0</v>
      </c>
      <c r="AF124" s="239">
        <v>0</v>
      </c>
      <c r="AG124" s="239">
        <v>0</v>
      </c>
      <c r="AH124" s="239">
        <v>0</v>
      </c>
      <c r="AI124" s="239">
        <v>0</v>
      </c>
      <c r="AJ124" s="239">
        <v>0</v>
      </c>
      <c r="AK124" s="239">
        <v>0</v>
      </c>
      <c r="AL124" s="239">
        <v>0</v>
      </c>
      <c r="AM124" s="239">
        <v>0</v>
      </c>
      <c r="AN124" s="239">
        <v>0</v>
      </c>
      <c r="AO124" s="239">
        <v>0</v>
      </c>
      <c r="AP124" s="239">
        <v>0</v>
      </c>
      <c r="AQ124" s="239">
        <v>0</v>
      </c>
      <c r="AR124" s="239">
        <v>0</v>
      </c>
      <c r="AS124" s="239">
        <v>0</v>
      </c>
      <c r="AT124" s="239">
        <v>0</v>
      </c>
      <c r="AU124" s="239">
        <v>0</v>
      </c>
      <c r="AV124" s="239">
        <v>0</v>
      </c>
      <c r="AW124" s="239">
        <v>0</v>
      </c>
      <c r="AX124" s="239">
        <v>0</v>
      </c>
      <c r="AY124" s="239">
        <v>0</v>
      </c>
      <c r="AZ124" s="239">
        <v>0</v>
      </c>
      <c r="BA124" s="239">
        <v>0</v>
      </c>
      <c r="BB124" s="239">
        <v>0</v>
      </c>
      <c r="BC124" s="239">
        <v>2049729</v>
      </c>
      <c r="BD124" s="239">
        <v>461189</v>
      </c>
      <c r="BE124" s="239">
        <v>51243</v>
      </c>
      <c r="BF124" s="239">
        <v>2005923.9882849785</v>
      </c>
      <c r="BG124" s="239">
        <v>451332.89736412017</v>
      </c>
      <c r="BH124" s="239">
        <v>50148.099707124471</v>
      </c>
      <c r="BI124" s="239">
        <v>146008.08417167381</v>
      </c>
      <c r="BJ124" s="239">
        <v>32851.818938626602</v>
      </c>
      <c r="BK124" s="239">
        <v>3650.202104291845</v>
      </c>
      <c r="BL124" s="239">
        <v>1979692</v>
      </c>
      <c r="BM124" s="239">
        <v>301476</v>
      </c>
      <c r="BN124" s="239">
        <v>33497</v>
      </c>
      <c r="BO124" s="239">
        <v>70037</v>
      </c>
      <c r="BP124" s="239">
        <v>159713</v>
      </c>
      <c r="BQ124" s="239">
        <v>17746</v>
      </c>
      <c r="BR124" s="239">
        <v>3673</v>
      </c>
      <c r="BS124" s="239">
        <v>826</v>
      </c>
      <c r="BT124" s="239">
        <v>92</v>
      </c>
      <c r="BU124" s="239">
        <v>0</v>
      </c>
      <c r="BV124" s="239">
        <v>0</v>
      </c>
      <c r="BW124" s="239">
        <v>0</v>
      </c>
      <c r="BX124" s="239">
        <v>3673</v>
      </c>
      <c r="BY124" s="239">
        <v>826</v>
      </c>
      <c r="BZ124" s="239">
        <v>92</v>
      </c>
      <c r="CA124" s="239">
        <v>-1928</v>
      </c>
      <c r="CB124" s="239">
        <v>-434</v>
      </c>
      <c r="CC124" s="239">
        <v>-48</v>
      </c>
      <c r="CD124" s="239">
        <v>3591</v>
      </c>
      <c r="CE124" s="239">
        <v>808</v>
      </c>
      <c r="CF124" s="239">
        <v>90</v>
      </c>
      <c r="CG124" s="239">
        <v>-5519</v>
      </c>
      <c r="CH124" s="239">
        <v>-1242</v>
      </c>
      <c r="CI124" s="239">
        <v>-138</v>
      </c>
      <c r="CJ124" s="239">
        <v>1700</v>
      </c>
      <c r="CK124" s="239">
        <v>382</v>
      </c>
      <c r="CL124" s="239">
        <v>42</v>
      </c>
      <c r="CM124" s="239">
        <v>20946</v>
      </c>
      <c r="CN124" s="239">
        <v>4713</v>
      </c>
      <c r="CO124" s="239">
        <v>524</v>
      </c>
      <c r="CP124" s="239">
        <v>-19246</v>
      </c>
      <c r="CQ124" s="239">
        <v>-4331</v>
      </c>
      <c r="CR124" s="239">
        <v>-482</v>
      </c>
      <c r="CS124" s="239">
        <v>-400</v>
      </c>
      <c r="CT124" s="239">
        <v>-90</v>
      </c>
      <c r="CU124" s="239">
        <v>-10</v>
      </c>
      <c r="CV124" s="239">
        <v>-340</v>
      </c>
      <c r="CW124" s="239">
        <v>-77</v>
      </c>
      <c r="CX124" s="239">
        <v>-9</v>
      </c>
      <c r="CY124" s="239">
        <v>0</v>
      </c>
      <c r="CZ124" s="239">
        <v>0</v>
      </c>
      <c r="DA124" s="239">
        <v>0</v>
      </c>
      <c r="DB124" s="239">
        <v>-340</v>
      </c>
      <c r="DC124" s="239">
        <v>-77</v>
      </c>
      <c r="DD124" s="239">
        <v>-9</v>
      </c>
      <c r="DE124" s="239">
        <v>0</v>
      </c>
      <c r="DF124" s="239">
        <v>0</v>
      </c>
      <c r="DG124" s="239">
        <v>0</v>
      </c>
      <c r="DH124" s="239">
        <v>18388</v>
      </c>
      <c r="DI124" s="239">
        <v>4137</v>
      </c>
      <c r="DJ124" s="239">
        <v>460</v>
      </c>
      <c r="DK124" s="239">
        <v>1443</v>
      </c>
      <c r="DL124" s="239">
        <v>324</v>
      </c>
      <c r="DM124" s="239">
        <v>36</v>
      </c>
      <c r="DN124" s="239">
        <v>16945</v>
      </c>
      <c r="DO124" s="239">
        <v>3813</v>
      </c>
      <c r="DP124" s="239">
        <v>424</v>
      </c>
      <c r="DQ124" s="239">
        <v>0</v>
      </c>
      <c r="DR124" s="239">
        <v>0</v>
      </c>
      <c r="DS124" s="239">
        <v>0</v>
      </c>
      <c r="DT124" s="239">
        <v>609</v>
      </c>
      <c r="DU124" s="239">
        <v>137</v>
      </c>
      <c r="DV124" s="239">
        <v>15</v>
      </c>
      <c r="DW124" s="239">
        <v>-609</v>
      </c>
      <c r="DX124" s="239">
        <v>-137</v>
      </c>
      <c r="DY124" s="239">
        <v>-15</v>
      </c>
      <c r="DZ124" s="239">
        <v>18559</v>
      </c>
      <c r="EA124" s="239">
        <v>4176</v>
      </c>
      <c r="EB124" s="239">
        <v>464</v>
      </c>
      <c r="EC124" s="239">
        <v>22266</v>
      </c>
      <c r="ED124" s="239">
        <v>0</v>
      </c>
      <c r="EE124" s="239">
        <v>0</v>
      </c>
      <c r="EF124" s="239">
        <v>-3707</v>
      </c>
      <c r="EG124" s="239">
        <v>4176</v>
      </c>
      <c r="EH124" s="239">
        <v>464</v>
      </c>
      <c r="EI124" s="239">
        <v>158630</v>
      </c>
      <c r="EJ124" s="239">
        <v>35692</v>
      </c>
      <c r="EK124" s="239">
        <v>3966</v>
      </c>
      <c r="EL124" s="239">
        <v>197383</v>
      </c>
      <c r="EM124" s="239">
        <v>0</v>
      </c>
      <c r="EN124" s="239">
        <v>0</v>
      </c>
      <c r="EO124" s="239">
        <v>-38753</v>
      </c>
      <c r="EP124" s="239">
        <v>35692</v>
      </c>
      <c r="EQ124" s="239">
        <v>3966</v>
      </c>
      <c r="ER124" s="239">
        <v>39927</v>
      </c>
      <c r="ES124" s="239">
        <v>8984</v>
      </c>
      <c r="ET124" s="239">
        <v>998</v>
      </c>
      <c r="EU124" s="239">
        <v>49413</v>
      </c>
      <c r="EV124" s="239">
        <v>0</v>
      </c>
      <c r="EW124" s="239">
        <v>0</v>
      </c>
      <c r="EX124" s="239">
        <v>-9486</v>
      </c>
      <c r="EY124" s="239">
        <v>8984</v>
      </c>
      <c r="EZ124" s="239">
        <v>998</v>
      </c>
      <c r="FA124" s="239">
        <v>346741</v>
      </c>
      <c r="FB124" s="239">
        <v>78017</v>
      </c>
      <c r="FC124" s="239">
        <v>8669</v>
      </c>
      <c r="FD124" s="239">
        <v>365101</v>
      </c>
      <c r="FE124" s="239">
        <v>82148</v>
      </c>
      <c r="FF124" s="239">
        <v>9128</v>
      </c>
      <c r="FG124" s="239">
        <v>-18360</v>
      </c>
      <c r="FH124" s="239">
        <v>-4131</v>
      </c>
      <c r="FI124" s="239">
        <v>-459</v>
      </c>
      <c r="FJ124" s="239">
        <v>0</v>
      </c>
      <c r="FK124" s="239">
        <v>0</v>
      </c>
      <c r="FL124" s="239">
        <v>0</v>
      </c>
      <c r="FM124" s="239">
        <v>0</v>
      </c>
      <c r="FN124" s="239">
        <v>0</v>
      </c>
      <c r="FO124" s="239">
        <v>0</v>
      </c>
      <c r="FP124" s="239">
        <v>0</v>
      </c>
      <c r="FQ124" s="239">
        <v>0</v>
      </c>
      <c r="FR124" s="239">
        <v>0</v>
      </c>
      <c r="FS124" s="239">
        <v>0</v>
      </c>
      <c r="FT124" s="239">
        <v>0</v>
      </c>
      <c r="FU124" s="239">
        <v>0</v>
      </c>
      <c r="FV124" s="239">
        <v>2634679</v>
      </c>
      <c r="FW124" s="239">
        <v>592802</v>
      </c>
      <c r="FX124" s="239">
        <v>65867</v>
      </c>
      <c r="FY124" s="834">
        <v>0.5</v>
      </c>
      <c r="FZ124" s="834">
        <v>0.4</v>
      </c>
      <c r="GA124" s="834">
        <v>0.09</v>
      </c>
      <c r="GB124" s="834">
        <v>0.01</v>
      </c>
      <c r="GC124" s="214" t="s">
        <v>1158</v>
      </c>
    </row>
    <row r="125" spans="1:185" s="214" customFormat="1" x14ac:dyDescent="0.2">
      <c r="B125" s="602" t="s">
        <v>333</v>
      </c>
      <c r="C125" s="602" t="s">
        <v>332</v>
      </c>
      <c r="D125" s="239">
        <v>2399959</v>
      </c>
      <c r="E125" s="239">
        <v>0</v>
      </c>
      <c r="F125" s="239">
        <v>2399959</v>
      </c>
      <c r="G125" s="239">
        <v>2661390</v>
      </c>
      <c r="H125" s="239">
        <v>0</v>
      </c>
      <c r="I125" s="239">
        <v>2661390</v>
      </c>
      <c r="J125" s="239">
        <v>-261431</v>
      </c>
      <c r="K125" s="239">
        <v>0</v>
      </c>
      <c r="L125" s="239">
        <v>-261431</v>
      </c>
      <c r="M125" s="239">
        <v>243685</v>
      </c>
      <c r="N125" s="239">
        <v>243685</v>
      </c>
      <c r="O125" s="239">
        <v>0</v>
      </c>
      <c r="P125" s="239">
        <v>0</v>
      </c>
      <c r="Q125" s="239">
        <v>0</v>
      </c>
      <c r="R125" s="239">
        <v>0</v>
      </c>
      <c r="S125" s="239">
        <v>0</v>
      </c>
      <c r="T125" s="239">
        <v>0</v>
      </c>
      <c r="U125" s="239">
        <v>0</v>
      </c>
      <c r="V125" s="239">
        <v>0</v>
      </c>
      <c r="W125" s="239">
        <v>0</v>
      </c>
      <c r="X125" s="239">
        <v>0</v>
      </c>
      <c r="Y125" s="239">
        <v>0</v>
      </c>
      <c r="Z125" s="239">
        <v>0</v>
      </c>
      <c r="AA125" s="239">
        <v>0</v>
      </c>
      <c r="AB125" s="239">
        <v>0</v>
      </c>
      <c r="AC125" s="239">
        <v>0</v>
      </c>
      <c r="AD125" s="239">
        <v>0</v>
      </c>
      <c r="AE125" s="239">
        <v>0</v>
      </c>
      <c r="AF125" s="239">
        <v>0</v>
      </c>
      <c r="AG125" s="239">
        <v>0</v>
      </c>
      <c r="AH125" s="239">
        <v>0</v>
      </c>
      <c r="AI125" s="239">
        <v>0</v>
      </c>
      <c r="AJ125" s="239">
        <v>0</v>
      </c>
      <c r="AK125" s="239">
        <v>0</v>
      </c>
      <c r="AL125" s="239">
        <v>0</v>
      </c>
      <c r="AM125" s="239">
        <v>0</v>
      </c>
      <c r="AN125" s="239">
        <v>0</v>
      </c>
      <c r="AO125" s="239">
        <v>0</v>
      </c>
      <c r="AP125" s="239">
        <v>0</v>
      </c>
      <c r="AQ125" s="239">
        <v>0</v>
      </c>
      <c r="AR125" s="239">
        <v>0</v>
      </c>
      <c r="AS125" s="239">
        <v>0</v>
      </c>
      <c r="AT125" s="239">
        <v>0</v>
      </c>
      <c r="AU125" s="239">
        <v>0</v>
      </c>
      <c r="AV125" s="239">
        <v>0</v>
      </c>
      <c r="AW125" s="239">
        <v>0</v>
      </c>
      <c r="AX125" s="239">
        <v>0</v>
      </c>
      <c r="AY125" s="239">
        <v>0</v>
      </c>
      <c r="AZ125" s="239">
        <v>0</v>
      </c>
      <c r="BA125" s="239">
        <v>0</v>
      </c>
      <c r="BB125" s="239">
        <v>0</v>
      </c>
      <c r="BC125" s="239">
        <v>1208512</v>
      </c>
      <c r="BD125" s="239">
        <v>1490498</v>
      </c>
      <c r="BE125" s="239">
        <v>0</v>
      </c>
      <c r="BF125" s="239">
        <v>1183330.6602695279</v>
      </c>
      <c r="BG125" s="239">
        <v>1459441.1476657512</v>
      </c>
      <c r="BH125" s="239">
        <v>0</v>
      </c>
      <c r="BI125" s="239">
        <v>78426.668369098697</v>
      </c>
      <c r="BJ125" s="239">
        <v>96726.22432188841</v>
      </c>
      <c r="BK125" s="239">
        <v>0</v>
      </c>
      <c r="BL125" s="239">
        <v>2218522</v>
      </c>
      <c r="BM125" s="239">
        <v>1220563</v>
      </c>
      <c r="BN125" s="239">
        <v>0</v>
      </c>
      <c r="BO125" s="239">
        <v>-1010010</v>
      </c>
      <c r="BP125" s="239">
        <v>269935</v>
      </c>
      <c r="BQ125" s="239">
        <v>0</v>
      </c>
      <c r="BR125" s="239">
        <v>1264</v>
      </c>
      <c r="BS125" s="239">
        <v>1559</v>
      </c>
      <c r="BT125" s="239">
        <v>0</v>
      </c>
      <c r="BU125" s="239">
        <v>0</v>
      </c>
      <c r="BV125" s="239">
        <v>0</v>
      </c>
      <c r="BW125" s="239">
        <v>0</v>
      </c>
      <c r="BX125" s="239">
        <v>1264</v>
      </c>
      <c r="BY125" s="239">
        <v>1559</v>
      </c>
      <c r="BZ125" s="239">
        <v>0</v>
      </c>
      <c r="CA125" s="239">
        <v>0</v>
      </c>
      <c r="CB125" s="239">
        <v>0</v>
      </c>
      <c r="CC125" s="239">
        <v>0</v>
      </c>
      <c r="CD125" s="239">
        <v>0</v>
      </c>
      <c r="CE125" s="239">
        <v>0</v>
      </c>
      <c r="CF125" s="239">
        <v>0</v>
      </c>
      <c r="CG125" s="239">
        <v>0</v>
      </c>
      <c r="CH125" s="239">
        <v>0</v>
      </c>
      <c r="CI125" s="239">
        <v>0</v>
      </c>
      <c r="CJ125" s="239">
        <v>36</v>
      </c>
      <c r="CK125" s="239">
        <v>44</v>
      </c>
      <c r="CL125" s="239">
        <v>0</v>
      </c>
      <c r="CM125" s="239">
        <v>0</v>
      </c>
      <c r="CN125" s="239">
        <v>0</v>
      </c>
      <c r="CO125" s="239">
        <v>0</v>
      </c>
      <c r="CP125" s="239">
        <v>36</v>
      </c>
      <c r="CQ125" s="239">
        <v>44</v>
      </c>
      <c r="CR125" s="239">
        <v>0</v>
      </c>
      <c r="CS125" s="239">
        <v>-2840</v>
      </c>
      <c r="CT125" s="239">
        <v>-3503</v>
      </c>
      <c r="CU125" s="239">
        <v>0</v>
      </c>
      <c r="CV125" s="239">
        <v>0</v>
      </c>
      <c r="CW125" s="239">
        <v>0</v>
      </c>
      <c r="CX125" s="239">
        <v>0</v>
      </c>
      <c r="CY125" s="239">
        <v>0</v>
      </c>
      <c r="CZ125" s="239">
        <v>0</v>
      </c>
      <c r="DA125" s="239">
        <v>0</v>
      </c>
      <c r="DB125" s="239">
        <v>0</v>
      </c>
      <c r="DC125" s="239">
        <v>0</v>
      </c>
      <c r="DD125" s="239">
        <v>0</v>
      </c>
      <c r="DE125" s="239">
        <v>0</v>
      </c>
      <c r="DF125" s="239">
        <v>0</v>
      </c>
      <c r="DG125" s="239">
        <v>0</v>
      </c>
      <c r="DH125" s="239">
        <v>0</v>
      </c>
      <c r="DI125" s="239">
        <v>0</v>
      </c>
      <c r="DJ125" s="239">
        <v>0</v>
      </c>
      <c r="DK125" s="239">
        <v>0</v>
      </c>
      <c r="DL125" s="239">
        <v>0</v>
      </c>
      <c r="DM125" s="239">
        <v>0</v>
      </c>
      <c r="DN125" s="239">
        <v>0</v>
      </c>
      <c r="DO125" s="239">
        <v>0</v>
      </c>
      <c r="DP125" s="239">
        <v>0</v>
      </c>
      <c r="DQ125" s="239">
        <v>0</v>
      </c>
      <c r="DR125" s="239">
        <v>0</v>
      </c>
      <c r="DS125" s="239">
        <v>0</v>
      </c>
      <c r="DT125" s="239">
        <v>0</v>
      </c>
      <c r="DU125" s="239">
        <v>0</v>
      </c>
      <c r="DV125" s="239">
        <v>0</v>
      </c>
      <c r="DW125" s="239">
        <v>0</v>
      </c>
      <c r="DX125" s="239">
        <v>0</v>
      </c>
      <c r="DY125" s="239">
        <v>0</v>
      </c>
      <c r="DZ125" s="239">
        <v>37536</v>
      </c>
      <c r="EA125" s="239">
        <v>46294</v>
      </c>
      <c r="EB125" s="239">
        <v>0</v>
      </c>
      <c r="EC125" s="239">
        <v>88408</v>
      </c>
      <c r="ED125" s="239">
        <v>0</v>
      </c>
      <c r="EE125" s="239">
        <v>0</v>
      </c>
      <c r="EF125" s="239">
        <v>-50872</v>
      </c>
      <c r="EG125" s="239">
        <v>46294</v>
      </c>
      <c r="EH125" s="239">
        <v>0</v>
      </c>
      <c r="EI125" s="239">
        <v>99985</v>
      </c>
      <c r="EJ125" s="239">
        <v>123315</v>
      </c>
      <c r="EK125" s="239">
        <v>0</v>
      </c>
      <c r="EL125" s="239">
        <v>522288</v>
      </c>
      <c r="EM125" s="239">
        <v>0</v>
      </c>
      <c r="EN125" s="239">
        <v>0</v>
      </c>
      <c r="EO125" s="239">
        <v>-422303</v>
      </c>
      <c r="EP125" s="239">
        <v>123315</v>
      </c>
      <c r="EQ125" s="239">
        <v>0</v>
      </c>
      <c r="ER125" s="239">
        <v>11875</v>
      </c>
      <c r="ES125" s="239">
        <v>14646</v>
      </c>
      <c r="ET125" s="239">
        <v>0</v>
      </c>
      <c r="EU125" s="239">
        <v>20402</v>
      </c>
      <c r="EV125" s="239">
        <v>0</v>
      </c>
      <c r="EW125" s="239">
        <v>0</v>
      </c>
      <c r="EX125" s="239">
        <v>-8527</v>
      </c>
      <c r="EY125" s="239">
        <v>14646</v>
      </c>
      <c r="EZ125" s="239">
        <v>0</v>
      </c>
      <c r="FA125" s="239">
        <v>245810</v>
      </c>
      <c r="FB125" s="239">
        <v>303165</v>
      </c>
      <c r="FC125" s="239">
        <v>0</v>
      </c>
      <c r="FD125" s="239">
        <v>216998</v>
      </c>
      <c r="FE125" s="239">
        <v>267630</v>
      </c>
      <c r="FF125" s="239">
        <v>0</v>
      </c>
      <c r="FG125" s="239">
        <v>28812</v>
      </c>
      <c r="FH125" s="239">
        <v>35535</v>
      </c>
      <c r="FI125" s="239">
        <v>0</v>
      </c>
      <c r="FJ125" s="239">
        <v>0</v>
      </c>
      <c r="FK125" s="239">
        <v>0</v>
      </c>
      <c r="FL125" s="239">
        <v>0</v>
      </c>
      <c r="FM125" s="239">
        <v>0</v>
      </c>
      <c r="FN125" s="239">
        <v>0</v>
      </c>
      <c r="FO125" s="239">
        <v>0</v>
      </c>
      <c r="FP125" s="239">
        <v>0</v>
      </c>
      <c r="FQ125" s="239">
        <v>0</v>
      </c>
      <c r="FR125" s="239">
        <v>0</v>
      </c>
      <c r="FS125" s="239">
        <v>0</v>
      </c>
      <c r="FT125" s="239">
        <v>0</v>
      </c>
      <c r="FU125" s="239">
        <v>0</v>
      </c>
      <c r="FV125" s="239">
        <v>1602178</v>
      </c>
      <c r="FW125" s="239">
        <v>1976018</v>
      </c>
      <c r="FX125" s="239">
        <v>0</v>
      </c>
      <c r="FY125" s="834">
        <v>0.33000000000000007</v>
      </c>
      <c r="FZ125" s="834">
        <v>0.3</v>
      </c>
      <c r="GA125" s="834">
        <v>0.37</v>
      </c>
      <c r="GB125" s="834">
        <v>0</v>
      </c>
      <c r="GC125" s="214" t="s">
        <v>1159</v>
      </c>
    </row>
    <row r="126" spans="1:185" s="214" customFormat="1" x14ac:dyDescent="0.2">
      <c r="B126" s="602" t="s">
        <v>335</v>
      </c>
      <c r="C126" s="602" t="s">
        <v>334</v>
      </c>
      <c r="D126" s="239">
        <v>797400</v>
      </c>
      <c r="E126" s="239">
        <v>0</v>
      </c>
      <c r="F126" s="239">
        <v>797400</v>
      </c>
      <c r="G126" s="239">
        <v>556842</v>
      </c>
      <c r="H126" s="239">
        <v>0</v>
      </c>
      <c r="I126" s="239">
        <v>556842</v>
      </c>
      <c r="J126" s="239">
        <v>240558</v>
      </c>
      <c r="K126" s="239">
        <v>0</v>
      </c>
      <c r="L126" s="239">
        <v>240558</v>
      </c>
      <c r="M126" s="239">
        <v>98299</v>
      </c>
      <c r="N126" s="239">
        <v>98299</v>
      </c>
      <c r="O126" s="239">
        <v>0</v>
      </c>
      <c r="P126" s="239">
        <v>0</v>
      </c>
      <c r="Q126" s="239">
        <v>0</v>
      </c>
      <c r="R126" s="239">
        <v>0</v>
      </c>
      <c r="S126" s="239">
        <v>0</v>
      </c>
      <c r="T126" s="239">
        <v>0</v>
      </c>
      <c r="U126" s="239">
        <v>0</v>
      </c>
      <c r="V126" s="239">
        <v>0</v>
      </c>
      <c r="W126" s="239">
        <v>0</v>
      </c>
      <c r="X126" s="239">
        <v>0</v>
      </c>
      <c r="Y126" s="239">
        <v>0</v>
      </c>
      <c r="Z126" s="239">
        <v>0</v>
      </c>
      <c r="AA126" s="239">
        <v>0</v>
      </c>
      <c r="AB126" s="239">
        <v>0</v>
      </c>
      <c r="AC126" s="239">
        <v>0</v>
      </c>
      <c r="AD126" s="239">
        <v>0</v>
      </c>
      <c r="AE126" s="239">
        <v>0</v>
      </c>
      <c r="AF126" s="239">
        <v>0</v>
      </c>
      <c r="AG126" s="239">
        <v>0</v>
      </c>
      <c r="AH126" s="239">
        <v>0</v>
      </c>
      <c r="AI126" s="239">
        <v>0</v>
      </c>
      <c r="AJ126" s="239">
        <v>0</v>
      </c>
      <c r="AK126" s="239">
        <v>0</v>
      </c>
      <c r="AL126" s="239">
        <v>0</v>
      </c>
      <c r="AM126" s="239">
        <v>0</v>
      </c>
      <c r="AN126" s="239">
        <v>0</v>
      </c>
      <c r="AO126" s="239">
        <v>0</v>
      </c>
      <c r="AP126" s="239">
        <v>0</v>
      </c>
      <c r="AQ126" s="239">
        <v>0</v>
      </c>
      <c r="AR126" s="239">
        <v>0</v>
      </c>
      <c r="AS126" s="239">
        <v>0</v>
      </c>
      <c r="AT126" s="239">
        <v>0</v>
      </c>
      <c r="AU126" s="239">
        <v>0</v>
      </c>
      <c r="AV126" s="239">
        <v>0</v>
      </c>
      <c r="AW126" s="239">
        <v>0</v>
      </c>
      <c r="AX126" s="239">
        <v>0</v>
      </c>
      <c r="AY126" s="239">
        <v>0</v>
      </c>
      <c r="AZ126" s="239">
        <v>0</v>
      </c>
      <c r="BA126" s="239">
        <v>0</v>
      </c>
      <c r="BB126" s="239">
        <v>0</v>
      </c>
      <c r="BC126" s="239">
        <v>660751</v>
      </c>
      <c r="BD126" s="239">
        <v>148669</v>
      </c>
      <c r="BE126" s="239">
        <v>16519</v>
      </c>
      <c r="BF126" s="239">
        <v>640010.9715433477</v>
      </c>
      <c r="BG126" s="239">
        <v>144002.4685972532</v>
      </c>
      <c r="BH126" s="239">
        <v>16000.274288583691</v>
      </c>
      <c r="BI126" s="239">
        <v>58496.519012875535</v>
      </c>
      <c r="BJ126" s="239">
        <v>13161.716777896992</v>
      </c>
      <c r="BK126" s="239">
        <v>1462.4129753218883</v>
      </c>
      <c r="BL126" s="239">
        <v>590510</v>
      </c>
      <c r="BM126" s="239">
        <v>79679</v>
      </c>
      <c r="BN126" s="239">
        <v>8853</v>
      </c>
      <c r="BO126" s="239">
        <v>70241</v>
      </c>
      <c r="BP126" s="239">
        <v>68990</v>
      </c>
      <c r="BQ126" s="239">
        <v>7666</v>
      </c>
      <c r="BR126" s="239">
        <v>0</v>
      </c>
      <c r="BS126" s="239">
        <v>0</v>
      </c>
      <c r="BT126" s="239">
        <v>0</v>
      </c>
      <c r="BU126" s="239">
        <v>0</v>
      </c>
      <c r="BV126" s="239">
        <v>0</v>
      </c>
      <c r="BW126" s="239">
        <v>0</v>
      </c>
      <c r="BX126" s="239">
        <v>0</v>
      </c>
      <c r="BY126" s="239">
        <v>0</v>
      </c>
      <c r="BZ126" s="239">
        <v>0</v>
      </c>
      <c r="CA126" s="239">
        <v>0</v>
      </c>
      <c r="CB126" s="239">
        <v>0</v>
      </c>
      <c r="CC126" s="239">
        <v>0</v>
      </c>
      <c r="CD126" s="239">
        <v>0</v>
      </c>
      <c r="CE126" s="239">
        <v>0</v>
      </c>
      <c r="CF126" s="239">
        <v>0</v>
      </c>
      <c r="CG126" s="239">
        <v>0</v>
      </c>
      <c r="CH126" s="239">
        <v>0</v>
      </c>
      <c r="CI126" s="239">
        <v>0</v>
      </c>
      <c r="CJ126" s="239">
        <v>3965</v>
      </c>
      <c r="CK126" s="239">
        <v>892</v>
      </c>
      <c r="CL126" s="239">
        <v>99</v>
      </c>
      <c r="CM126" s="239">
        <v>447</v>
      </c>
      <c r="CN126" s="239">
        <v>100</v>
      </c>
      <c r="CO126" s="239">
        <v>11</v>
      </c>
      <c r="CP126" s="239">
        <v>3518</v>
      </c>
      <c r="CQ126" s="239">
        <v>792</v>
      </c>
      <c r="CR126" s="239">
        <v>88</v>
      </c>
      <c r="CS126" s="239">
        <v>-789</v>
      </c>
      <c r="CT126" s="239">
        <v>-178</v>
      </c>
      <c r="CU126" s="239">
        <v>-20</v>
      </c>
      <c r="CV126" s="239">
        <v>0</v>
      </c>
      <c r="CW126" s="239">
        <v>0</v>
      </c>
      <c r="CX126" s="239">
        <v>0</v>
      </c>
      <c r="CY126" s="239">
        <v>0</v>
      </c>
      <c r="CZ126" s="239">
        <v>0</v>
      </c>
      <c r="DA126" s="239">
        <v>0</v>
      </c>
      <c r="DB126" s="239">
        <v>0</v>
      </c>
      <c r="DC126" s="239">
        <v>0</v>
      </c>
      <c r="DD126" s="239">
        <v>0</v>
      </c>
      <c r="DE126" s="239">
        <v>0</v>
      </c>
      <c r="DF126" s="239">
        <v>0</v>
      </c>
      <c r="DG126" s="239">
        <v>0</v>
      </c>
      <c r="DH126" s="239">
        <v>752</v>
      </c>
      <c r="DI126" s="239">
        <v>169</v>
      </c>
      <c r="DJ126" s="239">
        <v>19</v>
      </c>
      <c r="DK126" s="239">
        <v>752</v>
      </c>
      <c r="DL126" s="239">
        <v>169</v>
      </c>
      <c r="DM126" s="239">
        <v>19</v>
      </c>
      <c r="DN126" s="239">
        <v>0</v>
      </c>
      <c r="DO126" s="239">
        <v>0</v>
      </c>
      <c r="DP126" s="239">
        <v>0</v>
      </c>
      <c r="DQ126" s="239">
        <v>0</v>
      </c>
      <c r="DR126" s="239">
        <v>0</v>
      </c>
      <c r="DS126" s="239">
        <v>0</v>
      </c>
      <c r="DT126" s="239">
        <v>0</v>
      </c>
      <c r="DU126" s="239">
        <v>0</v>
      </c>
      <c r="DV126" s="239">
        <v>0</v>
      </c>
      <c r="DW126" s="239">
        <v>0</v>
      </c>
      <c r="DX126" s="239">
        <v>0</v>
      </c>
      <c r="DY126" s="239">
        <v>0</v>
      </c>
      <c r="DZ126" s="239">
        <v>10099</v>
      </c>
      <c r="EA126" s="239">
        <v>2272</v>
      </c>
      <c r="EB126" s="239">
        <v>252</v>
      </c>
      <c r="EC126" s="239">
        <v>13015</v>
      </c>
      <c r="ED126" s="239">
        <v>0</v>
      </c>
      <c r="EE126" s="239">
        <v>0</v>
      </c>
      <c r="EF126" s="239">
        <v>-2916</v>
      </c>
      <c r="EG126" s="239">
        <v>2272</v>
      </c>
      <c r="EH126" s="239">
        <v>252</v>
      </c>
      <c r="EI126" s="239">
        <v>35945</v>
      </c>
      <c r="EJ126" s="239">
        <v>8088</v>
      </c>
      <c r="EK126" s="239">
        <v>899</v>
      </c>
      <c r="EL126" s="239">
        <v>100880</v>
      </c>
      <c r="EM126" s="239">
        <v>0</v>
      </c>
      <c r="EN126" s="239">
        <v>0</v>
      </c>
      <c r="EO126" s="239">
        <v>-64935</v>
      </c>
      <c r="EP126" s="239">
        <v>8088</v>
      </c>
      <c r="EQ126" s="239">
        <v>899</v>
      </c>
      <c r="ER126" s="239">
        <v>7522</v>
      </c>
      <c r="ES126" s="239">
        <v>1692</v>
      </c>
      <c r="ET126" s="239">
        <v>188</v>
      </c>
      <c r="EU126" s="239">
        <v>9135</v>
      </c>
      <c r="EV126" s="239">
        <v>0</v>
      </c>
      <c r="EW126" s="239">
        <v>0</v>
      </c>
      <c r="EX126" s="239">
        <v>-1613</v>
      </c>
      <c r="EY126" s="239">
        <v>1692</v>
      </c>
      <c r="EZ126" s="239">
        <v>188</v>
      </c>
      <c r="FA126" s="239">
        <v>182128</v>
      </c>
      <c r="FB126" s="239">
        <v>40979</v>
      </c>
      <c r="FC126" s="239">
        <v>4553</v>
      </c>
      <c r="FD126" s="239">
        <v>183200</v>
      </c>
      <c r="FE126" s="239">
        <v>41220</v>
      </c>
      <c r="FF126" s="239">
        <v>4580</v>
      </c>
      <c r="FG126" s="239">
        <v>-1072</v>
      </c>
      <c r="FH126" s="239">
        <v>-241</v>
      </c>
      <c r="FI126" s="239">
        <v>-27</v>
      </c>
      <c r="FJ126" s="239">
        <v>0</v>
      </c>
      <c r="FK126" s="239">
        <v>0</v>
      </c>
      <c r="FL126" s="239">
        <v>0</v>
      </c>
      <c r="FM126" s="239">
        <v>0</v>
      </c>
      <c r="FN126" s="239">
        <v>0</v>
      </c>
      <c r="FO126" s="239">
        <v>0</v>
      </c>
      <c r="FP126" s="239">
        <v>0</v>
      </c>
      <c r="FQ126" s="239">
        <v>0</v>
      </c>
      <c r="FR126" s="239">
        <v>0</v>
      </c>
      <c r="FS126" s="239">
        <v>0</v>
      </c>
      <c r="FT126" s="239">
        <v>0</v>
      </c>
      <c r="FU126" s="239">
        <v>0</v>
      </c>
      <c r="FV126" s="239">
        <v>900373</v>
      </c>
      <c r="FW126" s="239">
        <v>202583</v>
      </c>
      <c r="FX126" s="239">
        <v>22509</v>
      </c>
      <c r="FY126" s="834">
        <v>0.5</v>
      </c>
      <c r="FZ126" s="834">
        <v>0.4</v>
      </c>
      <c r="GA126" s="834">
        <v>0.09</v>
      </c>
      <c r="GB126" s="834">
        <v>0.01</v>
      </c>
      <c r="GC126" s="214" t="s">
        <v>1158</v>
      </c>
    </row>
    <row r="127" spans="1:185" s="214" customFormat="1" x14ac:dyDescent="0.2">
      <c r="B127" s="602" t="s">
        <v>337</v>
      </c>
      <c r="C127" s="602" t="s">
        <v>336</v>
      </c>
      <c r="D127" s="239">
        <v>-2267618</v>
      </c>
      <c r="E127" s="239">
        <v>2062</v>
      </c>
      <c r="F127" s="239">
        <v>-2265556</v>
      </c>
      <c r="G127" s="239">
        <v>-2317884</v>
      </c>
      <c r="H127" s="239">
        <v>3434</v>
      </c>
      <c r="I127" s="239">
        <v>-2314450</v>
      </c>
      <c r="J127" s="239">
        <v>50266</v>
      </c>
      <c r="K127" s="239">
        <v>-1372</v>
      </c>
      <c r="L127" s="239">
        <v>48894</v>
      </c>
      <c r="M127" s="239">
        <v>115333</v>
      </c>
      <c r="N127" s="239">
        <v>115333</v>
      </c>
      <c r="O127" s="239">
        <v>0</v>
      </c>
      <c r="P127" s="239">
        <v>30935</v>
      </c>
      <c r="Q127" s="239">
        <v>3434</v>
      </c>
      <c r="R127" s="239">
        <v>27501</v>
      </c>
      <c r="S127" s="239">
        <v>0</v>
      </c>
      <c r="T127" s="239">
        <v>0</v>
      </c>
      <c r="U127" s="239">
        <v>0</v>
      </c>
      <c r="V127" s="239">
        <v>0</v>
      </c>
      <c r="W127" s="239">
        <v>0</v>
      </c>
      <c r="X127" s="239">
        <v>0</v>
      </c>
      <c r="Y127" s="239">
        <v>80565</v>
      </c>
      <c r="Z127" s="239">
        <v>80565</v>
      </c>
      <c r="AA127" s="239">
        <v>0</v>
      </c>
      <c r="AB127" s="239">
        <v>0</v>
      </c>
      <c r="AC127" s="239">
        <v>122171</v>
      </c>
      <c r="AD127" s="239">
        <v>122171</v>
      </c>
      <c r="AE127" s="239">
        <v>0</v>
      </c>
      <c r="AF127" s="239">
        <v>0</v>
      </c>
      <c r="AG127" s="239">
        <v>-41606</v>
      </c>
      <c r="AH127" s="239">
        <v>-41606</v>
      </c>
      <c r="AI127" s="239">
        <v>0</v>
      </c>
      <c r="AJ127" s="239">
        <v>0</v>
      </c>
      <c r="AK127" s="239">
        <v>0</v>
      </c>
      <c r="AL127" s="239">
        <v>0</v>
      </c>
      <c r="AM127" s="239">
        <v>0</v>
      </c>
      <c r="AN127" s="239">
        <v>0</v>
      </c>
      <c r="AO127" s="239">
        <v>0</v>
      </c>
      <c r="AP127" s="239">
        <v>0</v>
      </c>
      <c r="AQ127" s="239">
        <v>0</v>
      </c>
      <c r="AR127" s="239">
        <v>0</v>
      </c>
      <c r="AS127" s="239">
        <v>0</v>
      </c>
      <c r="AT127" s="239">
        <v>0</v>
      </c>
      <c r="AU127" s="239">
        <v>0</v>
      </c>
      <c r="AV127" s="239">
        <v>0</v>
      </c>
      <c r="AW127" s="239">
        <v>0</v>
      </c>
      <c r="AX127" s="239">
        <v>0</v>
      </c>
      <c r="AY127" s="239">
        <v>0</v>
      </c>
      <c r="AZ127" s="239">
        <v>0</v>
      </c>
      <c r="BA127" s="239">
        <v>0</v>
      </c>
      <c r="BB127" s="239">
        <v>0</v>
      </c>
      <c r="BC127" s="239">
        <v>930260</v>
      </c>
      <c r="BD127" s="239">
        <v>0</v>
      </c>
      <c r="BE127" s="239">
        <v>18985</v>
      </c>
      <c r="BF127" s="239">
        <v>910913.72219982825</v>
      </c>
      <c r="BG127" s="239">
        <v>0</v>
      </c>
      <c r="BH127" s="239">
        <v>18590.075963261799</v>
      </c>
      <c r="BI127" s="239">
        <v>50039.763685622318</v>
      </c>
      <c r="BJ127" s="239">
        <v>0</v>
      </c>
      <c r="BK127" s="239">
        <v>1014.4200590128755</v>
      </c>
      <c r="BL127" s="239">
        <v>790911</v>
      </c>
      <c r="BM127" s="239">
        <v>0</v>
      </c>
      <c r="BN127" s="239">
        <v>12057</v>
      </c>
      <c r="BO127" s="239">
        <v>139349</v>
      </c>
      <c r="BP127" s="239">
        <v>0</v>
      </c>
      <c r="BQ127" s="239">
        <v>6928</v>
      </c>
      <c r="BR127" s="239">
        <v>0</v>
      </c>
      <c r="BS127" s="239">
        <v>0</v>
      </c>
      <c r="BT127" s="239">
        <v>0</v>
      </c>
      <c r="BU127" s="239">
        <v>5317</v>
      </c>
      <c r="BV127" s="239">
        <v>0</v>
      </c>
      <c r="BW127" s="239">
        <v>109</v>
      </c>
      <c r="BX127" s="239">
        <v>-5317</v>
      </c>
      <c r="BY127" s="239">
        <v>0</v>
      </c>
      <c r="BZ127" s="239">
        <v>-109</v>
      </c>
      <c r="CA127" s="239">
        <v>0</v>
      </c>
      <c r="CB127" s="239">
        <v>0</v>
      </c>
      <c r="CC127" s="239">
        <v>0</v>
      </c>
      <c r="CD127" s="239">
        <v>0</v>
      </c>
      <c r="CE127" s="239">
        <v>0</v>
      </c>
      <c r="CF127" s="239">
        <v>0</v>
      </c>
      <c r="CG127" s="239">
        <v>0</v>
      </c>
      <c r="CH127" s="239">
        <v>0</v>
      </c>
      <c r="CI127" s="239">
        <v>0</v>
      </c>
      <c r="CJ127" s="239">
        <v>37922</v>
      </c>
      <c r="CK127" s="239">
        <v>0</v>
      </c>
      <c r="CL127" s="239">
        <v>774</v>
      </c>
      <c r="CM127" s="239">
        <v>0</v>
      </c>
      <c r="CN127" s="239">
        <v>0</v>
      </c>
      <c r="CO127" s="239">
        <v>0</v>
      </c>
      <c r="CP127" s="239">
        <v>37922</v>
      </c>
      <c r="CQ127" s="239">
        <v>0</v>
      </c>
      <c r="CR127" s="239">
        <v>774</v>
      </c>
      <c r="CS127" s="239">
        <v>-622</v>
      </c>
      <c r="CT127" s="239">
        <v>0</v>
      </c>
      <c r="CU127" s="239">
        <v>-13</v>
      </c>
      <c r="CV127" s="239">
        <v>0</v>
      </c>
      <c r="CW127" s="239">
        <v>0</v>
      </c>
      <c r="CX127" s="239">
        <v>0</v>
      </c>
      <c r="CY127" s="239">
        <v>0</v>
      </c>
      <c r="CZ127" s="239">
        <v>0</v>
      </c>
      <c r="DA127" s="239">
        <v>0</v>
      </c>
      <c r="DB127" s="239">
        <v>0</v>
      </c>
      <c r="DC127" s="239">
        <v>0</v>
      </c>
      <c r="DD127" s="239">
        <v>0</v>
      </c>
      <c r="DE127" s="239">
        <v>0</v>
      </c>
      <c r="DF127" s="239">
        <v>0</v>
      </c>
      <c r="DG127" s="239">
        <v>0</v>
      </c>
      <c r="DH127" s="239">
        <v>0</v>
      </c>
      <c r="DI127" s="239">
        <v>0</v>
      </c>
      <c r="DJ127" s="239">
        <v>0</v>
      </c>
      <c r="DK127" s="239">
        <v>0</v>
      </c>
      <c r="DL127" s="239">
        <v>0</v>
      </c>
      <c r="DM127" s="239">
        <v>0</v>
      </c>
      <c r="DN127" s="239">
        <v>0</v>
      </c>
      <c r="DO127" s="239">
        <v>0</v>
      </c>
      <c r="DP127" s="239">
        <v>0</v>
      </c>
      <c r="DQ127" s="239">
        <v>0</v>
      </c>
      <c r="DR127" s="239">
        <v>0</v>
      </c>
      <c r="DS127" s="239">
        <v>0</v>
      </c>
      <c r="DT127" s="239">
        <v>0</v>
      </c>
      <c r="DU127" s="239">
        <v>0</v>
      </c>
      <c r="DV127" s="239">
        <v>0</v>
      </c>
      <c r="DW127" s="239">
        <v>0</v>
      </c>
      <c r="DX127" s="239">
        <v>0</v>
      </c>
      <c r="DY127" s="239">
        <v>0</v>
      </c>
      <c r="DZ127" s="239">
        <v>17468</v>
      </c>
      <c r="EA127" s="239">
        <v>0</v>
      </c>
      <c r="EB127" s="239">
        <v>356</v>
      </c>
      <c r="EC127" s="239">
        <v>17035</v>
      </c>
      <c r="ED127" s="239">
        <v>0</v>
      </c>
      <c r="EE127" s="239">
        <v>0</v>
      </c>
      <c r="EF127" s="239">
        <v>433</v>
      </c>
      <c r="EG127" s="239">
        <v>0</v>
      </c>
      <c r="EH127" s="239">
        <v>356</v>
      </c>
      <c r="EI127" s="239">
        <v>70515</v>
      </c>
      <c r="EJ127" s="239">
        <v>0</v>
      </c>
      <c r="EK127" s="239">
        <v>1116</v>
      </c>
      <c r="EL127" s="239">
        <v>63278</v>
      </c>
      <c r="EM127" s="239">
        <v>0</v>
      </c>
      <c r="EN127" s="239">
        <v>0</v>
      </c>
      <c r="EO127" s="239">
        <v>7237</v>
      </c>
      <c r="EP127" s="239">
        <v>0</v>
      </c>
      <c r="EQ127" s="239">
        <v>1116</v>
      </c>
      <c r="ER127" s="239">
        <v>12076</v>
      </c>
      <c r="ES127" s="239">
        <v>0</v>
      </c>
      <c r="ET127" s="239">
        <v>246</v>
      </c>
      <c r="EU127" s="239">
        <v>12575</v>
      </c>
      <c r="EV127" s="239">
        <v>0</v>
      </c>
      <c r="EW127" s="239">
        <v>0</v>
      </c>
      <c r="EX127" s="239">
        <v>-499</v>
      </c>
      <c r="EY127" s="239">
        <v>0</v>
      </c>
      <c r="EZ127" s="239">
        <v>246</v>
      </c>
      <c r="FA127" s="239">
        <v>199055</v>
      </c>
      <c r="FB127" s="239">
        <v>0</v>
      </c>
      <c r="FC127" s="239">
        <v>4053</v>
      </c>
      <c r="FD127" s="239">
        <v>222423</v>
      </c>
      <c r="FE127" s="239">
        <v>0</v>
      </c>
      <c r="FF127" s="239">
        <v>4501</v>
      </c>
      <c r="FG127" s="239">
        <v>-23368</v>
      </c>
      <c r="FH127" s="239">
        <v>0</v>
      </c>
      <c r="FI127" s="239">
        <v>-448</v>
      </c>
      <c r="FJ127" s="239">
        <v>0</v>
      </c>
      <c r="FK127" s="239">
        <v>0</v>
      </c>
      <c r="FL127" s="239">
        <v>0</v>
      </c>
      <c r="FM127" s="239">
        <v>0</v>
      </c>
      <c r="FN127" s="239">
        <v>0</v>
      </c>
      <c r="FO127" s="239">
        <v>0</v>
      </c>
      <c r="FP127" s="239">
        <v>0</v>
      </c>
      <c r="FQ127" s="239">
        <v>0</v>
      </c>
      <c r="FR127" s="239">
        <v>0</v>
      </c>
      <c r="FS127" s="239">
        <v>30315589</v>
      </c>
      <c r="FT127" s="239">
        <v>31607617</v>
      </c>
      <c r="FU127" s="239">
        <v>0</v>
      </c>
      <c r="FV127" s="239">
        <v>1266674</v>
      </c>
      <c r="FW127" s="239">
        <v>0</v>
      </c>
      <c r="FX127" s="239">
        <v>25517</v>
      </c>
      <c r="FY127" s="834">
        <v>0.5</v>
      </c>
      <c r="FZ127" s="834">
        <v>0.49</v>
      </c>
      <c r="GA127" s="834">
        <v>0</v>
      </c>
      <c r="GB127" s="834">
        <v>0.01</v>
      </c>
      <c r="GC127" s="214" t="s">
        <v>746</v>
      </c>
    </row>
    <row r="128" spans="1:185" s="214" customFormat="1" x14ac:dyDescent="0.2">
      <c r="B128" s="602" t="s">
        <v>339</v>
      </c>
      <c r="C128" s="602" t="s">
        <v>338</v>
      </c>
      <c r="D128" s="239">
        <v>-90853</v>
      </c>
      <c r="E128" s="239">
        <v>0</v>
      </c>
      <c r="F128" s="239">
        <v>-90853</v>
      </c>
      <c r="G128" s="239">
        <v>-139692</v>
      </c>
      <c r="H128" s="239">
        <v>0</v>
      </c>
      <c r="I128" s="239">
        <v>-139692</v>
      </c>
      <c r="J128" s="239">
        <v>48839</v>
      </c>
      <c r="K128" s="239">
        <v>0</v>
      </c>
      <c r="L128" s="239">
        <v>48839</v>
      </c>
      <c r="M128" s="239">
        <v>133508</v>
      </c>
      <c r="N128" s="239">
        <v>133508</v>
      </c>
      <c r="O128" s="239">
        <v>0</v>
      </c>
      <c r="P128" s="239">
        <v>0</v>
      </c>
      <c r="Q128" s="239">
        <v>0</v>
      </c>
      <c r="R128" s="239">
        <v>0</v>
      </c>
      <c r="S128" s="239">
        <v>0</v>
      </c>
      <c r="T128" s="239">
        <v>0</v>
      </c>
      <c r="U128" s="239">
        <v>0</v>
      </c>
      <c r="V128" s="239">
        <v>0</v>
      </c>
      <c r="W128" s="239">
        <v>0</v>
      </c>
      <c r="X128" s="239">
        <v>0</v>
      </c>
      <c r="Y128" s="239">
        <v>0</v>
      </c>
      <c r="Z128" s="239">
        <v>0</v>
      </c>
      <c r="AA128" s="239">
        <v>0</v>
      </c>
      <c r="AB128" s="239">
        <v>0</v>
      </c>
      <c r="AC128" s="239">
        <v>0</v>
      </c>
      <c r="AD128" s="239">
        <v>0</v>
      </c>
      <c r="AE128" s="239">
        <v>0</v>
      </c>
      <c r="AF128" s="239">
        <v>0</v>
      </c>
      <c r="AG128" s="239">
        <v>0</v>
      </c>
      <c r="AH128" s="239">
        <v>0</v>
      </c>
      <c r="AI128" s="239">
        <v>0</v>
      </c>
      <c r="AJ128" s="239">
        <v>0</v>
      </c>
      <c r="AK128" s="239">
        <v>0</v>
      </c>
      <c r="AL128" s="239">
        <v>0</v>
      </c>
      <c r="AM128" s="239">
        <v>0</v>
      </c>
      <c r="AN128" s="239">
        <v>0</v>
      </c>
      <c r="AO128" s="239">
        <v>0</v>
      </c>
      <c r="AP128" s="239">
        <v>0</v>
      </c>
      <c r="AQ128" s="239">
        <v>0</v>
      </c>
      <c r="AR128" s="239">
        <v>0</v>
      </c>
      <c r="AS128" s="239">
        <v>0</v>
      </c>
      <c r="AT128" s="239">
        <v>0</v>
      </c>
      <c r="AU128" s="239">
        <v>0</v>
      </c>
      <c r="AV128" s="239">
        <v>0</v>
      </c>
      <c r="AW128" s="239">
        <v>0</v>
      </c>
      <c r="AX128" s="239">
        <v>0</v>
      </c>
      <c r="AY128" s="239">
        <v>0</v>
      </c>
      <c r="AZ128" s="239">
        <v>0</v>
      </c>
      <c r="BA128" s="239">
        <v>0</v>
      </c>
      <c r="BB128" s="239">
        <v>0</v>
      </c>
      <c r="BC128" s="239">
        <v>891039</v>
      </c>
      <c r="BD128" s="239">
        <v>200484</v>
      </c>
      <c r="BE128" s="239">
        <v>22276</v>
      </c>
      <c r="BF128" s="239">
        <v>873694.5630798284</v>
      </c>
      <c r="BG128" s="239">
        <v>196581.27669296134</v>
      </c>
      <c r="BH128" s="239">
        <v>21842.364076995709</v>
      </c>
      <c r="BI128" s="239">
        <v>50699.428669527893</v>
      </c>
      <c r="BJ128" s="239">
        <v>11407.371450643774</v>
      </c>
      <c r="BK128" s="239">
        <v>1267.4857167381972</v>
      </c>
      <c r="BL128" s="239">
        <v>951944</v>
      </c>
      <c r="BM128" s="239">
        <v>150571</v>
      </c>
      <c r="BN128" s="239">
        <v>16730</v>
      </c>
      <c r="BO128" s="239">
        <v>-60905</v>
      </c>
      <c r="BP128" s="239">
        <v>49913</v>
      </c>
      <c r="BQ128" s="239">
        <v>5546</v>
      </c>
      <c r="BR128" s="239">
        <v>0</v>
      </c>
      <c r="BS128" s="239">
        <v>0</v>
      </c>
      <c r="BT128" s="239">
        <v>0</v>
      </c>
      <c r="BU128" s="239">
        <v>0</v>
      </c>
      <c r="BV128" s="239">
        <v>0</v>
      </c>
      <c r="BW128" s="239">
        <v>0</v>
      </c>
      <c r="BX128" s="239">
        <v>0</v>
      </c>
      <c r="BY128" s="239">
        <v>0</v>
      </c>
      <c r="BZ128" s="239">
        <v>0</v>
      </c>
      <c r="CA128" s="239">
        <v>-47084</v>
      </c>
      <c r="CB128" s="239">
        <v>-10594</v>
      </c>
      <c r="CC128" s="239">
        <v>-1177</v>
      </c>
      <c r="CD128" s="239">
        <v>7940</v>
      </c>
      <c r="CE128" s="239">
        <v>1786</v>
      </c>
      <c r="CF128" s="239">
        <v>198</v>
      </c>
      <c r="CG128" s="239">
        <v>-55024</v>
      </c>
      <c r="CH128" s="239">
        <v>-12380</v>
      </c>
      <c r="CI128" s="239">
        <v>-1375</v>
      </c>
      <c r="CJ128" s="239">
        <v>242</v>
      </c>
      <c r="CK128" s="239">
        <v>54</v>
      </c>
      <c r="CL128" s="239">
        <v>6</v>
      </c>
      <c r="CM128" s="239">
        <v>493</v>
      </c>
      <c r="CN128" s="239">
        <v>111</v>
      </c>
      <c r="CO128" s="239">
        <v>12</v>
      </c>
      <c r="CP128" s="239">
        <v>-251</v>
      </c>
      <c r="CQ128" s="239">
        <v>-57</v>
      </c>
      <c r="CR128" s="239">
        <v>-6</v>
      </c>
      <c r="CS128" s="239">
        <v>-1624</v>
      </c>
      <c r="CT128" s="239">
        <v>-365</v>
      </c>
      <c r="CU128" s="239">
        <v>-41</v>
      </c>
      <c r="CV128" s="239">
        <v>0</v>
      </c>
      <c r="CW128" s="239">
        <v>0</v>
      </c>
      <c r="CX128" s="239">
        <v>0</v>
      </c>
      <c r="CY128" s="239">
        <v>0</v>
      </c>
      <c r="CZ128" s="239">
        <v>0</v>
      </c>
      <c r="DA128" s="239">
        <v>0</v>
      </c>
      <c r="DB128" s="239">
        <v>0</v>
      </c>
      <c r="DC128" s="239">
        <v>0</v>
      </c>
      <c r="DD128" s="239">
        <v>0</v>
      </c>
      <c r="DE128" s="239">
        <v>0</v>
      </c>
      <c r="DF128" s="239">
        <v>0</v>
      </c>
      <c r="DG128" s="239">
        <v>0</v>
      </c>
      <c r="DH128" s="239">
        <v>0</v>
      </c>
      <c r="DI128" s="239">
        <v>0</v>
      </c>
      <c r="DJ128" s="239">
        <v>0</v>
      </c>
      <c r="DK128" s="239">
        <v>0</v>
      </c>
      <c r="DL128" s="239">
        <v>0</v>
      </c>
      <c r="DM128" s="239">
        <v>0</v>
      </c>
      <c r="DN128" s="239">
        <v>0</v>
      </c>
      <c r="DO128" s="239">
        <v>0</v>
      </c>
      <c r="DP128" s="239">
        <v>0</v>
      </c>
      <c r="DQ128" s="239">
        <v>0</v>
      </c>
      <c r="DR128" s="239">
        <v>0</v>
      </c>
      <c r="DS128" s="239">
        <v>0</v>
      </c>
      <c r="DT128" s="239">
        <v>0</v>
      </c>
      <c r="DU128" s="239">
        <v>0</v>
      </c>
      <c r="DV128" s="239">
        <v>0</v>
      </c>
      <c r="DW128" s="239">
        <v>0</v>
      </c>
      <c r="DX128" s="239">
        <v>0</v>
      </c>
      <c r="DY128" s="239">
        <v>0</v>
      </c>
      <c r="DZ128" s="239">
        <v>16574</v>
      </c>
      <c r="EA128" s="239">
        <v>3729</v>
      </c>
      <c r="EB128" s="239">
        <v>414</v>
      </c>
      <c r="EC128" s="239">
        <v>16494</v>
      </c>
      <c r="ED128" s="239">
        <v>0</v>
      </c>
      <c r="EE128" s="239">
        <v>0</v>
      </c>
      <c r="EF128" s="239">
        <v>80</v>
      </c>
      <c r="EG128" s="239">
        <v>3729</v>
      </c>
      <c r="EH128" s="239">
        <v>414</v>
      </c>
      <c r="EI128" s="239">
        <v>93382</v>
      </c>
      <c r="EJ128" s="239">
        <v>21011</v>
      </c>
      <c r="EK128" s="239">
        <v>2335</v>
      </c>
      <c r="EL128" s="239">
        <v>115100</v>
      </c>
      <c r="EM128" s="239">
        <v>0</v>
      </c>
      <c r="EN128" s="239">
        <v>0</v>
      </c>
      <c r="EO128" s="239">
        <v>-21718</v>
      </c>
      <c r="EP128" s="239">
        <v>21011</v>
      </c>
      <c r="EQ128" s="239">
        <v>2335</v>
      </c>
      <c r="ER128" s="239">
        <v>13776</v>
      </c>
      <c r="ES128" s="239">
        <v>3100</v>
      </c>
      <c r="ET128" s="239">
        <v>344</v>
      </c>
      <c r="EU128" s="239">
        <v>16240</v>
      </c>
      <c r="EV128" s="239">
        <v>0</v>
      </c>
      <c r="EW128" s="239">
        <v>0</v>
      </c>
      <c r="EX128" s="239">
        <v>-2464</v>
      </c>
      <c r="EY128" s="239">
        <v>3100</v>
      </c>
      <c r="EZ128" s="239">
        <v>344</v>
      </c>
      <c r="FA128" s="239">
        <v>123749</v>
      </c>
      <c r="FB128" s="239">
        <v>27844</v>
      </c>
      <c r="FC128" s="239">
        <v>3094</v>
      </c>
      <c r="FD128" s="239">
        <v>125123</v>
      </c>
      <c r="FE128" s="239">
        <v>28153</v>
      </c>
      <c r="FF128" s="239">
        <v>3128</v>
      </c>
      <c r="FG128" s="239">
        <v>-1374</v>
      </c>
      <c r="FH128" s="239">
        <v>-309</v>
      </c>
      <c r="FI128" s="239">
        <v>-34</v>
      </c>
      <c r="FJ128" s="239">
        <v>0</v>
      </c>
      <c r="FK128" s="239">
        <v>0</v>
      </c>
      <c r="FL128" s="239">
        <v>0</v>
      </c>
      <c r="FM128" s="239">
        <v>0</v>
      </c>
      <c r="FN128" s="239">
        <v>0</v>
      </c>
      <c r="FO128" s="239">
        <v>0</v>
      </c>
      <c r="FP128" s="239">
        <v>0</v>
      </c>
      <c r="FQ128" s="239">
        <v>0</v>
      </c>
      <c r="FR128" s="239">
        <v>0</v>
      </c>
      <c r="FS128" s="239">
        <v>0</v>
      </c>
      <c r="FT128" s="239">
        <v>0</v>
      </c>
      <c r="FU128" s="239">
        <v>0</v>
      </c>
      <c r="FV128" s="239">
        <v>1090054</v>
      </c>
      <c r="FW128" s="239">
        <v>245263</v>
      </c>
      <c r="FX128" s="239">
        <v>27251</v>
      </c>
      <c r="FY128" s="834">
        <v>0.5</v>
      </c>
      <c r="FZ128" s="834">
        <v>0.4</v>
      </c>
      <c r="GA128" s="834">
        <v>0.09</v>
      </c>
      <c r="GB128" s="834">
        <v>0.01</v>
      </c>
      <c r="GC128" s="214" t="s">
        <v>1158</v>
      </c>
    </row>
    <row r="129" spans="2:185" s="214" customFormat="1" x14ac:dyDescent="0.2">
      <c r="B129" s="602" t="s">
        <v>341</v>
      </c>
      <c r="C129" s="602" t="s">
        <v>340</v>
      </c>
      <c r="D129" s="239">
        <v>-1056189</v>
      </c>
      <c r="E129" s="239">
        <v>0</v>
      </c>
      <c r="F129" s="239">
        <v>-1056189</v>
      </c>
      <c r="G129" s="239">
        <v>-925380</v>
      </c>
      <c r="H129" s="239">
        <v>0</v>
      </c>
      <c r="I129" s="239">
        <v>-925380</v>
      </c>
      <c r="J129" s="239">
        <v>-130809</v>
      </c>
      <c r="K129" s="239">
        <v>0</v>
      </c>
      <c r="L129" s="239">
        <v>-130809</v>
      </c>
      <c r="M129" s="239">
        <v>137942</v>
      </c>
      <c r="N129" s="239">
        <v>137942</v>
      </c>
      <c r="O129" s="239">
        <v>0</v>
      </c>
      <c r="P129" s="239">
        <v>0</v>
      </c>
      <c r="Q129" s="239">
        <v>0</v>
      </c>
      <c r="R129" s="239">
        <v>0</v>
      </c>
      <c r="S129" s="239">
        <v>0</v>
      </c>
      <c r="T129" s="239">
        <v>0</v>
      </c>
      <c r="U129" s="239">
        <v>0</v>
      </c>
      <c r="V129" s="239">
        <v>0</v>
      </c>
      <c r="W129" s="239">
        <v>0</v>
      </c>
      <c r="X129" s="239">
        <v>0</v>
      </c>
      <c r="Y129" s="239">
        <v>0</v>
      </c>
      <c r="Z129" s="239">
        <v>0</v>
      </c>
      <c r="AA129" s="239">
        <v>0</v>
      </c>
      <c r="AB129" s="239">
        <v>0</v>
      </c>
      <c r="AC129" s="239">
        <v>0</v>
      </c>
      <c r="AD129" s="239">
        <v>0</v>
      </c>
      <c r="AE129" s="239">
        <v>0</v>
      </c>
      <c r="AF129" s="239">
        <v>0</v>
      </c>
      <c r="AG129" s="239">
        <v>0</v>
      </c>
      <c r="AH129" s="239">
        <v>0</v>
      </c>
      <c r="AI129" s="239">
        <v>0</v>
      </c>
      <c r="AJ129" s="239">
        <v>0</v>
      </c>
      <c r="AK129" s="239">
        <v>0</v>
      </c>
      <c r="AL129" s="239">
        <v>0</v>
      </c>
      <c r="AM129" s="239">
        <v>0</v>
      </c>
      <c r="AN129" s="239">
        <v>0</v>
      </c>
      <c r="AO129" s="239">
        <v>0</v>
      </c>
      <c r="AP129" s="239">
        <v>0</v>
      </c>
      <c r="AQ129" s="239">
        <v>0</v>
      </c>
      <c r="AR129" s="239">
        <v>0</v>
      </c>
      <c r="AS129" s="239">
        <v>0</v>
      </c>
      <c r="AT129" s="239">
        <v>0</v>
      </c>
      <c r="AU129" s="239">
        <v>0</v>
      </c>
      <c r="AV129" s="239">
        <v>0</v>
      </c>
      <c r="AW129" s="239">
        <v>0</v>
      </c>
      <c r="AX129" s="239">
        <v>0</v>
      </c>
      <c r="AY129" s="239">
        <v>0</v>
      </c>
      <c r="AZ129" s="239">
        <v>0</v>
      </c>
      <c r="BA129" s="239">
        <v>0</v>
      </c>
      <c r="BB129" s="239">
        <v>0</v>
      </c>
      <c r="BC129" s="239">
        <v>915994</v>
      </c>
      <c r="BD129" s="239">
        <v>206099</v>
      </c>
      <c r="BE129" s="239">
        <v>22900</v>
      </c>
      <c r="BF129" s="239">
        <v>894010.52371673821</v>
      </c>
      <c r="BG129" s="239">
        <v>201152.36783626606</v>
      </c>
      <c r="BH129" s="239">
        <v>22350.263092918452</v>
      </c>
      <c r="BI129" s="239">
        <v>68697.26137339056</v>
      </c>
      <c r="BJ129" s="239">
        <v>15456.883809012876</v>
      </c>
      <c r="BK129" s="239">
        <v>1717.4315343347639</v>
      </c>
      <c r="BL129" s="239">
        <v>892276</v>
      </c>
      <c r="BM129" s="239">
        <v>132298</v>
      </c>
      <c r="BN129" s="239">
        <v>14700</v>
      </c>
      <c r="BO129" s="239">
        <v>23718</v>
      </c>
      <c r="BP129" s="239">
        <v>73801</v>
      </c>
      <c r="BQ129" s="239">
        <v>8200</v>
      </c>
      <c r="BR129" s="239">
        <v>1567</v>
      </c>
      <c r="BS129" s="239">
        <v>353</v>
      </c>
      <c r="BT129" s="239">
        <v>39</v>
      </c>
      <c r="BU129" s="239">
        <v>0</v>
      </c>
      <c r="BV129" s="239">
        <v>0</v>
      </c>
      <c r="BW129" s="239">
        <v>0</v>
      </c>
      <c r="BX129" s="239">
        <v>1567</v>
      </c>
      <c r="BY129" s="239">
        <v>353</v>
      </c>
      <c r="BZ129" s="239">
        <v>39</v>
      </c>
      <c r="CA129" s="239">
        <v>0</v>
      </c>
      <c r="CB129" s="239">
        <v>0</v>
      </c>
      <c r="CC129" s="239">
        <v>0</v>
      </c>
      <c r="CD129" s="239">
        <v>0</v>
      </c>
      <c r="CE129" s="239">
        <v>0</v>
      </c>
      <c r="CF129" s="239">
        <v>0</v>
      </c>
      <c r="CG129" s="239">
        <v>0</v>
      </c>
      <c r="CH129" s="239">
        <v>0</v>
      </c>
      <c r="CI129" s="239">
        <v>0</v>
      </c>
      <c r="CJ129" s="239">
        <v>0</v>
      </c>
      <c r="CK129" s="239">
        <v>0</v>
      </c>
      <c r="CL129" s="239">
        <v>0</v>
      </c>
      <c r="CM129" s="239">
        <v>0</v>
      </c>
      <c r="CN129" s="239">
        <v>0</v>
      </c>
      <c r="CO129" s="239">
        <v>0</v>
      </c>
      <c r="CP129" s="239">
        <v>0</v>
      </c>
      <c r="CQ129" s="239">
        <v>0</v>
      </c>
      <c r="CR129" s="239">
        <v>0</v>
      </c>
      <c r="CS129" s="239">
        <v>-1015</v>
      </c>
      <c r="CT129" s="239">
        <v>-228</v>
      </c>
      <c r="CU129" s="239">
        <v>-25</v>
      </c>
      <c r="CV129" s="239">
        <v>0</v>
      </c>
      <c r="CW129" s="239">
        <v>0</v>
      </c>
      <c r="CX129" s="239">
        <v>0</v>
      </c>
      <c r="CY129" s="239">
        <v>0</v>
      </c>
      <c r="CZ129" s="239">
        <v>0</v>
      </c>
      <c r="DA129" s="239">
        <v>0</v>
      </c>
      <c r="DB129" s="239">
        <v>0</v>
      </c>
      <c r="DC129" s="239">
        <v>0</v>
      </c>
      <c r="DD129" s="239">
        <v>0</v>
      </c>
      <c r="DE129" s="239">
        <v>0</v>
      </c>
      <c r="DF129" s="239">
        <v>0</v>
      </c>
      <c r="DG129" s="239">
        <v>0</v>
      </c>
      <c r="DH129" s="239">
        <v>867</v>
      </c>
      <c r="DI129" s="239">
        <v>195</v>
      </c>
      <c r="DJ129" s="239">
        <v>22</v>
      </c>
      <c r="DK129" s="239">
        <v>867</v>
      </c>
      <c r="DL129" s="239">
        <v>195</v>
      </c>
      <c r="DM129" s="239">
        <v>22</v>
      </c>
      <c r="DN129" s="239">
        <v>0</v>
      </c>
      <c r="DO129" s="239">
        <v>0</v>
      </c>
      <c r="DP129" s="239">
        <v>0</v>
      </c>
      <c r="DQ129" s="239">
        <v>0</v>
      </c>
      <c r="DR129" s="239">
        <v>0</v>
      </c>
      <c r="DS129" s="239">
        <v>0</v>
      </c>
      <c r="DT129" s="239">
        <v>0</v>
      </c>
      <c r="DU129" s="239">
        <v>0</v>
      </c>
      <c r="DV129" s="239">
        <v>0</v>
      </c>
      <c r="DW129" s="239">
        <v>0</v>
      </c>
      <c r="DX129" s="239">
        <v>0</v>
      </c>
      <c r="DY129" s="239">
        <v>0</v>
      </c>
      <c r="DZ129" s="239">
        <v>1592</v>
      </c>
      <c r="EA129" s="239">
        <v>358</v>
      </c>
      <c r="EB129" s="239">
        <v>40</v>
      </c>
      <c r="EC129" s="239">
        <v>0</v>
      </c>
      <c r="ED129" s="239">
        <v>0</v>
      </c>
      <c r="EE129" s="239">
        <v>0</v>
      </c>
      <c r="EF129" s="239">
        <v>1592</v>
      </c>
      <c r="EG129" s="239">
        <v>358</v>
      </c>
      <c r="EH129" s="239">
        <v>40</v>
      </c>
      <c r="EI129" s="239">
        <v>67480</v>
      </c>
      <c r="EJ129" s="239">
        <v>15183</v>
      </c>
      <c r="EK129" s="239">
        <v>1687</v>
      </c>
      <c r="EL129" s="239">
        <v>87399</v>
      </c>
      <c r="EM129" s="239">
        <v>0</v>
      </c>
      <c r="EN129" s="239">
        <v>0</v>
      </c>
      <c r="EO129" s="239">
        <v>-19919</v>
      </c>
      <c r="EP129" s="239">
        <v>15183</v>
      </c>
      <c r="EQ129" s="239">
        <v>1687</v>
      </c>
      <c r="ER129" s="239">
        <v>6698</v>
      </c>
      <c r="ES129" s="239">
        <v>1507</v>
      </c>
      <c r="ET129" s="239">
        <v>167</v>
      </c>
      <c r="EU129" s="239">
        <v>0</v>
      </c>
      <c r="EV129" s="239">
        <v>0</v>
      </c>
      <c r="EW129" s="239">
        <v>0</v>
      </c>
      <c r="EX129" s="239">
        <v>6698</v>
      </c>
      <c r="EY129" s="239">
        <v>1507</v>
      </c>
      <c r="EZ129" s="239">
        <v>167</v>
      </c>
      <c r="FA129" s="239">
        <v>200118</v>
      </c>
      <c r="FB129" s="239">
        <v>45026</v>
      </c>
      <c r="FC129" s="239">
        <v>5003</v>
      </c>
      <c r="FD129" s="239">
        <v>208505</v>
      </c>
      <c r="FE129" s="239">
        <v>46914</v>
      </c>
      <c r="FF129" s="239">
        <v>5213</v>
      </c>
      <c r="FG129" s="239">
        <v>-8387</v>
      </c>
      <c r="FH129" s="239">
        <v>-1888</v>
      </c>
      <c r="FI129" s="239">
        <v>-210</v>
      </c>
      <c r="FJ129" s="239">
        <v>0</v>
      </c>
      <c r="FK129" s="239">
        <v>0</v>
      </c>
      <c r="FL129" s="239">
        <v>0</v>
      </c>
      <c r="FM129" s="239">
        <v>0</v>
      </c>
      <c r="FN129" s="239">
        <v>0</v>
      </c>
      <c r="FO129" s="239">
        <v>0</v>
      </c>
      <c r="FP129" s="239">
        <v>0</v>
      </c>
      <c r="FQ129" s="239">
        <v>0</v>
      </c>
      <c r="FR129" s="239">
        <v>0</v>
      </c>
      <c r="FS129" s="239">
        <v>0</v>
      </c>
      <c r="FT129" s="239">
        <v>0</v>
      </c>
      <c r="FU129" s="239">
        <v>0</v>
      </c>
      <c r="FV129" s="239">
        <v>1193301</v>
      </c>
      <c r="FW129" s="239">
        <v>268493</v>
      </c>
      <c r="FX129" s="239">
        <v>29833</v>
      </c>
      <c r="FY129" s="834">
        <v>0.5</v>
      </c>
      <c r="FZ129" s="834">
        <v>0.4</v>
      </c>
      <c r="GA129" s="834">
        <v>0.09</v>
      </c>
      <c r="GB129" s="834">
        <v>0.01</v>
      </c>
      <c r="GC129" s="214" t="s">
        <v>1158</v>
      </c>
    </row>
    <row r="130" spans="2:185" s="214" customFormat="1" x14ac:dyDescent="0.2">
      <c r="B130" s="602" t="s">
        <v>343</v>
      </c>
      <c r="C130" s="602" t="s">
        <v>342</v>
      </c>
      <c r="D130" s="239">
        <v>1935995</v>
      </c>
      <c r="E130" s="239">
        <v>0</v>
      </c>
      <c r="F130" s="239">
        <v>1935995</v>
      </c>
      <c r="G130" s="239">
        <v>2881073</v>
      </c>
      <c r="H130" s="239">
        <v>0</v>
      </c>
      <c r="I130" s="239">
        <v>2881073</v>
      </c>
      <c r="J130" s="239">
        <v>-945078</v>
      </c>
      <c r="K130" s="239">
        <v>0</v>
      </c>
      <c r="L130" s="239">
        <v>-945078</v>
      </c>
      <c r="M130" s="239">
        <v>268121</v>
      </c>
      <c r="N130" s="239">
        <v>268121</v>
      </c>
      <c r="O130" s="239">
        <v>0</v>
      </c>
      <c r="P130" s="239">
        <v>0</v>
      </c>
      <c r="Q130" s="239">
        <v>0</v>
      </c>
      <c r="R130" s="239">
        <v>0</v>
      </c>
      <c r="S130" s="239">
        <v>0</v>
      </c>
      <c r="T130" s="239">
        <v>0</v>
      </c>
      <c r="U130" s="239">
        <v>0</v>
      </c>
      <c r="V130" s="239">
        <v>0</v>
      </c>
      <c r="W130" s="239">
        <v>0</v>
      </c>
      <c r="X130" s="239">
        <v>0</v>
      </c>
      <c r="Y130" s="239">
        <v>0</v>
      </c>
      <c r="Z130" s="239">
        <v>0</v>
      </c>
      <c r="AA130" s="239">
        <v>0</v>
      </c>
      <c r="AB130" s="239">
        <v>0</v>
      </c>
      <c r="AC130" s="239">
        <v>0</v>
      </c>
      <c r="AD130" s="239">
        <v>0</v>
      </c>
      <c r="AE130" s="239">
        <v>0</v>
      </c>
      <c r="AF130" s="239">
        <v>0</v>
      </c>
      <c r="AG130" s="239">
        <v>0</v>
      </c>
      <c r="AH130" s="239">
        <v>0</v>
      </c>
      <c r="AI130" s="239">
        <v>0</v>
      </c>
      <c r="AJ130" s="239">
        <v>0</v>
      </c>
      <c r="AK130" s="239">
        <v>0</v>
      </c>
      <c r="AL130" s="239">
        <v>0</v>
      </c>
      <c r="AM130" s="239">
        <v>0</v>
      </c>
      <c r="AN130" s="239">
        <v>0</v>
      </c>
      <c r="AO130" s="239">
        <v>0</v>
      </c>
      <c r="AP130" s="239">
        <v>0</v>
      </c>
      <c r="AQ130" s="239">
        <v>0</v>
      </c>
      <c r="AR130" s="239">
        <v>0</v>
      </c>
      <c r="AS130" s="239">
        <v>0</v>
      </c>
      <c r="AT130" s="239">
        <v>0</v>
      </c>
      <c r="AU130" s="239">
        <v>0</v>
      </c>
      <c r="AV130" s="239">
        <v>0</v>
      </c>
      <c r="AW130" s="239">
        <v>0</v>
      </c>
      <c r="AX130" s="239">
        <v>0</v>
      </c>
      <c r="AY130" s="239">
        <v>0</v>
      </c>
      <c r="AZ130" s="239">
        <v>0</v>
      </c>
      <c r="BA130" s="239">
        <v>0</v>
      </c>
      <c r="BB130" s="239">
        <v>0</v>
      </c>
      <c r="BC130" s="239">
        <v>1369642</v>
      </c>
      <c r="BD130" s="239">
        <v>1689225</v>
      </c>
      <c r="BE130" s="239">
        <v>0</v>
      </c>
      <c r="BF130" s="239">
        <v>1341824.7650877682</v>
      </c>
      <c r="BG130" s="239">
        <v>1654917.2102749143</v>
      </c>
      <c r="BH130" s="239">
        <v>0</v>
      </c>
      <c r="BI130" s="239">
        <v>86025.169763948492</v>
      </c>
      <c r="BJ130" s="239">
        <v>106097.70937553646</v>
      </c>
      <c r="BK130" s="239">
        <v>0</v>
      </c>
      <c r="BL130" s="239">
        <v>1703415</v>
      </c>
      <c r="BM130" s="239">
        <v>962088</v>
      </c>
      <c r="BN130" s="239">
        <v>0</v>
      </c>
      <c r="BO130" s="239">
        <v>-333773</v>
      </c>
      <c r="BP130" s="239">
        <v>727137</v>
      </c>
      <c r="BQ130" s="239">
        <v>0</v>
      </c>
      <c r="BR130" s="239">
        <v>32</v>
      </c>
      <c r="BS130" s="239">
        <v>39</v>
      </c>
      <c r="BT130" s="239">
        <v>0</v>
      </c>
      <c r="BU130" s="239">
        <v>0</v>
      </c>
      <c r="BV130" s="239">
        <v>0</v>
      </c>
      <c r="BW130" s="239">
        <v>0</v>
      </c>
      <c r="BX130" s="239">
        <v>32</v>
      </c>
      <c r="BY130" s="239">
        <v>39</v>
      </c>
      <c r="BZ130" s="239">
        <v>0</v>
      </c>
      <c r="CA130" s="239">
        <v>0</v>
      </c>
      <c r="CB130" s="239">
        <v>0</v>
      </c>
      <c r="CC130" s="239">
        <v>0</v>
      </c>
      <c r="CD130" s="239">
        <v>0</v>
      </c>
      <c r="CE130" s="239">
        <v>0</v>
      </c>
      <c r="CF130" s="239">
        <v>0</v>
      </c>
      <c r="CG130" s="239">
        <v>0</v>
      </c>
      <c r="CH130" s="239">
        <v>0</v>
      </c>
      <c r="CI130" s="239">
        <v>0</v>
      </c>
      <c r="CJ130" s="239">
        <v>7331</v>
      </c>
      <c r="CK130" s="239">
        <v>9041</v>
      </c>
      <c r="CL130" s="239">
        <v>0</v>
      </c>
      <c r="CM130" s="239">
        <v>0</v>
      </c>
      <c r="CN130" s="239">
        <v>0</v>
      </c>
      <c r="CO130" s="239">
        <v>0</v>
      </c>
      <c r="CP130" s="239">
        <v>7331</v>
      </c>
      <c r="CQ130" s="239">
        <v>9041</v>
      </c>
      <c r="CR130" s="239">
        <v>0</v>
      </c>
      <c r="CS130" s="239">
        <v>-1846</v>
      </c>
      <c r="CT130" s="239">
        <v>-2276</v>
      </c>
      <c r="CU130" s="239">
        <v>0</v>
      </c>
      <c r="CV130" s="239">
        <v>0</v>
      </c>
      <c r="CW130" s="239">
        <v>0</v>
      </c>
      <c r="CX130" s="239">
        <v>0</v>
      </c>
      <c r="CY130" s="239">
        <v>0</v>
      </c>
      <c r="CZ130" s="239">
        <v>0</v>
      </c>
      <c r="DA130" s="239">
        <v>0</v>
      </c>
      <c r="DB130" s="239">
        <v>0</v>
      </c>
      <c r="DC130" s="239">
        <v>0</v>
      </c>
      <c r="DD130" s="239">
        <v>0</v>
      </c>
      <c r="DE130" s="239">
        <v>-220</v>
      </c>
      <c r="DF130" s="239">
        <v>-272</v>
      </c>
      <c r="DG130" s="239">
        <v>0</v>
      </c>
      <c r="DH130" s="239">
        <v>0</v>
      </c>
      <c r="DI130" s="239">
        <v>0</v>
      </c>
      <c r="DJ130" s="239">
        <v>0</v>
      </c>
      <c r="DK130" s="239">
        <v>0</v>
      </c>
      <c r="DL130" s="239">
        <v>0</v>
      </c>
      <c r="DM130" s="239">
        <v>0</v>
      </c>
      <c r="DN130" s="239">
        <v>0</v>
      </c>
      <c r="DO130" s="239">
        <v>0</v>
      </c>
      <c r="DP130" s="239">
        <v>0</v>
      </c>
      <c r="DQ130" s="239">
        <v>0</v>
      </c>
      <c r="DR130" s="239">
        <v>0</v>
      </c>
      <c r="DS130" s="239">
        <v>0</v>
      </c>
      <c r="DT130" s="239">
        <v>0</v>
      </c>
      <c r="DU130" s="239">
        <v>0</v>
      </c>
      <c r="DV130" s="239">
        <v>0</v>
      </c>
      <c r="DW130" s="239">
        <v>0</v>
      </c>
      <c r="DX130" s="239">
        <v>0</v>
      </c>
      <c r="DY130" s="239">
        <v>0</v>
      </c>
      <c r="DZ130" s="239">
        <v>39286</v>
      </c>
      <c r="EA130" s="239">
        <v>48453</v>
      </c>
      <c r="EB130" s="239">
        <v>0</v>
      </c>
      <c r="EC130" s="239">
        <v>105410</v>
      </c>
      <c r="ED130" s="239">
        <v>0</v>
      </c>
      <c r="EE130" s="239">
        <v>0</v>
      </c>
      <c r="EF130" s="239">
        <v>-66124</v>
      </c>
      <c r="EG130" s="239">
        <v>48453</v>
      </c>
      <c r="EH130" s="239">
        <v>0</v>
      </c>
      <c r="EI130" s="239">
        <v>295429</v>
      </c>
      <c r="EJ130" s="239">
        <v>364362</v>
      </c>
      <c r="EK130" s="239">
        <v>0</v>
      </c>
      <c r="EL130" s="239">
        <v>662896</v>
      </c>
      <c r="EM130" s="239">
        <v>0</v>
      </c>
      <c r="EN130" s="239">
        <v>0</v>
      </c>
      <c r="EO130" s="239">
        <v>-367467</v>
      </c>
      <c r="EP130" s="239">
        <v>364362</v>
      </c>
      <c r="EQ130" s="239">
        <v>0</v>
      </c>
      <c r="ER130" s="239">
        <v>7847</v>
      </c>
      <c r="ES130" s="239">
        <v>9678</v>
      </c>
      <c r="ET130" s="239">
        <v>0</v>
      </c>
      <c r="EU130" s="239">
        <v>24482</v>
      </c>
      <c r="EV130" s="239">
        <v>0</v>
      </c>
      <c r="EW130" s="239">
        <v>0</v>
      </c>
      <c r="EX130" s="239">
        <v>-16635</v>
      </c>
      <c r="EY130" s="239">
        <v>9678</v>
      </c>
      <c r="EZ130" s="239">
        <v>0</v>
      </c>
      <c r="FA130" s="239">
        <v>360085</v>
      </c>
      <c r="FB130" s="239">
        <v>444105</v>
      </c>
      <c r="FC130" s="239">
        <v>0</v>
      </c>
      <c r="FD130" s="239">
        <v>362015</v>
      </c>
      <c r="FE130" s="239">
        <v>446485</v>
      </c>
      <c r="FF130" s="239">
        <v>0</v>
      </c>
      <c r="FG130" s="239">
        <v>-1930</v>
      </c>
      <c r="FH130" s="239">
        <v>-2380</v>
      </c>
      <c r="FI130" s="239">
        <v>0</v>
      </c>
      <c r="FJ130" s="239">
        <v>0</v>
      </c>
      <c r="FK130" s="239">
        <v>0</v>
      </c>
      <c r="FL130" s="239">
        <v>0</v>
      </c>
      <c r="FM130" s="239">
        <v>0</v>
      </c>
      <c r="FN130" s="239">
        <v>0</v>
      </c>
      <c r="FO130" s="239">
        <v>0</v>
      </c>
      <c r="FP130" s="239">
        <v>0</v>
      </c>
      <c r="FQ130" s="239">
        <v>0</v>
      </c>
      <c r="FR130" s="239">
        <v>0</v>
      </c>
      <c r="FS130" s="239">
        <v>0</v>
      </c>
      <c r="FT130" s="239">
        <v>0</v>
      </c>
      <c r="FU130" s="239">
        <v>0</v>
      </c>
      <c r="FV130" s="239">
        <v>2077586</v>
      </c>
      <c r="FW130" s="239">
        <v>2562355</v>
      </c>
      <c r="FX130" s="239">
        <v>0</v>
      </c>
      <c r="FY130" s="834">
        <v>0.33000000000000007</v>
      </c>
      <c r="FZ130" s="834">
        <v>0.3</v>
      </c>
      <c r="GA130" s="834">
        <v>0.37</v>
      </c>
      <c r="GB130" s="834">
        <v>0</v>
      </c>
      <c r="GC130" s="214" t="s">
        <v>1159</v>
      </c>
    </row>
    <row r="131" spans="2:185" s="214" customFormat="1" x14ac:dyDescent="0.2">
      <c r="B131" s="602" t="s">
        <v>345</v>
      </c>
      <c r="C131" s="602" t="s">
        <v>344</v>
      </c>
      <c r="D131" s="239">
        <v>-170339</v>
      </c>
      <c r="E131" s="239">
        <v>-27250</v>
      </c>
      <c r="F131" s="239">
        <v>-197589</v>
      </c>
      <c r="G131" s="239">
        <v>0</v>
      </c>
      <c r="H131" s="239">
        <v>0</v>
      </c>
      <c r="I131" s="239">
        <v>0</v>
      </c>
      <c r="J131" s="239">
        <v>-170339</v>
      </c>
      <c r="K131" s="239">
        <v>-27250</v>
      </c>
      <c r="L131" s="239">
        <v>-197589</v>
      </c>
      <c r="M131" s="239">
        <v>299893</v>
      </c>
      <c r="N131" s="239">
        <v>299893</v>
      </c>
      <c r="O131" s="239">
        <v>0</v>
      </c>
      <c r="P131" s="239">
        <v>74608</v>
      </c>
      <c r="Q131" s="239">
        <v>52447</v>
      </c>
      <c r="R131" s="239">
        <v>22161</v>
      </c>
      <c r="S131" s="239">
        <v>115445</v>
      </c>
      <c r="T131" s="239">
        <v>0</v>
      </c>
      <c r="U131" s="239">
        <v>100000</v>
      </c>
      <c r="V131" s="239">
        <v>0</v>
      </c>
      <c r="W131" s="239">
        <v>15445</v>
      </c>
      <c r="X131" s="239">
        <v>0</v>
      </c>
      <c r="Y131" s="239">
        <v>334593</v>
      </c>
      <c r="Z131" s="239">
        <v>334593</v>
      </c>
      <c r="AA131" s="239">
        <v>0</v>
      </c>
      <c r="AB131" s="239">
        <v>0</v>
      </c>
      <c r="AC131" s="239">
        <v>481000</v>
      </c>
      <c r="AD131" s="239">
        <v>481000</v>
      </c>
      <c r="AE131" s="239">
        <v>0</v>
      </c>
      <c r="AF131" s="239">
        <v>0</v>
      </c>
      <c r="AG131" s="239">
        <v>-146407</v>
      </c>
      <c r="AH131" s="239">
        <v>-146407</v>
      </c>
      <c r="AI131" s="239">
        <v>0</v>
      </c>
      <c r="AJ131" s="239">
        <v>0</v>
      </c>
      <c r="AK131" s="239">
        <v>0</v>
      </c>
      <c r="AL131" s="239">
        <v>0</v>
      </c>
      <c r="AM131" s="239">
        <v>0</v>
      </c>
      <c r="AN131" s="239">
        <v>0</v>
      </c>
      <c r="AO131" s="239">
        <v>0</v>
      </c>
      <c r="AP131" s="239">
        <v>0</v>
      </c>
      <c r="AQ131" s="239">
        <v>0</v>
      </c>
      <c r="AR131" s="239">
        <v>0</v>
      </c>
      <c r="AS131" s="239">
        <v>0</v>
      </c>
      <c r="AT131" s="239">
        <v>0</v>
      </c>
      <c r="AU131" s="239">
        <v>0</v>
      </c>
      <c r="AV131" s="239">
        <v>0</v>
      </c>
      <c r="AW131" s="239">
        <v>0</v>
      </c>
      <c r="AX131" s="239">
        <v>0</v>
      </c>
      <c r="AY131" s="239">
        <v>0</v>
      </c>
      <c r="AZ131" s="239">
        <v>0</v>
      </c>
      <c r="BA131" s="239">
        <v>0</v>
      </c>
      <c r="BB131" s="239">
        <v>0</v>
      </c>
      <c r="BC131" s="239">
        <v>2765945</v>
      </c>
      <c r="BD131" s="239">
        <v>0</v>
      </c>
      <c r="BE131" s="239">
        <v>55400</v>
      </c>
      <c r="BF131" s="239">
        <v>2713475.2021481758</v>
      </c>
      <c r="BG131" s="239">
        <v>0</v>
      </c>
      <c r="BH131" s="239">
        <v>54349.393715557941</v>
      </c>
      <c r="BI131" s="239">
        <v>157926.75618830472</v>
      </c>
      <c r="BJ131" s="239">
        <v>0</v>
      </c>
      <c r="BK131" s="239">
        <v>3120.798935085837</v>
      </c>
      <c r="BL131" s="239">
        <v>2735180</v>
      </c>
      <c r="BM131" s="239">
        <v>0</v>
      </c>
      <c r="BN131" s="239">
        <v>40862</v>
      </c>
      <c r="BO131" s="239">
        <v>30765</v>
      </c>
      <c r="BP131" s="239">
        <v>0</v>
      </c>
      <c r="BQ131" s="239">
        <v>14538</v>
      </c>
      <c r="BR131" s="239">
        <v>0</v>
      </c>
      <c r="BS131" s="239">
        <v>0</v>
      </c>
      <c r="BT131" s="239">
        <v>0</v>
      </c>
      <c r="BU131" s="239">
        <v>0</v>
      </c>
      <c r="BV131" s="239">
        <v>0</v>
      </c>
      <c r="BW131" s="239">
        <v>0</v>
      </c>
      <c r="BX131" s="239">
        <v>0</v>
      </c>
      <c r="BY131" s="239">
        <v>0</v>
      </c>
      <c r="BZ131" s="239">
        <v>0</v>
      </c>
      <c r="CA131" s="239">
        <v>7156</v>
      </c>
      <c r="CB131" s="239">
        <v>0</v>
      </c>
      <c r="CC131" s="239">
        <v>146</v>
      </c>
      <c r="CD131" s="239">
        <v>0</v>
      </c>
      <c r="CE131" s="239">
        <v>0</v>
      </c>
      <c r="CF131" s="239">
        <v>0</v>
      </c>
      <c r="CG131" s="239">
        <v>7156</v>
      </c>
      <c r="CH131" s="239">
        <v>0</v>
      </c>
      <c r="CI131" s="239">
        <v>146</v>
      </c>
      <c r="CJ131" s="239">
        <v>742</v>
      </c>
      <c r="CK131" s="239">
        <v>0</v>
      </c>
      <c r="CL131" s="239">
        <v>15</v>
      </c>
      <c r="CM131" s="239">
        <v>27998</v>
      </c>
      <c r="CN131" s="239">
        <v>0</v>
      </c>
      <c r="CO131" s="239">
        <v>571</v>
      </c>
      <c r="CP131" s="239">
        <v>-27256</v>
      </c>
      <c r="CQ131" s="239">
        <v>0</v>
      </c>
      <c r="CR131" s="239">
        <v>-556</v>
      </c>
      <c r="CS131" s="239">
        <v>-8010</v>
      </c>
      <c r="CT131" s="239">
        <v>0</v>
      </c>
      <c r="CU131" s="239">
        <v>-163</v>
      </c>
      <c r="CV131" s="239">
        <v>0</v>
      </c>
      <c r="CW131" s="239">
        <v>0</v>
      </c>
      <c r="CX131" s="239">
        <v>0</v>
      </c>
      <c r="CY131" s="239">
        <v>0</v>
      </c>
      <c r="CZ131" s="239">
        <v>0</v>
      </c>
      <c r="DA131" s="239">
        <v>0</v>
      </c>
      <c r="DB131" s="239">
        <v>0</v>
      </c>
      <c r="DC131" s="239">
        <v>0</v>
      </c>
      <c r="DD131" s="239">
        <v>0</v>
      </c>
      <c r="DE131" s="239">
        <v>0</v>
      </c>
      <c r="DF131" s="239">
        <v>0</v>
      </c>
      <c r="DG131" s="239">
        <v>0</v>
      </c>
      <c r="DH131" s="239">
        <v>40136</v>
      </c>
      <c r="DI131" s="239">
        <v>0</v>
      </c>
      <c r="DJ131" s="239">
        <v>819</v>
      </c>
      <c r="DK131" s="239">
        <v>37302</v>
      </c>
      <c r="DL131" s="239">
        <v>0</v>
      </c>
      <c r="DM131" s="239">
        <v>761</v>
      </c>
      <c r="DN131" s="239">
        <v>2834</v>
      </c>
      <c r="DO131" s="239">
        <v>0</v>
      </c>
      <c r="DP131" s="239">
        <v>58</v>
      </c>
      <c r="DQ131" s="239">
        <v>746</v>
      </c>
      <c r="DR131" s="239">
        <v>0</v>
      </c>
      <c r="DS131" s="239">
        <v>15</v>
      </c>
      <c r="DT131" s="239">
        <v>746</v>
      </c>
      <c r="DU131" s="239">
        <v>0</v>
      </c>
      <c r="DV131" s="239">
        <v>15</v>
      </c>
      <c r="DW131" s="239">
        <v>0</v>
      </c>
      <c r="DX131" s="239">
        <v>0</v>
      </c>
      <c r="DY131" s="239">
        <v>0</v>
      </c>
      <c r="DZ131" s="239">
        <v>66942</v>
      </c>
      <c r="EA131" s="239">
        <v>0</v>
      </c>
      <c r="EB131" s="239">
        <v>1366</v>
      </c>
      <c r="EC131" s="239">
        <v>74279</v>
      </c>
      <c r="ED131" s="239">
        <v>0</v>
      </c>
      <c r="EE131" s="239">
        <v>0</v>
      </c>
      <c r="EF131" s="239">
        <v>-7337</v>
      </c>
      <c r="EG131" s="239">
        <v>0</v>
      </c>
      <c r="EH131" s="239">
        <v>1366</v>
      </c>
      <c r="EI131" s="239">
        <v>4731</v>
      </c>
      <c r="EJ131" s="239">
        <v>0</v>
      </c>
      <c r="EK131" s="239">
        <v>97</v>
      </c>
      <c r="EL131" s="239">
        <v>217748</v>
      </c>
      <c r="EM131" s="239">
        <v>0</v>
      </c>
      <c r="EN131" s="239">
        <v>0</v>
      </c>
      <c r="EO131" s="239">
        <v>-213017</v>
      </c>
      <c r="EP131" s="239">
        <v>0</v>
      </c>
      <c r="EQ131" s="239">
        <v>97</v>
      </c>
      <c r="ER131" s="239">
        <v>22913</v>
      </c>
      <c r="ES131" s="239">
        <v>0</v>
      </c>
      <c r="ET131" s="239">
        <v>468</v>
      </c>
      <c r="EU131" s="239">
        <v>52756</v>
      </c>
      <c r="EV131" s="239">
        <v>0</v>
      </c>
      <c r="EW131" s="239">
        <v>0</v>
      </c>
      <c r="EX131" s="239">
        <v>-29843</v>
      </c>
      <c r="EY131" s="239">
        <v>0</v>
      </c>
      <c r="EZ131" s="239">
        <v>468</v>
      </c>
      <c r="FA131" s="239">
        <v>343904</v>
      </c>
      <c r="FB131" s="239">
        <v>0</v>
      </c>
      <c r="FC131" s="239">
        <v>6960</v>
      </c>
      <c r="FD131" s="239">
        <v>339751</v>
      </c>
      <c r="FE131" s="239">
        <v>0</v>
      </c>
      <c r="FF131" s="239">
        <v>6740</v>
      </c>
      <c r="FG131" s="239">
        <v>4153</v>
      </c>
      <c r="FH131" s="239">
        <v>0</v>
      </c>
      <c r="FI131" s="239">
        <v>220</v>
      </c>
      <c r="FJ131" s="239">
        <v>0</v>
      </c>
      <c r="FK131" s="239">
        <v>0</v>
      </c>
      <c r="FL131" s="239">
        <v>0</v>
      </c>
      <c r="FM131" s="239">
        <v>0</v>
      </c>
      <c r="FN131" s="239">
        <v>0</v>
      </c>
      <c r="FO131" s="239">
        <v>0</v>
      </c>
      <c r="FP131" s="239">
        <v>0</v>
      </c>
      <c r="FQ131" s="239">
        <v>0</v>
      </c>
      <c r="FR131" s="239">
        <v>0</v>
      </c>
      <c r="FS131" s="239">
        <v>0</v>
      </c>
      <c r="FT131" s="239">
        <v>0</v>
      </c>
      <c r="FU131" s="239">
        <v>0</v>
      </c>
      <c r="FV131" s="239">
        <v>3245205</v>
      </c>
      <c r="FW131" s="239">
        <v>0</v>
      </c>
      <c r="FX131" s="239">
        <v>65123</v>
      </c>
      <c r="FY131" s="834">
        <v>0.5</v>
      </c>
      <c r="FZ131" s="834">
        <v>0.49</v>
      </c>
      <c r="GA131" s="834">
        <v>0</v>
      </c>
      <c r="GB131" s="834">
        <v>0.01</v>
      </c>
      <c r="GC131" s="214" t="s">
        <v>746</v>
      </c>
    </row>
    <row r="132" spans="2:185" s="214" customFormat="1" x14ac:dyDescent="0.2">
      <c r="B132" s="602" t="s">
        <v>347</v>
      </c>
      <c r="C132" s="602" t="s">
        <v>346</v>
      </c>
      <c r="D132" s="239">
        <v>-443412</v>
      </c>
      <c r="E132" s="239">
        <v>0</v>
      </c>
      <c r="F132" s="239">
        <v>-443412</v>
      </c>
      <c r="G132" s="239">
        <v>-425087</v>
      </c>
      <c r="H132" s="239">
        <v>0</v>
      </c>
      <c r="I132" s="239">
        <v>-425087</v>
      </c>
      <c r="J132" s="239">
        <v>-18325</v>
      </c>
      <c r="K132" s="239">
        <v>0</v>
      </c>
      <c r="L132" s="239">
        <v>-18325</v>
      </c>
      <c r="M132" s="239">
        <v>151151</v>
      </c>
      <c r="N132" s="239">
        <v>151151</v>
      </c>
      <c r="O132" s="239">
        <v>0</v>
      </c>
      <c r="P132" s="239">
        <v>0</v>
      </c>
      <c r="Q132" s="239">
        <v>0</v>
      </c>
      <c r="R132" s="239">
        <v>0</v>
      </c>
      <c r="S132" s="239">
        <v>0</v>
      </c>
      <c r="T132" s="239">
        <v>0</v>
      </c>
      <c r="U132" s="239">
        <v>0</v>
      </c>
      <c r="V132" s="239">
        <v>0</v>
      </c>
      <c r="W132" s="239">
        <v>0</v>
      </c>
      <c r="X132" s="239">
        <v>0</v>
      </c>
      <c r="Y132" s="239">
        <v>0</v>
      </c>
      <c r="Z132" s="239">
        <v>0</v>
      </c>
      <c r="AA132" s="239">
        <v>0</v>
      </c>
      <c r="AB132" s="239">
        <v>0</v>
      </c>
      <c r="AC132" s="239">
        <v>0</v>
      </c>
      <c r="AD132" s="239">
        <v>0</v>
      </c>
      <c r="AE132" s="239">
        <v>0</v>
      </c>
      <c r="AF132" s="239">
        <v>0</v>
      </c>
      <c r="AG132" s="239">
        <v>0</v>
      </c>
      <c r="AH132" s="239">
        <v>0</v>
      </c>
      <c r="AI132" s="239">
        <v>0</v>
      </c>
      <c r="AJ132" s="239">
        <v>0</v>
      </c>
      <c r="AK132" s="239">
        <v>0</v>
      </c>
      <c r="AL132" s="239">
        <v>0</v>
      </c>
      <c r="AM132" s="239">
        <v>0</v>
      </c>
      <c r="AN132" s="239">
        <v>0</v>
      </c>
      <c r="AO132" s="239">
        <v>0</v>
      </c>
      <c r="AP132" s="239">
        <v>0</v>
      </c>
      <c r="AQ132" s="239">
        <v>0</v>
      </c>
      <c r="AR132" s="239">
        <v>0</v>
      </c>
      <c r="AS132" s="239">
        <v>0</v>
      </c>
      <c r="AT132" s="239">
        <v>0</v>
      </c>
      <c r="AU132" s="239">
        <v>0</v>
      </c>
      <c r="AV132" s="239">
        <v>0</v>
      </c>
      <c r="AW132" s="239">
        <v>0</v>
      </c>
      <c r="AX132" s="239">
        <v>0</v>
      </c>
      <c r="AY132" s="239">
        <v>0</v>
      </c>
      <c r="AZ132" s="239">
        <v>0</v>
      </c>
      <c r="BA132" s="239">
        <v>0</v>
      </c>
      <c r="BB132" s="239">
        <v>0</v>
      </c>
      <c r="BC132" s="239">
        <v>892273</v>
      </c>
      <c r="BD132" s="239">
        <v>223068</v>
      </c>
      <c r="BE132" s="239">
        <v>0</v>
      </c>
      <c r="BF132" s="239">
        <v>863360.93289184559</v>
      </c>
      <c r="BG132" s="239">
        <v>215840.2332229614</v>
      </c>
      <c r="BH132" s="239">
        <v>0</v>
      </c>
      <c r="BI132" s="239">
        <v>98961.689313304712</v>
      </c>
      <c r="BJ132" s="239">
        <v>24740.422328326178</v>
      </c>
      <c r="BK132" s="239">
        <v>0</v>
      </c>
      <c r="BL132" s="239">
        <v>1206170</v>
      </c>
      <c r="BM132" s="239">
        <v>182201</v>
      </c>
      <c r="BN132" s="239">
        <v>0</v>
      </c>
      <c r="BO132" s="239">
        <v>-313897</v>
      </c>
      <c r="BP132" s="239">
        <v>40867</v>
      </c>
      <c r="BQ132" s="239">
        <v>0</v>
      </c>
      <c r="BR132" s="239">
        <v>0</v>
      </c>
      <c r="BS132" s="239">
        <v>0</v>
      </c>
      <c r="BT132" s="239">
        <v>0</v>
      </c>
      <c r="BU132" s="239">
        <v>0</v>
      </c>
      <c r="BV132" s="239">
        <v>0</v>
      </c>
      <c r="BW132" s="239">
        <v>0</v>
      </c>
      <c r="BX132" s="239">
        <v>0</v>
      </c>
      <c r="BY132" s="239">
        <v>0</v>
      </c>
      <c r="BZ132" s="239">
        <v>0</v>
      </c>
      <c r="CA132" s="239">
        <v>0</v>
      </c>
      <c r="CB132" s="239">
        <v>0</v>
      </c>
      <c r="CC132" s="239">
        <v>0</v>
      </c>
      <c r="CD132" s="239">
        <v>0</v>
      </c>
      <c r="CE132" s="239">
        <v>0</v>
      </c>
      <c r="CF132" s="239">
        <v>0</v>
      </c>
      <c r="CG132" s="239">
        <v>0</v>
      </c>
      <c r="CH132" s="239">
        <v>0</v>
      </c>
      <c r="CI132" s="239">
        <v>0</v>
      </c>
      <c r="CJ132" s="239">
        <v>2032</v>
      </c>
      <c r="CK132" s="239">
        <v>508</v>
      </c>
      <c r="CL132" s="239">
        <v>0</v>
      </c>
      <c r="CM132" s="239">
        <v>9502</v>
      </c>
      <c r="CN132" s="239">
        <v>2375</v>
      </c>
      <c r="CO132" s="239">
        <v>0</v>
      </c>
      <c r="CP132" s="239">
        <v>-7470</v>
      </c>
      <c r="CQ132" s="239">
        <v>-1867</v>
      </c>
      <c r="CR132" s="239">
        <v>0</v>
      </c>
      <c r="CS132" s="239">
        <v>420</v>
      </c>
      <c r="CT132" s="239">
        <v>105</v>
      </c>
      <c r="CU132" s="239">
        <v>0</v>
      </c>
      <c r="CV132" s="239">
        <v>0</v>
      </c>
      <c r="CW132" s="239">
        <v>0</v>
      </c>
      <c r="CX132" s="239">
        <v>0</v>
      </c>
      <c r="CY132" s="239">
        <v>0</v>
      </c>
      <c r="CZ132" s="239">
        <v>0</v>
      </c>
      <c r="DA132" s="239">
        <v>0</v>
      </c>
      <c r="DB132" s="239">
        <v>0</v>
      </c>
      <c r="DC132" s="239">
        <v>0</v>
      </c>
      <c r="DD132" s="239">
        <v>0</v>
      </c>
      <c r="DE132" s="239">
        <v>0</v>
      </c>
      <c r="DF132" s="239">
        <v>0</v>
      </c>
      <c r="DG132" s="239">
        <v>0</v>
      </c>
      <c r="DH132" s="239">
        <v>0</v>
      </c>
      <c r="DI132" s="239">
        <v>0</v>
      </c>
      <c r="DJ132" s="239">
        <v>0</v>
      </c>
      <c r="DK132" s="239">
        <v>0</v>
      </c>
      <c r="DL132" s="239">
        <v>0</v>
      </c>
      <c r="DM132" s="239">
        <v>0</v>
      </c>
      <c r="DN132" s="239">
        <v>0</v>
      </c>
      <c r="DO132" s="239">
        <v>0</v>
      </c>
      <c r="DP132" s="239">
        <v>0</v>
      </c>
      <c r="DQ132" s="239">
        <v>0</v>
      </c>
      <c r="DR132" s="239">
        <v>0</v>
      </c>
      <c r="DS132" s="239">
        <v>0</v>
      </c>
      <c r="DT132" s="239">
        <v>0</v>
      </c>
      <c r="DU132" s="239">
        <v>0</v>
      </c>
      <c r="DV132" s="239">
        <v>0</v>
      </c>
      <c r="DW132" s="239">
        <v>0</v>
      </c>
      <c r="DX132" s="239">
        <v>0</v>
      </c>
      <c r="DY132" s="239">
        <v>0</v>
      </c>
      <c r="DZ132" s="239">
        <v>6652</v>
      </c>
      <c r="EA132" s="239">
        <v>1663</v>
      </c>
      <c r="EB132" s="239">
        <v>0</v>
      </c>
      <c r="EC132" s="239">
        <v>8474</v>
      </c>
      <c r="ED132" s="239">
        <v>0</v>
      </c>
      <c r="EE132" s="239">
        <v>0</v>
      </c>
      <c r="EF132" s="239">
        <v>-1822</v>
      </c>
      <c r="EG132" s="239">
        <v>1663</v>
      </c>
      <c r="EH132" s="239">
        <v>0</v>
      </c>
      <c r="EI132" s="239">
        <v>89768</v>
      </c>
      <c r="EJ132" s="239">
        <v>22442</v>
      </c>
      <c r="EK132" s="239">
        <v>0</v>
      </c>
      <c r="EL132" s="239">
        <v>110550</v>
      </c>
      <c r="EM132" s="239">
        <v>0</v>
      </c>
      <c r="EN132" s="239">
        <v>0</v>
      </c>
      <c r="EO132" s="239">
        <v>-20782</v>
      </c>
      <c r="EP132" s="239">
        <v>22442</v>
      </c>
      <c r="EQ132" s="239">
        <v>0</v>
      </c>
      <c r="ER132" s="239">
        <v>9292</v>
      </c>
      <c r="ES132" s="239">
        <v>2323</v>
      </c>
      <c r="ET132" s="239">
        <v>0</v>
      </c>
      <c r="EU132" s="239">
        <v>11436</v>
      </c>
      <c r="EV132" s="239">
        <v>0</v>
      </c>
      <c r="EW132" s="239">
        <v>0</v>
      </c>
      <c r="EX132" s="239">
        <v>-2144</v>
      </c>
      <c r="EY132" s="239">
        <v>2323</v>
      </c>
      <c r="EZ132" s="239">
        <v>0</v>
      </c>
      <c r="FA132" s="239">
        <v>254778</v>
      </c>
      <c r="FB132" s="239">
        <v>63694</v>
      </c>
      <c r="FC132" s="239">
        <v>0</v>
      </c>
      <c r="FD132" s="239">
        <v>262429</v>
      </c>
      <c r="FE132" s="239">
        <v>65607</v>
      </c>
      <c r="FF132" s="239">
        <v>0</v>
      </c>
      <c r="FG132" s="239">
        <v>-7651</v>
      </c>
      <c r="FH132" s="239">
        <v>-1913</v>
      </c>
      <c r="FI132" s="239">
        <v>0</v>
      </c>
      <c r="FJ132" s="239">
        <v>0</v>
      </c>
      <c r="FK132" s="239">
        <v>0</v>
      </c>
      <c r="FL132" s="239">
        <v>0</v>
      </c>
      <c r="FM132" s="239">
        <v>0</v>
      </c>
      <c r="FN132" s="239">
        <v>0</v>
      </c>
      <c r="FO132" s="239">
        <v>0</v>
      </c>
      <c r="FP132" s="239">
        <v>0</v>
      </c>
      <c r="FQ132" s="239">
        <v>0</v>
      </c>
      <c r="FR132" s="239">
        <v>0</v>
      </c>
      <c r="FS132" s="239">
        <v>0</v>
      </c>
      <c r="FT132" s="239">
        <v>0</v>
      </c>
      <c r="FU132" s="239">
        <v>0</v>
      </c>
      <c r="FV132" s="239">
        <v>1255215</v>
      </c>
      <c r="FW132" s="239">
        <v>313803</v>
      </c>
      <c r="FX132" s="239">
        <v>0</v>
      </c>
      <c r="FY132" s="834">
        <v>0.5</v>
      </c>
      <c r="FZ132" s="834">
        <v>0.4</v>
      </c>
      <c r="GA132" s="834">
        <v>0.1</v>
      </c>
      <c r="GB132" s="834">
        <v>0</v>
      </c>
      <c r="GC132" s="214" t="s">
        <v>1158</v>
      </c>
    </row>
    <row r="133" spans="2:185" s="214" customFormat="1" x14ac:dyDescent="0.2">
      <c r="B133" s="602" t="s">
        <v>349</v>
      </c>
      <c r="C133" s="602" t="s">
        <v>348</v>
      </c>
      <c r="D133" s="239">
        <v>1571463</v>
      </c>
      <c r="E133" s="239">
        <v>0</v>
      </c>
      <c r="F133" s="239">
        <v>1571463</v>
      </c>
      <c r="G133" s="239">
        <v>1576323</v>
      </c>
      <c r="H133" s="239">
        <v>0</v>
      </c>
      <c r="I133" s="239">
        <v>1576323</v>
      </c>
      <c r="J133" s="239">
        <v>-4860</v>
      </c>
      <c r="K133" s="239">
        <v>0</v>
      </c>
      <c r="L133" s="239">
        <v>-4860</v>
      </c>
      <c r="M133" s="239">
        <v>135269</v>
      </c>
      <c r="N133" s="239">
        <v>135269</v>
      </c>
      <c r="O133" s="239">
        <v>0</v>
      </c>
      <c r="P133" s="239">
        <v>0</v>
      </c>
      <c r="Q133" s="239">
        <v>0</v>
      </c>
      <c r="R133" s="239">
        <v>0</v>
      </c>
      <c r="S133" s="239">
        <v>0</v>
      </c>
      <c r="T133" s="239">
        <v>0</v>
      </c>
      <c r="U133" s="239">
        <v>0</v>
      </c>
      <c r="V133" s="239">
        <v>0</v>
      </c>
      <c r="W133" s="239">
        <v>0</v>
      </c>
      <c r="X133" s="239">
        <v>0</v>
      </c>
      <c r="Y133" s="239">
        <v>0</v>
      </c>
      <c r="Z133" s="239">
        <v>0</v>
      </c>
      <c r="AA133" s="239">
        <v>0</v>
      </c>
      <c r="AB133" s="239">
        <v>0</v>
      </c>
      <c r="AC133" s="239">
        <v>0</v>
      </c>
      <c r="AD133" s="239">
        <v>0</v>
      </c>
      <c r="AE133" s="239">
        <v>0</v>
      </c>
      <c r="AF133" s="239">
        <v>0</v>
      </c>
      <c r="AG133" s="239">
        <v>0</v>
      </c>
      <c r="AH133" s="239">
        <v>0</v>
      </c>
      <c r="AI133" s="239">
        <v>0</v>
      </c>
      <c r="AJ133" s="239">
        <v>0</v>
      </c>
      <c r="AK133" s="239">
        <v>0</v>
      </c>
      <c r="AL133" s="239">
        <v>0</v>
      </c>
      <c r="AM133" s="239">
        <v>0</v>
      </c>
      <c r="AN133" s="239">
        <v>0</v>
      </c>
      <c r="AO133" s="239">
        <v>0</v>
      </c>
      <c r="AP133" s="239">
        <v>0</v>
      </c>
      <c r="AQ133" s="239">
        <v>0</v>
      </c>
      <c r="AR133" s="239">
        <v>0</v>
      </c>
      <c r="AS133" s="239">
        <v>0</v>
      </c>
      <c r="AT133" s="239">
        <v>0</v>
      </c>
      <c r="AU133" s="239">
        <v>0</v>
      </c>
      <c r="AV133" s="239">
        <v>0</v>
      </c>
      <c r="AW133" s="239">
        <v>0</v>
      </c>
      <c r="AX133" s="239">
        <v>0</v>
      </c>
      <c r="AY133" s="239">
        <v>0</v>
      </c>
      <c r="AZ133" s="239">
        <v>0</v>
      </c>
      <c r="BA133" s="239">
        <v>0</v>
      </c>
      <c r="BB133" s="239">
        <v>0</v>
      </c>
      <c r="BC133" s="239">
        <v>1045683</v>
      </c>
      <c r="BD133" s="239">
        <v>235279</v>
      </c>
      <c r="BE133" s="239">
        <v>26142</v>
      </c>
      <c r="BF133" s="239">
        <v>1026124.8013004293</v>
      </c>
      <c r="BG133" s="239">
        <v>230878.08029259657</v>
      </c>
      <c r="BH133" s="239">
        <v>25653.120032510731</v>
      </c>
      <c r="BI133" s="239">
        <v>61447.247296137335</v>
      </c>
      <c r="BJ133" s="239">
        <v>13825.630641630898</v>
      </c>
      <c r="BK133" s="239">
        <v>1536.1811824034332</v>
      </c>
      <c r="BL133" s="239">
        <v>979399</v>
      </c>
      <c r="BM133" s="239">
        <v>151453</v>
      </c>
      <c r="BN133" s="239">
        <v>16828</v>
      </c>
      <c r="BO133" s="239">
        <v>66284</v>
      </c>
      <c r="BP133" s="239">
        <v>83826</v>
      </c>
      <c r="BQ133" s="239">
        <v>9314</v>
      </c>
      <c r="BR133" s="239">
        <v>0</v>
      </c>
      <c r="BS133" s="239">
        <v>0</v>
      </c>
      <c r="BT133" s="239">
        <v>0</v>
      </c>
      <c r="BU133" s="239">
        <v>0</v>
      </c>
      <c r="BV133" s="239">
        <v>0</v>
      </c>
      <c r="BW133" s="239">
        <v>0</v>
      </c>
      <c r="BX133" s="239">
        <v>0</v>
      </c>
      <c r="BY133" s="239">
        <v>0</v>
      </c>
      <c r="BZ133" s="239">
        <v>0</v>
      </c>
      <c r="CA133" s="239">
        <v>0</v>
      </c>
      <c r="CB133" s="239">
        <v>0</v>
      </c>
      <c r="CC133" s="239">
        <v>0</v>
      </c>
      <c r="CD133" s="239">
        <v>0</v>
      </c>
      <c r="CE133" s="239">
        <v>0</v>
      </c>
      <c r="CF133" s="239">
        <v>0</v>
      </c>
      <c r="CG133" s="239">
        <v>0</v>
      </c>
      <c r="CH133" s="239">
        <v>0</v>
      </c>
      <c r="CI133" s="239">
        <v>0</v>
      </c>
      <c r="CJ133" s="239">
        <v>298</v>
      </c>
      <c r="CK133" s="239">
        <v>67</v>
      </c>
      <c r="CL133" s="239">
        <v>7</v>
      </c>
      <c r="CM133" s="239">
        <v>2368</v>
      </c>
      <c r="CN133" s="239">
        <v>533</v>
      </c>
      <c r="CO133" s="239">
        <v>59</v>
      </c>
      <c r="CP133" s="239">
        <v>-2070</v>
      </c>
      <c r="CQ133" s="239">
        <v>-466</v>
      </c>
      <c r="CR133" s="239">
        <v>-52</v>
      </c>
      <c r="CS133" s="239">
        <v>177</v>
      </c>
      <c r="CT133" s="239">
        <v>40</v>
      </c>
      <c r="CU133" s="239">
        <v>4</v>
      </c>
      <c r="CV133" s="239">
        <v>0</v>
      </c>
      <c r="CW133" s="239">
        <v>0</v>
      </c>
      <c r="CX133" s="239">
        <v>0</v>
      </c>
      <c r="CY133" s="239">
        <v>0</v>
      </c>
      <c r="CZ133" s="239">
        <v>0</v>
      </c>
      <c r="DA133" s="239">
        <v>0</v>
      </c>
      <c r="DB133" s="239">
        <v>0</v>
      </c>
      <c r="DC133" s="239">
        <v>0</v>
      </c>
      <c r="DD133" s="239">
        <v>0</v>
      </c>
      <c r="DE133" s="239">
        <v>-1058</v>
      </c>
      <c r="DF133" s="239">
        <v>-238</v>
      </c>
      <c r="DG133" s="239">
        <v>-26</v>
      </c>
      <c r="DH133" s="239">
        <v>3594</v>
      </c>
      <c r="DI133" s="239">
        <v>809</v>
      </c>
      <c r="DJ133" s="239">
        <v>90</v>
      </c>
      <c r="DK133" s="239">
        <v>6302</v>
      </c>
      <c r="DL133" s="239">
        <v>1418</v>
      </c>
      <c r="DM133" s="239">
        <v>158</v>
      </c>
      <c r="DN133" s="239">
        <v>-2708</v>
      </c>
      <c r="DO133" s="239">
        <v>-609</v>
      </c>
      <c r="DP133" s="239">
        <v>-68</v>
      </c>
      <c r="DQ133" s="239">
        <v>609</v>
      </c>
      <c r="DR133" s="239">
        <v>137</v>
      </c>
      <c r="DS133" s="239">
        <v>15</v>
      </c>
      <c r="DT133" s="239">
        <v>1219</v>
      </c>
      <c r="DU133" s="239">
        <v>274</v>
      </c>
      <c r="DV133" s="239">
        <v>30</v>
      </c>
      <c r="DW133" s="239">
        <v>-610</v>
      </c>
      <c r="DX133" s="239">
        <v>-137</v>
      </c>
      <c r="DY133" s="239">
        <v>-15</v>
      </c>
      <c r="DZ133" s="239">
        <v>20710</v>
      </c>
      <c r="EA133" s="239">
        <v>4660</v>
      </c>
      <c r="EB133" s="239">
        <v>518</v>
      </c>
      <c r="EC133" s="239">
        <v>25572</v>
      </c>
      <c r="ED133" s="239">
        <v>0</v>
      </c>
      <c r="EE133" s="239">
        <v>0</v>
      </c>
      <c r="EF133" s="239">
        <v>-4862</v>
      </c>
      <c r="EG133" s="239">
        <v>4660</v>
      </c>
      <c r="EH133" s="239">
        <v>518</v>
      </c>
      <c r="EI133" s="239">
        <v>129601</v>
      </c>
      <c r="EJ133" s="239">
        <v>29160</v>
      </c>
      <c r="EK133" s="239">
        <v>3240</v>
      </c>
      <c r="EL133" s="239">
        <v>179434</v>
      </c>
      <c r="EM133" s="239">
        <v>0</v>
      </c>
      <c r="EN133" s="239">
        <v>0</v>
      </c>
      <c r="EO133" s="239">
        <v>-49833</v>
      </c>
      <c r="EP133" s="239">
        <v>29160</v>
      </c>
      <c r="EQ133" s="239">
        <v>3240</v>
      </c>
      <c r="ER133" s="239">
        <v>24224</v>
      </c>
      <c r="ES133" s="239">
        <v>5450</v>
      </c>
      <c r="ET133" s="239">
        <v>606</v>
      </c>
      <c r="EU133" s="239">
        <v>28178</v>
      </c>
      <c r="EV133" s="239">
        <v>0</v>
      </c>
      <c r="EW133" s="239">
        <v>0</v>
      </c>
      <c r="EX133" s="239">
        <v>-3954</v>
      </c>
      <c r="EY133" s="239">
        <v>5450</v>
      </c>
      <c r="EZ133" s="239">
        <v>606</v>
      </c>
      <c r="FA133" s="239">
        <v>148125</v>
      </c>
      <c r="FB133" s="239">
        <v>33328</v>
      </c>
      <c r="FC133" s="239">
        <v>3703</v>
      </c>
      <c r="FD133" s="239">
        <v>161629</v>
      </c>
      <c r="FE133" s="239">
        <v>36367</v>
      </c>
      <c r="FF133" s="239">
        <v>4041</v>
      </c>
      <c r="FG133" s="239">
        <v>-13504</v>
      </c>
      <c r="FH133" s="239">
        <v>-3039</v>
      </c>
      <c r="FI133" s="239">
        <v>-338</v>
      </c>
      <c r="FJ133" s="239">
        <v>0</v>
      </c>
      <c r="FK133" s="239">
        <v>0</v>
      </c>
      <c r="FL133" s="239">
        <v>0</v>
      </c>
      <c r="FM133" s="239">
        <v>0</v>
      </c>
      <c r="FN133" s="239">
        <v>0</v>
      </c>
      <c r="FO133" s="239">
        <v>0</v>
      </c>
      <c r="FP133" s="239">
        <v>0</v>
      </c>
      <c r="FQ133" s="239">
        <v>0</v>
      </c>
      <c r="FR133" s="239">
        <v>0</v>
      </c>
      <c r="FS133" s="239">
        <v>0</v>
      </c>
      <c r="FT133" s="239">
        <v>0</v>
      </c>
      <c r="FU133" s="239">
        <v>0</v>
      </c>
      <c r="FV133" s="239">
        <v>1371963</v>
      </c>
      <c r="FW133" s="239">
        <v>308692</v>
      </c>
      <c r="FX133" s="239">
        <v>34299</v>
      </c>
      <c r="FY133" s="834">
        <v>0.5</v>
      </c>
      <c r="FZ133" s="834">
        <v>0.4</v>
      </c>
      <c r="GA133" s="834">
        <v>0.09</v>
      </c>
      <c r="GB133" s="834">
        <v>0.01</v>
      </c>
      <c r="GC133" s="214" t="s">
        <v>1158</v>
      </c>
    </row>
    <row r="134" spans="2:185" s="214" customFormat="1" x14ac:dyDescent="0.2">
      <c r="B134" s="602" t="s">
        <v>351</v>
      </c>
      <c r="C134" s="602" t="s">
        <v>350</v>
      </c>
      <c r="D134" s="239">
        <v>-25050090</v>
      </c>
      <c r="E134" s="239">
        <v>0</v>
      </c>
      <c r="F134" s="239">
        <v>-25050090</v>
      </c>
      <c r="G134" s="239">
        <v>-6724797</v>
      </c>
      <c r="H134" s="239">
        <v>0</v>
      </c>
      <c r="I134" s="239">
        <v>-6724797</v>
      </c>
      <c r="J134" s="239">
        <v>-18325293</v>
      </c>
      <c r="K134" s="239">
        <v>0</v>
      </c>
      <c r="L134" s="239">
        <v>-18325293</v>
      </c>
      <c r="M134" s="239">
        <v>576004</v>
      </c>
      <c r="N134" s="239">
        <v>576004</v>
      </c>
      <c r="O134" s="239">
        <v>0</v>
      </c>
      <c r="P134" s="239">
        <v>0</v>
      </c>
      <c r="Q134" s="239">
        <v>0</v>
      </c>
      <c r="R134" s="239">
        <v>0</v>
      </c>
      <c r="S134" s="239">
        <v>0</v>
      </c>
      <c r="T134" s="239">
        <v>0</v>
      </c>
      <c r="U134" s="239">
        <v>0</v>
      </c>
      <c r="V134" s="239">
        <v>0</v>
      </c>
      <c r="W134" s="239">
        <v>0</v>
      </c>
      <c r="X134" s="239">
        <v>0</v>
      </c>
      <c r="Y134" s="239">
        <v>0</v>
      </c>
      <c r="Z134" s="239">
        <v>0</v>
      </c>
      <c r="AA134" s="239">
        <v>0</v>
      </c>
      <c r="AB134" s="239">
        <v>0</v>
      </c>
      <c r="AC134" s="239">
        <v>0</v>
      </c>
      <c r="AD134" s="239">
        <v>0</v>
      </c>
      <c r="AE134" s="239">
        <v>0</v>
      </c>
      <c r="AF134" s="239">
        <v>0</v>
      </c>
      <c r="AG134" s="239">
        <v>0</v>
      </c>
      <c r="AH134" s="239">
        <v>0</v>
      </c>
      <c r="AI134" s="239">
        <v>0</v>
      </c>
      <c r="AJ134" s="239">
        <v>0</v>
      </c>
      <c r="AK134" s="239">
        <v>0</v>
      </c>
      <c r="AL134" s="239">
        <v>0</v>
      </c>
      <c r="AM134" s="239">
        <v>0</v>
      </c>
      <c r="AN134" s="239">
        <v>0</v>
      </c>
      <c r="AO134" s="239">
        <v>0</v>
      </c>
      <c r="AP134" s="239">
        <v>0</v>
      </c>
      <c r="AQ134" s="239">
        <v>0</v>
      </c>
      <c r="AR134" s="239">
        <v>0</v>
      </c>
      <c r="AS134" s="239">
        <v>0</v>
      </c>
      <c r="AT134" s="239">
        <v>0</v>
      </c>
      <c r="AU134" s="239">
        <v>0</v>
      </c>
      <c r="AV134" s="239">
        <v>0</v>
      </c>
      <c r="AW134" s="239">
        <v>0</v>
      </c>
      <c r="AX134" s="239">
        <v>0</v>
      </c>
      <c r="AY134" s="239">
        <v>0</v>
      </c>
      <c r="AZ134" s="239">
        <v>0</v>
      </c>
      <c r="BA134" s="239">
        <v>0</v>
      </c>
      <c r="BB134" s="239">
        <v>0</v>
      </c>
      <c r="BC134" s="239">
        <v>1367493</v>
      </c>
      <c r="BD134" s="239">
        <v>1686575</v>
      </c>
      <c r="BE134" s="239">
        <v>0</v>
      </c>
      <c r="BF134" s="239">
        <v>1338169.422305794</v>
      </c>
      <c r="BG134" s="239">
        <v>1650408.9541771458</v>
      </c>
      <c r="BH134" s="239">
        <v>0</v>
      </c>
      <c r="BI134" s="239">
        <v>93724.219184549351</v>
      </c>
      <c r="BJ134" s="239">
        <v>115593.2036609442</v>
      </c>
      <c r="BK134" s="239">
        <v>0</v>
      </c>
      <c r="BL134" s="239">
        <v>1777219</v>
      </c>
      <c r="BM134" s="239">
        <v>993610</v>
      </c>
      <c r="BN134" s="239">
        <v>0</v>
      </c>
      <c r="BO134" s="239">
        <v>-409726</v>
      </c>
      <c r="BP134" s="239">
        <v>692965</v>
      </c>
      <c r="BQ134" s="239">
        <v>0</v>
      </c>
      <c r="BR134" s="239">
        <v>0</v>
      </c>
      <c r="BS134" s="239">
        <v>0</v>
      </c>
      <c r="BT134" s="239">
        <v>0</v>
      </c>
      <c r="BU134" s="239">
        <v>0</v>
      </c>
      <c r="BV134" s="239">
        <v>0</v>
      </c>
      <c r="BW134" s="239">
        <v>0</v>
      </c>
      <c r="BX134" s="239">
        <v>0</v>
      </c>
      <c r="BY134" s="239">
        <v>0</v>
      </c>
      <c r="BZ134" s="239">
        <v>0</v>
      </c>
      <c r="CA134" s="239">
        <v>0</v>
      </c>
      <c r="CB134" s="239">
        <v>0</v>
      </c>
      <c r="CC134" s="239">
        <v>0</v>
      </c>
      <c r="CD134" s="239">
        <v>0</v>
      </c>
      <c r="CE134" s="239">
        <v>0</v>
      </c>
      <c r="CF134" s="239">
        <v>0</v>
      </c>
      <c r="CG134" s="239">
        <v>0</v>
      </c>
      <c r="CH134" s="239">
        <v>0</v>
      </c>
      <c r="CI134" s="239">
        <v>0</v>
      </c>
      <c r="CJ134" s="239">
        <v>3035</v>
      </c>
      <c r="CK134" s="239">
        <v>3743</v>
      </c>
      <c r="CL134" s="239">
        <v>0</v>
      </c>
      <c r="CM134" s="239">
        <v>30450</v>
      </c>
      <c r="CN134" s="239">
        <v>37556</v>
      </c>
      <c r="CO134" s="239">
        <v>0</v>
      </c>
      <c r="CP134" s="239">
        <v>-27415</v>
      </c>
      <c r="CQ134" s="239">
        <v>-33813</v>
      </c>
      <c r="CR134" s="239">
        <v>0</v>
      </c>
      <c r="CS134" s="239">
        <v>-356</v>
      </c>
      <c r="CT134" s="239">
        <v>-439</v>
      </c>
      <c r="CU134" s="239">
        <v>0</v>
      </c>
      <c r="CV134" s="239">
        <v>0</v>
      </c>
      <c r="CW134" s="239">
        <v>0</v>
      </c>
      <c r="CX134" s="239">
        <v>0</v>
      </c>
      <c r="CY134" s="239">
        <v>0</v>
      </c>
      <c r="CZ134" s="239">
        <v>0</v>
      </c>
      <c r="DA134" s="239">
        <v>0</v>
      </c>
      <c r="DB134" s="239">
        <v>0</v>
      </c>
      <c r="DC134" s="239">
        <v>0</v>
      </c>
      <c r="DD134" s="239">
        <v>0</v>
      </c>
      <c r="DE134" s="239">
        <v>0</v>
      </c>
      <c r="DF134" s="239">
        <v>0</v>
      </c>
      <c r="DG134" s="239">
        <v>0</v>
      </c>
      <c r="DH134" s="239">
        <v>0</v>
      </c>
      <c r="DI134" s="239">
        <v>0</v>
      </c>
      <c r="DJ134" s="239">
        <v>0</v>
      </c>
      <c r="DK134" s="239">
        <v>0</v>
      </c>
      <c r="DL134" s="239">
        <v>0</v>
      </c>
      <c r="DM134" s="239">
        <v>0</v>
      </c>
      <c r="DN134" s="239">
        <v>0</v>
      </c>
      <c r="DO134" s="239">
        <v>0</v>
      </c>
      <c r="DP134" s="239">
        <v>0</v>
      </c>
      <c r="DQ134" s="239">
        <v>0</v>
      </c>
      <c r="DR134" s="239">
        <v>0</v>
      </c>
      <c r="DS134" s="239">
        <v>0</v>
      </c>
      <c r="DT134" s="239">
        <v>0</v>
      </c>
      <c r="DU134" s="239">
        <v>0</v>
      </c>
      <c r="DV134" s="239">
        <v>0</v>
      </c>
      <c r="DW134" s="239">
        <v>0</v>
      </c>
      <c r="DX134" s="239">
        <v>0</v>
      </c>
      <c r="DY134" s="239">
        <v>0</v>
      </c>
      <c r="DZ134" s="239">
        <v>11755</v>
      </c>
      <c r="EA134" s="239">
        <v>14498</v>
      </c>
      <c r="EB134" s="239">
        <v>0</v>
      </c>
      <c r="EC134" s="239">
        <v>25246</v>
      </c>
      <c r="ED134" s="239">
        <v>0</v>
      </c>
      <c r="EE134" s="239">
        <v>0</v>
      </c>
      <c r="EF134" s="239">
        <v>-13491</v>
      </c>
      <c r="EG134" s="239">
        <v>14498</v>
      </c>
      <c r="EH134" s="239">
        <v>0</v>
      </c>
      <c r="EI134" s="239">
        <v>258251</v>
      </c>
      <c r="EJ134" s="239">
        <v>318510</v>
      </c>
      <c r="EK134" s="239">
        <v>0</v>
      </c>
      <c r="EL134" s="239">
        <v>568919</v>
      </c>
      <c r="EM134" s="239">
        <v>0</v>
      </c>
      <c r="EN134" s="239">
        <v>0</v>
      </c>
      <c r="EO134" s="239">
        <v>-310668</v>
      </c>
      <c r="EP134" s="239">
        <v>318510</v>
      </c>
      <c r="EQ134" s="239">
        <v>0</v>
      </c>
      <c r="ER134" s="239">
        <v>12675</v>
      </c>
      <c r="ES134" s="239">
        <v>15632</v>
      </c>
      <c r="ET134" s="239">
        <v>0</v>
      </c>
      <c r="EU134" s="239">
        <v>28251</v>
      </c>
      <c r="EV134" s="239">
        <v>0</v>
      </c>
      <c r="EW134" s="239">
        <v>0</v>
      </c>
      <c r="EX134" s="239">
        <v>-15576</v>
      </c>
      <c r="EY134" s="239">
        <v>15632</v>
      </c>
      <c r="EZ134" s="239">
        <v>0</v>
      </c>
      <c r="FA134" s="239">
        <v>1575879</v>
      </c>
      <c r="FB134" s="239">
        <v>1943584</v>
      </c>
      <c r="FC134" s="239">
        <v>0</v>
      </c>
      <c r="FD134" s="239">
        <v>1585067</v>
      </c>
      <c r="FE134" s="239">
        <v>1954916</v>
      </c>
      <c r="FF134" s="239">
        <v>0</v>
      </c>
      <c r="FG134" s="239">
        <v>-9188</v>
      </c>
      <c r="FH134" s="239">
        <v>-11332</v>
      </c>
      <c r="FI134" s="239">
        <v>0</v>
      </c>
      <c r="FJ134" s="239">
        <v>0</v>
      </c>
      <c r="FK134" s="239">
        <v>0</v>
      </c>
      <c r="FL134" s="239">
        <v>0</v>
      </c>
      <c r="FM134" s="239">
        <v>0</v>
      </c>
      <c r="FN134" s="239">
        <v>0</v>
      </c>
      <c r="FO134" s="239">
        <v>0</v>
      </c>
      <c r="FP134" s="239">
        <v>0</v>
      </c>
      <c r="FQ134" s="239">
        <v>0</v>
      </c>
      <c r="FR134" s="239">
        <v>0</v>
      </c>
      <c r="FS134" s="239">
        <v>0</v>
      </c>
      <c r="FT134" s="239">
        <v>0</v>
      </c>
      <c r="FU134" s="239">
        <v>0</v>
      </c>
      <c r="FV134" s="239">
        <v>3228732</v>
      </c>
      <c r="FW134" s="239">
        <v>3982103</v>
      </c>
      <c r="FX134" s="239">
        <v>0</v>
      </c>
      <c r="FY134" s="834">
        <v>0.33000000000000007</v>
      </c>
      <c r="FZ134" s="834">
        <v>0.3</v>
      </c>
      <c r="GA134" s="834">
        <v>0.37</v>
      </c>
      <c r="GB134" s="834">
        <v>0</v>
      </c>
      <c r="GC134" s="214" t="s">
        <v>1159</v>
      </c>
    </row>
    <row r="135" spans="2:185" s="214" customFormat="1" x14ac:dyDescent="0.2">
      <c r="B135" s="602" t="s">
        <v>353</v>
      </c>
      <c r="C135" s="602" t="s">
        <v>352</v>
      </c>
      <c r="D135" s="239">
        <v>882370</v>
      </c>
      <c r="E135" s="239">
        <v>-56227</v>
      </c>
      <c r="F135" s="239">
        <v>826143</v>
      </c>
      <c r="G135" s="239">
        <v>836527</v>
      </c>
      <c r="H135" s="239">
        <v>-60074</v>
      </c>
      <c r="I135" s="239">
        <v>776453</v>
      </c>
      <c r="J135" s="239">
        <v>45843</v>
      </c>
      <c r="K135" s="239">
        <v>3847</v>
      </c>
      <c r="L135" s="239">
        <v>49690</v>
      </c>
      <c r="M135" s="239">
        <v>127087</v>
      </c>
      <c r="N135" s="239">
        <v>127087</v>
      </c>
      <c r="O135" s="239">
        <v>0</v>
      </c>
      <c r="P135" s="239">
        <v>261268</v>
      </c>
      <c r="Q135" s="239">
        <v>76165</v>
      </c>
      <c r="R135" s="239">
        <v>185103</v>
      </c>
      <c r="S135" s="239">
        <v>131168</v>
      </c>
      <c r="T135" s="239">
        <v>0</v>
      </c>
      <c r="U135" s="239">
        <v>94708</v>
      </c>
      <c r="V135" s="239">
        <v>0</v>
      </c>
      <c r="W135" s="239">
        <v>36460</v>
      </c>
      <c r="X135" s="239">
        <v>0</v>
      </c>
      <c r="Y135" s="239">
        <v>256992</v>
      </c>
      <c r="Z135" s="239">
        <v>256992</v>
      </c>
      <c r="AA135" s="239">
        <v>0</v>
      </c>
      <c r="AB135" s="239">
        <v>0</v>
      </c>
      <c r="AC135" s="239">
        <v>251424</v>
      </c>
      <c r="AD135" s="239">
        <v>251424</v>
      </c>
      <c r="AE135" s="239">
        <v>0</v>
      </c>
      <c r="AF135" s="239">
        <v>0</v>
      </c>
      <c r="AG135" s="239">
        <v>5568</v>
      </c>
      <c r="AH135" s="239">
        <v>5568</v>
      </c>
      <c r="AI135" s="239">
        <v>0</v>
      </c>
      <c r="AJ135" s="239">
        <v>0</v>
      </c>
      <c r="AK135" s="239">
        <v>0</v>
      </c>
      <c r="AL135" s="239">
        <v>0</v>
      </c>
      <c r="AM135" s="239">
        <v>0</v>
      </c>
      <c r="AN135" s="239">
        <v>0</v>
      </c>
      <c r="AO135" s="239">
        <v>0</v>
      </c>
      <c r="AP135" s="239">
        <v>0</v>
      </c>
      <c r="AQ135" s="239">
        <v>0</v>
      </c>
      <c r="AR135" s="239">
        <v>0</v>
      </c>
      <c r="AS135" s="239">
        <v>0</v>
      </c>
      <c r="AT135" s="239">
        <v>0</v>
      </c>
      <c r="AU135" s="239">
        <v>0</v>
      </c>
      <c r="AV135" s="239">
        <v>0</v>
      </c>
      <c r="AW135" s="239">
        <v>0</v>
      </c>
      <c r="AX135" s="239">
        <v>0</v>
      </c>
      <c r="AY135" s="239">
        <v>0</v>
      </c>
      <c r="AZ135" s="239">
        <v>0</v>
      </c>
      <c r="BA135" s="239">
        <v>0</v>
      </c>
      <c r="BB135" s="239">
        <v>0</v>
      </c>
      <c r="BC135" s="239">
        <v>977906</v>
      </c>
      <c r="BD135" s="239">
        <v>220029</v>
      </c>
      <c r="BE135" s="239">
        <v>24448</v>
      </c>
      <c r="BF135" s="239">
        <v>957326.82462575112</v>
      </c>
      <c r="BG135" s="239">
        <v>215398.53554079399</v>
      </c>
      <c r="BH135" s="239">
        <v>23933.170615643776</v>
      </c>
      <c r="BI135" s="239">
        <v>65104.054957081542</v>
      </c>
      <c r="BJ135" s="239">
        <v>14265.419393240341</v>
      </c>
      <c r="BK135" s="239">
        <v>1585.0465992489269</v>
      </c>
      <c r="BL135" s="239">
        <v>918692</v>
      </c>
      <c r="BM135" s="239">
        <v>139196</v>
      </c>
      <c r="BN135" s="239">
        <v>15466</v>
      </c>
      <c r="BO135" s="239">
        <v>59214</v>
      </c>
      <c r="BP135" s="239">
        <v>80833</v>
      </c>
      <c r="BQ135" s="239">
        <v>8982</v>
      </c>
      <c r="BR135" s="239">
        <v>1410</v>
      </c>
      <c r="BS135" s="239">
        <v>317</v>
      </c>
      <c r="BT135" s="239">
        <v>35</v>
      </c>
      <c r="BU135" s="239">
        <v>988</v>
      </c>
      <c r="BV135" s="239">
        <v>223</v>
      </c>
      <c r="BW135" s="239">
        <v>25</v>
      </c>
      <c r="BX135" s="239">
        <v>422</v>
      </c>
      <c r="BY135" s="239">
        <v>94</v>
      </c>
      <c r="BZ135" s="239">
        <v>10</v>
      </c>
      <c r="CA135" s="239">
        <v>18095</v>
      </c>
      <c r="CB135" s="239">
        <v>4071</v>
      </c>
      <c r="CC135" s="239">
        <v>452</v>
      </c>
      <c r="CD135" s="239">
        <v>47113</v>
      </c>
      <c r="CE135" s="239">
        <v>10600</v>
      </c>
      <c r="CF135" s="239">
        <v>1178</v>
      </c>
      <c r="CG135" s="239">
        <v>-29018</v>
      </c>
      <c r="CH135" s="239">
        <v>-6529</v>
      </c>
      <c r="CI135" s="239">
        <v>-726</v>
      </c>
      <c r="CJ135" s="239">
        <v>0</v>
      </c>
      <c r="CK135" s="239">
        <v>0</v>
      </c>
      <c r="CL135" s="239">
        <v>0</v>
      </c>
      <c r="CM135" s="239">
        <v>0</v>
      </c>
      <c r="CN135" s="239">
        <v>0</v>
      </c>
      <c r="CO135" s="239">
        <v>0</v>
      </c>
      <c r="CP135" s="239">
        <v>0</v>
      </c>
      <c r="CQ135" s="239">
        <v>0</v>
      </c>
      <c r="CR135" s="239">
        <v>0</v>
      </c>
      <c r="CS135" s="239">
        <v>-1160</v>
      </c>
      <c r="CT135" s="239">
        <v>-261</v>
      </c>
      <c r="CU135" s="239">
        <v>-29</v>
      </c>
      <c r="CV135" s="239">
        <v>0</v>
      </c>
      <c r="CW135" s="239">
        <v>0</v>
      </c>
      <c r="CX135" s="239">
        <v>0</v>
      </c>
      <c r="CY135" s="239">
        <v>0</v>
      </c>
      <c r="CZ135" s="239">
        <v>0</v>
      </c>
      <c r="DA135" s="239">
        <v>0</v>
      </c>
      <c r="DB135" s="239">
        <v>0</v>
      </c>
      <c r="DC135" s="239">
        <v>0</v>
      </c>
      <c r="DD135" s="239">
        <v>0</v>
      </c>
      <c r="DE135" s="239">
        <v>-643</v>
      </c>
      <c r="DF135" s="239">
        <v>-145</v>
      </c>
      <c r="DG135" s="239">
        <v>-16</v>
      </c>
      <c r="DH135" s="239">
        <v>2944</v>
      </c>
      <c r="DI135" s="239">
        <v>662</v>
      </c>
      <c r="DJ135" s="239">
        <v>74</v>
      </c>
      <c r="DK135" s="239">
        <v>2810</v>
      </c>
      <c r="DL135" s="239">
        <v>632</v>
      </c>
      <c r="DM135" s="239">
        <v>70</v>
      </c>
      <c r="DN135" s="239">
        <v>134</v>
      </c>
      <c r="DO135" s="239">
        <v>30</v>
      </c>
      <c r="DP135" s="239">
        <v>4</v>
      </c>
      <c r="DQ135" s="239">
        <v>609</v>
      </c>
      <c r="DR135" s="239">
        <v>137</v>
      </c>
      <c r="DS135" s="239">
        <v>15</v>
      </c>
      <c r="DT135" s="239">
        <v>609</v>
      </c>
      <c r="DU135" s="239">
        <v>137</v>
      </c>
      <c r="DV135" s="239">
        <v>15</v>
      </c>
      <c r="DW135" s="239">
        <v>0</v>
      </c>
      <c r="DX135" s="239">
        <v>0</v>
      </c>
      <c r="DY135" s="239">
        <v>0</v>
      </c>
      <c r="DZ135" s="239">
        <v>17405</v>
      </c>
      <c r="EA135" s="239">
        <v>3916</v>
      </c>
      <c r="EB135" s="239">
        <v>435</v>
      </c>
      <c r="EC135" s="239">
        <v>21979</v>
      </c>
      <c r="ED135" s="239">
        <v>0</v>
      </c>
      <c r="EE135" s="239">
        <v>0</v>
      </c>
      <c r="EF135" s="239">
        <v>-4574</v>
      </c>
      <c r="EG135" s="239">
        <v>3916</v>
      </c>
      <c r="EH135" s="239">
        <v>435</v>
      </c>
      <c r="EI135" s="239">
        <v>96684</v>
      </c>
      <c r="EJ135" s="239">
        <v>21754</v>
      </c>
      <c r="EK135" s="239">
        <v>2417</v>
      </c>
      <c r="EL135" s="239">
        <v>139502</v>
      </c>
      <c r="EM135" s="239">
        <v>0</v>
      </c>
      <c r="EN135" s="239">
        <v>0</v>
      </c>
      <c r="EO135" s="239">
        <v>-42818</v>
      </c>
      <c r="EP135" s="239">
        <v>21754</v>
      </c>
      <c r="EQ135" s="239">
        <v>2417</v>
      </c>
      <c r="ER135" s="239">
        <v>21061</v>
      </c>
      <c r="ES135" s="239">
        <v>4739</v>
      </c>
      <c r="ET135" s="239">
        <v>527</v>
      </c>
      <c r="EU135" s="239">
        <v>25376</v>
      </c>
      <c r="EV135" s="239">
        <v>0</v>
      </c>
      <c r="EW135" s="239">
        <v>0</v>
      </c>
      <c r="EX135" s="239">
        <v>-4315</v>
      </c>
      <c r="EY135" s="239">
        <v>4739</v>
      </c>
      <c r="EZ135" s="239">
        <v>527</v>
      </c>
      <c r="FA135" s="239">
        <v>194053</v>
      </c>
      <c r="FB135" s="239">
        <v>42336</v>
      </c>
      <c r="FC135" s="239">
        <v>4704</v>
      </c>
      <c r="FD135" s="239">
        <v>195942</v>
      </c>
      <c r="FE135" s="239">
        <v>42660</v>
      </c>
      <c r="FF135" s="239">
        <v>4740</v>
      </c>
      <c r="FG135" s="239">
        <v>-1889</v>
      </c>
      <c r="FH135" s="239">
        <v>-324</v>
      </c>
      <c r="FI135" s="239">
        <v>-36</v>
      </c>
      <c r="FJ135" s="239">
        <v>0</v>
      </c>
      <c r="FK135" s="239">
        <v>0</v>
      </c>
      <c r="FL135" s="239">
        <v>0</v>
      </c>
      <c r="FM135" s="239">
        <v>0</v>
      </c>
      <c r="FN135" s="239">
        <v>0</v>
      </c>
      <c r="FO135" s="239">
        <v>0</v>
      </c>
      <c r="FP135" s="239">
        <v>0</v>
      </c>
      <c r="FQ135" s="239">
        <v>0</v>
      </c>
      <c r="FR135" s="239">
        <v>0</v>
      </c>
      <c r="FS135" s="239">
        <v>0</v>
      </c>
      <c r="FT135" s="239">
        <v>0</v>
      </c>
      <c r="FU135" s="239">
        <v>0</v>
      </c>
      <c r="FV135" s="239">
        <v>1328364</v>
      </c>
      <c r="FW135" s="239">
        <v>297555</v>
      </c>
      <c r="FX135" s="239">
        <v>33062</v>
      </c>
      <c r="FY135" s="834">
        <v>0.5</v>
      </c>
      <c r="FZ135" s="834">
        <v>0.4</v>
      </c>
      <c r="GA135" s="834">
        <v>0.09</v>
      </c>
      <c r="GB135" s="834">
        <v>0.01</v>
      </c>
      <c r="GC135" s="214" t="s">
        <v>1158</v>
      </c>
    </row>
    <row r="136" spans="2:185" s="214" customFormat="1" x14ac:dyDescent="0.2">
      <c r="B136" s="602" t="s">
        <v>355</v>
      </c>
      <c r="C136" s="602" t="s">
        <v>354</v>
      </c>
      <c r="D136" s="239">
        <v>668166</v>
      </c>
      <c r="E136" s="239">
        <v>0</v>
      </c>
      <c r="F136" s="239">
        <v>668166</v>
      </c>
      <c r="G136" s="239">
        <v>861307</v>
      </c>
      <c r="H136" s="239">
        <v>0</v>
      </c>
      <c r="I136" s="239">
        <v>861307</v>
      </c>
      <c r="J136" s="239">
        <v>-193141</v>
      </c>
      <c r="K136" s="239">
        <v>0</v>
      </c>
      <c r="L136" s="239">
        <v>-193141</v>
      </c>
      <c r="M136" s="239">
        <v>179932</v>
      </c>
      <c r="N136" s="239">
        <v>179932</v>
      </c>
      <c r="O136" s="239">
        <v>0</v>
      </c>
      <c r="P136" s="239">
        <v>0</v>
      </c>
      <c r="Q136" s="239">
        <v>0</v>
      </c>
      <c r="R136" s="239">
        <v>0</v>
      </c>
      <c r="S136" s="239">
        <v>0</v>
      </c>
      <c r="T136" s="239">
        <v>0</v>
      </c>
      <c r="U136" s="239">
        <v>0</v>
      </c>
      <c r="V136" s="239">
        <v>0</v>
      </c>
      <c r="W136" s="239">
        <v>0</v>
      </c>
      <c r="X136" s="239">
        <v>0</v>
      </c>
      <c r="Y136" s="239">
        <v>0</v>
      </c>
      <c r="Z136" s="239">
        <v>0</v>
      </c>
      <c r="AA136" s="239">
        <v>0</v>
      </c>
      <c r="AB136" s="239">
        <v>0</v>
      </c>
      <c r="AC136" s="239">
        <v>0</v>
      </c>
      <c r="AD136" s="239">
        <v>0</v>
      </c>
      <c r="AE136" s="239">
        <v>0</v>
      </c>
      <c r="AF136" s="239">
        <v>0</v>
      </c>
      <c r="AG136" s="239">
        <v>0</v>
      </c>
      <c r="AH136" s="239">
        <v>0</v>
      </c>
      <c r="AI136" s="239">
        <v>0</v>
      </c>
      <c r="AJ136" s="239">
        <v>0</v>
      </c>
      <c r="AK136" s="239">
        <v>0</v>
      </c>
      <c r="AL136" s="239">
        <v>0</v>
      </c>
      <c r="AM136" s="239">
        <v>0</v>
      </c>
      <c r="AN136" s="239">
        <v>0</v>
      </c>
      <c r="AO136" s="239">
        <v>0</v>
      </c>
      <c r="AP136" s="239">
        <v>0</v>
      </c>
      <c r="AQ136" s="239">
        <v>0</v>
      </c>
      <c r="AR136" s="239">
        <v>0</v>
      </c>
      <c r="AS136" s="239">
        <v>0</v>
      </c>
      <c r="AT136" s="239">
        <v>0</v>
      </c>
      <c r="AU136" s="239">
        <v>0</v>
      </c>
      <c r="AV136" s="239">
        <v>0</v>
      </c>
      <c r="AW136" s="239">
        <v>0</v>
      </c>
      <c r="AX136" s="239">
        <v>0</v>
      </c>
      <c r="AY136" s="239">
        <v>0</v>
      </c>
      <c r="AZ136" s="239">
        <v>0</v>
      </c>
      <c r="BA136" s="239">
        <v>0</v>
      </c>
      <c r="BB136" s="239">
        <v>0</v>
      </c>
      <c r="BC136" s="239">
        <v>1389585</v>
      </c>
      <c r="BD136" s="239">
        <v>347396</v>
      </c>
      <c r="BE136" s="239">
        <v>0</v>
      </c>
      <c r="BF136" s="239">
        <v>1353101.513325322</v>
      </c>
      <c r="BG136" s="239">
        <v>338275.37833133049</v>
      </c>
      <c r="BH136" s="239">
        <v>0</v>
      </c>
      <c r="BI136" s="239">
        <v>119642.25418454937</v>
      </c>
      <c r="BJ136" s="239">
        <v>29910.563546137342</v>
      </c>
      <c r="BK136" s="239">
        <v>0</v>
      </c>
      <c r="BL136" s="239">
        <v>1229620</v>
      </c>
      <c r="BM136" s="239">
        <v>197371</v>
      </c>
      <c r="BN136" s="239">
        <v>0</v>
      </c>
      <c r="BO136" s="239">
        <v>159965</v>
      </c>
      <c r="BP136" s="239">
        <v>150025</v>
      </c>
      <c r="BQ136" s="239">
        <v>0</v>
      </c>
      <c r="BR136" s="239">
        <v>-2252</v>
      </c>
      <c r="BS136" s="239">
        <v>-563</v>
      </c>
      <c r="BT136" s="239">
        <v>0</v>
      </c>
      <c r="BU136" s="239">
        <v>1284</v>
      </c>
      <c r="BV136" s="239">
        <v>321</v>
      </c>
      <c r="BW136" s="239">
        <v>0</v>
      </c>
      <c r="BX136" s="239">
        <v>-3536</v>
      </c>
      <c r="BY136" s="239">
        <v>-884</v>
      </c>
      <c r="BZ136" s="239">
        <v>0</v>
      </c>
      <c r="CA136" s="239">
        <v>12492</v>
      </c>
      <c r="CB136" s="239">
        <v>3123</v>
      </c>
      <c r="CC136" s="239">
        <v>0</v>
      </c>
      <c r="CD136" s="239">
        <v>57062</v>
      </c>
      <c r="CE136" s="239">
        <v>14266</v>
      </c>
      <c r="CF136" s="239">
        <v>0</v>
      </c>
      <c r="CG136" s="239">
        <v>-44570</v>
      </c>
      <c r="CH136" s="239">
        <v>-11143</v>
      </c>
      <c r="CI136" s="239">
        <v>0</v>
      </c>
      <c r="CJ136" s="239">
        <v>1409</v>
      </c>
      <c r="CK136" s="239">
        <v>352</v>
      </c>
      <c r="CL136" s="239">
        <v>0</v>
      </c>
      <c r="CM136" s="239">
        <v>2842</v>
      </c>
      <c r="CN136" s="239">
        <v>710</v>
      </c>
      <c r="CO136" s="239">
        <v>0</v>
      </c>
      <c r="CP136" s="239">
        <v>-1433</v>
      </c>
      <c r="CQ136" s="239">
        <v>-358</v>
      </c>
      <c r="CR136" s="239">
        <v>0</v>
      </c>
      <c r="CS136" s="239">
        <v>-1653</v>
      </c>
      <c r="CT136" s="239">
        <v>-413</v>
      </c>
      <c r="CU136" s="239">
        <v>0</v>
      </c>
      <c r="CV136" s="239">
        <v>0</v>
      </c>
      <c r="CW136" s="239">
        <v>0</v>
      </c>
      <c r="CX136" s="239">
        <v>0</v>
      </c>
      <c r="CY136" s="239">
        <v>0</v>
      </c>
      <c r="CZ136" s="239">
        <v>0</v>
      </c>
      <c r="DA136" s="239">
        <v>0</v>
      </c>
      <c r="DB136" s="239">
        <v>0</v>
      </c>
      <c r="DC136" s="239">
        <v>0</v>
      </c>
      <c r="DD136" s="239">
        <v>0</v>
      </c>
      <c r="DE136" s="239">
        <v>0</v>
      </c>
      <c r="DF136" s="239">
        <v>0</v>
      </c>
      <c r="DG136" s="239">
        <v>0</v>
      </c>
      <c r="DH136" s="239">
        <v>3538</v>
      </c>
      <c r="DI136" s="239">
        <v>885</v>
      </c>
      <c r="DJ136" s="239">
        <v>0</v>
      </c>
      <c r="DK136" s="239">
        <v>3986</v>
      </c>
      <c r="DL136" s="239">
        <v>996</v>
      </c>
      <c r="DM136" s="239">
        <v>0</v>
      </c>
      <c r="DN136" s="239">
        <v>-448</v>
      </c>
      <c r="DO136" s="239">
        <v>-111</v>
      </c>
      <c r="DP136" s="239">
        <v>0</v>
      </c>
      <c r="DQ136" s="239">
        <v>0</v>
      </c>
      <c r="DR136" s="239">
        <v>0</v>
      </c>
      <c r="DS136" s="239">
        <v>0</v>
      </c>
      <c r="DT136" s="239">
        <v>1218</v>
      </c>
      <c r="DU136" s="239">
        <v>305</v>
      </c>
      <c r="DV136" s="239">
        <v>0</v>
      </c>
      <c r="DW136" s="239">
        <v>-1218</v>
      </c>
      <c r="DX136" s="239">
        <v>-305</v>
      </c>
      <c r="DY136" s="239">
        <v>0</v>
      </c>
      <c r="DZ136" s="239">
        <v>19567</v>
      </c>
      <c r="EA136" s="239">
        <v>4892</v>
      </c>
      <c r="EB136" s="239">
        <v>0</v>
      </c>
      <c r="EC136" s="239">
        <v>34738</v>
      </c>
      <c r="ED136" s="239">
        <v>0</v>
      </c>
      <c r="EE136" s="239">
        <v>0</v>
      </c>
      <c r="EF136" s="239">
        <v>-15171</v>
      </c>
      <c r="EG136" s="239">
        <v>4892</v>
      </c>
      <c r="EH136" s="239">
        <v>0</v>
      </c>
      <c r="EI136" s="239">
        <v>160752</v>
      </c>
      <c r="EJ136" s="239">
        <v>40188</v>
      </c>
      <c r="EK136" s="239">
        <v>0</v>
      </c>
      <c r="EL136" s="239">
        <v>230231</v>
      </c>
      <c r="EM136" s="239">
        <v>0</v>
      </c>
      <c r="EN136" s="239">
        <v>0</v>
      </c>
      <c r="EO136" s="239">
        <v>-69479</v>
      </c>
      <c r="EP136" s="239">
        <v>40188</v>
      </c>
      <c r="EQ136" s="239">
        <v>0</v>
      </c>
      <c r="ER136" s="239">
        <v>21567</v>
      </c>
      <c r="ES136" s="239">
        <v>5392</v>
      </c>
      <c r="ET136" s="239">
        <v>0</v>
      </c>
      <c r="EU136" s="239">
        <v>42860</v>
      </c>
      <c r="EV136" s="239">
        <v>0</v>
      </c>
      <c r="EW136" s="239">
        <v>0</v>
      </c>
      <c r="EX136" s="239">
        <v>-21293</v>
      </c>
      <c r="EY136" s="239">
        <v>5392</v>
      </c>
      <c r="EZ136" s="239">
        <v>0</v>
      </c>
      <c r="FA136" s="239">
        <v>244021</v>
      </c>
      <c r="FB136" s="239">
        <v>61005</v>
      </c>
      <c r="FC136" s="239">
        <v>0</v>
      </c>
      <c r="FD136" s="239">
        <v>252617</v>
      </c>
      <c r="FE136" s="239">
        <v>63154</v>
      </c>
      <c r="FF136" s="239">
        <v>0</v>
      </c>
      <c r="FG136" s="239">
        <v>-8596</v>
      </c>
      <c r="FH136" s="239">
        <v>-2149</v>
      </c>
      <c r="FI136" s="239">
        <v>0</v>
      </c>
      <c r="FJ136" s="239">
        <v>0</v>
      </c>
      <c r="FK136" s="239">
        <v>0</v>
      </c>
      <c r="FL136" s="239">
        <v>0</v>
      </c>
      <c r="FM136" s="239">
        <v>0</v>
      </c>
      <c r="FN136" s="239">
        <v>0</v>
      </c>
      <c r="FO136" s="239">
        <v>0</v>
      </c>
      <c r="FP136" s="239">
        <v>0</v>
      </c>
      <c r="FQ136" s="239">
        <v>0</v>
      </c>
      <c r="FR136" s="239">
        <v>0</v>
      </c>
      <c r="FS136" s="239">
        <v>0</v>
      </c>
      <c r="FT136" s="239">
        <v>0</v>
      </c>
      <c r="FU136" s="239">
        <v>0</v>
      </c>
      <c r="FV136" s="239">
        <v>1849026</v>
      </c>
      <c r="FW136" s="239">
        <v>462257</v>
      </c>
      <c r="FX136" s="239">
        <v>0</v>
      </c>
      <c r="FY136" s="834">
        <v>0.5</v>
      </c>
      <c r="FZ136" s="834">
        <v>0.4</v>
      </c>
      <c r="GA136" s="834">
        <v>0.1</v>
      </c>
      <c r="GB136" s="834">
        <v>0</v>
      </c>
      <c r="GC136" s="214" t="s">
        <v>1158</v>
      </c>
    </row>
    <row r="137" spans="2:185" s="214" customFormat="1" x14ac:dyDescent="0.2">
      <c r="B137" s="602" t="s">
        <v>357</v>
      </c>
      <c r="C137" s="602" t="s">
        <v>356</v>
      </c>
      <c r="D137" s="239">
        <v>14650031</v>
      </c>
      <c r="E137" s="239">
        <v>0</v>
      </c>
      <c r="F137" s="239">
        <v>14650031</v>
      </c>
      <c r="G137" s="239">
        <v>14505064</v>
      </c>
      <c r="H137" s="239">
        <v>0</v>
      </c>
      <c r="I137" s="239">
        <v>14505064</v>
      </c>
      <c r="J137" s="239">
        <v>144967</v>
      </c>
      <c r="K137" s="239">
        <v>0</v>
      </c>
      <c r="L137" s="239">
        <v>144967</v>
      </c>
      <c r="M137" s="239">
        <v>415076</v>
      </c>
      <c r="N137" s="239">
        <v>415076</v>
      </c>
      <c r="O137" s="239">
        <v>0</v>
      </c>
      <c r="P137" s="239">
        <v>0</v>
      </c>
      <c r="Q137" s="239">
        <v>0</v>
      </c>
      <c r="R137" s="239">
        <v>0</v>
      </c>
      <c r="S137" s="239">
        <v>0</v>
      </c>
      <c r="T137" s="239">
        <v>0</v>
      </c>
      <c r="U137" s="239">
        <v>0</v>
      </c>
      <c r="V137" s="239">
        <v>0</v>
      </c>
      <c r="W137" s="239">
        <v>0</v>
      </c>
      <c r="X137" s="239">
        <v>0</v>
      </c>
      <c r="Y137" s="239">
        <v>0</v>
      </c>
      <c r="Z137" s="239">
        <v>0</v>
      </c>
      <c r="AA137" s="239">
        <v>0</v>
      </c>
      <c r="AB137" s="239">
        <v>0</v>
      </c>
      <c r="AC137" s="239">
        <v>0</v>
      </c>
      <c r="AD137" s="239">
        <v>0</v>
      </c>
      <c r="AE137" s="239">
        <v>0</v>
      </c>
      <c r="AF137" s="239">
        <v>0</v>
      </c>
      <c r="AG137" s="239">
        <v>0</v>
      </c>
      <c r="AH137" s="239">
        <v>0</v>
      </c>
      <c r="AI137" s="239">
        <v>0</v>
      </c>
      <c r="AJ137" s="239">
        <v>0</v>
      </c>
      <c r="AK137" s="239">
        <v>0</v>
      </c>
      <c r="AL137" s="239">
        <v>0</v>
      </c>
      <c r="AM137" s="239">
        <v>0</v>
      </c>
      <c r="AN137" s="239">
        <v>0</v>
      </c>
      <c r="AO137" s="239">
        <v>0</v>
      </c>
      <c r="AP137" s="239">
        <v>0</v>
      </c>
      <c r="AQ137" s="239">
        <v>0</v>
      </c>
      <c r="AR137" s="239">
        <v>0</v>
      </c>
      <c r="AS137" s="239">
        <v>0</v>
      </c>
      <c r="AT137" s="239">
        <v>0</v>
      </c>
      <c r="AU137" s="239">
        <v>0</v>
      </c>
      <c r="AV137" s="239">
        <v>0</v>
      </c>
      <c r="AW137" s="239">
        <v>0</v>
      </c>
      <c r="AX137" s="239">
        <v>0</v>
      </c>
      <c r="AY137" s="239">
        <v>0</v>
      </c>
      <c r="AZ137" s="239">
        <v>0</v>
      </c>
      <c r="BA137" s="239">
        <v>0</v>
      </c>
      <c r="BB137" s="239">
        <v>0</v>
      </c>
      <c r="BC137" s="239">
        <v>1191037</v>
      </c>
      <c r="BD137" s="239">
        <v>1468945</v>
      </c>
      <c r="BE137" s="239">
        <v>0</v>
      </c>
      <c r="BF137" s="239">
        <v>1153689.891558798</v>
      </c>
      <c r="BG137" s="239">
        <v>1422884.1995891843</v>
      </c>
      <c r="BH137" s="239">
        <v>0</v>
      </c>
      <c r="BI137" s="239">
        <v>126782.74744635192</v>
      </c>
      <c r="BJ137" s="239">
        <v>156365.38851716736</v>
      </c>
      <c r="BK137" s="239">
        <v>0</v>
      </c>
      <c r="BL137" s="239">
        <v>1354444</v>
      </c>
      <c r="BM137" s="239">
        <v>777716</v>
      </c>
      <c r="BN137" s="239">
        <v>0</v>
      </c>
      <c r="BO137" s="239">
        <v>-163407</v>
      </c>
      <c r="BP137" s="239">
        <v>691229</v>
      </c>
      <c r="BQ137" s="239">
        <v>0</v>
      </c>
      <c r="BR137" s="239">
        <v>2728</v>
      </c>
      <c r="BS137" s="239">
        <v>3365</v>
      </c>
      <c r="BT137" s="239">
        <v>0</v>
      </c>
      <c r="BU137" s="239">
        <v>0</v>
      </c>
      <c r="BV137" s="239">
        <v>0</v>
      </c>
      <c r="BW137" s="239">
        <v>0</v>
      </c>
      <c r="BX137" s="239">
        <v>2728</v>
      </c>
      <c r="BY137" s="239">
        <v>3365</v>
      </c>
      <c r="BZ137" s="239">
        <v>0</v>
      </c>
      <c r="CA137" s="239">
        <v>-201</v>
      </c>
      <c r="CB137" s="239">
        <v>-248</v>
      </c>
      <c r="CC137" s="239">
        <v>0</v>
      </c>
      <c r="CD137" s="239">
        <v>0</v>
      </c>
      <c r="CE137" s="239">
        <v>0</v>
      </c>
      <c r="CF137" s="239">
        <v>0</v>
      </c>
      <c r="CG137" s="239">
        <v>-201</v>
      </c>
      <c r="CH137" s="239">
        <v>-248</v>
      </c>
      <c r="CI137" s="239">
        <v>0</v>
      </c>
      <c r="CJ137" s="239">
        <v>5850</v>
      </c>
      <c r="CK137" s="239">
        <v>7215</v>
      </c>
      <c r="CL137" s="239">
        <v>0</v>
      </c>
      <c r="CM137" s="239">
        <v>6904</v>
      </c>
      <c r="CN137" s="239">
        <v>8515</v>
      </c>
      <c r="CO137" s="239">
        <v>0</v>
      </c>
      <c r="CP137" s="239">
        <v>-1054</v>
      </c>
      <c r="CQ137" s="239">
        <v>-1300</v>
      </c>
      <c r="CR137" s="239">
        <v>0</v>
      </c>
      <c r="CS137" s="239">
        <v>-1462</v>
      </c>
      <c r="CT137" s="239">
        <v>-1803</v>
      </c>
      <c r="CU137" s="239">
        <v>0</v>
      </c>
      <c r="CV137" s="239">
        <v>0</v>
      </c>
      <c r="CW137" s="239">
        <v>0</v>
      </c>
      <c r="CX137" s="239">
        <v>0</v>
      </c>
      <c r="CY137" s="239">
        <v>0</v>
      </c>
      <c r="CZ137" s="239">
        <v>0</v>
      </c>
      <c r="DA137" s="239">
        <v>0</v>
      </c>
      <c r="DB137" s="239">
        <v>0</v>
      </c>
      <c r="DC137" s="239">
        <v>0</v>
      </c>
      <c r="DD137" s="239">
        <v>0</v>
      </c>
      <c r="DE137" s="239">
        <v>0</v>
      </c>
      <c r="DF137" s="239">
        <v>0</v>
      </c>
      <c r="DG137" s="239">
        <v>0</v>
      </c>
      <c r="DH137" s="239">
        <v>0</v>
      </c>
      <c r="DI137" s="239">
        <v>0</v>
      </c>
      <c r="DJ137" s="239">
        <v>0</v>
      </c>
      <c r="DK137" s="239">
        <v>0</v>
      </c>
      <c r="DL137" s="239">
        <v>0</v>
      </c>
      <c r="DM137" s="239">
        <v>0</v>
      </c>
      <c r="DN137" s="239">
        <v>0</v>
      </c>
      <c r="DO137" s="239">
        <v>0</v>
      </c>
      <c r="DP137" s="239">
        <v>0</v>
      </c>
      <c r="DQ137" s="239">
        <v>0</v>
      </c>
      <c r="DR137" s="239">
        <v>0</v>
      </c>
      <c r="DS137" s="239">
        <v>0</v>
      </c>
      <c r="DT137" s="239">
        <v>0</v>
      </c>
      <c r="DU137" s="239">
        <v>0</v>
      </c>
      <c r="DV137" s="239">
        <v>0</v>
      </c>
      <c r="DW137" s="239">
        <v>0</v>
      </c>
      <c r="DX137" s="239">
        <v>0</v>
      </c>
      <c r="DY137" s="239">
        <v>0</v>
      </c>
      <c r="DZ137" s="239">
        <v>6550</v>
      </c>
      <c r="EA137" s="239">
        <v>8078</v>
      </c>
      <c r="EB137" s="239">
        <v>0</v>
      </c>
      <c r="EC137" s="239">
        <v>14757</v>
      </c>
      <c r="ED137" s="239">
        <v>0</v>
      </c>
      <c r="EE137" s="239">
        <v>0</v>
      </c>
      <c r="EF137" s="239">
        <v>-8207</v>
      </c>
      <c r="EG137" s="239">
        <v>8078</v>
      </c>
      <c r="EH137" s="239">
        <v>0</v>
      </c>
      <c r="EI137" s="239">
        <v>403796</v>
      </c>
      <c r="EJ137" s="239">
        <v>498015</v>
      </c>
      <c r="EK137" s="239">
        <v>0</v>
      </c>
      <c r="EL137" s="239">
        <v>956689</v>
      </c>
      <c r="EM137" s="239">
        <v>0</v>
      </c>
      <c r="EN137" s="239">
        <v>0</v>
      </c>
      <c r="EO137" s="239">
        <v>-552893</v>
      </c>
      <c r="EP137" s="239">
        <v>498015</v>
      </c>
      <c r="EQ137" s="239">
        <v>0</v>
      </c>
      <c r="ER137" s="239">
        <v>16695</v>
      </c>
      <c r="ES137" s="239">
        <v>20591</v>
      </c>
      <c r="ET137" s="239">
        <v>0</v>
      </c>
      <c r="EU137" s="239">
        <v>45564</v>
      </c>
      <c r="EV137" s="239">
        <v>0</v>
      </c>
      <c r="EW137" s="239">
        <v>0</v>
      </c>
      <c r="EX137" s="239">
        <v>-28869</v>
      </c>
      <c r="EY137" s="239">
        <v>20591</v>
      </c>
      <c r="EZ137" s="239">
        <v>0</v>
      </c>
      <c r="FA137" s="239">
        <v>934216</v>
      </c>
      <c r="FB137" s="239">
        <v>1152200</v>
      </c>
      <c r="FC137" s="239">
        <v>0</v>
      </c>
      <c r="FD137" s="239">
        <v>828276</v>
      </c>
      <c r="FE137" s="239">
        <v>1021540</v>
      </c>
      <c r="FF137" s="239">
        <v>0</v>
      </c>
      <c r="FG137" s="239">
        <v>105940</v>
      </c>
      <c r="FH137" s="239">
        <v>130660</v>
      </c>
      <c r="FI137" s="239">
        <v>0</v>
      </c>
      <c r="FJ137" s="239">
        <v>0</v>
      </c>
      <c r="FK137" s="239">
        <v>0</v>
      </c>
      <c r="FL137" s="239">
        <v>0</v>
      </c>
      <c r="FM137" s="239">
        <v>0</v>
      </c>
      <c r="FN137" s="239">
        <v>0</v>
      </c>
      <c r="FO137" s="239">
        <v>0</v>
      </c>
      <c r="FP137" s="239">
        <v>0</v>
      </c>
      <c r="FQ137" s="239">
        <v>0</v>
      </c>
      <c r="FR137" s="239">
        <v>0</v>
      </c>
      <c r="FS137" s="239">
        <v>0</v>
      </c>
      <c r="FT137" s="239">
        <v>0</v>
      </c>
      <c r="FU137" s="239">
        <v>0</v>
      </c>
      <c r="FV137" s="239">
        <v>2559209</v>
      </c>
      <c r="FW137" s="239">
        <v>3156358</v>
      </c>
      <c r="FX137" s="239">
        <v>0</v>
      </c>
      <c r="FY137" s="834">
        <v>0.33000000000000007</v>
      </c>
      <c r="FZ137" s="834">
        <v>0.3</v>
      </c>
      <c r="GA137" s="834">
        <v>0.37</v>
      </c>
      <c r="GB137" s="834">
        <v>0</v>
      </c>
      <c r="GC137" s="214" t="s">
        <v>1159</v>
      </c>
    </row>
    <row r="138" spans="2:185" s="214" customFormat="1" x14ac:dyDescent="0.2">
      <c r="B138" s="602" t="s">
        <v>359</v>
      </c>
      <c r="C138" s="602" t="s">
        <v>358</v>
      </c>
      <c r="D138" s="239">
        <v>-1811944</v>
      </c>
      <c r="E138" s="239">
        <v>32542</v>
      </c>
      <c r="F138" s="239">
        <v>-1779402</v>
      </c>
      <c r="G138" s="239">
        <v>-1745285</v>
      </c>
      <c r="H138" s="239">
        <v>62367</v>
      </c>
      <c r="I138" s="239">
        <v>-1682918</v>
      </c>
      <c r="J138" s="239">
        <v>-66659</v>
      </c>
      <c r="K138" s="239">
        <v>-29825</v>
      </c>
      <c r="L138" s="239">
        <v>-96484</v>
      </c>
      <c r="M138" s="239">
        <v>217080</v>
      </c>
      <c r="N138" s="239">
        <v>217080</v>
      </c>
      <c r="O138" s="239">
        <v>0</v>
      </c>
      <c r="P138" s="239">
        <v>0</v>
      </c>
      <c r="Q138" s="239">
        <v>0</v>
      </c>
      <c r="R138" s="239">
        <v>0</v>
      </c>
      <c r="S138" s="239">
        <v>881438</v>
      </c>
      <c r="T138" s="239">
        <v>0</v>
      </c>
      <c r="U138" s="239">
        <v>864030</v>
      </c>
      <c r="V138" s="239">
        <v>0</v>
      </c>
      <c r="W138" s="239">
        <v>17408</v>
      </c>
      <c r="X138" s="239">
        <v>0</v>
      </c>
      <c r="Y138" s="239">
        <v>303205</v>
      </c>
      <c r="Z138" s="239">
        <v>303205</v>
      </c>
      <c r="AA138" s="239">
        <v>0</v>
      </c>
      <c r="AB138" s="239">
        <v>0</v>
      </c>
      <c r="AC138" s="239">
        <v>200238</v>
      </c>
      <c r="AD138" s="239">
        <v>200238</v>
      </c>
      <c r="AE138" s="239">
        <v>0</v>
      </c>
      <c r="AF138" s="239">
        <v>0</v>
      </c>
      <c r="AG138" s="239">
        <v>102967</v>
      </c>
      <c r="AH138" s="239">
        <v>102967</v>
      </c>
      <c r="AI138" s="239">
        <v>0</v>
      </c>
      <c r="AJ138" s="239">
        <v>0</v>
      </c>
      <c r="AK138" s="239">
        <v>0</v>
      </c>
      <c r="AL138" s="239">
        <v>0</v>
      </c>
      <c r="AM138" s="239">
        <v>0</v>
      </c>
      <c r="AN138" s="239">
        <v>0</v>
      </c>
      <c r="AO138" s="239">
        <v>0</v>
      </c>
      <c r="AP138" s="239">
        <v>0</v>
      </c>
      <c r="AQ138" s="239">
        <v>0</v>
      </c>
      <c r="AR138" s="239">
        <v>0</v>
      </c>
      <c r="AS138" s="239">
        <v>0</v>
      </c>
      <c r="AT138" s="239">
        <v>0</v>
      </c>
      <c r="AU138" s="239">
        <v>0</v>
      </c>
      <c r="AV138" s="239">
        <v>0</v>
      </c>
      <c r="AW138" s="239">
        <v>0</v>
      </c>
      <c r="AX138" s="239">
        <v>0</v>
      </c>
      <c r="AY138" s="239">
        <v>0</v>
      </c>
      <c r="AZ138" s="239">
        <v>0</v>
      </c>
      <c r="BA138" s="239">
        <v>0</v>
      </c>
      <c r="BB138" s="239">
        <v>0</v>
      </c>
      <c r="BC138" s="239">
        <v>1494003</v>
      </c>
      <c r="BD138" s="239">
        <v>335470</v>
      </c>
      <c r="BE138" s="239">
        <v>37274</v>
      </c>
      <c r="BF138" s="239">
        <v>1447403.8651845492</v>
      </c>
      <c r="BG138" s="239">
        <v>325007.0258349785</v>
      </c>
      <c r="BH138" s="239">
        <v>36111.891759442056</v>
      </c>
      <c r="BI138" s="239">
        <v>139996.24117939916</v>
      </c>
      <c r="BJ138" s="239">
        <v>30938.767261609439</v>
      </c>
      <c r="BK138" s="239">
        <v>3437.6408068454934</v>
      </c>
      <c r="BL138" s="239">
        <v>2207541</v>
      </c>
      <c r="BM138" s="239">
        <v>316368</v>
      </c>
      <c r="BN138" s="239">
        <v>35152</v>
      </c>
      <c r="BO138" s="239">
        <v>-713538</v>
      </c>
      <c r="BP138" s="239">
        <v>19102</v>
      </c>
      <c r="BQ138" s="239">
        <v>2122</v>
      </c>
      <c r="BR138" s="239">
        <v>5014</v>
      </c>
      <c r="BS138" s="239">
        <v>1128</v>
      </c>
      <c r="BT138" s="239">
        <v>125</v>
      </c>
      <c r="BU138" s="239">
        <v>2513</v>
      </c>
      <c r="BV138" s="239">
        <v>565</v>
      </c>
      <c r="BW138" s="239">
        <v>63</v>
      </c>
      <c r="BX138" s="239">
        <v>2501</v>
      </c>
      <c r="BY138" s="239">
        <v>563</v>
      </c>
      <c r="BZ138" s="239">
        <v>62</v>
      </c>
      <c r="CA138" s="239">
        <v>0</v>
      </c>
      <c r="CB138" s="239">
        <v>0</v>
      </c>
      <c r="CC138" s="239">
        <v>0</v>
      </c>
      <c r="CD138" s="239">
        <v>0</v>
      </c>
      <c r="CE138" s="239">
        <v>0</v>
      </c>
      <c r="CF138" s="239">
        <v>0</v>
      </c>
      <c r="CG138" s="239">
        <v>0</v>
      </c>
      <c r="CH138" s="239">
        <v>0</v>
      </c>
      <c r="CI138" s="239">
        <v>0</v>
      </c>
      <c r="CJ138" s="239">
        <v>0</v>
      </c>
      <c r="CK138" s="239">
        <v>0</v>
      </c>
      <c r="CL138" s="239">
        <v>0</v>
      </c>
      <c r="CM138" s="239">
        <v>0</v>
      </c>
      <c r="CN138" s="239">
        <v>0</v>
      </c>
      <c r="CO138" s="239">
        <v>0</v>
      </c>
      <c r="CP138" s="239">
        <v>0</v>
      </c>
      <c r="CQ138" s="239">
        <v>0</v>
      </c>
      <c r="CR138" s="239">
        <v>0</v>
      </c>
      <c r="CS138" s="239">
        <v>-959</v>
      </c>
      <c r="CT138" s="239">
        <v>-216</v>
      </c>
      <c r="CU138" s="239">
        <v>-24</v>
      </c>
      <c r="CV138" s="239">
        <v>0</v>
      </c>
      <c r="CW138" s="239">
        <v>0</v>
      </c>
      <c r="CX138" s="239">
        <v>0</v>
      </c>
      <c r="CY138" s="239">
        <v>0</v>
      </c>
      <c r="CZ138" s="239">
        <v>0</v>
      </c>
      <c r="DA138" s="239">
        <v>0</v>
      </c>
      <c r="DB138" s="239">
        <v>0</v>
      </c>
      <c r="DC138" s="239">
        <v>0</v>
      </c>
      <c r="DD138" s="239">
        <v>0</v>
      </c>
      <c r="DE138" s="239">
        <v>0</v>
      </c>
      <c r="DF138" s="239">
        <v>0</v>
      </c>
      <c r="DG138" s="239">
        <v>0</v>
      </c>
      <c r="DH138" s="239">
        <v>14747</v>
      </c>
      <c r="DI138" s="239">
        <v>3318</v>
      </c>
      <c r="DJ138" s="239">
        <v>369</v>
      </c>
      <c r="DK138" s="239">
        <v>14211</v>
      </c>
      <c r="DL138" s="239">
        <v>3197</v>
      </c>
      <c r="DM138" s="239">
        <v>355</v>
      </c>
      <c r="DN138" s="239">
        <v>536</v>
      </c>
      <c r="DO138" s="239">
        <v>121</v>
      </c>
      <c r="DP138" s="239">
        <v>14</v>
      </c>
      <c r="DQ138" s="239">
        <v>0</v>
      </c>
      <c r="DR138" s="239">
        <v>0</v>
      </c>
      <c r="DS138" s="239">
        <v>0</v>
      </c>
      <c r="DT138" s="239">
        <v>0</v>
      </c>
      <c r="DU138" s="239">
        <v>0</v>
      </c>
      <c r="DV138" s="239">
        <v>0</v>
      </c>
      <c r="DW138" s="239">
        <v>0</v>
      </c>
      <c r="DX138" s="239">
        <v>0</v>
      </c>
      <c r="DY138" s="239">
        <v>0</v>
      </c>
      <c r="DZ138" s="239">
        <v>13298</v>
      </c>
      <c r="EA138" s="239">
        <v>2992</v>
      </c>
      <c r="EB138" s="239">
        <v>332</v>
      </c>
      <c r="EC138" s="239">
        <v>17353</v>
      </c>
      <c r="ED138" s="239">
        <v>0</v>
      </c>
      <c r="EE138" s="239">
        <v>0</v>
      </c>
      <c r="EF138" s="239">
        <v>-4055</v>
      </c>
      <c r="EG138" s="239">
        <v>2992</v>
      </c>
      <c r="EH138" s="239">
        <v>332</v>
      </c>
      <c r="EI138" s="239">
        <v>113774</v>
      </c>
      <c r="EJ138" s="239">
        <v>25599</v>
      </c>
      <c r="EK138" s="239">
        <v>2844</v>
      </c>
      <c r="EL138" s="239">
        <v>172498</v>
      </c>
      <c r="EM138" s="239">
        <v>0</v>
      </c>
      <c r="EN138" s="239">
        <v>0</v>
      </c>
      <c r="EO138" s="239">
        <v>-58724</v>
      </c>
      <c r="EP138" s="239">
        <v>25599</v>
      </c>
      <c r="EQ138" s="239">
        <v>2844</v>
      </c>
      <c r="ER138" s="239">
        <v>31456</v>
      </c>
      <c r="ES138" s="239">
        <v>7078</v>
      </c>
      <c r="ET138" s="239">
        <v>786</v>
      </c>
      <c r="EU138" s="239">
        <v>38497</v>
      </c>
      <c r="EV138" s="239">
        <v>0</v>
      </c>
      <c r="EW138" s="239">
        <v>0</v>
      </c>
      <c r="EX138" s="239">
        <v>-7041</v>
      </c>
      <c r="EY138" s="239">
        <v>7078</v>
      </c>
      <c r="EZ138" s="239">
        <v>786</v>
      </c>
      <c r="FA138" s="239">
        <v>337137</v>
      </c>
      <c r="FB138" s="239">
        <v>72877</v>
      </c>
      <c r="FC138" s="239">
        <v>8097</v>
      </c>
      <c r="FD138" s="239">
        <v>331834</v>
      </c>
      <c r="FE138" s="239">
        <v>71066</v>
      </c>
      <c r="FF138" s="239">
        <v>7896</v>
      </c>
      <c r="FG138" s="239">
        <v>5303</v>
      </c>
      <c r="FH138" s="239">
        <v>1811</v>
      </c>
      <c r="FI138" s="239">
        <v>201</v>
      </c>
      <c r="FJ138" s="239">
        <v>0</v>
      </c>
      <c r="FK138" s="239">
        <v>0</v>
      </c>
      <c r="FL138" s="239">
        <v>0</v>
      </c>
      <c r="FM138" s="239">
        <v>0</v>
      </c>
      <c r="FN138" s="239">
        <v>0</v>
      </c>
      <c r="FO138" s="239">
        <v>0</v>
      </c>
      <c r="FP138" s="239">
        <v>0</v>
      </c>
      <c r="FQ138" s="239">
        <v>0</v>
      </c>
      <c r="FR138" s="239">
        <v>0</v>
      </c>
      <c r="FS138" s="239">
        <v>0</v>
      </c>
      <c r="FT138" s="239">
        <v>0</v>
      </c>
      <c r="FU138" s="239">
        <v>0</v>
      </c>
      <c r="FV138" s="239">
        <v>2008470</v>
      </c>
      <c r="FW138" s="239">
        <v>448246</v>
      </c>
      <c r="FX138" s="239">
        <v>49803</v>
      </c>
      <c r="FY138" s="834">
        <v>0.5</v>
      </c>
      <c r="FZ138" s="834">
        <v>0.4</v>
      </c>
      <c r="GA138" s="834">
        <v>0.09</v>
      </c>
      <c r="GB138" s="834">
        <v>0.01</v>
      </c>
      <c r="GC138" s="214" t="s">
        <v>1158</v>
      </c>
    </row>
    <row r="139" spans="2:185" s="214" customFormat="1" x14ac:dyDescent="0.2">
      <c r="B139" s="602" t="s">
        <v>361</v>
      </c>
      <c r="C139" s="602" t="s">
        <v>360</v>
      </c>
      <c r="D139" s="239">
        <v>-1826065</v>
      </c>
      <c r="E139" s="239">
        <v>0</v>
      </c>
      <c r="F139" s="239">
        <v>-1826065</v>
      </c>
      <c r="G139" s="239">
        <v>-1427239</v>
      </c>
      <c r="H139" s="239">
        <v>0</v>
      </c>
      <c r="I139" s="239">
        <v>-1427239</v>
      </c>
      <c r="J139" s="239">
        <v>-398826</v>
      </c>
      <c r="K139" s="239">
        <v>0</v>
      </c>
      <c r="L139" s="239">
        <v>-398826</v>
      </c>
      <c r="M139" s="239">
        <v>125909</v>
      </c>
      <c r="N139" s="239">
        <v>125909</v>
      </c>
      <c r="O139" s="239">
        <v>0</v>
      </c>
      <c r="P139" s="239">
        <v>0</v>
      </c>
      <c r="Q139" s="239">
        <v>0</v>
      </c>
      <c r="R139" s="239">
        <v>0</v>
      </c>
      <c r="S139" s="239">
        <v>0</v>
      </c>
      <c r="T139" s="239">
        <v>0</v>
      </c>
      <c r="U139" s="239">
        <v>0</v>
      </c>
      <c r="V139" s="239">
        <v>0</v>
      </c>
      <c r="W139" s="239">
        <v>0</v>
      </c>
      <c r="X139" s="239">
        <v>0</v>
      </c>
      <c r="Y139" s="239">
        <v>0</v>
      </c>
      <c r="Z139" s="239">
        <v>0</v>
      </c>
      <c r="AA139" s="239">
        <v>0</v>
      </c>
      <c r="AB139" s="239">
        <v>0</v>
      </c>
      <c r="AC139" s="239">
        <v>0</v>
      </c>
      <c r="AD139" s="239">
        <v>0</v>
      </c>
      <c r="AE139" s="239">
        <v>0</v>
      </c>
      <c r="AF139" s="239">
        <v>0</v>
      </c>
      <c r="AG139" s="239">
        <v>0</v>
      </c>
      <c r="AH139" s="239">
        <v>0</v>
      </c>
      <c r="AI139" s="239">
        <v>0</v>
      </c>
      <c r="AJ139" s="239">
        <v>0</v>
      </c>
      <c r="AK139" s="239">
        <v>0</v>
      </c>
      <c r="AL139" s="239">
        <v>0</v>
      </c>
      <c r="AM139" s="239">
        <v>0</v>
      </c>
      <c r="AN139" s="239">
        <v>0</v>
      </c>
      <c r="AO139" s="239">
        <v>0</v>
      </c>
      <c r="AP139" s="239">
        <v>0</v>
      </c>
      <c r="AQ139" s="239">
        <v>0</v>
      </c>
      <c r="AR139" s="239">
        <v>0</v>
      </c>
      <c r="AS139" s="239">
        <v>0</v>
      </c>
      <c r="AT139" s="239">
        <v>0</v>
      </c>
      <c r="AU139" s="239">
        <v>0</v>
      </c>
      <c r="AV139" s="239">
        <v>0</v>
      </c>
      <c r="AW139" s="239">
        <v>0</v>
      </c>
      <c r="AX139" s="239">
        <v>0</v>
      </c>
      <c r="AY139" s="239">
        <v>0</v>
      </c>
      <c r="AZ139" s="239">
        <v>0</v>
      </c>
      <c r="BA139" s="239">
        <v>0</v>
      </c>
      <c r="BB139" s="239">
        <v>0</v>
      </c>
      <c r="BC139" s="239">
        <v>950979</v>
      </c>
      <c r="BD139" s="239">
        <v>213970</v>
      </c>
      <c r="BE139" s="239">
        <v>23774</v>
      </c>
      <c r="BF139" s="239">
        <v>936671.98039828334</v>
      </c>
      <c r="BG139" s="239">
        <v>210751.19558961375</v>
      </c>
      <c r="BH139" s="239">
        <v>23416.799509957084</v>
      </c>
      <c r="BI139" s="239">
        <v>38993.368884120173</v>
      </c>
      <c r="BJ139" s="239">
        <v>8773.507998927038</v>
      </c>
      <c r="BK139" s="239">
        <v>974.83422210300432</v>
      </c>
      <c r="BL139" s="239">
        <v>821746</v>
      </c>
      <c r="BM139" s="239">
        <v>134223</v>
      </c>
      <c r="BN139" s="239">
        <v>14914</v>
      </c>
      <c r="BO139" s="239">
        <v>129233</v>
      </c>
      <c r="BP139" s="239">
        <v>79747</v>
      </c>
      <c r="BQ139" s="239">
        <v>8860</v>
      </c>
      <c r="BR139" s="239">
        <v>-97</v>
      </c>
      <c r="BS139" s="239">
        <v>-22</v>
      </c>
      <c r="BT139" s="239">
        <v>-2</v>
      </c>
      <c r="BU139" s="239">
        <v>3590</v>
      </c>
      <c r="BV139" s="239">
        <v>808</v>
      </c>
      <c r="BW139" s="239">
        <v>90</v>
      </c>
      <c r="BX139" s="239">
        <v>-3687</v>
      </c>
      <c r="BY139" s="239">
        <v>-830</v>
      </c>
      <c r="BZ139" s="239">
        <v>-92</v>
      </c>
      <c r="CA139" s="239">
        <v>0</v>
      </c>
      <c r="CB139" s="239">
        <v>0</v>
      </c>
      <c r="CC139" s="239">
        <v>0</v>
      </c>
      <c r="CD139" s="239">
        <v>0</v>
      </c>
      <c r="CE139" s="239">
        <v>0</v>
      </c>
      <c r="CF139" s="239">
        <v>0</v>
      </c>
      <c r="CG139" s="239">
        <v>0</v>
      </c>
      <c r="CH139" s="239">
        <v>0</v>
      </c>
      <c r="CI139" s="239">
        <v>0</v>
      </c>
      <c r="CJ139" s="239">
        <v>17265</v>
      </c>
      <c r="CK139" s="239">
        <v>3885</v>
      </c>
      <c r="CL139" s="239">
        <v>432</v>
      </c>
      <c r="CM139" s="239">
        <v>1395</v>
      </c>
      <c r="CN139" s="239">
        <v>314</v>
      </c>
      <c r="CO139" s="239">
        <v>35</v>
      </c>
      <c r="CP139" s="239">
        <v>15870</v>
      </c>
      <c r="CQ139" s="239">
        <v>3571</v>
      </c>
      <c r="CR139" s="239">
        <v>397</v>
      </c>
      <c r="CS139" s="239">
        <v>-998</v>
      </c>
      <c r="CT139" s="239">
        <v>-225</v>
      </c>
      <c r="CU139" s="239">
        <v>-25</v>
      </c>
      <c r="CV139" s="239">
        <v>0</v>
      </c>
      <c r="CW139" s="239">
        <v>0</v>
      </c>
      <c r="CX139" s="239">
        <v>0</v>
      </c>
      <c r="CY139" s="239">
        <v>0</v>
      </c>
      <c r="CZ139" s="239">
        <v>0</v>
      </c>
      <c r="DA139" s="239">
        <v>0</v>
      </c>
      <c r="DB139" s="239">
        <v>0</v>
      </c>
      <c r="DC139" s="239">
        <v>0</v>
      </c>
      <c r="DD139" s="239">
        <v>0</v>
      </c>
      <c r="DE139" s="239">
        <v>-598</v>
      </c>
      <c r="DF139" s="239">
        <v>-135</v>
      </c>
      <c r="DG139" s="239">
        <v>-15</v>
      </c>
      <c r="DH139" s="239">
        <v>0</v>
      </c>
      <c r="DI139" s="239">
        <v>0</v>
      </c>
      <c r="DJ139" s="239">
        <v>0</v>
      </c>
      <c r="DK139" s="239">
        <v>0</v>
      </c>
      <c r="DL139" s="239">
        <v>0</v>
      </c>
      <c r="DM139" s="239">
        <v>0</v>
      </c>
      <c r="DN139" s="239">
        <v>0</v>
      </c>
      <c r="DO139" s="239">
        <v>0</v>
      </c>
      <c r="DP139" s="239">
        <v>0</v>
      </c>
      <c r="DQ139" s="239">
        <v>0</v>
      </c>
      <c r="DR139" s="239">
        <v>0</v>
      </c>
      <c r="DS139" s="239">
        <v>0</v>
      </c>
      <c r="DT139" s="239">
        <v>609</v>
      </c>
      <c r="DU139" s="239">
        <v>137</v>
      </c>
      <c r="DV139" s="239">
        <v>15</v>
      </c>
      <c r="DW139" s="239">
        <v>-609</v>
      </c>
      <c r="DX139" s="239">
        <v>-137</v>
      </c>
      <c r="DY139" s="239">
        <v>-15</v>
      </c>
      <c r="DZ139" s="239">
        <v>3588</v>
      </c>
      <c r="EA139" s="239">
        <v>807</v>
      </c>
      <c r="EB139" s="239">
        <v>90</v>
      </c>
      <c r="EC139" s="239">
        <v>5075</v>
      </c>
      <c r="ED139" s="239">
        <v>0</v>
      </c>
      <c r="EE139" s="239">
        <v>0</v>
      </c>
      <c r="EF139" s="239">
        <v>-1487</v>
      </c>
      <c r="EG139" s="239">
        <v>807</v>
      </c>
      <c r="EH139" s="239">
        <v>90</v>
      </c>
      <c r="EI139" s="239">
        <v>35364</v>
      </c>
      <c r="EJ139" s="239">
        <v>7957</v>
      </c>
      <c r="EK139" s="239">
        <v>884</v>
      </c>
      <c r="EL139" s="239">
        <v>50000</v>
      </c>
      <c r="EM139" s="239">
        <v>0</v>
      </c>
      <c r="EN139" s="239">
        <v>0</v>
      </c>
      <c r="EO139" s="239">
        <v>-14636</v>
      </c>
      <c r="EP139" s="239">
        <v>7957</v>
      </c>
      <c r="EQ139" s="239">
        <v>884</v>
      </c>
      <c r="ER139" s="239">
        <v>14460</v>
      </c>
      <c r="ES139" s="239">
        <v>3254</v>
      </c>
      <c r="ET139" s="239">
        <v>362</v>
      </c>
      <c r="EU139" s="239">
        <v>22838</v>
      </c>
      <c r="EV139" s="239">
        <v>0</v>
      </c>
      <c r="EW139" s="239">
        <v>0</v>
      </c>
      <c r="EX139" s="239">
        <v>-8378</v>
      </c>
      <c r="EY139" s="239">
        <v>3254</v>
      </c>
      <c r="EZ139" s="239">
        <v>362</v>
      </c>
      <c r="FA139" s="239">
        <v>104076</v>
      </c>
      <c r="FB139" s="239">
        <v>23417</v>
      </c>
      <c r="FC139" s="239">
        <v>2602</v>
      </c>
      <c r="FD139" s="239">
        <v>101176</v>
      </c>
      <c r="FE139" s="239">
        <v>22765</v>
      </c>
      <c r="FF139" s="239">
        <v>2529</v>
      </c>
      <c r="FG139" s="239">
        <v>2900</v>
      </c>
      <c r="FH139" s="239">
        <v>652</v>
      </c>
      <c r="FI139" s="239">
        <v>73</v>
      </c>
      <c r="FJ139" s="239">
        <v>0</v>
      </c>
      <c r="FK139" s="239">
        <v>0</v>
      </c>
      <c r="FL139" s="239">
        <v>0</v>
      </c>
      <c r="FM139" s="239">
        <v>0</v>
      </c>
      <c r="FN139" s="239">
        <v>0</v>
      </c>
      <c r="FO139" s="239">
        <v>0</v>
      </c>
      <c r="FP139" s="239">
        <v>0</v>
      </c>
      <c r="FQ139" s="239">
        <v>0</v>
      </c>
      <c r="FR139" s="239">
        <v>0</v>
      </c>
      <c r="FS139" s="239">
        <v>0</v>
      </c>
      <c r="FT139" s="239">
        <v>0</v>
      </c>
      <c r="FU139" s="239">
        <v>0</v>
      </c>
      <c r="FV139" s="239">
        <v>1124039</v>
      </c>
      <c r="FW139" s="239">
        <v>252908</v>
      </c>
      <c r="FX139" s="239">
        <v>28102</v>
      </c>
      <c r="FY139" s="834">
        <v>0.5</v>
      </c>
      <c r="FZ139" s="834">
        <v>0.4</v>
      </c>
      <c r="GA139" s="834">
        <v>0.09</v>
      </c>
      <c r="GB139" s="834">
        <v>0.01</v>
      </c>
      <c r="GC139" s="214" t="s">
        <v>1158</v>
      </c>
    </row>
    <row r="140" spans="2:185" s="214" customFormat="1" x14ac:dyDescent="0.2">
      <c r="B140" s="602" t="s">
        <v>363</v>
      </c>
      <c r="C140" s="602" t="s">
        <v>362</v>
      </c>
      <c r="D140" s="239">
        <v>-2777213</v>
      </c>
      <c r="E140" s="239">
        <v>956</v>
      </c>
      <c r="F140" s="239">
        <v>-2776257</v>
      </c>
      <c r="G140" s="239">
        <v>-2960226</v>
      </c>
      <c r="H140" s="239">
        <v>0</v>
      </c>
      <c r="I140" s="239">
        <v>-2960226</v>
      </c>
      <c r="J140" s="239">
        <v>183013</v>
      </c>
      <c r="K140" s="239">
        <v>956</v>
      </c>
      <c r="L140" s="239">
        <v>183969</v>
      </c>
      <c r="M140" s="239">
        <v>187343</v>
      </c>
      <c r="N140" s="239">
        <v>187343</v>
      </c>
      <c r="O140" s="239">
        <v>0</v>
      </c>
      <c r="P140" s="239">
        <v>0</v>
      </c>
      <c r="Q140" s="239">
        <v>169882</v>
      </c>
      <c r="R140" s="239">
        <v>-169882</v>
      </c>
      <c r="S140" s="239">
        <v>2597</v>
      </c>
      <c r="T140" s="239">
        <v>0</v>
      </c>
      <c r="U140" s="239">
        <v>2073</v>
      </c>
      <c r="V140" s="239">
        <v>0</v>
      </c>
      <c r="W140" s="239">
        <v>524</v>
      </c>
      <c r="X140" s="239">
        <v>0</v>
      </c>
      <c r="Y140" s="239">
        <v>6979</v>
      </c>
      <c r="Z140" s="239">
        <v>6979</v>
      </c>
      <c r="AA140" s="239">
        <v>0</v>
      </c>
      <c r="AB140" s="239">
        <v>0</v>
      </c>
      <c r="AC140" s="239">
        <v>33600</v>
      </c>
      <c r="AD140" s="239">
        <v>33600</v>
      </c>
      <c r="AE140" s="239">
        <v>0</v>
      </c>
      <c r="AF140" s="239">
        <v>0</v>
      </c>
      <c r="AG140" s="239">
        <v>-26621</v>
      </c>
      <c r="AH140" s="239">
        <v>-26621</v>
      </c>
      <c r="AI140" s="239">
        <v>0</v>
      </c>
      <c r="AJ140" s="239">
        <v>0</v>
      </c>
      <c r="AK140" s="239">
        <v>0</v>
      </c>
      <c r="AL140" s="239">
        <v>0</v>
      </c>
      <c r="AM140" s="239">
        <v>0</v>
      </c>
      <c r="AN140" s="239">
        <v>0</v>
      </c>
      <c r="AO140" s="239">
        <v>0</v>
      </c>
      <c r="AP140" s="239">
        <v>0</v>
      </c>
      <c r="AQ140" s="239">
        <v>0</v>
      </c>
      <c r="AR140" s="239">
        <v>0</v>
      </c>
      <c r="AS140" s="239">
        <v>0</v>
      </c>
      <c r="AT140" s="239">
        <v>0</v>
      </c>
      <c r="AU140" s="239">
        <v>0</v>
      </c>
      <c r="AV140" s="239">
        <v>0</v>
      </c>
      <c r="AW140" s="239">
        <v>0</v>
      </c>
      <c r="AX140" s="239">
        <v>0</v>
      </c>
      <c r="AY140" s="239">
        <v>0</v>
      </c>
      <c r="AZ140" s="239">
        <v>0</v>
      </c>
      <c r="BA140" s="239">
        <v>0</v>
      </c>
      <c r="BB140" s="239">
        <v>0</v>
      </c>
      <c r="BC140" s="239">
        <v>1144399</v>
      </c>
      <c r="BD140" s="239">
        <v>285251</v>
      </c>
      <c r="BE140" s="239">
        <v>0</v>
      </c>
      <c r="BF140" s="239">
        <v>1114305.2830592273</v>
      </c>
      <c r="BG140" s="239">
        <v>277750.30442145921</v>
      </c>
      <c r="BH140" s="239">
        <v>0</v>
      </c>
      <c r="BI140" s="239">
        <v>97004.169678111575</v>
      </c>
      <c r="BJ140" s="239">
        <v>23765.291212446351</v>
      </c>
      <c r="BK140" s="239">
        <v>0</v>
      </c>
      <c r="BL140" s="239">
        <v>1075329</v>
      </c>
      <c r="BM140" s="239">
        <v>174927</v>
      </c>
      <c r="BN140" s="239">
        <v>0</v>
      </c>
      <c r="BO140" s="239">
        <v>69070</v>
      </c>
      <c r="BP140" s="239">
        <v>110324</v>
      </c>
      <c r="BQ140" s="239">
        <v>0</v>
      </c>
      <c r="BR140" s="239">
        <v>7755</v>
      </c>
      <c r="BS140" s="239">
        <v>1164</v>
      </c>
      <c r="BT140" s="239">
        <v>0</v>
      </c>
      <c r="BU140" s="239">
        <v>8523</v>
      </c>
      <c r="BV140" s="239">
        <v>2131</v>
      </c>
      <c r="BW140" s="239">
        <v>0</v>
      </c>
      <c r="BX140" s="239">
        <v>-768</v>
      </c>
      <c r="BY140" s="239">
        <v>-967</v>
      </c>
      <c r="BZ140" s="239">
        <v>0</v>
      </c>
      <c r="CA140" s="239">
        <v>198785</v>
      </c>
      <c r="CB140" s="239">
        <v>0</v>
      </c>
      <c r="CC140" s="239">
        <v>0</v>
      </c>
      <c r="CD140" s="239">
        <v>0</v>
      </c>
      <c r="CE140" s="239">
        <v>0</v>
      </c>
      <c r="CF140" s="239">
        <v>0</v>
      </c>
      <c r="CG140" s="239">
        <v>198785</v>
      </c>
      <c r="CH140" s="239">
        <v>0</v>
      </c>
      <c r="CI140" s="239">
        <v>0</v>
      </c>
      <c r="CJ140" s="239">
        <v>14533</v>
      </c>
      <c r="CK140" s="239">
        <v>3633</v>
      </c>
      <c r="CL140" s="239">
        <v>0</v>
      </c>
      <c r="CM140" s="239">
        <v>0</v>
      </c>
      <c r="CN140" s="239">
        <v>0</v>
      </c>
      <c r="CO140" s="239">
        <v>0</v>
      </c>
      <c r="CP140" s="239">
        <v>14533</v>
      </c>
      <c r="CQ140" s="239">
        <v>3633</v>
      </c>
      <c r="CR140" s="239">
        <v>0</v>
      </c>
      <c r="CS140" s="239">
        <v>-996</v>
      </c>
      <c r="CT140" s="239">
        <v>-249</v>
      </c>
      <c r="CU140" s="239">
        <v>0</v>
      </c>
      <c r="CV140" s="239">
        <v>0</v>
      </c>
      <c r="CW140" s="239">
        <v>0</v>
      </c>
      <c r="CX140" s="239">
        <v>0</v>
      </c>
      <c r="CY140" s="239">
        <v>0</v>
      </c>
      <c r="CZ140" s="239">
        <v>0</v>
      </c>
      <c r="DA140" s="239">
        <v>0</v>
      </c>
      <c r="DB140" s="239">
        <v>0</v>
      </c>
      <c r="DC140" s="239">
        <v>0</v>
      </c>
      <c r="DD140" s="239">
        <v>0</v>
      </c>
      <c r="DE140" s="239">
        <v>-302</v>
      </c>
      <c r="DF140" s="239">
        <v>-76</v>
      </c>
      <c r="DG140" s="239">
        <v>0</v>
      </c>
      <c r="DH140" s="239">
        <v>0</v>
      </c>
      <c r="DI140" s="239">
        <v>0</v>
      </c>
      <c r="DJ140" s="239">
        <v>0</v>
      </c>
      <c r="DK140" s="239">
        <v>0</v>
      </c>
      <c r="DL140" s="239">
        <v>0</v>
      </c>
      <c r="DM140" s="239">
        <v>0</v>
      </c>
      <c r="DN140" s="239">
        <v>0</v>
      </c>
      <c r="DO140" s="239">
        <v>0</v>
      </c>
      <c r="DP140" s="239">
        <v>0</v>
      </c>
      <c r="DQ140" s="239">
        <v>579</v>
      </c>
      <c r="DR140" s="239">
        <v>145</v>
      </c>
      <c r="DS140" s="239">
        <v>0</v>
      </c>
      <c r="DT140" s="239">
        <v>609</v>
      </c>
      <c r="DU140" s="239">
        <v>152</v>
      </c>
      <c r="DV140" s="239">
        <v>0</v>
      </c>
      <c r="DW140" s="239">
        <v>-30</v>
      </c>
      <c r="DX140" s="239">
        <v>-7</v>
      </c>
      <c r="DY140" s="239">
        <v>0</v>
      </c>
      <c r="DZ140" s="239">
        <v>3629</v>
      </c>
      <c r="EA140" s="239">
        <v>716</v>
      </c>
      <c r="EB140" s="239">
        <v>0</v>
      </c>
      <c r="EC140" s="239">
        <v>3961</v>
      </c>
      <c r="ED140" s="239">
        <v>0</v>
      </c>
      <c r="EE140" s="239">
        <v>0</v>
      </c>
      <c r="EF140" s="239">
        <v>-332</v>
      </c>
      <c r="EG140" s="239">
        <v>716</v>
      </c>
      <c r="EH140" s="239">
        <v>0</v>
      </c>
      <c r="EI140" s="239">
        <v>84902</v>
      </c>
      <c r="EJ140" s="239">
        <v>21226</v>
      </c>
      <c r="EK140" s="239">
        <v>0</v>
      </c>
      <c r="EL140" s="239">
        <v>104557</v>
      </c>
      <c r="EM140" s="239">
        <v>0</v>
      </c>
      <c r="EN140" s="239">
        <v>0</v>
      </c>
      <c r="EO140" s="239">
        <v>-19655</v>
      </c>
      <c r="EP140" s="239">
        <v>21226</v>
      </c>
      <c r="EQ140" s="239">
        <v>0</v>
      </c>
      <c r="ER140" s="239">
        <v>14144</v>
      </c>
      <c r="ES140" s="239">
        <v>3536</v>
      </c>
      <c r="ET140" s="239">
        <v>0</v>
      </c>
      <c r="EU140" s="239">
        <v>17452</v>
      </c>
      <c r="EV140" s="239">
        <v>0</v>
      </c>
      <c r="EW140" s="239">
        <v>0</v>
      </c>
      <c r="EX140" s="239">
        <v>-3308</v>
      </c>
      <c r="EY140" s="239">
        <v>3536</v>
      </c>
      <c r="EZ140" s="239">
        <v>0</v>
      </c>
      <c r="FA140" s="239">
        <v>305438</v>
      </c>
      <c r="FB140" s="239">
        <v>76350</v>
      </c>
      <c r="FC140" s="239">
        <v>0</v>
      </c>
      <c r="FD140" s="239">
        <v>320364</v>
      </c>
      <c r="FE140" s="239">
        <v>79319</v>
      </c>
      <c r="FF140" s="239">
        <v>0</v>
      </c>
      <c r="FG140" s="239">
        <v>-14926</v>
      </c>
      <c r="FH140" s="239">
        <v>-2969</v>
      </c>
      <c r="FI140" s="239">
        <v>0</v>
      </c>
      <c r="FJ140" s="239">
        <v>0</v>
      </c>
      <c r="FK140" s="239">
        <v>0</v>
      </c>
      <c r="FL140" s="239">
        <v>0</v>
      </c>
      <c r="FM140" s="239">
        <v>0</v>
      </c>
      <c r="FN140" s="239">
        <v>0</v>
      </c>
      <c r="FO140" s="239">
        <v>0</v>
      </c>
      <c r="FP140" s="239">
        <v>0</v>
      </c>
      <c r="FQ140" s="239">
        <v>0</v>
      </c>
      <c r="FR140" s="239">
        <v>0</v>
      </c>
      <c r="FS140" s="239">
        <v>0</v>
      </c>
      <c r="FT140" s="239">
        <v>0</v>
      </c>
      <c r="FU140" s="239">
        <v>0</v>
      </c>
      <c r="FV140" s="239">
        <v>1772866</v>
      </c>
      <c r="FW140" s="239">
        <v>391696</v>
      </c>
      <c r="FX140" s="239">
        <v>0</v>
      </c>
      <c r="FY140" s="834">
        <v>0.5</v>
      </c>
      <c r="FZ140" s="834">
        <v>0.4</v>
      </c>
      <c r="GA140" s="834">
        <v>0.1</v>
      </c>
      <c r="GB140" s="834">
        <v>0</v>
      </c>
      <c r="GC140" s="214" t="s">
        <v>1158</v>
      </c>
    </row>
    <row r="141" spans="2:185" s="214" customFormat="1" x14ac:dyDescent="0.2">
      <c r="B141" s="602" t="s">
        <v>365</v>
      </c>
      <c r="C141" s="602" t="s">
        <v>364</v>
      </c>
      <c r="D141" s="239">
        <v>2278393</v>
      </c>
      <c r="E141" s="239">
        <v>0</v>
      </c>
      <c r="F141" s="239">
        <v>2278393</v>
      </c>
      <c r="G141" s="239">
        <v>2395904</v>
      </c>
      <c r="H141" s="239">
        <v>0</v>
      </c>
      <c r="I141" s="239">
        <v>2395904</v>
      </c>
      <c r="J141" s="239">
        <v>-117511</v>
      </c>
      <c r="K141" s="239">
        <v>0</v>
      </c>
      <c r="L141" s="239">
        <v>-117511</v>
      </c>
      <c r="M141" s="239">
        <v>263045</v>
      </c>
      <c r="N141" s="239">
        <v>263045</v>
      </c>
      <c r="O141" s="239">
        <v>0</v>
      </c>
      <c r="P141" s="239">
        <v>0</v>
      </c>
      <c r="Q141" s="239">
        <v>0</v>
      </c>
      <c r="R141" s="239">
        <v>0</v>
      </c>
      <c r="S141" s="239">
        <v>270954</v>
      </c>
      <c r="T141" s="239">
        <v>0</v>
      </c>
      <c r="U141" s="239">
        <v>215490</v>
      </c>
      <c r="V141" s="239">
        <v>0</v>
      </c>
      <c r="W141" s="239">
        <v>55464</v>
      </c>
      <c r="X141" s="239">
        <v>0</v>
      </c>
      <c r="Y141" s="239">
        <v>0</v>
      </c>
      <c r="Z141" s="239">
        <v>0</v>
      </c>
      <c r="AA141" s="239">
        <v>0</v>
      </c>
      <c r="AB141" s="239">
        <v>0</v>
      </c>
      <c r="AC141" s="239">
        <v>0</v>
      </c>
      <c r="AD141" s="239">
        <v>0</v>
      </c>
      <c r="AE141" s="239">
        <v>0</v>
      </c>
      <c r="AF141" s="239">
        <v>0</v>
      </c>
      <c r="AG141" s="239">
        <v>0</v>
      </c>
      <c r="AH141" s="239">
        <v>0</v>
      </c>
      <c r="AI141" s="239">
        <v>0</v>
      </c>
      <c r="AJ141" s="239">
        <v>0</v>
      </c>
      <c r="AK141" s="239">
        <v>0</v>
      </c>
      <c r="AL141" s="239">
        <v>0</v>
      </c>
      <c r="AM141" s="239">
        <v>0</v>
      </c>
      <c r="AN141" s="239">
        <v>0</v>
      </c>
      <c r="AO141" s="239">
        <v>0</v>
      </c>
      <c r="AP141" s="239">
        <v>0</v>
      </c>
      <c r="AQ141" s="239">
        <v>0</v>
      </c>
      <c r="AR141" s="239">
        <v>0</v>
      </c>
      <c r="AS141" s="239">
        <v>0</v>
      </c>
      <c r="AT141" s="239">
        <v>0</v>
      </c>
      <c r="AU141" s="239">
        <v>0</v>
      </c>
      <c r="AV141" s="239">
        <v>0</v>
      </c>
      <c r="AW141" s="239">
        <v>0</v>
      </c>
      <c r="AX141" s="239">
        <v>0</v>
      </c>
      <c r="AY141" s="239">
        <v>0</v>
      </c>
      <c r="AZ141" s="239">
        <v>0</v>
      </c>
      <c r="BA141" s="239">
        <v>0</v>
      </c>
      <c r="BB141" s="239">
        <v>0</v>
      </c>
      <c r="BC141" s="239">
        <v>2442308</v>
      </c>
      <c r="BD141" s="239">
        <v>0</v>
      </c>
      <c r="BE141" s="239">
        <v>0</v>
      </c>
      <c r="BF141" s="239">
        <v>2399576.7334141633</v>
      </c>
      <c r="BG141" s="239">
        <v>0</v>
      </c>
      <c r="BH141" s="239">
        <v>0</v>
      </c>
      <c r="BI141" s="239">
        <v>108931.64624463518</v>
      </c>
      <c r="BJ141" s="239">
        <v>0</v>
      </c>
      <c r="BK141" s="239">
        <v>0</v>
      </c>
      <c r="BL141" s="239">
        <v>2186569</v>
      </c>
      <c r="BM141" s="239">
        <v>0</v>
      </c>
      <c r="BN141" s="239">
        <v>0</v>
      </c>
      <c r="BO141" s="239">
        <v>255739</v>
      </c>
      <c r="BP141" s="239">
        <v>0</v>
      </c>
      <c r="BQ141" s="239">
        <v>0</v>
      </c>
      <c r="BR141" s="239">
        <v>29433</v>
      </c>
      <c r="BS141" s="239">
        <v>0</v>
      </c>
      <c r="BT141" s="239">
        <v>0</v>
      </c>
      <c r="BU141" s="239">
        <v>3561</v>
      </c>
      <c r="BV141" s="239">
        <v>0</v>
      </c>
      <c r="BW141" s="239">
        <v>0</v>
      </c>
      <c r="BX141" s="239">
        <v>25872</v>
      </c>
      <c r="BY141" s="239">
        <v>0</v>
      </c>
      <c r="BZ141" s="239">
        <v>0</v>
      </c>
      <c r="CA141" s="239">
        <v>0</v>
      </c>
      <c r="CB141" s="239">
        <v>0</v>
      </c>
      <c r="CC141" s="239">
        <v>0</v>
      </c>
      <c r="CD141" s="239">
        <v>2538</v>
      </c>
      <c r="CE141" s="239">
        <v>0</v>
      </c>
      <c r="CF141" s="239">
        <v>0</v>
      </c>
      <c r="CG141" s="239">
        <v>-2538</v>
      </c>
      <c r="CH141" s="239">
        <v>0</v>
      </c>
      <c r="CI141" s="239">
        <v>0</v>
      </c>
      <c r="CJ141" s="239">
        <v>-2354</v>
      </c>
      <c r="CK141" s="239">
        <v>0</v>
      </c>
      <c r="CL141" s="239">
        <v>0</v>
      </c>
      <c r="CM141" s="239">
        <v>7613</v>
      </c>
      <c r="CN141" s="239">
        <v>0</v>
      </c>
      <c r="CO141" s="239">
        <v>0</v>
      </c>
      <c r="CP141" s="239">
        <v>-9967</v>
      </c>
      <c r="CQ141" s="239">
        <v>0</v>
      </c>
      <c r="CR141" s="239">
        <v>0</v>
      </c>
      <c r="CS141" s="239">
        <v>-494</v>
      </c>
      <c r="CT141" s="239">
        <v>0</v>
      </c>
      <c r="CU141" s="239">
        <v>0</v>
      </c>
      <c r="CV141" s="239">
        <v>0</v>
      </c>
      <c r="CW141" s="239">
        <v>0</v>
      </c>
      <c r="CX141" s="239">
        <v>0</v>
      </c>
      <c r="CY141" s="239">
        <v>0</v>
      </c>
      <c r="CZ141" s="239">
        <v>0</v>
      </c>
      <c r="DA141" s="239">
        <v>0</v>
      </c>
      <c r="DB141" s="239">
        <v>0</v>
      </c>
      <c r="DC141" s="239">
        <v>0</v>
      </c>
      <c r="DD141" s="239">
        <v>0</v>
      </c>
      <c r="DE141" s="239">
        <v>0</v>
      </c>
      <c r="DF141" s="239">
        <v>0</v>
      </c>
      <c r="DG141" s="239">
        <v>0</v>
      </c>
      <c r="DH141" s="239">
        <v>667</v>
      </c>
      <c r="DI141" s="239">
        <v>0</v>
      </c>
      <c r="DJ141" s="239">
        <v>0</v>
      </c>
      <c r="DK141" s="239">
        <v>5075</v>
      </c>
      <c r="DL141" s="239">
        <v>0</v>
      </c>
      <c r="DM141" s="239">
        <v>0</v>
      </c>
      <c r="DN141" s="239">
        <v>-4408</v>
      </c>
      <c r="DO141" s="239">
        <v>0</v>
      </c>
      <c r="DP141" s="239">
        <v>0</v>
      </c>
      <c r="DQ141" s="239">
        <v>761</v>
      </c>
      <c r="DR141" s="239">
        <v>0</v>
      </c>
      <c r="DS141" s="239">
        <v>0</v>
      </c>
      <c r="DT141" s="239">
        <v>761</v>
      </c>
      <c r="DU141" s="239">
        <v>0</v>
      </c>
      <c r="DV141" s="239">
        <v>0</v>
      </c>
      <c r="DW141" s="239">
        <v>0</v>
      </c>
      <c r="DX141" s="239">
        <v>0</v>
      </c>
      <c r="DY141" s="239">
        <v>0</v>
      </c>
      <c r="DZ141" s="239">
        <v>15758</v>
      </c>
      <c r="EA141" s="239">
        <v>0</v>
      </c>
      <c r="EB141" s="239">
        <v>0</v>
      </c>
      <c r="EC141" s="239">
        <v>14879</v>
      </c>
      <c r="ED141" s="239">
        <v>0</v>
      </c>
      <c r="EE141" s="239">
        <v>0</v>
      </c>
      <c r="EF141" s="239">
        <v>879</v>
      </c>
      <c r="EG141" s="239">
        <v>0</v>
      </c>
      <c r="EH141" s="239">
        <v>0</v>
      </c>
      <c r="EI141" s="239">
        <v>237449</v>
      </c>
      <c r="EJ141" s="239">
        <v>0</v>
      </c>
      <c r="EK141" s="239">
        <v>0</v>
      </c>
      <c r="EL141" s="239">
        <v>251790</v>
      </c>
      <c r="EM141" s="239">
        <v>0</v>
      </c>
      <c r="EN141" s="239">
        <v>0</v>
      </c>
      <c r="EO141" s="239">
        <v>-14341</v>
      </c>
      <c r="EP141" s="239">
        <v>0</v>
      </c>
      <c r="EQ141" s="239">
        <v>0</v>
      </c>
      <c r="ER141" s="239">
        <v>42828</v>
      </c>
      <c r="ES141" s="239">
        <v>0</v>
      </c>
      <c r="ET141" s="239">
        <v>0</v>
      </c>
      <c r="EU141" s="239">
        <v>44029</v>
      </c>
      <c r="EV141" s="239">
        <v>0</v>
      </c>
      <c r="EW141" s="239">
        <v>0</v>
      </c>
      <c r="EX141" s="239">
        <v>-1201</v>
      </c>
      <c r="EY141" s="239">
        <v>0</v>
      </c>
      <c r="EZ141" s="239">
        <v>0</v>
      </c>
      <c r="FA141" s="239">
        <v>268033</v>
      </c>
      <c r="FB141" s="239">
        <v>0</v>
      </c>
      <c r="FC141" s="239">
        <v>0</v>
      </c>
      <c r="FD141" s="239">
        <v>279425</v>
      </c>
      <c r="FE141" s="239">
        <v>0</v>
      </c>
      <c r="FF141" s="239">
        <v>0</v>
      </c>
      <c r="FG141" s="239">
        <v>-11392</v>
      </c>
      <c r="FH141" s="239">
        <v>0</v>
      </c>
      <c r="FI141" s="239">
        <v>0</v>
      </c>
      <c r="FJ141" s="239">
        <v>0</v>
      </c>
      <c r="FK141" s="239">
        <v>0</v>
      </c>
      <c r="FL141" s="239">
        <v>0</v>
      </c>
      <c r="FM141" s="239">
        <v>0</v>
      </c>
      <c r="FN141" s="239">
        <v>0</v>
      </c>
      <c r="FO141" s="239">
        <v>0</v>
      </c>
      <c r="FP141" s="239">
        <v>0</v>
      </c>
      <c r="FQ141" s="239">
        <v>0</v>
      </c>
      <c r="FR141" s="239">
        <v>0</v>
      </c>
      <c r="FS141" s="239">
        <v>0</v>
      </c>
      <c r="FT141" s="239">
        <v>0</v>
      </c>
      <c r="FU141" s="239">
        <v>0</v>
      </c>
      <c r="FV141" s="239">
        <v>3034389</v>
      </c>
      <c r="FW141" s="239">
        <v>0</v>
      </c>
      <c r="FX141" s="239">
        <v>0</v>
      </c>
      <c r="FY141" s="834">
        <v>0.5</v>
      </c>
      <c r="FZ141" s="834">
        <v>0.5</v>
      </c>
      <c r="GA141" s="834">
        <v>0</v>
      </c>
      <c r="GB141" s="834">
        <v>0</v>
      </c>
      <c r="GC141" s="214" t="s">
        <v>746</v>
      </c>
    </row>
    <row r="142" spans="2:185" s="214" customFormat="1" x14ac:dyDescent="0.2">
      <c r="B142" s="602" t="s">
        <v>367</v>
      </c>
      <c r="C142" s="602" t="s">
        <v>366</v>
      </c>
      <c r="D142" s="239">
        <v>7278</v>
      </c>
      <c r="E142" s="239">
        <v>0</v>
      </c>
      <c r="F142" s="239">
        <v>7278</v>
      </c>
      <c r="G142" s="239">
        <v>31029</v>
      </c>
      <c r="H142" s="239">
        <v>0</v>
      </c>
      <c r="I142" s="239">
        <v>31029</v>
      </c>
      <c r="J142" s="239">
        <v>-23751</v>
      </c>
      <c r="K142" s="239">
        <v>0</v>
      </c>
      <c r="L142" s="239">
        <v>-23751</v>
      </c>
      <c r="M142" s="239">
        <v>24246</v>
      </c>
      <c r="N142" s="239">
        <v>24246</v>
      </c>
      <c r="O142" s="239">
        <v>0</v>
      </c>
      <c r="P142" s="239">
        <v>0</v>
      </c>
      <c r="Q142" s="239">
        <v>0</v>
      </c>
      <c r="R142" s="239">
        <v>0</v>
      </c>
      <c r="S142" s="239">
        <v>0</v>
      </c>
      <c r="T142" s="239">
        <v>0</v>
      </c>
      <c r="U142" s="239">
        <v>0</v>
      </c>
      <c r="V142" s="239">
        <v>0</v>
      </c>
      <c r="W142" s="239">
        <v>0</v>
      </c>
      <c r="X142" s="239">
        <v>0</v>
      </c>
      <c r="Y142" s="239">
        <v>0</v>
      </c>
      <c r="Z142" s="239">
        <v>0</v>
      </c>
      <c r="AA142" s="239">
        <v>0</v>
      </c>
      <c r="AB142" s="239">
        <v>0</v>
      </c>
      <c r="AC142" s="239">
        <v>0</v>
      </c>
      <c r="AD142" s="239">
        <v>0</v>
      </c>
      <c r="AE142" s="239">
        <v>0</v>
      </c>
      <c r="AF142" s="239">
        <v>0</v>
      </c>
      <c r="AG142" s="239">
        <v>0</v>
      </c>
      <c r="AH142" s="239">
        <v>0</v>
      </c>
      <c r="AI142" s="239">
        <v>0</v>
      </c>
      <c r="AJ142" s="239">
        <v>0</v>
      </c>
      <c r="AK142" s="239">
        <v>0</v>
      </c>
      <c r="AL142" s="239">
        <v>0</v>
      </c>
      <c r="AM142" s="239">
        <v>0</v>
      </c>
      <c r="AN142" s="239">
        <v>0</v>
      </c>
      <c r="AO142" s="239">
        <v>0</v>
      </c>
      <c r="AP142" s="239">
        <v>0</v>
      </c>
      <c r="AQ142" s="239">
        <v>0</v>
      </c>
      <c r="AR142" s="239">
        <v>0</v>
      </c>
      <c r="AS142" s="239">
        <v>0</v>
      </c>
      <c r="AT142" s="239">
        <v>0</v>
      </c>
      <c r="AU142" s="239">
        <v>0</v>
      </c>
      <c r="AV142" s="239">
        <v>0</v>
      </c>
      <c r="AW142" s="239">
        <v>0</v>
      </c>
      <c r="AX142" s="239">
        <v>0</v>
      </c>
      <c r="AY142" s="239">
        <v>0</v>
      </c>
      <c r="AZ142" s="239">
        <v>0</v>
      </c>
      <c r="BA142" s="239">
        <v>0</v>
      </c>
      <c r="BB142" s="239">
        <v>0</v>
      </c>
      <c r="BC142" s="239">
        <v>166294</v>
      </c>
      <c r="BD142" s="239">
        <v>0</v>
      </c>
      <c r="BE142" s="239">
        <v>0</v>
      </c>
      <c r="BF142" s="239">
        <v>165019.66143776826</v>
      </c>
      <c r="BG142" s="239">
        <v>0</v>
      </c>
      <c r="BH142" s="239">
        <v>0</v>
      </c>
      <c r="BI142" s="239">
        <v>4636.4911480686696</v>
      </c>
      <c r="BJ142" s="239">
        <v>0</v>
      </c>
      <c r="BK142" s="239">
        <v>0</v>
      </c>
      <c r="BL142" s="239">
        <v>155738</v>
      </c>
      <c r="BM142" s="239">
        <v>0</v>
      </c>
      <c r="BN142" s="239">
        <v>0</v>
      </c>
      <c r="BO142" s="239">
        <v>10556</v>
      </c>
      <c r="BP142" s="239">
        <v>0</v>
      </c>
      <c r="BQ142" s="239">
        <v>0</v>
      </c>
      <c r="BR142" s="239">
        <v>0</v>
      </c>
      <c r="BS142" s="239">
        <v>0</v>
      </c>
      <c r="BT142" s="239">
        <v>0</v>
      </c>
      <c r="BU142" s="239">
        <v>0</v>
      </c>
      <c r="BV142" s="239">
        <v>0</v>
      </c>
      <c r="BW142" s="239">
        <v>0</v>
      </c>
      <c r="BX142" s="239">
        <v>0</v>
      </c>
      <c r="BY142" s="239">
        <v>0</v>
      </c>
      <c r="BZ142" s="239">
        <v>0</v>
      </c>
      <c r="CA142" s="239">
        <v>0</v>
      </c>
      <c r="CB142" s="239">
        <v>0</v>
      </c>
      <c r="CC142" s="239">
        <v>0</v>
      </c>
      <c r="CD142" s="239">
        <v>0</v>
      </c>
      <c r="CE142" s="239">
        <v>0</v>
      </c>
      <c r="CF142" s="239">
        <v>0</v>
      </c>
      <c r="CG142" s="239">
        <v>0</v>
      </c>
      <c r="CH142" s="239">
        <v>0</v>
      </c>
      <c r="CI142" s="239">
        <v>0</v>
      </c>
      <c r="CJ142" s="239">
        <v>0</v>
      </c>
      <c r="CK142" s="239">
        <v>0</v>
      </c>
      <c r="CL142" s="239">
        <v>0</v>
      </c>
      <c r="CM142" s="239">
        <v>0</v>
      </c>
      <c r="CN142" s="239">
        <v>0</v>
      </c>
      <c r="CO142" s="239">
        <v>0</v>
      </c>
      <c r="CP142" s="239">
        <v>0</v>
      </c>
      <c r="CQ142" s="239">
        <v>0</v>
      </c>
      <c r="CR142" s="239">
        <v>0</v>
      </c>
      <c r="CS142" s="239">
        <v>0</v>
      </c>
      <c r="CT142" s="239">
        <v>0</v>
      </c>
      <c r="CU142" s="239">
        <v>0</v>
      </c>
      <c r="CV142" s="239">
        <v>0</v>
      </c>
      <c r="CW142" s="239">
        <v>0</v>
      </c>
      <c r="CX142" s="239">
        <v>0</v>
      </c>
      <c r="CY142" s="239">
        <v>0</v>
      </c>
      <c r="CZ142" s="239">
        <v>0</v>
      </c>
      <c r="DA142" s="239">
        <v>0</v>
      </c>
      <c r="DB142" s="239">
        <v>0</v>
      </c>
      <c r="DC142" s="239">
        <v>0</v>
      </c>
      <c r="DD142" s="239">
        <v>0</v>
      </c>
      <c r="DE142" s="239">
        <v>0</v>
      </c>
      <c r="DF142" s="239">
        <v>0</v>
      </c>
      <c r="DG142" s="239">
        <v>0</v>
      </c>
      <c r="DH142" s="239">
        <v>922</v>
      </c>
      <c r="DI142" s="239">
        <v>0</v>
      </c>
      <c r="DJ142" s="239">
        <v>0</v>
      </c>
      <c r="DK142" s="239">
        <v>0</v>
      </c>
      <c r="DL142" s="239">
        <v>0</v>
      </c>
      <c r="DM142" s="239">
        <v>0</v>
      </c>
      <c r="DN142" s="239">
        <v>922</v>
      </c>
      <c r="DO142" s="239">
        <v>0</v>
      </c>
      <c r="DP142" s="239">
        <v>0</v>
      </c>
      <c r="DQ142" s="239">
        <v>0</v>
      </c>
      <c r="DR142" s="239">
        <v>0</v>
      </c>
      <c r="DS142" s="239">
        <v>0</v>
      </c>
      <c r="DT142" s="239">
        <v>0</v>
      </c>
      <c r="DU142" s="239">
        <v>0</v>
      </c>
      <c r="DV142" s="239">
        <v>0</v>
      </c>
      <c r="DW142" s="239">
        <v>0</v>
      </c>
      <c r="DX142" s="239">
        <v>0</v>
      </c>
      <c r="DY142" s="239">
        <v>0</v>
      </c>
      <c r="DZ142" s="239">
        <v>0</v>
      </c>
      <c r="EA142" s="239">
        <v>0</v>
      </c>
      <c r="EB142" s="239">
        <v>0</v>
      </c>
      <c r="EC142" s="239">
        <v>0</v>
      </c>
      <c r="ED142" s="239">
        <v>0</v>
      </c>
      <c r="EE142" s="239">
        <v>0</v>
      </c>
      <c r="EF142" s="239">
        <v>0</v>
      </c>
      <c r="EG142" s="239">
        <v>0</v>
      </c>
      <c r="EH142" s="239">
        <v>0</v>
      </c>
      <c r="EI142" s="239">
        <v>0</v>
      </c>
      <c r="EJ142" s="239">
        <v>0</v>
      </c>
      <c r="EK142" s="239">
        <v>0</v>
      </c>
      <c r="EL142" s="239">
        <v>7453</v>
      </c>
      <c r="EM142" s="239">
        <v>0</v>
      </c>
      <c r="EN142" s="239">
        <v>0</v>
      </c>
      <c r="EO142" s="239">
        <v>-7453</v>
      </c>
      <c r="EP142" s="239">
        <v>0</v>
      </c>
      <c r="EQ142" s="239">
        <v>0</v>
      </c>
      <c r="ER142" s="239">
        <v>2538</v>
      </c>
      <c r="ES142" s="239">
        <v>0</v>
      </c>
      <c r="ET142" s="239">
        <v>0</v>
      </c>
      <c r="EU142" s="239">
        <v>0</v>
      </c>
      <c r="EV142" s="239">
        <v>0</v>
      </c>
      <c r="EW142" s="239">
        <v>0</v>
      </c>
      <c r="EX142" s="239">
        <v>2538</v>
      </c>
      <c r="EY142" s="239">
        <v>0</v>
      </c>
      <c r="EZ142" s="239">
        <v>0</v>
      </c>
      <c r="FA142" s="239">
        <v>10834</v>
      </c>
      <c r="FB142" s="239">
        <v>0</v>
      </c>
      <c r="FC142" s="239">
        <v>0</v>
      </c>
      <c r="FD142" s="239">
        <v>10809</v>
      </c>
      <c r="FE142" s="239">
        <v>0</v>
      </c>
      <c r="FF142" s="239">
        <v>0</v>
      </c>
      <c r="FG142" s="239">
        <v>25</v>
      </c>
      <c r="FH142" s="239">
        <v>0</v>
      </c>
      <c r="FI142" s="239">
        <v>0</v>
      </c>
      <c r="FJ142" s="239">
        <v>0</v>
      </c>
      <c r="FK142" s="239">
        <v>0</v>
      </c>
      <c r="FL142" s="239">
        <v>0</v>
      </c>
      <c r="FM142" s="239">
        <v>0</v>
      </c>
      <c r="FN142" s="239">
        <v>0</v>
      </c>
      <c r="FO142" s="239">
        <v>0</v>
      </c>
      <c r="FP142" s="239">
        <v>0</v>
      </c>
      <c r="FQ142" s="239">
        <v>0</v>
      </c>
      <c r="FR142" s="239">
        <v>0</v>
      </c>
      <c r="FS142" s="239">
        <v>0</v>
      </c>
      <c r="FT142" s="239">
        <v>0</v>
      </c>
      <c r="FU142" s="239">
        <v>0</v>
      </c>
      <c r="FV142" s="239">
        <v>180588</v>
      </c>
      <c r="FW142" s="239">
        <v>0</v>
      </c>
      <c r="FX142" s="239">
        <v>0</v>
      </c>
      <c r="FY142" s="834">
        <v>0.5</v>
      </c>
      <c r="FZ142" s="834">
        <v>0.5</v>
      </c>
      <c r="GA142" s="834">
        <v>0</v>
      </c>
      <c r="GB142" s="834">
        <v>0</v>
      </c>
      <c r="GC142" s="214" t="s">
        <v>746</v>
      </c>
    </row>
    <row r="143" spans="2:185" s="214" customFormat="1" x14ac:dyDescent="0.2">
      <c r="B143" s="602" t="s">
        <v>369</v>
      </c>
      <c r="C143" s="602" t="s">
        <v>368</v>
      </c>
      <c r="D143" s="239">
        <v>37171254</v>
      </c>
      <c r="E143" s="239">
        <v>0</v>
      </c>
      <c r="F143" s="239">
        <v>37171254</v>
      </c>
      <c r="G143" s="239">
        <v>38124629</v>
      </c>
      <c r="H143" s="239">
        <v>0</v>
      </c>
      <c r="I143" s="239">
        <v>38124629</v>
      </c>
      <c r="J143" s="239">
        <v>-953375</v>
      </c>
      <c r="K143" s="239">
        <v>0</v>
      </c>
      <c r="L143" s="239">
        <v>-953375</v>
      </c>
      <c r="M143" s="239">
        <v>703757</v>
      </c>
      <c r="N143" s="239">
        <v>703757</v>
      </c>
      <c r="O143" s="239">
        <v>0</v>
      </c>
      <c r="P143" s="239">
        <v>0</v>
      </c>
      <c r="Q143" s="239">
        <v>0</v>
      </c>
      <c r="R143" s="239">
        <v>0</v>
      </c>
      <c r="S143" s="239">
        <v>74351</v>
      </c>
      <c r="T143" s="239">
        <v>0</v>
      </c>
      <c r="U143" s="239">
        <v>74351</v>
      </c>
      <c r="V143" s="239">
        <v>0</v>
      </c>
      <c r="W143" s="239">
        <v>0</v>
      </c>
      <c r="X143" s="239">
        <v>0</v>
      </c>
      <c r="Y143" s="239">
        <v>0</v>
      </c>
      <c r="Z143" s="239">
        <v>0</v>
      </c>
      <c r="AA143" s="239">
        <v>0</v>
      </c>
      <c r="AB143" s="239">
        <v>0</v>
      </c>
      <c r="AC143" s="239">
        <v>0</v>
      </c>
      <c r="AD143" s="239">
        <v>0</v>
      </c>
      <c r="AE143" s="239">
        <v>0</v>
      </c>
      <c r="AF143" s="239">
        <v>0</v>
      </c>
      <c r="AG143" s="239">
        <v>0</v>
      </c>
      <c r="AH143" s="239">
        <v>0</v>
      </c>
      <c r="AI143" s="239">
        <v>0</v>
      </c>
      <c r="AJ143" s="239">
        <v>0</v>
      </c>
      <c r="AK143" s="239">
        <v>0</v>
      </c>
      <c r="AL143" s="239">
        <v>0</v>
      </c>
      <c r="AM143" s="239">
        <v>0</v>
      </c>
      <c r="AN143" s="239">
        <v>0</v>
      </c>
      <c r="AO143" s="239">
        <v>0</v>
      </c>
      <c r="AP143" s="239">
        <v>0</v>
      </c>
      <c r="AQ143" s="239">
        <v>0</v>
      </c>
      <c r="AR143" s="239">
        <v>0</v>
      </c>
      <c r="AS143" s="239">
        <v>0</v>
      </c>
      <c r="AT143" s="239">
        <v>0</v>
      </c>
      <c r="AU143" s="239">
        <v>0</v>
      </c>
      <c r="AV143" s="239">
        <v>0</v>
      </c>
      <c r="AW143" s="239">
        <v>0</v>
      </c>
      <c r="AX143" s="239">
        <v>0</v>
      </c>
      <c r="AY143" s="239">
        <v>0</v>
      </c>
      <c r="AZ143" s="239">
        <v>0</v>
      </c>
      <c r="BA143" s="239">
        <v>0</v>
      </c>
      <c r="BB143" s="239">
        <v>0</v>
      </c>
      <c r="BC143" s="239">
        <v>1337607</v>
      </c>
      <c r="BD143" s="239">
        <v>1649715</v>
      </c>
      <c r="BE143" s="239">
        <v>0</v>
      </c>
      <c r="BF143" s="239">
        <v>1284980.6753304722</v>
      </c>
      <c r="BG143" s="239">
        <v>1584809.4995742489</v>
      </c>
      <c r="BH143" s="239">
        <v>0</v>
      </c>
      <c r="BI143" s="239">
        <v>146537.86142703862</v>
      </c>
      <c r="BJ143" s="239">
        <v>180730.02909334764</v>
      </c>
      <c r="BK143" s="239">
        <v>0</v>
      </c>
      <c r="BL143" s="239">
        <v>1896427</v>
      </c>
      <c r="BM143" s="239">
        <v>982660</v>
      </c>
      <c r="BN143" s="239">
        <v>0</v>
      </c>
      <c r="BO143" s="239">
        <v>-558820</v>
      </c>
      <c r="BP143" s="239">
        <v>667055</v>
      </c>
      <c r="BQ143" s="239">
        <v>0</v>
      </c>
      <c r="BR143" s="239">
        <v>5232</v>
      </c>
      <c r="BS143" s="239">
        <v>6452</v>
      </c>
      <c r="BT143" s="239">
        <v>0</v>
      </c>
      <c r="BU143" s="239">
        <v>0</v>
      </c>
      <c r="BV143" s="239">
        <v>0</v>
      </c>
      <c r="BW143" s="239">
        <v>0</v>
      </c>
      <c r="BX143" s="239">
        <v>5232</v>
      </c>
      <c r="BY143" s="239">
        <v>6452</v>
      </c>
      <c r="BZ143" s="239">
        <v>0</v>
      </c>
      <c r="CA143" s="239">
        <v>0</v>
      </c>
      <c r="CB143" s="239">
        <v>0</v>
      </c>
      <c r="CC143" s="239">
        <v>0</v>
      </c>
      <c r="CD143" s="239">
        <v>100383</v>
      </c>
      <c r="CE143" s="239">
        <v>123806</v>
      </c>
      <c r="CF143" s="239">
        <v>0</v>
      </c>
      <c r="CG143" s="239">
        <v>-100383</v>
      </c>
      <c r="CH143" s="239">
        <v>-123806</v>
      </c>
      <c r="CI143" s="239">
        <v>0</v>
      </c>
      <c r="CJ143" s="239">
        <v>190</v>
      </c>
      <c r="CK143" s="239">
        <v>235</v>
      </c>
      <c r="CL143" s="239">
        <v>0</v>
      </c>
      <c r="CM143" s="239">
        <v>95</v>
      </c>
      <c r="CN143" s="239">
        <v>118</v>
      </c>
      <c r="CO143" s="239">
        <v>0</v>
      </c>
      <c r="CP143" s="239">
        <v>95</v>
      </c>
      <c r="CQ143" s="239">
        <v>117</v>
      </c>
      <c r="CR143" s="239">
        <v>0</v>
      </c>
      <c r="CS143" s="239">
        <v>981</v>
      </c>
      <c r="CT143" s="239">
        <v>1209</v>
      </c>
      <c r="CU143" s="239">
        <v>0</v>
      </c>
      <c r="CV143" s="239">
        <v>0</v>
      </c>
      <c r="CW143" s="239">
        <v>0</v>
      </c>
      <c r="CX143" s="239">
        <v>0</v>
      </c>
      <c r="CY143" s="239">
        <v>0</v>
      </c>
      <c r="CZ143" s="239">
        <v>0</v>
      </c>
      <c r="DA143" s="239">
        <v>0</v>
      </c>
      <c r="DB143" s="239">
        <v>0</v>
      </c>
      <c r="DC143" s="239">
        <v>0</v>
      </c>
      <c r="DD143" s="239">
        <v>0</v>
      </c>
      <c r="DE143" s="239">
        <v>0</v>
      </c>
      <c r="DF143" s="239">
        <v>0</v>
      </c>
      <c r="DG143" s="239">
        <v>0</v>
      </c>
      <c r="DH143" s="239">
        <v>0</v>
      </c>
      <c r="DI143" s="239">
        <v>0</v>
      </c>
      <c r="DJ143" s="239">
        <v>0</v>
      </c>
      <c r="DK143" s="239">
        <v>0</v>
      </c>
      <c r="DL143" s="239">
        <v>0</v>
      </c>
      <c r="DM143" s="239">
        <v>0</v>
      </c>
      <c r="DN143" s="239">
        <v>0</v>
      </c>
      <c r="DO143" s="239">
        <v>0</v>
      </c>
      <c r="DP143" s="239">
        <v>0</v>
      </c>
      <c r="DQ143" s="239">
        <v>0</v>
      </c>
      <c r="DR143" s="239">
        <v>0</v>
      </c>
      <c r="DS143" s="239">
        <v>0</v>
      </c>
      <c r="DT143" s="239">
        <v>0</v>
      </c>
      <c r="DU143" s="239">
        <v>0</v>
      </c>
      <c r="DV143" s="239">
        <v>0</v>
      </c>
      <c r="DW143" s="239">
        <v>0</v>
      </c>
      <c r="DX143" s="239">
        <v>0</v>
      </c>
      <c r="DY143" s="239">
        <v>0</v>
      </c>
      <c r="DZ143" s="239">
        <v>94820</v>
      </c>
      <c r="EA143" s="239">
        <v>116945</v>
      </c>
      <c r="EB143" s="239">
        <v>0</v>
      </c>
      <c r="EC143" s="239">
        <v>231763</v>
      </c>
      <c r="ED143" s="239">
        <v>0</v>
      </c>
      <c r="EE143" s="239">
        <v>0</v>
      </c>
      <c r="EF143" s="239">
        <v>-136943</v>
      </c>
      <c r="EG143" s="239">
        <v>116945</v>
      </c>
      <c r="EH143" s="239">
        <v>0</v>
      </c>
      <c r="EI143" s="239">
        <v>1525670</v>
      </c>
      <c r="EJ143" s="239">
        <v>1881660</v>
      </c>
      <c r="EK143" s="239">
        <v>0</v>
      </c>
      <c r="EL143" s="239">
        <v>3357540</v>
      </c>
      <c r="EM143" s="239">
        <v>0</v>
      </c>
      <c r="EN143" s="239">
        <v>0</v>
      </c>
      <c r="EO143" s="239">
        <v>-1831870</v>
      </c>
      <c r="EP143" s="239">
        <v>1881660</v>
      </c>
      <c r="EQ143" s="239">
        <v>0</v>
      </c>
      <c r="ER143" s="239">
        <v>37841</v>
      </c>
      <c r="ES143" s="239">
        <v>46671</v>
      </c>
      <c r="ET143" s="239">
        <v>0</v>
      </c>
      <c r="EU143" s="239">
        <v>96362</v>
      </c>
      <c r="EV143" s="239">
        <v>0</v>
      </c>
      <c r="EW143" s="239">
        <v>0</v>
      </c>
      <c r="EX143" s="239">
        <v>-58521</v>
      </c>
      <c r="EY143" s="239">
        <v>46671</v>
      </c>
      <c r="EZ143" s="239">
        <v>0</v>
      </c>
      <c r="FA143" s="239">
        <v>1248514</v>
      </c>
      <c r="FB143" s="239">
        <v>1538457</v>
      </c>
      <c r="FC143" s="239">
        <v>0</v>
      </c>
      <c r="FD143" s="239">
        <v>1176831</v>
      </c>
      <c r="FE143" s="239">
        <v>1450047</v>
      </c>
      <c r="FF143" s="239">
        <v>0</v>
      </c>
      <c r="FG143" s="239">
        <v>71683</v>
      </c>
      <c r="FH143" s="239">
        <v>88410</v>
      </c>
      <c r="FI143" s="239">
        <v>0</v>
      </c>
      <c r="FJ143" s="239">
        <v>0</v>
      </c>
      <c r="FK143" s="239">
        <v>0</v>
      </c>
      <c r="FL143" s="239">
        <v>0</v>
      </c>
      <c r="FM143" s="239">
        <v>0</v>
      </c>
      <c r="FN143" s="239">
        <v>0</v>
      </c>
      <c r="FO143" s="239">
        <v>0</v>
      </c>
      <c r="FP143" s="239">
        <v>0</v>
      </c>
      <c r="FQ143" s="239">
        <v>0</v>
      </c>
      <c r="FR143" s="239">
        <v>0</v>
      </c>
      <c r="FS143" s="239">
        <v>0</v>
      </c>
      <c r="FT143" s="239">
        <v>0</v>
      </c>
      <c r="FU143" s="239">
        <v>0</v>
      </c>
      <c r="FV143" s="239">
        <v>4250855</v>
      </c>
      <c r="FW143" s="239">
        <v>5241344</v>
      </c>
      <c r="FX143" s="239">
        <v>0</v>
      </c>
      <c r="FY143" s="834">
        <v>0.33000000000000007</v>
      </c>
      <c r="FZ143" s="834">
        <v>0.3</v>
      </c>
      <c r="GA143" s="834">
        <v>0.37</v>
      </c>
      <c r="GB143" s="834">
        <v>0</v>
      </c>
      <c r="GC143" s="214" t="s">
        <v>1161</v>
      </c>
    </row>
    <row r="144" spans="2:185" s="214" customFormat="1" x14ac:dyDescent="0.2">
      <c r="B144" s="602" t="s">
        <v>371</v>
      </c>
      <c r="C144" s="602" t="s">
        <v>370</v>
      </c>
      <c r="D144" s="239">
        <v>18230687</v>
      </c>
      <c r="E144" s="239">
        <v>0</v>
      </c>
      <c r="F144" s="239">
        <v>18230687</v>
      </c>
      <c r="G144" s="239">
        <v>19775110</v>
      </c>
      <c r="H144" s="239">
        <v>0</v>
      </c>
      <c r="I144" s="239">
        <v>19775110</v>
      </c>
      <c r="J144" s="239">
        <v>-1544423</v>
      </c>
      <c r="K144" s="239">
        <v>0</v>
      </c>
      <c r="L144" s="239">
        <v>-1544423</v>
      </c>
      <c r="M144" s="239">
        <v>649577</v>
      </c>
      <c r="N144" s="239">
        <v>649577</v>
      </c>
      <c r="O144" s="239">
        <v>0</v>
      </c>
      <c r="P144" s="239">
        <v>0</v>
      </c>
      <c r="Q144" s="239">
        <v>0</v>
      </c>
      <c r="R144" s="239">
        <v>0</v>
      </c>
      <c r="S144" s="239">
        <v>0</v>
      </c>
      <c r="T144" s="239">
        <v>0</v>
      </c>
      <c r="U144" s="239">
        <v>0</v>
      </c>
      <c r="V144" s="239">
        <v>0</v>
      </c>
      <c r="W144" s="239">
        <v>0</v>
      </c>
      <c r="X144" s="239">
        <v>0</v>
      </c>
      <c r="Y144" s="239">
        <v>0</v>
      </c>
      <c r="Z144" s="239">
        <v>0</v>
      </c>
      <c r="AA144" s="239">
        <v>0</v>
      </c>
      <c r="AB144" s="239">
        <v>0</v>
      </c>
      <c r="AC144" s="239">
        <v>0</v>
      </c>
      <c r="AD144" s="239">
        <v>0</v>
      </c>
      <c r="AE144" s="239">
        <v>0</v>
      </c>
      <c r="AF144" s="239">
        <v>0</v>
      </c>
      <c r="AG144" s="239">
        <v>0</v>
      </c>
      <c r="AH144" s="239">
        <v>0</v>
      </c>
      <c r="AI144" s="239">
        <v>0</v>
      </c>
      <c r="AJ144" s="239">
        <v>0</v>
      </c>
      <c r="AK144" s="239">
        <v>0</v>
      </c>
      <c r="AL144" s="239">
        <v>0</v>
      </c>
      <c r="AM144" s="239">
        <v>0</v>
      </c>
      <c r="AN144" s="239">
        <v>0</v>
      </c>
      <c r="AO144" s="239">
        <v>0</v>
      </c>
      <c r="AP144" s="239">
        <v>0</v>
      </c>
      <c r="AQ144" s="239">
        <v>0</v>
      </c>
      <c r="AR144" s="239">
        <v>0</v>
      </c>
      <c r="AS144" s="239">
        <v>0</v>
      </c>
      <c r="AT144" s="239">
        <v>0</v>
      </c>
      <c r="AU144" s="239">
        <v>0</v>
      </c>
      <c r="AV144" s="239">
        <v>0</v>
      </c>
      <c r="AW144" s="239">
        <v>0</v>
      </c>
      <c r="AX144" s="239">
        <v>0</v>
      </c>
      <c r="AY144" s="239">
        <v>0</v>
      </c>
      <c r="AZ144" s="239">
        <v>0</v>
      </c>
      <c r="BA144" s="239">
        <v>0</v>
      </c>
      <c r="BB144" s="239">
        <v>0</v>
      </c>
      <c r="BC144" s="239">
        <v>757046</v>
      </c>
      <c r="BD144" s="239">
        <v>933690</v>
      </c>
      <c r="BE144" s="239">
        <v>0</v>
      </c>
      <c r="BF144" s="239">
        <v>710928.89036909863</v>
      </c>
      <c r="BG144" s="239">
        <v>876812.29812188842</v>
      </c>
      <c r="BH144" s="239">
        <v>0</v>
      </c>
      <c r="BI144" s="239">
        <v>46117.316078111624</v>
      </c>
      <c r="BJ144" s="239">
        <v>56878.023163004342</v>
      </c>
      <c r="BK144" s="239">
        <v>0</v>
      </c>
      <c r="BL144" s="239">
        <v>921427</v>
      </c>
      <c r="BM144" s="239">
        <v>480154</v>
      </c>
      <c r="BN144" s="239">
        <v>0</v>
      </c>
      <c r="BO144" s="239">
        <v>-164381</v>
      </c>
      <c r="BP144" s="239">
        <v>453536</v>
      </c>
      <c r="BQ144" s="239">
        <v>0</v>
      </c>
      <c r="BR144" s="239">
        <v>1068</v>
      </c>
      <c r="BS144" s="239">
        <v>1317</v>
      </c>
      <c r="BT144" s="239">
        <v>0</v>
      </c>
      <c r="BU144" s="239">
        <v>0</v>
      </c>
      <c r="BV144" s="239">
        <v>0</v>
      </c>
      <c r="BW144" s="239">
        <v>0</v>
      </c>
      <c r="BX144" s="239">
        <v>1068</v>
      </c>
      <c r="BY144" s="239">
        <v>1317</v>
      </c>
      <c r="BZ144" s="239">
        <v>0</v>
      </c>
      <c r="CA144" s="239">
        <v>32352</v>
      </c>
      <c r="CB144" s="239">
        <v>39900</v>
      </c>
      <c r="CC144" s="239">
        <v>0</v>
      </c>
      <c r="CD144" s="239">
        <v>0</v>
      </c>
      <c r="CE144" s="239">
        <v>0</v>
      </c>
      <c r="CF144" s="239">
        <v>0</v>
      </c>
      <c r="CG144" s="239">
        <v>32352</v>
      </c>
      <c r="CH144" s="239">
        <v>39900</v>
      </c>
      <c r="CI144" s="239">
        <v>0</v>
      </c>
      <c r="CJ144" s="239">
        <v>11854</v>
      </c>
      <c r="CK144" s="239">
        <v>14620</v>
      </c>
      <c r="CL144" s="239">
        <v>0</v>
      </c>
      <c r="CM144" s="239">
        <v>13829</v>
      </c>
      <c r="CN144" s="239">
        <v>17055</v>
      </c>
      <c r="CO144" s="239">
        <v>0</v>
      </c>
      <c r="CP144" s="239">
        <v>-1975</v>
      </c>
      <c r="CQ144" s="239">
        <v>-2435</v>
      </c>
      <c r="CR144" s="239">
        <v>0</v>
      </c>
      <c r="CS144" s="239">
        <v>-1914</v>
      </c>
      <c r="CT144" s="239">
        <v>-2360</v>
      </c>
      <c r="CU144" s="239">
        <v>0</v>
      </c>
      <c r="CV144" s="239">
        <v>0</v>
      </c>
      <c r="CW144" s="239">
        <v>0</v>
      </c>
      <c r="CX144" s="239">
        <v>0</v>
      </c>
      <c r="CY144" s="239">
        <v>0</v>
      </c>
      <c r="CZ144" s="239">
        <v>0</v>
      </c>
      <c r="DA144" s="239">
        <v>0</v>
      </c>
      <c r="DB144" s="239">
        <v>0</v>
      </c>
      <c r="DC144" s="239">
        <v>0</v>
      </c>
      <c r="DD144" s="239">
        <v>0</v>
      </c>
      <c r="DE144" s="239">
        <v>-234</v>
      </c>
      <c r="DF144" s="239">
        <v>-288</v>
      </c>
      <c r="DG144" s="239">
        <v>0</v>
      </c>
      <c r="DH144" s="239">
        <v>0</v>
      </c>
      <c r="DI144" s="239">
        <v>0</v>
      </c>
      <c r="DJ144" s="239">
        <v>0</v>
      </c>
      <c r="DK144" s="239">
        <v>0</v>
      </c>
      <c r="DL144" s="239">
        <v>0</v>
      </c>
      <c r="DM144" s="239">
        <v>0</v>
      </c>
      <c r="DN144" s="239">
        <v>0</v>
      </c>
      <c r="DO144" s="239">
        <v>0</v>
      </c>
      <c r="DP144" s="239">
        <v>0</v>
      </c>
      <c r="DQ144" s="239">
        <v>0</v>
      </c>
      <c r="DR144" s="239">
        <v>0</v>
      </c>
      <c r="DS144" s="239">
        <v>0</v>
      </c>
      <c r="DT144" s="239">
        <v>0</v>
      </c>
      <c r="DU144" s="239">
        <v>0</v>
      </c>
      <c r="DV144" s="239">
        <v>0</v>
      </c>
      <c r="DW144" s="239">
        <v>0</v>
      </c>
      <c r="DX144" s="239">
        <v>0</v>
      </c>
      <c r="DY144" s="239">
        <v>0</v>
      </c>
      <c r="DZ144" s="239">
        <v>24053</v>
      </c>
      <c r="EA144" s="239">
        <v>29666</v>
      </c>
      <c r="EB144" s="239">
        <v>0</v>
      </c>
      <c r="EC144" s="239">
        <v>56867</v>
      </c>
      <c r="ED144" s="239">
        <v>0</v>
      </c>
      <c r="EE144" s="239">
        <v>0</v>
      </c>
      <c r="EF144" s="239">
        <v>-32814</v>
      </c>
      <c r="EG144" s="239">
        <v>29666</v>
      </c>
      <c r="EH144" s="239">
        <v>0</v>
      </c>
      <c r="EI144" s="239">
        <v>779822</v>
      </c>
      <c r="EJ144" s="239">
        <v>961780</v>
      </c>
      <c r="EK144" s="239">
        <v>0</v>
      </c>
      <c r="EL144" s="239">
        <v>1887109</v>
      </c>
      <c r="EM144" s="239">
        <v>0</v>
      </c>
      <c r="EN144" s="239">
        <v>0</v>
      </c>
      <c r="EO144" s="239">
        <v>-1107287</v>
      </c>
      <c r="EP144" s="239">
        <v>961780</v>
      </c>
      <c r="EQ144" s="239">
        <v>0</v>
      </c>
      <c r="ER144" s="239">
        <v>7316</v>
      </c>
      <c r="ES144" s="239">
        <v>9024</v>
      </c>
      <c r="ET144" s="239">
        <v>0</v>
      </c>
      <c r="EU144" s="239">
        <v>12260</v>
      </c>
      <c r="EV144" s="239">
        <v>0</v>
      </c>
      <c r="EW144" s="239">
        <v>0</v>
      </c>
      <c r="EX144" s="239">
        <v>-4944</v>
      </c>
      <c r="EY144" s="239">
        <v>9024</v>
      </c>
      <c r="EZ144" s="239">
        <v>0</v>
      </c>
      <c r="FA144" s="239">
        <v>1442552</v>
      </c>
      <c r="FB144" s="239">
        <v>1779147</v>
      </c>
      <c r="FC144" s="239">
        <v>0</v>
      </c>
      <c r="FD144" s="239">
        <v>1448137</v>
      </c>
      <c r="FE144" s="239">
        <v>1786035</v>
      </c>
      <c r="FF144" s="239">
        <v>0</v>
      </c>
      <c r="FG144" s="239">
        <v>-5585</v>
      </c>
      <c r="FH144" s="239">
        <v>-6888</v>
      </c>
      <c r="FI144" s="239">
        <v>0</v>
      </c>
      <c r="FJ144" s="239">
        <v>0</v>
      </c>
      <c r="FK144" s="239">
        <v>0</v>
      </c>
      <c r="FL144" s="239">
        <v>0</v>
      </c>
      <c r="FM144" s="239">
        <v>0</v>
      </c>
      <c r="FN144" s="239">
        <v>0</v>
      </c>
      <c r="FO144" s="239">
        <v>0</v>
      </c>
      <c r="FP144" s="239">
        <v>0</v>
      </c>
      <c r="FQ144" s="239">
        <v>0</v>
      </c>
      <c r="FR144" s="239">
        <v>0</v>
      </c>
      <c r="FS144" s="239">
        <v>0</v>
      </c>
      <c r="FT144" s="239">
        <v>0</v>
      </c>
      <c r="FU144" s="239">
        <v>0</v>
      </c>
      <c r="FV144" s="239">
        <v>3053915</v>
      </c>
      <c r="FW144" s="239">
        <v>3766496</v>
      </c>
      <c r="FX144" s="239">
        <v>0</v>
      </c>
      <c r="FY144" s="834">
        <v>0.33000000000000007</v>
      </c>
      <c r="FZ144" s="834">
        <v>0.3</v>
      </c>
      <c r="GA144" s="834">
        <v>0.37</v>
      </c>
      <c r="GB144" s="834">
        <v>0</v>
      </c>
      <c r="GC144" s="214" t="s">
        <v>1161</v>
      </c>
    </row>
    <row r="145" spans="2:185" s="214" customFormat="1" x14ac:dyDescent="0.2">
      <c r="B145" s="602" t="s">
        <v>373</v>
      </c>
      <c r="C145" s="602" t="s">
        <v>372</v>
      </c>
      <c r="D145" s="239">
        <v>-825480</v>
      </c>
      <c r="E145" s="239">
        <v>0</v>
      </c>
      <c r="F145" s="239">
        <v>-825480</v>
      </c>
      <c r="G145" s="239">
        <v>-1638962</v>
      </c>
      <c r="H145" s="239">
        <v>0</v>
      </c>
      <c r="I145" s="239">
        <v>-1638962</v>
      </c>
      <c r="J145" s="239">
        <v>813482</v>
      </c>
      <c r="K145" s="239">
        <v>0</v>
      </c>
      <c r="L145" s="239">
        <v>813482</v>
      </c>
      <c r="M145" s="239">
        <v>110062</v>
      </c>
      <c r="N145" s="239">
        <v>110062</v>
      </c>
      <c r="O145" s="239">
        <v>0</v>
      </c>
      <c r="P145" s="239">
        <v>0</v>
      </c>
      <c r="Q145" s="239">
        <v>0</v>
      </c>
      <c r="R145" s="239">
        <v>0</v>
      </c>
      <c r="S145" s="239">
        <v>351859</v>
      </c>
      <c r="T145" s="239">
        <v>0</v>
      </c>
      <c r="U145" s="239">
        <v>289400</v>
      </c>
      <c r="V145" s="239">
        <v>0</v>
      </c>
      <c r="W145" s="239">
        <v>62459</v>
      </c>
      <c r="X145" s="239">
        <v>0</v>
      </c>
      <c r="Y145" s="239">
        <v>0</v>
      </c>
      <c r="Z145" s="239">
        <v>0</v>
      </c>
      <c r="AA145" s="239">
        <v>0</v>
      </c>
      <c r="AB145" s="239">
        <v>0</v>
      </c>
      <c r="AC145" s="239">
        <v>0</v>
      </c>
      <c r="AD145" s="239">
        <v>0</v>
      </c>
      <c r="AE145" s="239">
        <v>0</v>
      </c>
      <c r="AF145" s="239">
        <v>0</v>
      </c>
      <c r="AG145" s="239">
        <v>0</v>
      </c>
      <c r="AH145" s="239">
        <v>0</v>
      </c>
      <c r="AI145" s="239">
        <v>0</v>
      </c>
      <c r="AJ145" s="239">
        <v>0</v>
      </c>
      <c r="AK145" s="239">
        <v>0</v>
      </c>
      <c r="AL145" s="239">
        <v>0</v>
      </c>
      <c r="AM145" s="239">
        <v>0</v>
      </c>
      <c r="AN145" s="239">
        <v>0</v>
      </c>
      <c r="AO145" s="239">
        <v>0</v>
      </c>
      <c r="AP145" s="239">
        <v>0</v>
      </c>
      <c r="AQ145" s="239">
        <v>0</v>
      </c>
      <c r="AR145" s="239">
        <v>0</v>
      </c>
      <c r="AS145" s="239">
        <v>0</v>
      </c>
      <c r="AT145" s="239">
        <v>0</v>
      </c>
      <c r="AU145" s="239">
        <v>0</v>
      </c>
      <c r="AV145" s="239">
        <v>0</v>
      </c>
      <c r="AW145" s="239">
        <v>0</v>
      </c>
      <c r="AX145" s="239">
        <v>0</v>
      </c>
      <c r="AY145" s="239">
        <v>0</v>
      </c>
      <c r="AZ145" s="239">
        <v>0</v>
      </c>
      <c r="BA145" s="239">
        <v>0</v>
      </c>
      <c r="BB145" s="239">
        <v>0</v>
      </c>
      <c r="BC145" s="239">
        <v>752044</v>
      </c>
      <c r="BD145" s="239">
        <v>188011</v>
      </c>
      <c r="BE145" s="239">
        <v>0</v>
      </c>
      <c r="BF145" s="239">
        <v>732952.82802145928</v>
      </c>
      <c r="BG145" s="239">
        <v>183238.20700536482</v>
      </c>
      <c r="BH145" s="239">
        <v>0</v>
      </c>
      <c r="BI145" s="239">
        <v>55691.466609442061</v>
      </c>
      <c r="BJ145" s="239">
        <v>13922.866652360515</v>
      </c>
      <c r="BK145" s="239">
        <v>0</v>
      </c>
      <c r="BL145" s="239">
        <v>866223</v>
      </c>
      <c r="BM145" s="239">
        <v>143652</v>
      </c>
      <c r="BN145" s="239">
        <v>0</v>
      </c>
      <c r="BO145" s="239">
        <v>-114179</v>
      </c>
      <c r="BP145" s="239">
        <v>44359</v>
      </c>
      <c r="BQ145" s="239">
        <v>0</v>
      </c>
      <c r="BR145" s="239">
        <v>1083</v>
      </c>
      <c r="BS145" s="239">
        <v>271</v>
      </c>
      <c r="BT145" s="239">
        <v>0</v>
      </c>
      <c r="BU145" s="239">
        <v>0</v>
      </c>
      <c r="BV145" s="239">
        <v>0</v>
      </c>
      <c r="BW145" s="239">
        <v>0</v>
      </c>
      <c r="BX145" s="239">
        <v>1083</v>
      </c>
      <c r="BY145" s="239">
        <v>271</v>
      </c>
      <c r="BZ145" s="239">
        <v>0</v>
      </c>
      <c r="CA145" s="239">
        <v>2499</v>
      </c>
      <c r="CB145" s="239">
        <v>625</v>
      </c>
      <c r="CC145" s="239">
        <v>0</v>
      </c>
      <c r="CD145" s="239">
        <v>3630</v>
      </c>
      <c r="CE145" s="239">
        <v>908</v>
      </c>
      <c r="CF145" s="239">
        <v>0</v>
      </c>
      <c r="CG145" s="239">
        <v>-1131</v>
      </c>
      <c r="CH145" s="239">
        <v>-283</v>
      </c>
      <c r="CI145" s="239">
        <v>0</v>
      </c>
      <c r="CJ145" s="239">
        <v>0</v>
      </c>
      <c r="CK145" s="239">
        <v>0</v>
      </c>
      <c r="CL145" s="239">
        <v>0</v>
      </c>
      <c r="CM145" s="239">
        <v>0</v>
      </c>
      <c r="CN145" s="239">
        <v>0</v>
      </c>
      <c r="CO145" s="239">
        <v>0</v>
      </c>
      <c r="CP145" s="239">
        <v>0</v>
      </c>
      <c r="CQ145" s="239">
        <v>0</v>
      </c>
      <c r="CR145" s="239">
        <v>0</v>
      </c>
      <c r="CS145" s="239">
        <v>-1218</v>
      </c>
      <c r="CT145" s="239">
        <v>-305</v>
      </c>
      <c r="CU145" s="239">
        <v>0</v>
      </c>
      <c r="CV145" s="239">
        <v>0</v>
      </c>
      <c r="CW145" s="239">
        <v>0</v>
      </c>
      <c r="CX145" s="239">
        <v>0</v>
      </c>
      <c r="CY145" s="239">
        <v>0</v>
      </c>
      <c r="CZ145" s="239">
        <v>0</v>
      </c>
      <c r="DA145" s="239">
        <v>0</v>
      </c>
      <c r="DB145" s="239">
        <v>0</v>
      </c>
      <c r="DC145" s="239">
        <v>0</v>
      </c>
      <c r="DD145" s="239">
        <v>0</v>
      </c>
      <c r="DE145" s="239">
        <v>0</v>
      </c>
      <c r="DF145" s="239">
        <v>0</v>
      </c>
      <c r="DG145" s="239">
        <v>0</v>
      </c>
      <c r="DH145" s="239">
        <v>2249</v>
      </c>
      <c r="DI145" s="239">
        <v>562</v>
      </c>
      <c r="DJ145" s="239">
        <v>0</v>
      </c>
      <c r="DK145" s="239">
        <v>1978</v>
      </c>
      <c r="DL145" s="239">
        <v>494</v>
      </c>
      <c r="DM145" s="239">
        <v>0</v>
      </c>
      <c r="DN145" s="239">
        <v>271</v>
      </c>
      <c r="DO145" s="239">
        <v>68</v>
      </c>
      <c r="DP145" s="239">
        <v>0</v>
      </c>
      <c r="DQ145" s="239">
        <v>0</v>
      </c>
      <c r="DR145" s="239">
        <v>0</v>
      </c>
      <c r="DS145" s="239">
        <v>0</v>
      </c>
      <c r="DT145" s="239">
        <v>0</v>
      </c>
      <c r="DU145" s="239">
        <v>0</v>
      </c>
      <c r="DV145" s="239">
        <v>0</v>
      </c>
      <c r="DW145" s="239">
        <v>0</v>
      </c>
      <c r="DX145" s="239">
        <v>0</v>
      </c>
      <c r="DY145" s="239">
        <v>0</v>
      </c>
      <c r="DZ145" s="239">
        <v>158</v>
      </c>
      <c r="EA145" s="239">
        <v>39</v>
      </c>
      <c r="EB145" s="239">
        <v>0</v>
      </c>
      <c r="EC145" s="239">
        <v>508</v>
      </c>
      <c r="ED145" s="239">
        <v>0</v>
      </c>
      <c r="EE145" s="239">
        <v>0</v>
      </c>
      <c r="EF145" s="239">
        <v>-350</v>
      </c>
      <c r="EG145" s="239">
        <v>39</v>
      </c>
      <c r="EH145" s="239">
        <v>0</v>
      </c>
      <c r="EI145" s="239">
        <v>39680</v>
      </c>
      <c r="EJ145" s="239">
        <v>9920</v>
      </c>
      <c r="EK145" s="239">
        <v>0</v>
      </c>
      <c r="EL145" s="239">
        <v>50000</v>
      </c>
      <c r="EM145" s="239">
        <v>0</v>
      </c>
      <c r="EN145" s="239">
        <v>0</v>
      </c>
      <c r="EO145" s="239">
        <v>-10320</v>
      </c>
      <c r="EP145" s="239">
        <v>9920</v>
      </c>
      <c r="EQ145" s="239">
        <v>0</v>
      </c>
      <c r="ER145" s="239">
        <v>9237</v>
      </c>
      <c r="ES145" s="239">
        <v>2309</v>
      </c>
      <c r="ET145" s="239">
        <v>0</v>
      </c>
      <c r="EU145" s="239">
        <v>12688</v>
      </c>
      <c r="EV145" s="239">
        <v>0</v>
      </c>
      <c r="EW145" s="239">
        <v>0</v>
      </c>
      <c r="EX145" s="239">
        <v>-3451</v>
      </c>
      <c r="EY145" s="239">
        <v>2309</v>
      </c>
      <c r="EZ145" s="239">
        <v>0</v>
      </c>
      <c r="FA145" s="239">
        <v>180323</v>
      </c>
      <c r="FB145" s="239">
        <v>43759</v>
      </c>
      <c r="FC145" s="239">
        <v>0</v>
      </c>
      <c r="FD145" s="239">
        <v>182678</v>
      </c>
      <c r="FE145" s="239">
        <v>44583</v>
      </c>
      <c r="FF145" s="239">
        <v>0</v>
      </c>
      <c r="FG145" s="239">
        <v>-2355</v>
      </c>
      <c r="FH145" s="239">
        <v>-824</v>
      </c>
      <c r="FI145" s="239">
        <v>0</v>
      </c>
      <c r="FJ145" s="239">
        <v>0</v>
      </c>
      <c r="FK145" s="239">
        <v>0</v>
      </c>
      <c r="FL145" s="239">
        <v>0</v>
      </c>
      <c r="FM145" s="239">
        <v>0</v>
      </c>
      <c r="FN145" s="239">
        <v>0</v>
      </c>
      <c r="FO145" s="239">
        <v>0</v>
      </c>
      <c r="FP145" s="239">
        <v>0</v>
      </c>
      <c r="FQ145" s="239">
        <v>0</v>
      </c>
      <c r="FR145" s="239">
        <v>0</v>
      </c>
      <c r="FS145" s="239">
        <v>0</v>
      </c>
      <c r="FT145" s="239">
        <v>0</v>
      </c>
      <c r="FU145" s="239">
        <v>0</v>
      </c>
      <c r="FV145" s="239">
        <v>986055</v>
      </c>
      <c r="FW145" s="239">
        <v>245191</v>
      </c>
      <c r="FX145" s="239">
        <v>0</v>
      </c>
      <c r="FY145" s="834">
        <v>0.5</v>
      </c>
      <c r="FZ145" s="834">
        <v>0.4</v>
      </c>
      <c r="GA145" s="834">
        <v>0.1</v>
      </c>
      <c r="GB145" s="834">
        <v>0</v>
      </c>
      <c r="GC145" s="214" t="s">
        <v>1158</v>
      </c>
    </row>
    <row r="146" spans="2:185" s="214" customFormat="1" x14ac:dyDescent="0.2">
      <c r="B146" s="602" t="s">
        <v>375</v>
      </c>
      <c r="C146" s="602" t="s">
        <v>374</v>
      </c>
      <c r="D146" s="239">
        <v>-877650</v>
      </c>
      <c r="E146" s="239">
        <v>0</v>
      </c>
      <c r="F146" s="239">
        <v>-877650</v>
      </c>
      <c r="G146" s="239">
        <v>-1717486</v>
      </c>
      <c r="H146" s="239">
        <v>0</v>
      </c>
      <c r="I146" s="239">
        <v>-1717486</v>
      </c>
      <c r="J146" s="239">
        <v>839836</v>
      </c>
      <c r="K146" s="239">
        <v>0</v>
      </c>
      <c r="L146" s="239">
        <v>839836</v>
      </c>
      <c r="M146" s="239">
        <v>220343</v>
      </c>
      <c r="N146" s="239">
        <v>220343</v>
      </c>
      <c r="O146" s="239">
        <v>0</v>
      </c>
      <c r="P146" s="239">
        <v>0</v>
      </c>
      <c r="Q146" s="239">
        <v>0</v>
      </c>
      <c r="R146" s="239">
        <v>0</v>
      </c>
      <c r="S146" s="239">
        <v>1159890</v>
      </c>
      <c r="T146" s="239">
        <v>0</v>
      </c>
      <c r="U146" s="239">
        <v>1108598</v>
      </c>
      <c r="V146" s="239">
        <v>0</v>
      </c>
      <c r="W146" s="239">
        <v>51292</v>
      </c>
      <c r="X146" s="239">
        <v>0</v>
      </c>
      <c r="Y146" s="239">
        <v>85366</v>
      </c>
      <c r="Z146" s="239">
        <v>85366</v>
      </c>
      <c r="AA146" s="239">
        <v>0</v>
      </c>
      <c r="AB146" s="239">
        <v>0</v>
      </c>
      <c r="AC146" s="239">
        <v>84077</v>
      </c>
      <c r="AD146" s="239">
        <v>84077</v>
      </c>
      <c r="AE146" s="239">
        <v>0</v>
      </c>
      <c r="AF146" s="239">
        <v>0</v>
      </c>
      <c r="AG146" s="239">
        <v>1289</v>
      </c>
      <c r="AH146" s="239">
        <v>1289</v>
      </c>
      <c r="AI146" s="239">
        <v>0</v>
      </c>
      <c r="AJ146" s="239">
        <v>0</v>
      </c>
      <c r="AK146" s="239">
        <v>0</v>
      </c>
      <c r="AL146" s="239">
        <v>0</v>
      </c>
      <c r="AM146" s="239">
        <v>0</v>
      </c>
      <c r="AN146" s="239">
        <v>0</v>
      </c>
      <c r="AO146" s="239">
        <v>0</v>
      </c>
      <c r="AP146" s="239">
        <v>0</v>
      </c>
      <c r="AQ146" s="239">
        <v>0</v>
      </c>
      <c r="AR146" s="239">
        <v>0</v>
      </c>
      <c r="AS146" s="239">
        <v>0</v>
      </c>
      <c r="AT146" s="239">
        <v>0</v>
      </c>
      <c r="AU146" s="239">
        <v>0</v>
      </c>
      <c r="AV146" s="239">
        <v>0</v>
      </c>
      <c r="AW146" s="239">
        <v>0</v>
      </c>
      <c r="AX146" s="239">
        <v>0</v>
      </c>
      <c r="AY146" s="239">
        <v>0</v>
      </c>
      <c r="AZ146" s="239">
        <v>0</v>
      </c>
      <c r="BA146" s="239">
        <v>0</v>
      </c>
      <c r="BB146" s="239">
        <v>0</v>
      </c>
      <c r="BC146" s="239">
        <v>1502593</v>
      </c>
      <c r="BD146" s="239">
        <v>374280</v>
      </c>
      <c r="BE146" s="239">
        <v>0</v>
      </c>
      <c r="BF146" s="239">
        <v>1474798.4565703864</v>
      </c>
      <c r="BG146" s="239">
        <v>367356.37103047216</v>
      </c>
      <c r="BH146" s="239">
        <v>0</v>
      </c>
      <c r="BI146" s="239">
        <v>95822.136587982837</v>
      </c>
      <c r="BJ146" s="239">
        <v>23955.534146995709</v>
      </c>
      <c r="BK146" s="239">
        <v>0</v>
      </c>
      <c r="BL146" s="239">
        <v>1248943</v>
      </c>
      <c r="BM146" s="239">
        <v>217275</v>
      </c>
      <c r="BN146" s="239">
        <v>0</v>
      </c>
      <c r="BO146" s="239">
        <v>253650</v>
      </c>
      <c r="BP146" s="239">
        <v>157005</v>
      </c>
      <c r="BQ146" s="239">
        <v>0</v>
      </c>
      <c r="BR146" s="239">
        <v>14841</v>
      </c>
      <c r="BS146" s="239">
        <v>3710</v>
      </c>
      <c r="BT146" s="239">
        <v>0</v>
      </c>
      <c r="BU146" s="239">
        <v>11191</v>
      </c>
      <c r="BV146" s="239">
        <v>2798</v>
      </c>
      <c r="BW146" s="239">
        <v>0</v>
      </c>
      <c r="BX146" s="239">
        <v>3650</v>
      </c>
      <c r="BY146" s="239">
        <v>912</v>
      </c>
      <c r="BZ146" s="239">
        <v>0</v>
      </c>
      <c r="CA146" s="239">
        <v>12171</v>
      </c>
      <c r="CB146" s="239">
        <v>3043</v>
      </c>
      <c r="CC146" s="239">
        <v>0</v>
      </c>
      <c r="CD146" s="239">
        <v>5965</v>
      </c>
      <c r="CE146" s="239">
        <v>1491</v>
      </c>
      <c r="CF146" s="239">
        <v>0</v>
      </c>
      <c r="CG146" s="239">
        <v>6206</v>
      </c>
      <c r="CH146" s="239">
        <v>1552</v>
      </c>
      <c r="CI146" s="239">
        <v>0</v>
      </c>
      <c r="CJ146" s="239">
        <v>1967</v>
      </c>
      <c r="CK146" s="239">
        <v>492</v>
      </c>
      <c r="CL146" s="239">
        <v>0</v>
      </c>
      <c r="CM146" s="239">
        <v>103</v>
      </c>
      <c r="CN146" s="239">
        <v>26</v>
      </c>
      <c r="CO146" s="239">
        <v>0</v>
      </c>
      <c r="CP146" s="239">
        <v>1864</v>
      </c>
      <c r="CQ146" s="239">
        <v>466</v>
      </c>
      <c r="CR146" s="239">
        <v>0</v>
      </c>
      <c r="CS146" s="239">
        <v>-814</v>
      </c>
      <c r="CT146" s="239">
        <v>-203</v>
      </c>
      <c r="CU146" s="239">
        <v>0</v>
      </c>
      <c r="CV146" s="239">
        <v>0</v>
      </c>
      <c r="CW146" s="239">
        <v>0</v>
      </c>
      <c r="CX146" s="239">
        <v>0</v>
      </c>
      <c r="CY146" s="239">
        <v>0</v>
      </c>
      <c r="CZ146" s="239">
        <v>0</v>
      </c>
      <c r="DA146" s="239">
        <v>0</v>
      </c>
      <c r="DB146" s="239">
        <v>0</v>
      </c>
      <c r="DC146" s="239">
        <v>0</v>
      </c>
      <c r="DD146" s="239">
        <v>0</v>
      </c>
      <c r="DE146" s="239">
        <v>59</v>
      </c>
      <c r="DF146" s="239">
        <v>15</v>
      </c>
      <c r="DG146" s="239">
        <v>0</v>
      </c>
      <c r="DH146" s="239">
        <v>27867</v>
      </c>
      <c r="DI146" s="239">
        <v>6967</v>
      </c>
      <c r="DJ146" s="239">
        <v>0</v>
      </c>
      <c r="DK146" s="239">
        <v>25790</v>
      </c>
      <c r="DL146" s="239">
        <v>6448</v>
      </c>
      <c r="DM146" s="239">
        <v>0</v>
      </c>
      <c r="DN146" s="239">
        <v>2077</v>
      </c>
      <c r="DO146" s="239">
        <v>519</v>
      </c>
      <c r="DP146" s="239">
        <v>0</v>
      </c>
      <c r="DQ146" s="239">
        <v>609</v>
      </c>
      <c r="DR146" s="239">
        <v>152</v>
      </c>
      <c r="DS146" s="239">
        <v>0</v>
      </c>
      <c r="DT146" s="239">
        <v>1827</v>
      </c>
      <c r="DU146" s="239">
        <v>457</v>
      </c>
      <c r="DV146" s="239">
        <v>0</v>
      </c>
      <c r="DW146" s="239">
        <v>-1218</v>
      </c>
      <c r="DX146" s="239">
        <v>-305</v>
      </c>
      <c r="DY146" s="239">
        <v>0</v>
      </c>
      <c r="DZ146" s="239">
        <v>31679</v>
      </c>
      <c r="EA146" s="239">
        <v>7920</v>
      </c>
      <c r="EB146" s="239">
        <v>0</v>
      </c>
      <c r="EC146" s="239">
        <v>36033</v>
      </c>
      <c r="ED146" s="239">
        <v>0</v>
      </c>
      <c r="EE146" s="239">
        <v>0</v>
      </c>
      <c r="EF146" s="239">
        <v>-4354</v>
      </c>
      <c r="EG146" s="239">
        <v>7920</v>
      </c>
      <c r="EH146" s="239">
        <v>0</v>
      </c>
      <c r="EI146" s="239">
        <v>157937</v>
      </c>
      <c r="EJ146" s="239">
        <v>39484</v>
      </c>
      <c r="EK146" s="239">
        <v>0</v>
      </c>
      <c r="EL146" s="239">
        <v>206468</v>
      </c>
      <c r="EM146" s="239">
        <v>0</v>
      </c>
      <c r="EN146" s="239">
        <v>0</v>
      </c>
      <c r="EO146" s="239">
        <v>-48531</v>
      </c>
      <c r="EP146" s="239">
        <v>39484</v>
      </c>
      <c r="EQ146" s="239">
        <v>0</v>
      </c>
      <c r="ER146" s="239">
        <v>18765</v>
      </c>
      <c r="ES146" s="239">
        <v>4691</v>
      </c>
      <c r="ET146" s="239">
        <v>0</v>
      </c>
      <c r="EU146" s="239">
        <v>22838</v>
      </c>
      <c r="EV146" s="239">
        <v>0</v>
      </c>
      <c r="EW146" s="239">
        <v>0</v>
      </c>
      <c r="EX146" s="239">
        <v>-4073</v>
      </c>
      <c r="EY146" s="239">
        <v>4691</v>
      </c>
      <c r="EZ146" s="239">
        <v>0</v>
      </c>
      <c r="FA146" s="239">
        <v>252412</v>
      </c>
      <c r="FB146" s="239">
        <v>58747</v>
      </c>
      <c r="FC146" s="239">
        <v>0</v>
      </c>
      <c r="FD146" s="239">
        <v>265566</v>
      </c>
      <c r="FE146" s="239">
        <v>61913</v>
      </c>
      <c r="FF146" s="239">
        <v>0</v>
      </c>
      <c r="FG146" s="239">
        <v>-13154</v>
      </c>
      <c r="FH146" s="239">
        <v>-3166</v>
      </c>
      <c r="FI146" s="239">
        <v>0</v>
      </c>
      <c r="FJ146" s="239">
        <v>0</v>
      </c>
      <c r="FK146" s="239">
        <v>0</v>
      </c>
      <c r="FL146" s="239">
        <v>0</v>
      </c>
      <c r="FM146" s="239">
        <v>0</v>
      </c>
      <c r="FN146" s="239">
        <v>0</v>
      </c>
      <c r="FO146" s="239">
        <v>0</v>
      </c>
      <c r="FP146" s="239">
        <v>0</v>
      </c>
      <c r="FQ146" s="239">
        <v>0</v>
      </c>
      <c r="FR146" s="239">
        <v>0</v>
      </c>
      <c r="FS146" s="239">
        <v>0</v>
      </c>
      <c r="FT146" s="239">
        <v>0</v>
      </c>
      <c r="FU146" s="239">
        <v>0</v>
      </c>
      <c r="FV146" s="239">
        <v>2020086</v>
      </c>
      <c r="FW146" s="239">
        <v>499298</v>
      </c>
      <c r="FX146" s="239">
        <v>0</v>
      </c>
      <c r="FY146" s="834">
        <v>0.5</v>
      </c>
      <c r="FZ146" s="834">
        <v>0.4</v>
      </c>
      <c r="GA146" s="834">
        <v>0.1</v>
      </c>
      <c r="GB146" s="834">
        <v>0</v>
      </c>
      <c r="GC146" s="214" t="s">
        <v>1158</v>
      </c>
    </row>
    <row r="147" spans="2:185" s="214" customFormat="1" x14ac:dyDescent="0.2">
      <c r="B147" s="602" t="s">
        <v>377</v>
      </c>
      <c r="C147" s="602" t="s">
        <v>376</v>
      </c>
      <c r="D147" s="239">
        <v>3152808</v>
      </c>
      <c r="E147" s="239">
        <v>-5369</v>
      </c>
      <c r="F147" s="239">
        <v>3147439</v>
      </c>
      <c r="G147" s="239">
        <v>6777337</v>
      </c>
      <c r="H147" s="239">
        <v>0</v>
      </c>
      <c r="I147" s="239">
        <v>6777337</v>
      </c>
      <c r="J147" s="239">
        <v>-3624529</v>
      </c>
      <c r="K147" s="239">
        <v>-5369</v>
      </c>
      <c r="L147" s="239">
        <v>-3629898</v>
      </c>
      <c r="M147" s="239">
        <v>356488</v>
      </c>
      <c r="N147" s="239">
        <v>361488</v>
      </c>
      <c r="O147" s="239">
        <v>-5000</v>
      </c>
      <c r="P147" s="239">
        <v>3183081</v>
      </c>
      <c r="Q147" s="239">
        <v>1536655</v>
      </c>
      <c r="R147" s="239">
        <v>1646426</v>
      </c>
      <c r="S147" s="239">
        <v>29809</v>
      </c>
      <c r="T147" s="239">
        <v>0</v>
      </c>
      <c r="U147" s="239">
        <v>0</v>
      </c>
      <c r="V147" s="239">
        <v>0</v>
      </c>
      <c r="W147" s="239">
        <v>29809</v>
      </c>
      <c r="X147" s="239">
        <v>0</v>
      </c>
      <c r="Y147" s="239">
        <v>0</v>
      </c>
      <c r="Z147" s="239">
        <v>0</v>
      </c>
      <c r="AA147" s="239">
        <v>0</v>
      </c>
      <c r="AB147" s="239">
        <v>0</v>
      </c>
      <c r="AC147" s="239">
        <v>0</v>
      </c>
      <c r="AD147" s="239">
        <v>0</v>
      </c>
      <c r="AE147" s="239">
        <v>0</v>
      </c>
      <c r="AF147" s="239">
        <v>0</v>
      </c>
      <c r="AG147" s="239">
        <v>0</v>
      </c>
      <c r="AH147" s="239">
        <v>0</v>
      </c>
      <c r="AI147" s="239">
        <v>0</v>
      </c>
      <c r="AJ147" s="239">
        <v>0</v>
      </c>
      <c r="AK147" s="239">
        <v>0</v>
      </c>
      <c r="AL147" s="239">
        <v>0</v>
      </c>
      <c r="AM147" s="239">
        <v>0</v>
      </c>
      <c r="AN147" s="239">
        <v>0</v>
      </c>
      <c r="AO147" s="239">
        <v>0</v>
      </c>
      <c r="AP147" s="239">
        <v>0</v>
      </c>
      <c r="AQ147" s="239">
        <v>0</v>
      </c>
      <c r="AR147" s="239">
        <v>0</v>
      </c>
      <c r="AS147" s="239">
        <v>0</v>
      </c>
      <c r="AT147" s="239">
        <v>0</v>
      </c>
      <c r="AU147" s="239">
        <v>0</v>
      </c>
      <c r="AV147" s="239">
        <v>0</v>
      </c>
      <c r="AW147" s="239">
        <v>0</v>
      </c>
      <c r="AX147" s="239">
        <v>0</v>
      </c>
      <c r="AY147" s="239">
        <v>0</v>
      </c>
      <c r="AZ147" s="239">
        <v>0</v>
      </c>
      <c r="BA147" s="239">
        <v>0</v>
      </c>
      <c r="BB147" s="239">
        <v>0</v>
      </c>
      <c r="BC147" s="239">
        <v>3045300</v>
      </c>
      <c r="BD147" s="239">
        <v>0</v>
      </c>
      <c r="BE147" s="239">
        <v>62149</v>
      </c>
      <c r="BF147" s="239">
        <v>2971236.2531634546</v>
      </c>
      <c r="BG147" s="239">
        <v>0</v>
      </c>
      <c r="BH147" s="239">
        <v>60637.474554356231</v>
      </c>
      <c r="BI147" s="239">
        <v>208452.57127360514</v>
      </c>
      <c r="BJ147" s="239">
        <v>0</v>
      </c>
      <c r="BK147" s="239">
        <v>4191.6585010729614</v>
      </c>
      <c r="BL147" s="239">
        <v>3225333</v>
      </c>
      <c r="BM147" s="239">
        <v>0</v>
      </c>
      <c r="BN147" s="239">
        <v>47431</v>
      </c>
      <c r="BO147" s="239">
        <v>-180033</v>
      </c>
      <c r="BP147" s="239">
        <v>0</v>
      </c>
      <c r="BQ147" s="239">
        <v>14718</v>
      </c>
      <c r="BR147" s="239">
        <v>0</v>
      </c>
      <c r="BS147" s="239">
        <v>0</v>
      </c>
      <c r="BT147" s="239">
        <v>0</v>
      </c>
      <c r="BU147" s="239">
        <v>0</v>
      </c>
      <c r="BV147" s="239">
        <v>0</v>
      </c>
      <c r="BW147" s="239">
        <v>0</v>
      </c>
      <c r="BX147" s="239">
        <v>0</v>
      </c>
      <c r="BY147" s="239">
        <v>0</v>
      </c>
      <c r="BZ147" s="239">
        <v>0</v>
      </c>
      <c r="CA147" s="239">
        <v>0</v>
      </c>
      <c r="CB147" s="239">
        <v>0</v>
      </c>
      <c r="CC147" s="239">
        <v>0</v>
      </c>
      <c r="CD147" s="239">
        <v>0</v>
      </c>
      <c r="CE147" s="239">
        <v>0</v>
      </c>
      <c r="CF147" s="239">
        <v>0</v>
      </c>
      <c r="CG147" s="239">
        <v>0</v>
      </c>
      <c r="CH147" s="239">
        <v>0</v>
      </c>
      <c r="CI147" s="239">
        <v>0</v>
      </c>
      <c r="CJ147" s="239">
        <v>10365</v>
      </c>
      <c r="CK147" s="239">
        <v>0</v>
      </c>
      <c r="CL147" s="239">
        <v>212</v>
      </c>
      <c r="CM147" s="239">
        <v>18277</v>
      </c>
      <c r="CN147" s="239">
        <v>0</v>
      </c>
      <c r="CO147" s="239">
        <v>373</v>
      </c>
      <c r="CP147" s="239">
        <v>-7912</v>
      </c>
      <c r="CQ147" s="239">
        <v>0</v>
      </c>
      <c r="CR147" s="239">
        <v>-161</v>
      </c>
      <c r="CS147" s="239">
        <v>-2404</v>
      </c>
      <c r="CT147" s="239">
        <v>0</v>
      </c>
      <c r="CU147" s="239">
        <v>-49</v>
      </c>
      <c r="CV147" s="239">
        <v>0</v>
      </c>
      <c r="CW147" s="239">
        <v>0</v>
      </c>
      <c r="CX147" s="239">
        <v>0</v>
      </c>
      <c r="CY147" s="239">
        <v>0</v>
      </c>
      <c r="CZ147" s="239">
        <v>0</v>
      </c>
      <c r="DA147" s="239">
        <v>0</v>
      </c>
      <c r="DB147" s="239">
        <v>0</v>
      </c>
      <c r="DC147" s="239">
        <v>0</v>
      </c>
      <c r="DD147" s="239">
        <v>0</v>
      </c>
      <c r="DE147" s="239">
        <v>-1127</v>
      </c>
      <c r="DF147" s="239">
        <v>0</v>
      </c>
      <c r="DG147" s="239">
        <v>-23</v>
      </c>
      <c r="DH147" s="239">
        <v>0</v>
      </c>
      <c r="DI147" s="239">
        <v>0</v>
      </c>
      <c r="DJ147" s="239">
        <v>0</v>
      </c>
      <c r="DK147" s="239">
        <v>0</v>
      </c>
      <c r="DL147" s="239">
        <v>0</v>
      </c>
      <c r="DM147" s="239">
        <v>0</v>
      </c>
      <c r="DN147" s="239">
        <v>0</v>
      </c>
      <c r="DO147" s="239">
        <v>0</v>
      </c>
      <c r="DP147" s="239">
        <v>0</v>
      </c>
      <c r="DQ147" s="239">
        <v>746</v>
      </c>
      <c r="DR147" s="239">
        <v>0</v>
      </c>
      <c r="DS147" s="239">
        <v>15</v>
      </c>
      <c r="DT147" s="239">
        <v>746</v>
      </c>
      <c r="DU147" s="239">
        <v>0</v>
      </c>
      <c r="DV147" s="239">
        <v>15</v>
      </c>
      <c r="DW147" s="239">
        <v>0</v>
      </c>
      <c r="DX147" s="239">
        <v>0</v>
      </c>
      <c r="DY147" s="239">
        <v>0</v>
      </c>
      <c r="DZ147" s="239">
        <v>10166</v>
      </c>
      <c r="EA147" s="239">
        <v>0</v>
      </c>
      <c r="EB147" s="239">
        <v>207</v>
      </c>
      <c r="EC147" s="239">
        <v>11177</v>
      </c>
      <c r="ED147" s="239">
        <v>0</v>
      </c>
      <c r="EE147" s="239">
        <v>0</v>
      </c>
      <c r="EF147" s="239">
        <v>-1011</v>
      </c>
      <c r="EG147" s="239">
        <v>0</v>
      </c>
      <c r="EH147" s="239">
        <v>207</v>
      </c>
      <c r="EI147" s="239">
        <v>151446</v>
      </c>
      <c r="EJ147" s="239">
        <v>0</v>
      </c>
      <c r="EK147" s="239">
        <v>3091</v>
      </c>
      <c r="EL147" s="239">
        <v>153837</v>
      </c>
      <c r="EM147" s="239">
        <v>0</v>
      </c>
      <c r="EN147" s="239">
        <v>0</v>
      </c>
      <c r="EO147" s="239">
        <v>-2391</v>
      </c>
      <c r="EP147" s="239">
        <v>0</v>
      </c>
      <c r="EQ147" s="239">
        <v>3091</v>
      </c>
      <c r="ER147" s="239">
        <v>37454</v>
      </c>
      <c r="ES147" s="239">
        <v>0</v>
      </c>
      <c r="ET147" s="239">
        <v>764</v>
      </c>
      <c r="EU147" s="239">
        <v>38594</v>
      </c>
      <c r="EV147" s="239">
        <v>0</v>
      </c>
      <c r="EW147" s="239">
        <v>0</v>
      </c>
      <c r="EX147" s="239">
        <v>-1140</v>
      </c>
      <c r="EY147" s="239">
        <v>0</v>
      </c>
      <c r="EZ147" s="239">
        <v>764</v>
      </c>
      <c r="FA147" s="239">
        <v>619723</v>
      </c>
      <c r="FB147" s="239">
        <v>0</v>
      </c>
      <c r="FC147" s="239">
        <v>11662</v>
      </c>
      <c r="FD147" s="239">
        <v>616723</v>
      </c>
      <c r="FE147" s="239">
        <v>0</v>
      </c>
      <c r="FF147" s="239">
        <v>12115</v>
      </c>
      <c r="FG147" s="239">
        <v>3000</v>
      </c>
      <c r="FH147" s="239">
        <v>0</v>
      </c>
      <c r="FI147" s="239">
        <v>-453</v>
      </c>
      <c r="FJ147" s="239">
        <v>0</v>
      </c>
      <c r="FK147" s="239">
        <v>0</v>
      </c>
      <c r="FL147" s="239">
        <v>0</v>
      </c>
      <c r="FM147" s="239">
        <v>0</v>
      </c>
      <c r="FN147" s="239">
        <v>0</v>
      </c>
      <c r="FO147" s="239">
        <v>0</v>
      </c>
      <c r="FP147" s="239">
        <v>0</v>
      </c>
      <c r="FQ147" s="239">
        <v>0</v>
      </c>
      <c r="FR147" s="239">
        <v>0</v>
      </c>
      <c r="FS147" s="239">
        <v>0</v>
      </c>
      <c r="FT147" s="239">
        <v>0</v>
      </c>
      <c r="FU147" s="239">
        <v>0</v>
      </c>
      <c r="FV147" s="239">
        <v>3871669</v>
      </c>
      <c r="FW147" s="239">
        <v>0</v>
      </c>
      <c r="FX147" s="239">
        <v>78028</v>
      </c>
      <c r="FY147" s="834">
        <v>0.5</v>
      </c>
      <c r="FZ147" s="834">
        <v>0.49</v>
      </c>
      <c r="GA147" s="834">
        <v>0</v>
      </c>
      <c r="GB147" s="834">
        <v>0.01</v>
      </c>
      <c r="GC147" s="214" t="s">
        <v>746</v>
      </c>
    </row>
    <row r="148" spans="2:185" s="214" customFormat="1" x14ac:dyDescent="0.2">
      <c r="B148" s="602" t="s">
        <v>379</v>
      </c>
      <c r="C148" s="602" t="s">
        <v>378</v>
      </c>
      <c r="D148" s="239">
        <v>654968</v>
      </c>
      <c r="E148" s="239">
        <v>0</v>
      </c>
      <c r="F148" s="239">
        <v>654968</v>
      </c>
      <c r="G148" s="239">
        <v>802411</v>
      </c>
      <c r="H148" s="239">
        <v>0</v>
      </c>
      <c r="I148" s="239">
        <v>802411</v>
      </c>
      <c r="J148" s="239">
        <v>-147443</v>
      </c>
      <c r="K148" s="239">
        <v>0</v>
      </c>
      <c r="L148" s="239">
        <v>-147443</v>
      </c>
      <c r="M148" s="239">
        <v>243188</v>
      </c>
      <c r="N148" s="239">
        <v>243188</v>
      </c>
      <c r="O148" s="239">
        <v>0</v>
      </c>
      <c r="P148" s="239">
        <v>0</v>
      </c>
      <c r="Q148" s="239">
        <v>0</v>
      </c>
      <c r="R148" s="239">
        <v>0</v>
      </c>
      <c r="S148" s="239">
        <v>0</v>
      </c>
      <c r="T148" s="239">
        <v>0</v>
      </c>
      <c r="U148" s="239">
        <v>0</v>
      </c>
      <c r="V148" s="239">
        <v>0</v>
      </c>
      <c r="W148" s="239">
        <v>0</v>
      </c>
      <c r="X148" s="239">
        <v>0</v>
      </c>
      <c r="Y148" s="239">
        <v>0</v>
      </c>
      <c r="Z148" s="239">
        <v>0</v>
      </c>
      <c r="AA148" s="239">
        <v>0</v>
      </c>
      <c r="AB148" s="239">
        <v>0</v>
      </c>
      <c r="AC148" s="239">
        <v>0</v>
      </c>
      <c r="AD148" s="239">
        <v>0</v>
      </c>
      <c r="AE148" s="239">
        <v>0</v>
      </c>
      <c r="AF148" s="239">
        <v>0</v>
      </c>
      <c r="AG148" s="239">
        <v>0</v>
      </c>
      <c r="AH148" s="239">
        <v>0</v>
      </c>
      <c r="AI148" s="239">
        <v>0</v>
      </c>
      <c r="AJ148" s="239">
        <v>0</v>
      </c>
      <c r="AK148" s="239">
        <v>0</v>
      </c>
      <c r="AL148" s="239">
        <v>0</v>
      </c>
      <c r="AM148" s="239">
        <v>0</v>
      </c>
      <c r="AN148" s="239">
        <v>0</v>
      </c>
      <c r="AO148" s="239">
        <v>0</v>
      </c>
      <c r="AP148" s="239">
        <v>0</v>
      </c>
      <c r="AQ148" s="239">
        <v>0</v>
      </c>
      <c r="AR148" s="239">
        <v>0</v>
      </c>
      <c r="AS148" s="239">
        <v>0</v>
      </c>
      <c r="AT148" s="239">
        <v>0</v>
      </c>
      <c r="AU148" s="239">
        <v>0</v>
      </c>
      <c r="AV148" s="239">
        <v>0</v>
      </c>
      <c r="AW148" s="239">
        <v>0</v>
      </c>
      <c r="AX148" s="239">
        <v>0</v>
      </c>
      <c r="AY148" s="239">
        <v>0</v>
      </c>
      <c r="AZ148" s="239">
        <v>0</v>
      </c>
      <c r="BA148" s="239">
        <v>0</v>
      </c>
      <c r="BB148" s="239">
        <v>0</v>
      </c>
      <c r="BC148" s="239">
        <v>872019</v>
      </c>
      <c r="BD148" s="239">
        <v>1075490</v>
      </c>
      <c r="BE148" s="239">
        <v>0</v>
      </c>
      <c r="BF148" s="239">
        <v>848500.62368240324</v>
      </c>
      <c r="BG148" s="239">
        <v>1046484.1025416309</v>
      </c>
      <c r="BH148" s="239">
        <v>0</v>
      </c>
      <c r="BI148" s="239">
        <v>71670.157725321886</v>
      </c>
      <c r="BJ148" s="239">
        <v>88393.194527896994</v>
      </c>
      <c r="BK148" s="239">
        <v>0</v>
      </c>
      <c r="BL148" s="239">
        <v>1106630</v>
      </c>
      <c r="BM148" s="239">
        <v>628883</v>
      </c>
      <c r="BN148" s="239">
        <v>0</v>
      </c>
      <c r="BO148" s="239">
        <v>-234611</v>
      </c>
      <c r="BP148" s="239">
        <v>446607</v>
      </c>
      <c r="BQ148" s="239">
        <v>0</v>
      </c>
      <c r="BR148" s="239">
        <v>1901</v>
      </c>
      <c r="BS148" s="239">
        <v>2345</v>
      </c>
      <c r="BT148" s="239">
        <v>0</v>
      </c>
      <c r="BU148" s="239">
        <v>1522</v>
      </c>
      <c r="BV148" s="239">
        <v>1878</v>
      </c>
      <c r="BW148" s="239">
        <v>0</v>
      </c>
      <c r="BX148" s="239">
        <v>379</v>
      </c>
      <c r="BY148" s="239">
        <v>467</v>
      </c>
      <c r="BZ148" s="239">
        <v>0</v>
      </c>
      <c r="CA148" s="239">
        <v>1199</v>
      </c>
      <c r="CB148" s="239">
        <v>1479</v>
      </c>
      <c r="CC148" s="239">
        <v>0</v>
      </c>
      <c r="CD148" s="239">
        <v>0</v>
      </c>
      <c r="CE148" s="239">
        <v>0</v>
      </c>
      <c r="CF148" s="239">
        <v>0</v>
      </c>
      <c r="CG148" s="239">
        <v>1199</v>
      </c>
      <c r="CH148" s="239">
        <v>1479</v>
      </c>
      <c r="CI148" s="239">
        <v>0</v>
      </c>
      <c r="CJ148" s="239">
        <v>0</v>
      </c>
      <c r="CK148" s="239">
        <v>0</v>
      </c>
      <c r="CL148" s="239">
        <v>0</v>
      </c>
      <c r="CM148" s="239">
        <v>0</v>
      </c>
      <c r="CN148" s="239">
        <v>0</v>
      </c>
      <c r="CO148" s="239">
        <v>0</v>
      </c>
      <c r="CP148" s="239">
        <v>0</v>
      </c>
      <c r="CQ148" s="239">
        <v>0</v>
      </c>
      <c r="CR148" s="239">
        <v>0</v>
      </c>
      <c r="CS148" s="239">
        <v>-699</v>
      </c>
      <c r="CT148" s="239">
        <v>-862</v>
      </c>
      <c r="CU148" s="239">
        <v>0</v>
      </c>
      <c r="CV148" s="239">
        <v>0</v>
      </c>
      <c r="CW148" s="239">
        <v>0</v>
      </c>
      <c r="CX148" s="239">
        <v>0</v>
      </c>
      <c r="CY148" s="239">
        <v>0</v>
      </c>
      <c r="CZ148" s="239">
        <v>0</v>
      </c>
      <c r="DA148" s="239">
        <v>0</v>
      </c>
      <c r="DB148" s="239">
        <v>0</v>
      </c>
      <c r="DC148" s="239">
        <v>0</v>
      </c>
      <c r="DD148" s="239">
        <v>0</v>
      </c>
      <c r="DE148" s="239">
        <v>0</v>
      </c>
      <c r="DF148" s="239">
        <v>0</v>
      </c>
      <c r="DG148" s="239">
        <v>0</v>
      </c>
      <c r="DH148" s="239">
        <v>0</v>
      </c>
      <c r="DI148" s="239">
        <v>0</v>
      </c>
      <c r="DJ148" s="239">
        <v>0</v>
      </c>
      <c r="DK148" s="239">
        <v>0</v>
      </c>
      <c r="DL148" s="239">
        <v>0</v>
      </c>
      <c r="DM148" s="239">
        <v>0</v>
      </c>
      <c r="DN148" s="239">
        <v>0</v>
      </c>
      <c r="DO148" s="239">
        <v>0</v>
      </c>
      <c r="DP148" s="239">
        <v>0</v>
      </c>
      <c r="DQ148" s="239">
        <v>0</v>
      </c>
      <c r="DR148" s="239">
        <v>0</v>
      </c>
      <c r="DS148" s="239">
        <v>0</v>
      </c>
      <c r="DT148" s="239">
        <v>0</v>
      </c>
      <c r="DU148" s="239">
        <v>0</v>
      </c>
      <c r="DV148" s="239">
        <v>0</v>
      </c>
      <c r="DW148" s="239">
        <v>0</v>
      </c>
      <c r="DX148" s="239">
        <v>0</v>
      </c>
      <c r="DY148" s="239">
        <v>0</v>
      </c>
      <c r="DZ148" s="239">
        <v>8892</v>
      </c>
      <c r="EA148" s="239">
        <v>10966</v>
      </c>
      <c r="EB148" s="239">
        <v>0</v>
      </c>
      <c r="EC148" s="239">
        <v>19635</v>
      </c>
      <c r="ED148" s="239">
        <v>0</v>
      </c>
      <c r="EE148" s="239">
        <v>0</v>
      </c>
      <c r="EF148" s="239">
        <v>-10743</v>
      </c>
      <c r="EG148" s="239">
        <v>10966</v>
      </c>
      <c r="EH148" s="239">
        <v>0</v>
      </c>
      <c r="EI148" s="239">
        <v>104278</v>
      </c>
      <c r="EJ148" s="239">
        <v>128610</v>
      </c>
      <c r="EK148" s="239">
        <v>0</v>
      </c>
      <c r="EL148" s="239">
        <v>281768</v>
      </c>
      <c r="EM148" s="239">
        <v>0</v>
      </c>
      <c r="EN148" s="239">
        <v>0</v>
      </c>
      <c r="EO148" s="239">
        <v>-177490</v>
      </c>
      <c r="EP148" s="239">
        <v>128610</v>
      </c>
      <c r="EQ148" s="239">
        <v>0</v>
      </c>
      <c r="ER148" s="239">
        <v>14708</v>
      </c>
      <c r="ES148" s="239">
        <v>18140</v>
      </c>
      <c r="ET148" s="239">
        <v>0</v>
      </c>
      <c r="EU148" s="239">
        <v>36226</v>
      </c>
      <c r="EV148" s="239">
        <v>0</v>
      </c>
      <c r="EW148" s="239">
        <v>0</v>
      </c>
      <c r="EX148" s="239">
        <v>-21518</v>
      </c>
      <c r="EY148" s="239">
        <v>18140</v>
      </c>
      <c r="EZ148" s="239">
        <v>0</v>
      </c>
      <c r="FA148" s="239">
        <v>406335</v>
      </c>
      <c r="FB148" s="239">
        <v>501147</v>
      </c>
      <c r="FC148" s="239">
        <v>0</v>
      </c>
      <c r="FD148" s="239">
        <v>383863</v>
      </c>
      <c r="FE148" s="239">
        <v>473432</v>
      </c>
      <c r="FF148" s="239">
        <v>0</v>
      </c>
      <c r="FG148" s="239">
        <v>22472</v>
      </c>
      <c r="FH148" s="239">
        <v>27715</v>
      </c>
      <c r="FI148" s="239">
        <v>0</v>
      </c>
      <c r="FJ148" s="239">
        <v>0</v>
      </c>
      <c r="FK148" s="239">
        <v>0</v>
      </c>
      <c r="FL148" s="239">
        <v>0</v>
      </c>
      <c r="FM148" s="239">
        <v>0</v>
      </c>
      <c r="FN148" s="239">
        <v>0</v>
      </c>
      <c r="FO148" s="239">
        <v>0</v>
      </c>
      <c r="FP148" s="239">
        <v>0</v>
      </c>
      <c r="FQ148" s="239">
        <v>0</v>
      </c>
      <c r="FR148" s="239">
        <v>0</v>
      </c>
      <c r="FS148" s="239">
        <v>0</v>
      </c>
      <c r="FT148" s="239">
        <v>0</v>
      </c>
      <c r="FU148" s="239">
        <v>0</v>
      </c>
      <c r="FV148" s="239">
        <v>1408633</v>
      </c>
      <c r="FW148" s="239">
        <v>1737315</v>
      </c>
      <c r="FX148" s="239">
        <v>0</v>
      </c>
      <c r="FY148" s="834">
        <v>0.33000000000000007</v>
      </c>
      <c r="FZ148" s="834">
        <v>0.3</v>
      </c>
      <c r="GA148" s="834">
        <v>0.37</v>
      </c>
      <c r="GB148" s="834">
        <v>0</v>
      </c>
      <c r="GC148" s="214" t="s">
        <v>1159</v>
      </c>
    </row>
    <row r="149" spans="2:185" s="214" customFormat="1" x14ac:dyDescent="0.2">
      <c r="B149" s="602" t="s">
        <v>381</v>
      </c>
      <c r="C149" s="602" t="s">
        <v>380</v>
      </c>
      <c r="D149" s="239">
        <v>-3705778</v>
      </c>
      <c r="E149" s="239">
        <v>0</v>
      </c>
      <c r="F149" s="239">
        <v>-3705778</v>
      </c>
      <c r="G149" s="239">
        <v>-3167716</v>
      </c>
      <c r="H149" s="239">
        <v>0</v>
      </c>
      <c r="I149" s="239">
        <v>-3167716</v>
      </c>
      <c r="J149" s="239">
        <v>-538062</v>
      </c>
      <c r="K149" s="239">
        <v>0</v>
      </c>
      <c r="L149" s="239">
        <v>-538062</v>
      </c>
      <c r="M149" s="239">
        <v>600133</v>
      </c>
      <c r="N149" s="239">
        <v>600133</v>
      </c>
      <c r="O149" s="239">
        <v>0</v>
      </c>
      <c r="P149" s="239">
        <v>83910</v>
      </c>
      <c r="Q149" s="239">
        <v>55000</v>
      </c>
      <c r="R149" s="239">
        <v>28910</v>
      </c>
      <c r="S149" s="239">
        <v>0</v>
      </c>
      <c r="T149" s="239">
        <v>0</v>
      </c>
      <c r="U149" s="239">
        <v>0</v>
      </c>
      <c r="V149" s="239">
        <v>0</v>
      </c>
      <c r="W149" s="239">
        <v>0</v>
      </c>
      <c r="X149" s="239">
        <v>0</v>
      </c>
      <c r="Y149" s="239">
        <v>67716</v>
      </c>
      <c r="Z149" s="239">
        <v>67716</v>
      </c>
      <c r="AA149" s="239">
        <v>0</v>
      </c>
      <c r="AB149" s="239">
        <v>0</v>
      </c>
      <c r="AC149" s="239">
        <v>0</v>
      </c>
      <c r="AD149" s="239">
        <v>0</v>
      </c>
      <c r="AE149" s="239">
        <v>0</v>
      </c>
      <c r="AF149" s="239">
        <v>0</v>
      </c>
      <c r="AG149" s="239">
        <v>67716</v>
      </c>
      <c r="AH149" s="239">
        <v>67716</v>
      </c>
      <c r="AI149" s="239">
        <v>0</v>
      </c>
      <c r="AJ149" s="239">
        <v>0</v>
      </c>
      <c r="AK149" s="239">
        <v>0</v>
      </c>
      <c r="AL149" s="239">
        <v>0</v>
      </c>
      <c r="AM149" s="239">
        <v>0</v>
      </c>
      <c r="AN149" s="239">
        <v>0</v>
      </c>
      <c r="AO149" s="239">
        <v>0</v>
      </c>
      <c r="AP149" s="239">
        <v>0</v>
      </c>
      <c r="AQ149" s="239">
        <v>0</v>
      </c>
      <c r="AR149" s="239">
        <v>0</v>
      </c>
      <c r="AS149" s="239">
        <v>0</v>
      </c>
      <c r="AT149" s="239">
        <v>0</v>
      </c>
      <c r="AU149" s="239">
        <v>0</v>
      </c>
      <c r="AV149" s="239">
        <v>0</v>
      </c>
      <c r="AW149" s="239">
        <v>0</v>
      </c>
      <c r="AX149" s="239">
        <v>0</v>
      </c>
      <c r="AY149" s="239">
        <v>0</v>
      </c>
      <c r="AZ149" s="239">
        <v>0</v>
      </c>
      <c r="BA149" s="239">
        <v>0</v>
      </c>
      <c r="BB149" s="239">
        <v>0</v>
      </c>
      <c r="BC149" s="239">
        <v>6023267</v>
      </c>
      <c r="BD149" s="239">
        <v>0</v>
      </c>
      <c r="BE149" s="239">
        <v>122924</v>
      </c>
      <c r="BF149" s="239">
        <v>5916485.2518065451</v>
      </c>
      <c r="BG149" s="239">
        <v>0</v>
      </c>
      <c r="BH149" s="239">
        <v>120744.59697564378</v>
      </c>
      <c r="BI149" s="239">
        <v>251292.47600538627</v>
      </c>
      <c r="BJ149" s="239">
        <v>0</v>
      </c>
      <c r="BK149" s="239">
        <v>5128.4178776609442</v>
      </c>
      <c r="BL149" s="239">
        <v>5402539</v>
      </c>
      <c r="BM149" s="239">
        <v>0</v>
      </c>
      <c r="BN149" s="239">
        <v>82481</v>
      </c>
      <c r="BO149" s="239">
        <v>620728</v>
      </c>
      <c r="BP149" s="239">
        <v>0</v>
      </c>
      <c r="BQ149" s="239">
        <v>40443</v>
      </c>
      <c r="BR149" s="239">
        <v>37652</v>
      </c>
      <c r="BS149" s="239">
        <v>0</v>
      </c>
      <c r="BT149" s="239">
        <v>768</v>
      </c>
      <c r="BU149" s="239">
        <v>23918</v>
      </c>
      <c r="BV149" s="239">
        <v>0</v>
      </c>
      <c r="BW149" s="239">
        <v>488</v>
      </c>
      <c r="BX149" s="239">
        <v>13734</v>
      </c>
      <c r="BY149" s="239">
        <v>0</v>
      </c>
      <c r="BZ149" s="239">
        <v>280</v>
      </c>
      <c r="CA149" s="239">
        <v>0</v>
      </c>
      <c r="CB149" s="239">
        <v>0</v>
      </c>
      <c r="CC149" s="239">
        <v>0</v>
      </c>
      <c r="CD149" s="239">
        <v>0</v>
      </c>
      <c r="CE149" s="239">
        <v>0</v>
      </c>
      <c r="CF149" s="239">
        <v>0</v>
      </c>
      <c r="CG149" s="239">
        <v>0</v>
      </c>
      <c r="CH149" s="239">
        <v>0</v>
      </c>
      <c r="CI149" s="239">
        <v>0</v>
      </c>
      <c r="CJ149" s="239">
        <v>1348</v>
      </c>
      <c r="CK149" s="239">
        <v>0</v>
      </c>
      <c r="CL149" s="239">
        <v>28</v>
      </c>
      <c r="CM149" s="239">
        <v>8475</v>
      </c>
      <c r="CN149" s="239">
        <v>0</v>
      </c>
      <c r="CO149" s="239">
        <v>173</v>
      </c>
      <c r="CP149" s="239">
        <v>-7127</v>
      </c>
      <c r="CQ149" s="239">
        <v>0</v>
      </c>
      <c r="CR149" s="239">
        <v>-145</v>
      </c>
      <c r="CS149" s="239">
        <v>-6101</v>
      </c>
      <c r="CT149" s="239">
        <v>0</v>
      </c>
      <c r="CU149" s="239">
        <v>-125</v>
      </c>
      <c r="CV149" s="239">
        <v>0</v>
      </c>
      <c r="CW149" s="239">
        <v>0</v>
      </c>
      <c r="CX149" s="239">
        <v>0</v>
      </c>
      <c r="CY149" s="239">
        <v>0</v>
      </c>
      <c r="CZ149" s="239">
        <v>0</v>
      </c>
      <c r="DA149" s="239">
        <v>0</v>
      </c>
      <c r="DB149" s="239">
        <v>0</v>
      </c>
      <c r="DC149" s="239">
        <v>0</v>
      </c>
      <c r="DD149" s="239">
        <v>0</v>
      </c>
      <c r="DE149" s="239">
        <v>280</v>
      </c>
      <c r="DF149" s="239">
        <v>0</v>
      </c>
      <c r="DG149" s="239">
        <v>6</v>
      </c>
      <c r="DH149" s="239">
        <v>0</v>
      </c>
      <c r="DI149" s="239">
        <v>0</v>
      </c>
      <c r="DJ149" s="239">
        <v>0</v>
      </c>
      <c r="DK149" s="239">
        <v>4157</v>
      </c>
      <c r="DL149" s="239">
        <v>0</v>
      </c>
      <c r="DM149" s="239">
        <v>85</v>
      </c>
      <c r="DN149" s="239">
        <v>-4157</v>
      </c>
      <c r="DO149" s="239">
        <v>0</v>
      </c>
      <c r="DP149" s="239">
        <v>-85</v>
      </c>
      <c r="DQ149" s="239">
        <v>746</v>
      </c>
      <c r="DR149" s="239">
        <v>0</v>
      </c>
      <c r="DS149" s="239">
        <v>15</v>
      </c>
      <c r="DT149" s="239">
        <v>746</v>
      </c>
      <c r="DU149" s="239">
        <v>0</v>
      </c>
      <c r="DV149" s="239">
        <v>15</v>
      </c>
      <c r="DW149" s="239">
        <v>0</v>
      </c>
      <c r="DX149" s="239">
        <v>0</v>
      </c>
      <c r="DY149" s="239">
        <v>0</v>
      </c>
      <c r="DZ149" s="239">
        <v>38490</v>
      </c>
      <c r="EA149" s="239">
        <v>0</v>
      </c>
      <c r="EB149" s="239">
        <v>786</v>
      </c>
      <c r="EC149" s="239">
        <v>40896</v>
      </c>
      <c r="ED149" s="239">
        <v>0</v>
      </c>
      <c r="EE149" s="239">
        <v>0</v>
      </c>
      <c r="EF149" s="239">
        <v>-2406</v>
      </c>
      <c r="EG149" s="239">
        <v>0</v>
      </c>
      <c r="EH149" s="239">
        <v>786</v>
      </c>
      <c r="EI149" s="239">
        <v>110254</v>
      </c>
      <c r="EJ149" s="239">
        <v>0</v>
      </c>
      <c r="EK149" s="239">
        <v>2250</v>
      </c>
      <c r="EL149" s="239">
        <v>288449</v>
      </c>
      <c r="EM149" s="239">
        <v>0</v>
      </c>
      <c r="EN149" s="239">
        <v>0</v>
      </c>
      <c r="EO149" s="239">
        <v>-178195</v>
      </c>
      <c r="EP149" s="239">
        <v>0</v>
      </c>
      <c r="EQ149" s="239">
        <v>2250</v>
      </c>
      <c r="ER149" s="239">
        <v>54041</v>
      </c>
      <c r="ES149" s="239">
        <v>0</v>
      </c>
      <c r="ET149" s="239">
        <v>1103</v>
      </c>
      <c r="EU149" s="239">
        <v>48486</v>
      </c>
      <c r="EV149" s="239">
        <v>0</v>
      </c>
      <c r="EW149" s="239">
        <v>0</v>
      </c>
      <c r="EX149" s="239">
        <v>5555</v>
      </c>
      <c r="EY149" s="239">
        <v>0</v>
      </c>
      <c r="EZ149" s="239">
        <v>1103</v>
      </c>
      <c r="FA149" s="239">
        <v>708502</v>
      </c>
      <c r="FB149" s="239">
        <v>0</v>
      </c>
      <c r="FC149" s="239">
        <v>14434</v>
      </c>
      <c r="FD149" s="239">
        <v>716509</v>
      </c>
      <c r="FE149" s="239">
        <v>0</v>
      </c>
      <c r="FF149" s="239">
        <v>14606</v>
      </c>
      <c r="FG149" s="239">
        <v>-8007</v>
      </c>
      <c r="FH149" s="239">
        <v>0</v>
      </c>
      <c r="FI149" s="239">
        <v>-172</v>
      </c>
      <c r="FJ149" s="239">
        <v>0</v>
      </c>
      <c r="FK149" s="239">
        <v>0</v>
      </c>
      <c r="FL149" s="239">
        <v>0</v>
      </c>
      <c r="FM149" s="239">
        <v>0</v>
      </c>
      <c r="FN149" s="239">
        <v>0</v>
      </c>
      <c r="FO149" s="239">
        <v>0</v>
      </c>
      <c r="FP149" s="239">
        <v>0</v>
      </c>
      <c r="FQ149" s="239">
        <v>0</v>
      </c>
      <c r="FR149" s="239">
        <v>0</v>
      </c>
      <c r="FS149" s="239">
        <v>0</v>
      </c>
      <c r="FT149" s="239">
        <v>0</v>
      </c>
      <c r="FU149" s="239">
        <v>0</v>
      </c>
      <c r="FV149" s="239">
        <v>6968479</v>
      </c>
      <c r="FW149" s="239">
        <v>0</v>
      </c>
      <c r="FX149" s="239">
        <v>142189</v>
      </c>
      <c r="FY149" s="834">
        <v>0.5</v>
      </c>
      <c r="FZ149" s="834">
        <v>0.49</v>
      </c>
      <c r="GA149" s="834">
        <v>0</v>
      </c>
      <c r="GB149" s="834">
        <v>0.01</v>
      </c>
      <c r="GC149" s="214" t="s">
        <v>1160</v>
      </c>
    </row>
    <row r="150" spans="2:185" s="214" customFormat="1" x14ac:dyDescent="0.2">
      <c r="B150" s="602" t="s">
        <v>383</v>
      </c>
      <c r="C150" s="602" t="s">
        <v>382</v>
      </c>
      <c r="D150" s="239">
        <v>362719</v>
      </c>
      <c r="E150" s="239">
        <v>0</v>
      </c>
      <c r="F150" s="239">
        <v>362719</v>
      </c>
      <c r="G150" s="239">
        <v>1756386</v>
      </c>
      <c r="H150" s="239">
        <v>0</v>
      </c>
      <c r="I150" s="239">
        <v>1756386</v>
      </c>
      <c r="J150" s="239">
        <v>-1393667</v>
      </c>
      <c r="K150" s="239">
        <v>0</v>
      </c>
      <c r="L150" s="239">
        <v>-1393667</v>
      </c>
      <c r="M150" s="239">
        <v>143792</v>
      </c>
      <c r="N150" s="239">
        <v>143792</v>
      </c>
      <c r="O150" s="239">
        <v>0</v>
      </c>
      <c r="P150" s="239">
        <v>0</v>
      </c>
      <c r="Q150" s="239">
        <v>0</v>
      </c>
      <c r="R150" s="239">
        <v>0</v>
      </c>
      <c r="S150" s="239">
        <v>0</v>
      </c>
      <c r="T150" s="239">
        <v>0</v>
      </c>
      <c r="U150" s="239">
        <v>0</v>
      </c>
      <c r="V150" s="239">
        <v>0</v>
      </c>
      <c r="W150" s="239">
        <v>0</v>
      </c>
      <c r="X150" s="239">
        <v>0</v>
      </c>
      <c r="Y150" s="239">
        <v>0</v>
      </c>
      <c r="Z150" s="239">
        <v>0</v>
      </c>
      <c r="AA150" s="239">
        <v>0</v>
      </c>
      <c r="AB150" s="239">
        <v>0</v>
      </c>
      <c r="AC150" s="239">
        <v>0</v>
      </c>
      <c r="AD150" s="239">
        <v>0</v>
      </c>
      <c r="AE150" s="239">
        <v>0</v>
      </c>
      <c r="AF150" s="239">
        <v>0</v>
      </c>
      <c r="AG150" s="239">
        <v>0</v>
      </c>
      <c r="AH150" s="239">
        <v>0</v>
      </c>
      <c r="AI150" s="239">
        <v>0</v>
      </c>
      <c r="AJ150" s="239">
        <v>0</v>
      </c>
      <c r="AK150" s="239">
        <v>0</v>
      </c>
      <c r="AL150" s="239">
        <v>0</v>
      </c>
      <c r="AM150" s="239">
        <v>0</v>
      </c>
      <c r="AN150" s="239">
        <v>0</v>
      </c>
      <c r="AO150" s="239">
        <v>0</v>
      </c>
      <c r="AP150" s="239">
        <v>0</v>
      </c>
      <c r="AQ150" s="239">
        <v>0</v>
      </c>
      <c r="AR150" s="239">
        <v>0</v>
      </c>
      <c r="AS150" s="239">
        <v>0</v>
      </c>
      <c r="AT150" s="239">
        <v>0</v>
      </c>
      <c r="AU150" s="239">
        <v>0</v>
      </c>
      <c r="AV150" s="239">
        <v>0</v>
      </c>
      <c r="AW150" s="239">
        <v>0</v>
      </c>
      <c r="AX150" s="239">
        <v>0</v>
      </c>
      <c r="AY150" s="239">
        <v>0</v>
      </c>
      <c r="AZ150" s="239">
        <v>0</v>
      </c>
      <c r="BA150" s="239">
        <v>0</v>
      </c>
      <c r="BB150" s="239">
        <v>0</v>
      </c>
      <c r="BC150" s="239">
        <v>2129332</v>
      </c>
      <c r="BD150" s="239">
        <v>0</v>
      </c>
      <c r="BE150" s="239">
        <v>21508</v>
      </c>
      <c r="BF150" s="239">
        <v>2072658.6194307297</v>
      </c>
      <c r="BG150" s="239">
        <v>0</v>
      </c>
      <c r="BH150" s="239">
        <v>20935.945650815451</v>
      </c>
      <c r="BI150" s="239">
        <v>168281.11468776822</v>
      </c>
      <c r="BJ150" s="239">
        <v>0</v>
      </c>
      <c r="BK150" s="239">
        <v>1699.8092392703863</v>
      </c>
      <c r="BL150" s="239">
        <v>1975520</v>
      </c>
      <c r="BM150" s="239">
        <v>0</v>
      </c>
      <c r="BN150" s="239">
        <v>14151</v>
      </c>
      <c r="BO150" s="239">
        <v>153812</v>
      </c>
      <c r="BP150" s="239">
        <v>0</v>
      </c>
      <c r="BQ150" s="239">
        <v>7357</v>
      </c>
      <c r="BR150" s="239">
        <v>17405</v>
      </c>
      <c r="BS150" s="239">
        <v>0</v>
      </c>
      <c r="BT150" s="239">
        <v>176</v>
      </c>
      <c r="BU150" s="239">
        <v>6965</v>
      </c>
      <c r="BV150" s="239">
        <v>0</v>
      </c>
      <c r="BW150" s="239">
        <v>70</v>
      </c>
      <c r="BX150" s="239">
        <v>10440</v>
      </c>
      <c r="BY150" s="239">
        <v>0</v>
      </c>
      <c r="BZ150" s="239">
        <v>106</v>
      </c>
      <c r="CA150" s="239">
        <v>249</v>
      </c>
      <c r="CB150" s="239">
        <v>0</v>
      </c>
      <c r="CC150" s="239">
        <v>3</v>
      </c>
      <c r="CD150" s="239">
        <v>2070</v>
      </c>
      <c r="CE150" s="239">
        <v>0</v>
      </c>
      <c r="CF150" s="239">
        <v>21</v>
      </c>
      <c r="CG150" s="239">
        <v>-1821</v>
      </c>
      <c r="CH150" s="239">
        <v>0</v>
      </c>
      <c r="CI150" s="239">
        <v>-18</v>
      </c>
      <c r="CJ150" s="239">
        <v>8496</v>
      </c>
      <c r="CK150" s="239">
        <v>0</v>
      </c>
      <c r="CL150" s="239">
        <v>86</v>
      </c>
      <c r="CM150" s="239">
        <v>15294</v>
      </c>
      <c r="CN150" s="239">
        <v>0</v>
      </c>
      <c r="CO150" s="239">
        <v>154</v>
      </c>
      <c r="CP150" s="239">
        <v>-6798</v>
      </c>
      <c r="CQ150" s="239">
        <v>0</v>
      </c>
      <c r="CR150" s="239">
        <v>-68</v>
      </c>
      <c r="CS150" s="239">
        <v>-2340</v>
      </c>
      <c r="CT150" s="239">
        <v>0</v>
      </c>
      <c r="CU150" s="239">
        <v>-24</v>
      </c>
      <c r="CV150" s="239">
        <v>0</v>
      </c>
      <c r="CW150" s="239">
        <v>0</v>
      </c>
      <c r="CX150" s="239">
        <v>0</v>
      </c>
      <c r="CY150" s="239">
        <v>0</v>
      </c>
      <c r="CZ150" s="239">
        <v>0</v>
      </c>
      <c r="DA150" s="239">
        <v>0</v>
      </c>
      <c r="DB150" s="239">
        <v>0</v>
      </c>
      <c r="DC150" s="239">
        <v>0</v>
      </c>
      <c r="DD150" s="239">
        <v>0</v>
      </c>
      <c r="DE150" s="239">
        <v>0</v>
      </c>
      <c r="DF150" s="239">
        <v>0</v>
      </c>
      <c r="DG150" s="239">
        <v>0</v>
      </c>
      <c r="DH150" s="239">
        <v>0</v>
      </c>
      <c r="DI150" s="239">
        <v>0</v>
      </c>
      <c r="DJ150" s="239">
        <v>0</v>
      </c>
      <c r="DK150" s="239">
        <v>0</v>
      </c>
      <c r="DL150" s="239">
        <v>0</v>
      </c>
      <c r="DM150" s="239">
        <v>0</v>
      </c>
      <c r="DN150" s="239">
        <v>0</v>
      </c>
      <c r="DO150" s="239">
        <v>0</v>
      </c>
      <c r="DP150" s="239">
        <v>0</v>
      </c>
      <c r="DQ150" s="239">
        <v>0</v>
      </c>
      <c r="DR150" s="239">
        <v>0</v>
      </c>
      <c r="DS150" s="239">
        <v>0</v>
      </c>
      <c r="DT150" s="239">
        <v>0</v>
      </c>
      <c r="DU150" s="239">
        <v>0</v>
      </c>
      <c r="DV150" s="239">
        <v>0</v>
      </c>
      <c r="DW150" s="239">
        <v>0</v>
      </c>
      <c r="DX150" s="239">
        <v>0</v>
      </c>
      <c r="DY150" s="239">
        <v>0</v>
      </c>
      <c r="DZ150" s="239">
        <v>8774</v>
      </c>
      <c r="EA150" s="239">
        <v>0</v>
      </c>
      <c r="EB150" s="239">
        <v>89</v>
      </c>
      <c r="EC150" s="239">
        <v>8862</v>
      </c>
      <c r="ED150" s="239">
        <v>0</v>
      </c>
      <c r="EE150" s="239">
        <v>0</v>
      </c>
      <c r="EF150" s="239">
        <v>-88</v>
      </c>
      <c r="EG150" s="239">
        <v>0</v>
      </c>
      <c r="EH150" s="239">
        <v>89</v>
      </c>
      <c r="EI150" s="239">
        <v>198929</v>
      </c>
      <c r="EJ150" s="239">
        <v>0</v>
      </c>
      <c r="EK150" s="239">
        <v>2009</v>
      </c>
      <c r="EL150" s="239">
        <v>197965</v>
      </c>
      <c r="EM150" s="239">
        <v>0</v>
      </c>
      <c r="EN150" s="239">
        <v>0</v>
      </c>
      <c r="EO150" s="239">
        <v>964</v>
      </c>
      <c r="EP150" s="239">
        <v>0</v>
      </c>
      <c r="EQ150" s="239">
        <v>2009</v>
      </c>
      <c r="ER150" s="239">
        <v>16819</v>
      </c>
      <c r="ES150" s="239">
        <v>0</v>
      </c>
      <c r="ET150" s="239">
        <v>170</v>
      </c>
      <c r="EU150" s="239">
        <v>18349</v>
      </c>
      <c r="EV150" s="239">
        <v>0</v>
      </c>
      <c r="EW150" s="239">
        <v>0</v>
      </c>
      <c r="EX150" s="239">
        <v>-1530</v>
      </c>
      <c r="EY150" s="239">
        <v>0</v>
      </c>
      <c r="EZ150" s="239">
        <v>170</v>
      </c>
      <c r="FA150" s="239">
        <v>636819</v>
      </c>
      <c r="FB150" s="239">
        <v>0</v>
      </c>
      <c r="FC150" s="239">
        <v>6433</v>
      </c>
      <c r="FD150" s="239">
        <v>667689</v>
      </c>
      <c r="FE150" s="239">
        <v>0</v>
      </c>
      <c r="FF150" s="239">
        <v>6744</v>
      </c>
      <c r="FG150" s="239">
        <v>-30870</v>
      </c>
      <c r="FH150" s="239">
        <v>0</v>
      </c>
      <c r="FI150" s="239">
        <v>-311</v>
      </c>
      <c r="FJ150" s="239">
        <v>0</v>
      </c>
      <c r="FK150" s="239">
        <v>0</v>
      </c>
      <c r="FL150" s="239">
        <v>0</v>
      </c>
      <c r="FM150" s="239">
        <v>0</v>
      </c>
      <c r="FN150" s="239">
        <v>0</v>
      </c>
      <c r="FO150" s="239">
        <v>0</v>
      </c>
      <c r="FP150" s="239">
        <v>0</v>
      </c>
      <c r="FQ150" s="239">
        <v>0</v>
      </c>
      <c r="FR150" s="239">
        <v>0</v>
      </c>
      <c r="FS150" s="239">
        <v>0</v>
      </c>
      <c r="FT150" s="239">
        <v>0</v>
      </c>
      <c r="FU150" s="239">
        <v>0</v>
      </c>
      <c r="FV150" s="239">
        <v>3014483</v>
      </c>
      <c r="FW150" s="239">
        <v>0</v>
      </c>
      <c r="FX150" s="239">
        <v>30450</v>
      </c>
      <c r="FY150" s="834">
        <v>0</v>
      </c>
      <c r="FZ150" s="834">
        <v>0.99</v>
      </c>
      <c r="GA150" s="834">
        <v>0</v>
      </c>
      <c r="GB150" s="834">
        <v>0.01</v>
      </c>
      <c r="GC150" s="214" t="s">
        <v>1160</v>
      </c>
    </row>
    <row r="151" spans="2:185" s="214" customFormat="1" x14ac:dyDescent="0.2">
      <c r="B151" s="602" t="s">
        <v>385</v>
      </c>
      <c r="C151" s="602" t="s">
        <v>384</v>
      </c>
      <c r="D151" s="239">
        <v>19220648</v>
      </c>
      <c r="E151" s="239">
        <v>-176658</v>
      </c>
      <c r="F151" s="239">
        <v>19043990</v>
      </c>
      <c r="G151" s="239">
        <v>19584877</v>
      </c>
      <c r="H151" s="239">
        <v>17913</v>
      </c>
      <c r="I151" s="239">
        <v>19602790</v>
      </c>
      <c r="J151" s="239">
        <v>-364229</v>
      </c>
      <c r="K151" s="239">
        <v>-194571</v>
      </c>
      <c r="L151" s="239">
        <v>-558800</v>
      </c>
      <c r="M151" s="239">
        <v>507754</v>
      </c>
      <c r="N151" s="239">
        <v>507754</v>
      </c>
      <c r="O151" s="239">
        <v>0</v>
      </c>
      <c r="P151" s="239">
        <v>987743</v>
      </c>
      <c r="Q151" s="239">
        <v>0</v>
      </c>
      <c r="R151" s="239">
        <v>987743</v>
      </c>
      <c r="S151" s="239">
        <v>0</v>
      </c>
      <c r="T151" s="239">
        <v>0</v>
      </c>
      <c r="U151" s="239">
        <v>0</v>
      </c>
      <c r="V151" s="239">
        <v>0</v>
      </c>
      <c r="W151" s="239">
        <v>0</v>
      </c>
      <c r="X151" s="239">
        <v>0</v>
      </c>
      <c r="Y151" s="239">
        <v>0</v>
      </c>
      <c r="Z151" s="239">
        <v>0</v>
      </c>
      <c r="AA151" s="239">
        <v>0</v>
      </c>
      <c r="AB151" s="239">
        <v>0</v>
      </c>
      <c r="AC151" s="239">
        <v>0</v>
      </c>
      <c r="AD151" s="239">
        <v>0</v>
      </c>
      <c r="AE151" s="239">
        <v>0</v>
      </c>
      <c r="AF151" s="239">
        <v>0</v>
      </c>
      <c r="AG151" s="239">
        <v>0</v>
      </c>
      <c r="AH151" s="239">
        <v>0</v>
      </c>
      <c r="AI151" s="239">
        <v>0</v>
      </c>
      <c r="AJ151" s="239">
        <v>0</v>
      </c>
      <c r="AK151" s="239">
        <v>0</v>
      </c>
      <c r="AL151" s="239">
        <v>0</v>
      </c>
      <c r="AM151" s="239">
        <v>0</v>
      </c>
      <c r="AN151" s="239">
        <v>0</v>
      </c>
      <c r="AO151" s="239">
        <v>0</v>
      </c>
      <c r="AP151" s="239">
        <v>0</v>
      </c>
      <c r="AQ151" s="239">
        <v>0</v>
      </c>
      <c r="AR151" s="239">
        <v>0</v>
      </c>
      <c r="AS151" s="239">
        <v>0</v>
      </c>
      <c r="AT151" s="239">
        <v>0</v>
      </c>
      <c r="AU151" s="239">
        <v>0</v>
      </c>
      <c r="AV151" s="239">
        <v>0</v>
      </c>
      <c r="AW151" s="239">
        <v>0</v>
      </c>
      <c r="AX151" s="239">
        <v>0</v>
      </c>
      <c r="AY151" s="239">
        <v>0</v>
      </c>
      <c r="AZ151" s="239">
        <v>0</v>
      </c>
      <c r="BA151" s="239">
        <v>0</v>
      </c>
      <c r="BB151" s="239">
        <v>0</v>
      </c>
      <c r="BC151" s="239">
        <v>1708083</v>
      </c>
      <c r="BD151" s="239">
        <v>2106636</v>
      </c>
      <c r="BE151" s="239">
        <v>0</v>
      </c>
      <c r="BF151" s="239">
        <v>1666945.9735287554</v>
      </c>
      <c r="BG151" s="239">
        <v>2055900.0340187983</v>
      </c>
      <c r="BH151" s="239">
        <v>0</v>
      </c>
      <c r="BI151" s="239">
        <v>135123.87914163087</v>
      </c>
      <c r="BJ151" s="239">
        <v>166652.7842746781</v>
      </c>
      <c r="BK151" s="239">
        <v>0</v>
      </c>
      <c r="BL151" s="239">
        <v>2212491</v>
      </c>
      <c r="BM151" s="239">
        <v>1236962</v>
      </c>
      <c r="BN151" s="239">
        <v>0</v>
      </c>
      <c r="BO151" s="239">
        <v>-504408</v>
      </c>
      <c r="BP151" s="239">
        <v>869674</v>
      </c>
      <c r="BQ151" s="239">
        <v>0</v>
      </c>
      <c r="BR151" s="239">
        <v>0</v>
      </c>
      <c r="BS151" s="239">
        <v>0</v>
      </c>
      <c r="BT151" s="239">
        <v>0</v>
      </c>
      <c r="BU151" s="239">
        <v>0</v>
      </c>
      <c r="BV151" s="239">
        <v>0</v>
      </c>
      <c r="BW151" s="239">
        <v>0</v>
      </c>
      <c r="BX151" s="239">
        <v>0</v>
      </c>
      <c r="BY151" s="239">
        <v>0</v>
      </c>
      <c r="BZ151" s="239">
        <v>0</v>
      </c>
      <c r="CA151" s="239">
        <v>0</v>
      </c>
      <c r="CB151" s="239">
        <v>0</v>
      </c>
      <c r="CC151" s="239">
        <v>0</v>
      </c>
      <c r="CD151" s="239">
        <v>0</v>
      </c>
      <c r="CE151" s="239">
        <v>0</v>
      </c>
      <c r="CF151" s="239">
        <v>0</v>
      </c>
      <c r="CG151" s="239">
        <v>0</v>
      </c>
      <c r="CH151" s="239">
        <v>0</v>
      </c>
      <c r="CI151" s="239">
        <v>0</v>
      </c>
      <c r="CJ151" s="239">
        <v>56</v>
      </c>
      <c r="CK151" s="239">
        <v>69</v>
      </c>
      <c r="CL151" s="239">
        <v>0</v>
      </c>
      <c r="CM151" s="239">
        <v>249</v>
      </c>
      <c r="CN151" s="239">
        <v>307</v>
      </c>
      <c r="CO151" s="239">
        <v>0</v>
      </c>
      <c r="CP151" s="239">
        <v>-193</v>
      </c>
      <c r="CQ151" s="239">
        <v>-238</v>
      </c>
      <c r="CR151" s="239">
        <v>0</v>
      </c>
      <c r="CS151" s="239">
        <v>-2507</v>
      </c>
      <c r="CT151" s="239">
        <v>-3092</v>
      </c>
      <c r="CU151" s="239">
        <v>0</v>
      </c>
      <c r="CV151" s="239">
        <v>0</v>
      </c>
      <c r="CW151" s="239">
        <v>0</v>
      </c>
      <c r="CX151" s="239">
        <v>0</v>
      </c>
      <c r="CY151" s="239">
        <v>0</v>
      </c>
      <c r="CZ151" s="239">
        <v>0</v>
      </c>
      <c r="DA151" s="239">
        <v>0</v>
      </c>
      <c r="DB151" s="239">
        <v>0</v>
      </c>
      <c r="DC151" s="239">
        <v>0</v>
      </c>
      <c r="DD151" s="239">
        <v>0</v>
      </c>
      <c r="DE151" s="239">
        <v>-32</v>
      </c>
      <c r="DF151" s="239">
        <v>-39</v>
      </c>
      <c r="DG151" s="239">
        <v>0</v>
      </c>
      <c r="DH151" s="239">
        <v>0</v>
      </c>
      <c r="DI151" s="239">
        <v>0</v>
      </c>
      <c r="DJ151" s="239">
        <v>0</v>
      </c>
      <c r="DK151" s="239">
        <v>0</v>
      </c>
      <c r="DL151" s="239">
        <v>0</v>
      </c>
      <c r="DM151" s="239">
        <v>0</v>
      </c>
      <c r="DN151" s="239">
        <v>0</v>
      </c>
      <c r="DO151" s="239">
        <v>0</v>
      </c>
      <c r="DP151" s="239">
        <v>0</v>
      </c>
      <c r="DQ151" s="239">
        <v>0</v>
      </c>
      <c r="DR151" s="239">
        <v>0</v>
      </c>
      <c r="DS151" s="239">
        <v>0</v>
      </c>
      <c r="DT151" s="239">
        <v>0</v>
      </c>
      <c r="DU151" s="239">
        <v>0</v>
      </c>
      <c r="DV151" s="239">
        <v>0</v>
      </c>
      <c r="DW151" s="239">
        <v>0</v>
      </c>
      <c r="DX151" s="239">
        <v>0</v>
      </c>
      <c r="DY151" s="239">
        <v>0</v>
      </c>
      <c r="DZ151" s="239">
        <v>139202</v>
      </c>
      <c r="EA151" s="239">
        <v>171683</v>
      </c>
      <c r="EB151" s="239">
        <v>0</v>
      </c>
      <c r="EC151" s="239">
        <v>326431</v>
      </c>
      <c r="ED151" s="239">
        <v>0</v>
      </c>
      <c r="EE151" s="239">
        <v>0</v>
      </c>
      <c r="EF151" s="239">
        <v>-187229</v>
      </c>
      <c r="EG151" s="239">
        <v>171683</v>
      </c>
      <c r="EH151" s="239">
        <v>0</v>
      </c>
      <c r="EI151" s="239">
        <v>796227</v>
      </c>
      <c r="EJ151" s="239">
        <v>973993</v>
      </c>
      <c r="EK151" s="239">
        <v>0</v>
      </c>
      <c r="EL151" s="239">
        <v>1961462</v>
      </c>
      <c r="EM151" s="239">
        <v>0</v>
      </c>
      <c r="EN151" s="239">
        <v>0</v>
      </c>
      <c r="EO151" s="239">
        <v>-1165235</v>
      </c>
      <c r="EP151" s="239">
        <v>973993</v>
      </c>
      <c r="EQ151" s="239">
        <v>0</v>
      </c>
      <c r="ER151" s="239">
        <v>30794</v>
      </c>
      <c r="ES151" s="239">
        <v>37980</v>
      </c>
      <c r="ET151" s="239">
        <v>0</v>
      </c>
      <c r="EU151" s="239">
        <v>71407</v>
      </c>
      <c r="EV151" s="239">
        <v>0</v>
      </c>
      <c r="EW151" s="239">
        <v>0</v>
      </c>
      <c r="EX151" s="239">
        <v>-40613</v>
      </c>
      <c r="EY151" s="239">
        <v>37980</v>
      </c>
      <c r="EZ151" s="239">
        <v>0</v>
      </c>
      <c r="FA151" s="239">
        <v>746879</v>
      </c>
      <c r="FB151" s="239">
        <v>902851</v>
      </c>
      <c r="FC151" s="239">
        <v>0</v>
      </c>
      <c r="FD151" s="239">
        <v>745352</v>
      </c>
      <c r="FE151" s="239">
        <v>919267</v>
      </c>
      <c r="FF151" s="239">
        <v>0</v>
      </c>
      <c r="FG151" s="239">
        <v>1527</v>
      </c>
      <c r="FH151" s="239">
        <v>-16416</v>
      </c>
      <c r="FI151" s="239">
        <v>0</v>
      </c>
      <c r="FJ151" s="239">
        <v>0</v>
      </c>
      <c r="FK151" s="239">
        <v>0</v>
      </c>
      <c r="FL151" s="239">
        <v>0</v>
      </c>
      <c r="FM151" s="239">
        <v>0</v>
      </c>
      <c r="FN151" s="239">
        <v>0</v>
      </c>
      <c r="FO151" s="239">
        <v>0</v>
      </c>
      <c r="FP151" s="239">
        <v>0</v>
      </c>
      <c r="FQ151" s="239">
        <v>0</v>
      </c>
      <c r="FR151" s="239">
        <v>0</v>
      </c>
      <c r="FS151" s="239">
        <v>0</v>
      </c>
      <c r="FT151" s="239">
        <v>0</v>
      </c>
      <c r="FU151" s="239">
        <v>0</v>
      </c>
      <c r="FV151" s="239">
        <v>3418702</v>
      </c>
      <c r="FW151" s="239">
        <v>4190081</v>
      </c>
      <c r="FX151" s="239">
        <v>0</v>
      </c>
      <c r="FY151" s="834">
        <v>0.33000000000000007</v>
      </c>
      <c r="FZ151" s="834">
        <v>0.3</v>
      </c>
      <c r="GA151" s="834">
        <v>0.37</v>
      </c>
      <c r="GB151" s="834">
        <v>0</v>
      </c>
      <c r="GC151" s="214" t="s">
        <v>1161</v>
      </c>
    </row>
    <row r="152" spans="2:185" s="214" customFormat="1" x14ac:dyDescent="0.2">
      <c r="B152" s="602" t="s">
        <v>387</v>
      </c>
      <c r="C152" s="602" t="s">
        <v>386</v>
      </c>
      <c r="D152" s="239">
        <v>-1825794</v>
      </c>
      <c r="E152" s="239">
        <v>0</v>
      </c>
      <c r="F152" s="239">
        <v>-1825794</v>
      </c>
      <c r="G152" s="239">
        <v>-958268</v>
      </c>
      <c r="H152" s="239">
        <v>0</v>
      </c>
      <c r="I152" s="239">
        <v>-958268</v>
      </c>
      <c r="J152" s="239">
        <v>-867526</v>
      </c>
      <c r="K152" s="239">
        <v>0</v>
      </c>
      <c r="L152" s="239">
        <v>-867526</v>
      </c>
      <c r="M152" s="239">
        <v>217329</v>
      </c>
      <c r="N152" s="239">
        <v>217329</v>
      </c>
      <c r="O152" s="239">
        <v>0</v>
      </c>
      <c r="P152" s="239">
        <v>0</v>
      </c>
      <c r="Q152" s="239">
        <v>0</v>
      </c>
      <c r="R152" s="239">
        <v>0</v>
      </c>
      <c r="S152" s="239">
        <v>954214</v>
      </c>
      <c r="T152" s="239">
        <v>6710</v>
      </c>
      <c r="U152" s="239">
        <v>938564</v>
      </c>
      <c r="V152" s="239">
        <v>0</v>
      </c>
      <c r="W152" s="239">
        <v>15650</v>
      </c>
      <c r="X152" s="239">
        <v>6710</v>
      </c>
      <c r="Y152" s="239">
        <v>0</v>
      </c>
      <c r="Z152" s="239">
        <v>0</v>
      </c>
      <c r="AA152" s="239">
        <v>0</v>
      </c>
      <c r="AB152" s="239">
        <v>0</v>
      </c>
      <c r="AC152" s="239">
        <v>0</v>
      </c>
      <c r="AD152" s="239">
        <v>0</v>
      </c>
      <c r="AE152" s="239">
        <v>0</v>
      </c>
      <c r="AF152" s="239">
        <v>0</v>
      </c>
      <c r="AG152" s="239">
        <v>0</v>
      </c>
      <c r="AH152" s="239">
        <v>0</v>
      </c>
      <c r="AI152" s="239">
        <v>0</v>
      </c>
      <c r="AJ152" s="239">
        <v>0</v>
      </c>
      <c r="AK152" s="239">
        <v>0</v>
      </c>
      <c r="AL152" s="239">
        <v>0</v>
      </c>
      <c r="AM152" s="239">
        <v>0</v>
      </c>
      <c r="AN152" s="239">
        <v>0</v>
      </c>
      <c r="AO152" s="239">
        <v>0</v>
      </c>
      <c r="AP152" s="239">
        <v>0</v>
      </c>
      <c r="AQ152" s="239">
        <v>0</v>
      </c>
      <c r="AR152" s="239">
        <v>0</v>
      </c>
      <c r="AS152" s="239">
        <v>0</v>
      </c>
      <c r="AT152" s="239">
        <v>0</v>
      </c>
      <c r="AU152" s="239">
        <v>0</v>
      </c>
      <c r="AV152" s="239">
        <v>0</v>
      </c>
      <c r="AW152" s="239">
        <v>0</v>
      </c>
      <c r="AX152" s="239">
        <v>0</v>
      </c>
      <c r="AY152" s="239">
        <v>0</v>
      </c>
      <c r="AZ152" s="239">
        <v>0</v>
      </c>
      <c r="BA152" s="239">
        <v>0</v>
      </c>
      <c r="BB152" s="239">
        <v>0</v>
      </c>
      <c r="BC152" s="239">
        <v>1241952</v>
      </c>
      <c r="BD152" s="239">
        <v>279439</v>
      </c>
      <c r="BE152" s="239">
        <v>31049</v>
      </c>
      <c r="BF152" s="239">
        <v>1215853.965685837</v>
      </c>
      <c r="BG152" s="239">
        <v>273567.1422793133</v>
      </c>
      <c r="BH152" s="239">
        <v>30396.349142145922</v>
      </c>
      <c r="BI152" s="239">
        <v>82710.383733905575</v>
      </c>
      <c r="BJ152" s="239">
        <v>18609.836340128753</v>
      </c>
      <c r="BK152" s="239">
        <v>2067.7595933476391</v>
      </c>
      <c r="BL152" s="239">
        <v>1235162</v>
      </c>
      <c r="BM152" s="239">
        <v>198154</v>
      </c>
      <c r="BN152" s="239">
        <v>22017</v>
      </c>
      <c r="BO152" s="239">
        <v>6790</v>
      </c>
      <c r="BP152" s="239">
        <v>81285</v>
      </c>
      <c r="BQ152" s="239">
        <v>9032</v>
      </c>
      <c r="BR152" s="239">
        <v>14168</v>
      </c>
      <c r="BS152" s="239">
        <v>3188</v>
      </c>
      <c r="BT152" s="239">
        <v>354</v>
      </c>
      <c r="BU152" s="239">
        <v>12050</v>
      </c>
      <c r="BV152" s="239">
        <v>2711</v>
      </c>
      <c r="BW152" s="239">
        <v>301</v>
      </c>
      <c r="BX152" s="239">
        <v>2118</v>
      </c>
      <c r="BY152" s="239">
        <v>477</v>
      </c>
      <c r="BZ152" s="239">
        <v>53</v>
      </c>
      <c r="CA152" s="239">
        <v>0</v>
      </c>
      <c r="CB152" s="239">
        <v>0</v>
      </c>
      <c r="CC152" s="239">
        <v>0</v>
      </c>
      <c r="CD152" s="239">
        <v>0</v>
      </c>
      <c r="CE152" s="239">
        <v>0</v>
      </c>
      <c r="CF152" s="239">
        <v>0</v>
      </c>
      <c r="CG152" s="239">
        <v>0</v>
      </c>
      <c r="CH152" s="239">
        <v>0</v>
      </c>
      <c r="CI152" s="239">
        <v>0</v>
      </c>
      <c r="CJ152" s="239">
        <v>-202</v>
      </c>
      <c r="CK152" s="239">
        <v>-45</v>
      </c>
      <c r="CL152" s="239">
        <v>-5</v>
      </c>
      <c r="CM152" s="239">
        <v>1007</v>
      </c>
      <c r="CN152" s="239">
        <v>227</v>
      </c>
      <c r="CO152" s="239">
        <v>25</v>
      </c>
      <c r="CP152" s="239">
        <v>-1209</v>
      </c>
      <c r="CQ152" s="239">
        <v>-272</v>
      </c>
      <c r="CR152" s="239">
        <v>-30</v>
      </c>
      <c r="CS152" s="239">
        <v>280</v>
      </c>
      <c r="CT152" s="239">
        <v>63</v>
      </c>
      <c r="CU152" s="239">
        <v>7</v>
      </c>
      <c r="CV152" s="239">
        <v>-2558</v>
      </c>
      <c r="CW152" s="239">
        <v>-576</v>
      </c>
      <c r="CX152" s="239">
        <v>-64</v>
      </c>
      <c r="CY152" s="239">
        <v>0</v>
      </c>
      <c r="CZ152" s="239">
        <v>0</v>
      </c>
      <c r="DA152" s="239">
        <v>0</v>
      </c>
      <c r="DB152" s="239">
        <v>-2558</v>
      </c>
      <c r="DC152" s="239">
        <v>-576</v>
      </c>
      <c r="DD152" s="239">
        <v>-64</v>
      </c>
      <c r="DE152" s="239">
        <v>-908</v>
      </c>
      <c r="DF152" s="239">
        <v>-204</v>
      </c>
      <c r="DG152" s="239">
        <v>-23</v>
      </c>
      <c r="DH152" s="239">
        <v>10115</v>
      </c>
      <c r="DI152" s="239">
        <v>2276</v>
      </c>
      <c r="DJ152" s="239">
        <v>253</v>
      </c>
      <c r="DK152" s="239">
        <v>2873</v>
      </c>
      <c r="DL152" s="239">
        <v>646</v>
      </c>
      <c r="DM152" s="239">
        <v>72</v>
      </c>
      <c r="DN152" s="239">
        <v>7242</v>
      </c>
      <c r="DO152" s="239">
        <v>1630</v>
      </c>
      <c r="DP152" s="239">
        <v>181</v>
      </c>
      <c r="DQ152" s="239">
        <v>0</v>
      </c>
      <c r="DR152" s="239">
        <v>0</v>
      </c>
      <c r="DS152" s="239">
        <v>0</v>
      </c>
      <c r="DT152" s="239">
        <v>0</v>
      </c>
      <c r="DU152" s="239">
        <v>0</v>
      </c>
      <c r="DV152" s="239">
        <v>0</v>
      </c>
      <c r="DW152" s="239">
        <v>0</v>
      </c>
      <c r="DX152" s="239">
        <v>0</v>
      </c>
      <c r="DY152" s="239">
        <v>0</v>
      </c>
      <c r="DZ152" s="239">
        <v>12535</v>
      </c>
      <c r="EA152" s="239">
        <v>2820</v>
      </c>
      <c r="EB152" s="239">
        <v>313</v>
      </c>
      <c r="EC152" s="239">
        <v>14570</v>
      </c>
      <c r="ED152" s="239">
        <v>0</v>
      </c>
      <c r="EE152" s="239">
        <v>0</v>
      </c>
      <c r="EF152" s="239">
        <v>-2035</v>
      </c>
      <c r="EG152" s="239">
        <v>2820</v>
      </c>
      <c r="EH152" s="239">
        <v>313</v>
      </c>
      <c r="EI152" s="239">
        <v>94423</v>
      </c>
      <c r="EJ152" s="239">
        <v>21245</v>
      </c>
      <c r="EK152" s="239">
        <v>2361</v>
      </c>
      <c r="EL152" s="239">
        <v>123645</v>
      </c>
      <c r="EM152" s="239">
        <v>0</v>
      </c>
      <c r="EN152" s="239">
        <v>0</v>
      </c>
      <c r="EO152" s="239">
        <v>-29222</v>
      </c>
      <c r="EP152" s="239">
        <v>21245</v>
      </c>
      <c r="EQ152" s="239">
        <v>2361</v>
      </c>
      <c r="ER152" s="239">
        <v>25861</v>
      </c>
      <c r="ES152" s="239">
        <v>5819</v>
      </c>
      <c r="ET152" s="239">
        <v>647</v>
      </c>
      <c r="EU152" s="239">
        <v>46183</v>
      </c>
      <c r="EV152" s="239">
        <v>0</v>
      </c>
      <c r="EW152" s="239">
        <v>0</v>
      </c>
      <c r="EX152" s="239">
        <v>-20322</v>
      </c>
      <c r="EY152" s="239">
        <v>5819</v>
      </c>
      <c r="EZ152" s="239">
        <v>647</v>
      </c>
      <c r="FA152" s="239">
        <v>379465</v>
      </c>
      <c r="FB152" s="239">
        <v>82255</v>
      </c>
      <c r="FC152" s="239">
        <v>9128</v>
      </c>
      <c r="FD152" s="239">
        <v>354292</v>
      </c>
      <c r="FE152" s="239">
        <v>76544</v>
      </c>
      <c r="FF152" s="239">
        <v>8505</v>
      </c>
      <c r="FG152" s="239">
        <v>25173</v>
      </c>
      <c r="FH152" s="239">
        <v>5711</v>
      </c>
      <c r="FI152" s="239">
        <v>623</v>
      </c>
      <c r="FJ152" s="239">
        <v>0</v>
      </c>
      <c r="FK152" s="239">
        <v>0</v>
      </c>
      <c r="FL152" s="239">
        <v>0</v>
      </c>
      <c r="FM152" s="239">
        <v>0</v>
      </c>
      <c r="FN152" s="239">
        <v>0</v>
      </c>
      <c r="FO152" s="239">
        <v>0</v>
      </c>
      <c r="FP152" s="239">
        <v>0</v>
      </c>
      <c r="FQ152" s="239">
        <v>0</v>
      </c>
      <c r="FR152" s="239">
        <v>0</v>
      </c>
      <c r="FS152" s="239">
        <v>0</v>
      </c>
      <c r="FT152" s="239">
        <v>0</v>
      </c>
      <c r="FU152" s="239">
        <v>0</v>
      </c>
      <c r="FV152" s="239">
        <v>1775131</v>
      </c>
      <c r="FW152" s="239">
        <v>396280</v>
      </c>
      <c r="FX152" s="239">
        <v>44020</v>
      </c>
      <c r="FY152" s="834">
        <v>0.5</v>
      </c>
      <c r="FZ152" s="834">
        <v>0.4</v>
      </c>
      <c r="GA152" s="834">
        <v>0.09</v>
      </c>
      <c r="GB152" s="834">
        <v>0.01</v>
      </c>
      <c r="GC152" s="214" t="s">
        <v>1158</v>
      </c>
    </row>
    <row r="153" spans="2:185" s="214" customFormat="1" x14ac:dyDescent="0.2">
      <c r="B153" s="602" t="s">
        <v>389</v>
      </c>
      <c r="C153" s="602" t="s">
        <v>388</v>
      </c>
      <c r="D153" s="239">
        <v>-21447936</v>
      </c>
      <c r="E153" s="239">
        <v>-153038</v>
      </c>
      <c r="F153" s="239">
        <v>-21600974</v>
      </c>
      <c r="G153" s="239">
        <v>-21085094</v>
      </c>
      <c r="H153" s="239">
        <v>-58280</v>
      </c>
      <c r="I153" s="239">
        <v>-21143374</v>
      </c>
      <c r="J153" s="239">
        <v>-362842</v>
      </c>
      <c r="K153" s="239">
        <v>-94758</v>
      </c>
      <c r="L153" s="239">
        <v>-457600</v>
      </c>
      <c r="M153" s="239">
        <v>1204810</v>
      </c>
      <c r="N153" s="239">
        <v>1204810</v>
      </c>
      <c r="O153" s="239">
        <v>0</v>
      </c>
      <c r="P153" s="239">
        <v>979794</v>
      </c>
      <c r="Q153" s="239">
        <v>884150</v>
      </c>
      <c r="R153" s="239">
        <v>95644</v>
      </c>
      <c r="S153" s="239">
        <v>226355</v>
      </c>
      <c r="T153" s="239">
        <v>0</v>
      </c>
      <c r="U153" s="239">
        <v>151163</v>
      </c>
      <c r="V153" s="239">
        <v>0</v>
      </c>
      <c r="W153" s="239">
        <v>75192</v>
      </c>
      <c r="X153" s="239">
        <v>0</v>
      </c>
      <c r="Y153" s="239">
        <v>520398</v>
      </c>
      <c r="Z153" s="239">
        <v>520398</v>
      </c>
      <c r="AA153" s="239">
        <v>0</v>
      </c>
      <c r="AB153" s="239">
        <v>0</v>
      </c>
      <c r="AC153" s="239">
        <v>440000</v>
      </c>
      <c r="AD153" s="239">
        <v>440000</v>
      </c>
      <c r="AE153" s="239">
        <v>0</v>
      </c>
      <c r="AF153" s="239">
        <v>0</v>
      </c>
      <c r="AG153" s="239">
        <v>80398</v>
      </c>
      <c r="AH153" s="239">
        <v>80398</v>
      </c>
      <c r="AI153" s="239">
        <v>0</v>
      </c>
      <c r="AJ153" s="239">
        <v>0</v>
      </c>
      <c r="AK153" s="239">
        <v>0</v>
      </c>
      <c r="AL153" s="239">
        <v>0</v>
      </c>
      <c r="AM153" s="239">
        <v>0</v>
      </c>
      <c r="AN153" s="239">
        <v>0</v>
      </c>
      <c r="AO153" s="239">
        <v>0</v>
      </c>
      <c r="AP153" s="239">
        <v>0</v>
      </c>
      <c r="AQ153" s="239">
        <v>0</v>
      </c>
      <c r="AR153" s="239">
        <v>0</v>
      </c>
      <c r="AS153" s="239">
        <v>0</v>
      </c>
      <c r="AT153" s="239">
        <v>0</v>
      </c>
      <c r="AU153" s="239">
        <v>0</v>
      </c>
      <c r="AV153" s="239">
        <v>0</v>
      </c>
      <c r="AW153" s="239">
        <v>0</v>
      </c>
      <c r="AX153" s="239">
        <v>0</v>
      </c>
      <c r="AY153" s="239">
        <v>0</v>
      </c>
      <c r="AZ153" s="239">
        <v>0</v>
      </c>
      <c r="BA153" s="239">
        <v>0</v>
      </c>
      <c r="BB153" s="239">
        <v>0</v>
      </c>
      <c r="BC153" s="239">
        <v>9127017</v>
      </c>
      <c r="BD153" s="239">
        <v>0</v>
      </c>
      <c r="BE153" s="239">
        <v>186266</v>
      </c>
      <c r="BF153" s="239">
        <v>8870724.6674381737</v>
      </c>
      <c r="BG153" s="239">
        <v>0</v>
      </c>
      <c r="BH153" s="239">
        <v>181035.19729465665</v>
      </c>
      <c r="BI153" s="239">
        <v>750610.34661427035</v>
      </c>
      <c r="BJ153" s="239">
        <v>0</v>
      </c>
      <c r="BK153" s="239">
        <v>15307.806846030042</v>
      </c>
      <c r="BL153" s="239">
        <v>8283142</v>
      </c>
      <c r="BM153" s="239">
        <v>0</v>
      </c>
      <c r="BN153" s="239">
        <v>118162</v>
      </c>
      <c r="BO153" s="239">
        <v>843875</v>
      </c>
      <c r="BP153" s="239">
        <v>0</v>
      </c>
      <c r="BQ153" s="239">
        <v>68104</v>
      </c>
      <c r="BR153" s="239">
        <v>2390</v>
      </c>
      <c r="BS153" s="239">
        <v>0</v>
      </c>
      <c r="BT153" s="239">
        <v>49</v>
      </c>
      <c r="BU153" s="239">
        <v>9947</v>
      </c>
      <c r="BV153" s="239">
        <v>0</v>
      </c>
      <c r="BW153" s="239">
        <v>203</v>
      </c>
      <c r="BX153" s="239">
        <v>-7557</v>
      </c>
      <c r="BY153" s="239">
        <v>0</v>
      </c>
      <c r="BZ153" s="239">
        <v>-154</v>
      </c>
      <c r="CA153" s="239">
        <v>5256</v>
      </c>
      <c r="CB153" s="239">
        <v>0</v>
      </c>
      <c r="CC153" s="239">
        <v>107</v>
      </c>
      <c r="CD153" s="239">
        <v>815</v>
      </c>
      <c r="CE153" s="239">
        <v>0</v>
      </c>
      <c r="CF153" s="239">
        <v>17</v>
      </c>
      <c r="CG153" s="239">
        <v>4441</v>
      </c>
      <c r="CH153" s="239">
        <v>0</v>
      </c>
      <c r="CI153" s="239">
        <v>90</v>
      </c>
      <c r="CJ153" s="239">
        <v>48180</v>
      </c>
      <c r="CK153" s="239">
        <v>0</v>
      </c>
      <c r="CL153" s="239">
        <v>983</v>
      </c>
      <c r="CM153" s="239">
        <v>23448</v>
      </c>
      <c r="CN153" s="239">
        <v>0</v>
      </c>
      <c r="CO153" s="239">
        <v>479</v>
      </c>
      <c r="CP153" s="239">
        <v>24732</v>
      </c>
      <c r="CQ153" s="239">
        <v>0</v>
      </c>
      <c r="CR153" s="239">
        <v>504</v>
      </c>
      <c r="CS153" s="239">
        <v>-132</v>
      </c>
      <c r="CT153" s="239">
        <v>0</v>
      </c>
      <c r="CU153" s="239">
        <v>-3</v>
      </c>
      <c r="CV153" s="239">
        <v>-4577</v>
      </c>
      <c r="CW153" s="239">
        <v>0</v>
      </c>
      <c r="CX153" s="239">
        <v>-93</v>
      </c>
      <c r="CY153" s="239">
        <v>0</v>
      </c>
      <c r="CZ153" s="239">
        <v>0</v>
      </c>
      <c r="DA153" s="239">
        <v>0</v>
      </c>
      <c r="DB153" s="239">
        <v>-4577</v>
      </c>
      <c r="DC153" s="239">
        <v>0</v>
      </c>
      <c r="DD153" s="239">
        <v>-93</v>
      </c>
      <c r="DE153" s="239">
        <v>-1130</v>
      </c>
      <c r="DF153" s="239">
        <v>0</v>
      </c>
      <c r="DG153" s="239">
        <v>-23</v>
      </c>
      <c r="DH153" s="239">
        <v>4005</v>
      </c>
      <c r="DI153" s="239">
        <v>0</v>
      </c>
      <c r="DJ153" s="239">
        <v>82</v>
      </c>
      <c r="DK153" s="239">
        <v>4422</v>
      </c>
      <c r="DL153" s="239">
        <v>0</v>
      </c>
      <c r="DM153" s="239">
        <v>90</v>
      </c>
      <c r="DN153" s="239">
        <v>-417</v>
      </c>
      <c r="DO153" s="239">
        <v>0</v>
      </c>
      <c r="DP153" s="239">
        <v>-8</v>
      </c>
      <c r="DQ153" s="239">
        <v>0</v>
      </c>
      <c r="DR153" s="239">
        <v>0</v>
      </c>
      <c r="DS153" s="239">
        <v>0</v>
      </c>
      <c r="DT153" s="239">
        <v>0</v>
      </c>
      <c r="DU153" s="239">
        <v>0</v>
      </c>
      <c r="DV153" s="239">
        <v>0</v>
      </c>
      <c r="DW153" s="239">
        <v>0</v>
      </c>
      <c r="DX153" s="239">
        <v>0</v>
      </c>
      <c r="DY153" s="239">
        <v>0</v>
      </c>
      <c r="DZ153" s="239">
        <v>59321</v>
      </c>
      <c r="EA153" s="239">
        <v>0</v>
      </c>
      <c r="EB153" s="239">
        <v>1211</v>
      </c>
      <c r="EC153" s="239">
        <v>55970</v>
      </c>
      <c r="ED153" s="239">
        <v>0</v>
      </c>
      <c r="EE153" s="239">
        <v>0</v>
      </c>
      <c r="EF153" s="239">
        <v>3351</v>
      </c>
      <c r="EG153" s="239">
        <v>0</v>
      </c>
      <c r="EH153" s="239">
        <v>1211</v>
      </c>
      <c r="EI153" s="239">
        <v>809195</v>
      </c>
      <c r="EJ153" s="239">
        <v>0</v>
      </c>
      <c r="EK153" s="239">
        <v>16514</v>
      </c>
      <c r="EL153" s="239">
        <v>843771</v>
      </c>
      <c r="EM153" s="239">
        <v>0</v>
      </c>
      <c r="EN153" s="239">
        <v>0</v>
      </c>
      <c r="EO153" s="239">
        <v>-34576</v>
      </c>
      <c r="EP153" s="239">
        <v>0</v>
      </c>
      <c r="EQ153" s="239">
        <v>16514</v>
      </c>
      <c r="ER153" s="239">
        <v>121791</v>
      </c>
      <c r="ES153" s="239">
        <v>0</v>
      </c>
      <c r="ET153" s="239">
        <v>2486</v>
      </c>
      <c r="EU153" s="239">
        <v>124270</v>
      </c>
      <c r="EV153" s="239">
        <v>0</v>
      </c>
      <c r="EW153" s="239">
        <v>0</v>
      </c>
      <c r="EX153" s="239">
        <v>-2479</v>
      </c>
      <c r="EY153" s="239">
        <v>0</v>
      </c>
      <c r="EZ153" s="239">
        <v>2486</v>
      </c>
      <c r="FA153" s="239">
        <v>2516593</v>
      </c>
      <c r="FB153" s="239">
        <v>0</v>
      </c>
      <c r="FC153" s="239">
        <v>50989</v>
      </c>
      <c r="FD153" s="239">
        <v>2696995</v>
      </c>
      <c r="FE153" s="239">
        <v>0</v>
      </c>
      <c r="FF153" s="239">
        <v>54588</v>
      </c>
      <c r="FG153" s="239">
        <v>-180402</v>
      </c>
      <c r="FH153" s="239">
        <v>0</v>
      </c>
      <c r="FI153" s="239">
        <v>-3599</v>
      </c>
      <c r="FJ153" s="239">
        <v>0</v>
      </c>
      <c r="FK153" s="239">
        <v>0</v>
      </c>
      <c r="FL153" s="239">
        <v>0</v>
      </c>
      <c r="FM153" s="239">
        <v>0</v>
      </c>
      <c r="FN153" s="239">
        <v>0</v>
      </c>
      <c r="FO153" s="239">
        <v>0</v>
      </c>
      <c r="FP153" s="239">
        <v>0</v>
      </c>
      <c r="FQ153" s="239">
        <v>0</v>
      </c>
      <c r="FR153" s="239">
        <v>0</v>
      </c>
      <c r="FS153" s="239">
        <v>0</v>
      </c>
      <c r="FT153" s="239">
        <v>0</v>
      </c>
      <c r="FU153" s="239">
        <v>0</v>
      </c>
      <c r="FV153" s="239">
        <v>12687909</v>
      </c>
      <c r="FW153" s="239">
        <v>0</v>
      </c>
      <c r="FX153" s="239">
        <v>258568</v>
      </c>
      <c r="FY153" s="834">
        <v>0.5</v>
      </c>
      <c r="FZ153" s="834">
        <v>0.49</v>
      </c>
      <c r="GA153" s="834">
        <v>0</v>
      </c>
      <c r="GB153" s="834">
        <v>0.01</v>
      </c>
      <c r="GC153" s="214" t="s">
        <v>1160</v>
      </c>
    </row>
    <row r="154" spans="2:185" s="214" customFormat="1" x14ac:dyDescent="0.2">
      <c r="B154" s="602" t="s">
        <v>391</v>
      </c>
      <c r="C154" s="602" t="s">
        <v>390</v>
      </c>
      <c r="D154" s="239">
        <v>6169163</v>
      </c>
      <c r="E154" s="239">
        <v>211758</v>
      </c>
      <c r="F154" s="239">
        <v>6380921</v>
      </c>
      <c r="G154" s="239">
        <v>8275266</v>
      </c>
      <c r="H154" s="239">
        <v>187075</v>
      </c>
      <c r="I154" s="239">
        <v>8462341</v>
      </c>
      <c r="J154" s="239">
        <v>-2106103</v>
      </c>
      <c r="K154" s="239">
        <v>24683</v>
      </c>
      <c r="L154" s="239">
        <v>-2081420</v>
      </c>
      <c r="M154" s="239">
        <v>491838</v>
      </c>
      <c r="N154" s="239">
        <v>491838</v>
      </c>
      <c r="O154" s="239">
        <v>0</v>
      </c>
      <c r="P154" s="239">
        <v>0</v>
      </c>
      <c r="Q154" s="239">
        <v>0</v>
      </c>
      <c r="R154" s="239">
        <v>0</v>
      </c>
      <c r="S154" s="239">
        <v>0</v>
      </c>
      <c r="T154" s="239">
        <v>0</v>
      </c>
      <c r="U154" s="239">
        <v>0</v>
      </c>
      <c r="V154" s="239">
        <v>0</v>
      </c>
      <c r="W154" s="239">
        <v>0</v>
      </c>
      <c r="X154" s="239">
        <v>0</v>
      </c>
      <c r="Y154" s="239">
        <v>13477</v>
      </c>
      <c r="Z154" s="239">
        <v>13477</v>
      </c>
      <c r="AA154" s="239">
        <v>0</v>
      </c>
      <c r="AB154" s="239">
        <v>0</v>
      </c>
      <c r="AC154" s="239">
        <v>0</v>
      </c>
      <c r="AD154" s="239">
        <v>0</v>
      </c>
      <c r="AE154" s="239">
        <v>0</v>
      </c>
      <c r="AF154" s="239">
        <v>0</v>
      </c>
      <c r="AG154" s="239">
        <v>13477</v>
      </c>
      <c r="AH154" s="239">
        <v>13477</v>
      </c>
      <c r="AI154" s="239">
        <v>0</v>
      </c>
      <c r="AJ154" s="239">
        <v>0</v>
      </c>
      <c r="AK154" s="239">
        <v>0</v>
      </c>
      <c r="AL154" s="239">
        <v>0</v>
      </c>
      <c r="AM154" s="239">
        <v>0</v>
      </c>
      <c r="AN154" s="239">
        <v>0</v>
      </c>
      <c r="AO154" s="239">
        <v>0</v>
      </c>
      <c r="AP154" s="239">
        <v>0</v>
      </c>
      <c r="AQ154" s="239">
        <v>0</v>
      </c>
      <c r="AR154" s="239">
        <v>0</v>
      </c>
      <c r="AS154" s="239">
        <v>0</v>
      </c>
      <c r="AT154" s="239">
        <v>0</v>
      </c>
      <c r="AU154" s="239">
        <v>0</v>
      </c>
      <c r="AV154" s="239">
        <v>0</v>
      </c>
      <c r="AW154" s="239">
        <v>0</v>
      </c>
      <c r="AX154" s="239">
        <v>0</v>
      </c>
      <c r="AY154" s="239">
        <v>0</v>
      </c>
      <c r="AZ154" s="239">
        <v>0</v>
      </c>
      <c r="BA154" s="239">
        <v>0</v>
      </c>
      <c r="BB154" s="239">
        <v>0</v>
      </c>
      <c r="BC154" s="239">
        <v>4454387</v>
      </c>
      <c r="BD154" s="239">
        <v>0</v>
      </c>
      <c r="BE154" s="239">
        <v>83861</v>
      </c>
      <c r="BF154" s="239">
        <v>4373350.8791372525</v>
      </c>
      <c r="BG154" s="239">
        <v>0</v>
      </c>
      <c r="BH154" s="239">
        <v>82334.116781201708</v>
      </c>
      <c r="BI154" s="239">
        <v>261182.83914592271</v>
      </c>
      <c r="BJ154" s="239">
        <v>0</v>
      </c>
      <c r="BK154" s="239">
        <v>4973.8548454935626</v>
      </c>
      <c r="BL154" s="239">
        <v>4014991</v>
      </c>
      <c r="BM154" s="239">
        <v>0</v>
      </c>
      <c r="BN154" s="239">
        <v>53864</v>
      </c>
      <c r="BO154" s="239">
        <v>439396</v>
      </c>
      <c r="BP154" s="239">
        <v>0</v>
      </c>
      <c r="BQ154" s="239">
        <v>29997</v>
      </c>
      <c r="BR154" s="239">
        <v>12423</v>
      </c>
      <c r="BS154" s="239">
        <v>0</v>
      </c>
      <c r="BT154" s="239">
        <v>171</v>
      </c>
      <c r="BU154" s="239">
        <v>25365</v>
      </c>
      <c r="BV154" s="239">
        <v>0</v>
      </c>
      <c r="BW154" s="239">
        <v>518</v>
      </c>
      <c r="BX154" s="239">
        <v>-12942</v>
      </c>
      <c r="BY154" s="239">
        <v>0</v>
      </c>
      <c r="BZ154" s="239">
        <v>-347</v>
      </c>
      <c r="CA154" s="239">
        <v>0</v>
      </c>
      <c r="CB154" s="239">
        <v>0</v>
      </c>
      <c r="CC154" s="239">
        <v>0</v>
      </c>
      <c r="CD154" s="239">
        <v>0</v>
      </c>
      <c r="CE154" s="239">
        <v>0</v>
      </c>
      <c r="CF154" s="239">
        <v>0</v>
      </c>
      <c r="CG154" s="239">
        <v>0</v>
      </c>
      <c r="CH154" s="239">
        <v>0</v>
      </c>
      <c r="CI154" s="239">
        <v>0</v>
      </c>
      <c r="CJ154" s="239">
        <v>-3825</v>
      </c>
      <c r="CK154" s="239">
        <v>0</v>
      </c>
      <c r="CL154" s="239">
        <v>-78</v>
      </c>
      <c r="CM154" s="239">
        <v>16403</v>
      </c>
      <c r="CN154" s="239">
        <v>0</v>
      </c>
      <c r="CO154" s="239">
        <v>335</v>
      </c>
      <c r="CP154" s="239">
        <v>-20228</v>
      </c>
      <c r="CQ154" s="239">
        <v>0</v>
      </c>
      <c r="CR154" s="239">
        <v>-413</v>
      </c>
      <c r="CS154" s="239">
        <v>-12879</v>
      </c>
      <c r="CT154" s="239">
        <v>0</v>
      </c>
      <c r="CU154" s="239">
        <v>-263</v>
      </c>
      <c r="CV154" s="239">
        <v>0</v>
      </c>
      <c r="CW154" s="239">
        <v>0</v>
      </c>
      <c r="CX154" s="239">
        <v>0</v>
      </c>
      <c r="CY154" s="239">
        <v>0</v>
      </c>
      <c r="CZ154" s="239">
        <v>0</v>
      </c>
      <c r="DA154" s="239">
        <v>0</v>
      </c>
      <c r="DB154" s="239">
        <v>0</v>
      </c>
      <c r="DC154" s="239">
        <v>0</v>
      </c>
      <c r="DD154" s="239">
        <v>0</v>
      </c>
      <c r="DE154" s="239">
        <v>-1519</v>
      </c>
      <c r="DF154" s="239">
        <v>0</v>
      </c>
      <c r="DG154" s="239">
        <v>-31</v>
      </c>
      <c r="DH154" s="239">
        <v>0</v>
      </c>
      <c r="DI154" s="239">
        <v>0</v>
      </c>
      <c r="DJ154" s="239">
        <v>0</v>
      </c>
      <c r="DK154" s="239">
        <v>0</v>
      </c>
      <c r="DL154" s="239">
        <v>0</v>
      </c>
      <c r="DM154" s="239">
        <v>0</v>
      </c>
      <c r="DN154" s="239">
        <v>0</v>
      </c>
      <c r="DO154" s="239">
        <v>0</v>
      </c>
      <c r="DP154" s="239">
        <v>0</v>
      </c>
      <c r="DQ154" s="239">
        <v>746</v>
      </c>
      <c r="DR154" s="239">
        <v>0</v>
      </c>
      <c r="DS154" s="239">
        <v>15</v>
      </c>
      <c r="DT154" s="239">
        <v>746</v>
      </c>
      <c r="DU154" s="239">
        <v>0</v>
      </c>
      <c r="DV154" s="239">
        <v>15</v>
      </c>
      <c r="DW154" s="239">
        <v>0</v>
      </c>
      <c r="DX154" s="239">
        <v>0</v>
      </c>
      <c r="DY154" s="239">
        <v>0</v>
      </c>
      <c r="DZ154" s="239">
        <v>73035</v>
      </c>
      <c r="EA154" s="239">
        <v>0</v>
      </c>
      <c r="EB154" s="239">
        <v>1464</v>
      </c>
      <c r="EC154" s="239">
        <v>91859</v>
      </c>
      <c r="ED154" s="239">
        <v>0</v>
      </c>
      <c r="EE154" s="239">
        <v>0</v>
      </c>
      <c r="EF154" s="239">
        <v>-18824</v>
      </c>
      <c r="EG154" s="239">
        <v>0</v>
      </c>
      <c r="EH154" s="239">
        <v>1464</v>
      </c>
      <c r="EI154" s="239">
        <v>646716</v>
      </c>
      <c r="EJ154" s="239">
        <v>0</v>
      </c>
      <c r="EK154" s="239">
        <v>12637</v>
      </c>
      <c r="EL154" s="239">
        <v>648278</v>
      </c>
      <c r="EM154" s="239">
        <v>0</v>
      </c>
      <c r="EN154" s="239">
        <v>0</v>
      </c>
      <c r="EO154" s="239">
        <v>-1562</v>
      </c>
      <c r="EP154" s="239">
        <v>0</v>
      </c>
      <c r="EQ154" s="239">
        <v>12637</v>
      </c>
      <c r="ER154" s="239">
        <v>40058</v>
      </c>
      <c r="ES154" s="239">
        <v>0</v>
      </c>
      <c r="ET154" s="239">
        <v>818</v>
      </c>
      <c r="EU154" s="239">
        <v>40601</v>
      </c>
      <c r="EV154" s="239">
        <v>0</v>
      </c>
      <c r="EW154" s="239">
        <v>0</v>
      </c>
      <c r="EX154" s="239">
        <v>-543</v>
      </c>
      <c r="EY154" s="239">
        <v>0</v>
      </c>
      <c r="EZ154" s="239">
        <v>818</v>
      </c>
      <c r="FA154" s="239">
        <v>748592</v>
      </c>
      <c r="FB154" s="239">
        <v>0</v>
      </c>
      <c r="FC154" s="239">
        <v>15277</v>
      </c>
      <c r="FD154" s="239">
        <v>799795</v>
      </c>
      <c r="FE154" s="239">
        <v>0</v>
      </c>
      <c r="FF154" s="239">
        <v>16322</v>
      </c>
      <c r="FG154" s="239">
        <v>-51203</v>
      </c>
      <c r="FH154" s="239">
        <v>0</v>
      </c>
      <c r="FI154" s="239">
        <v>-1045</v>
      </c>
      <c r="FJ154" s="239">
        <v>0</v>
      </c>
      <c r="FK154" s="239">
        <v>0</v>
      </c>
      <c r="FL154" s="239">
        <v>0</v>
      </c>
      <c r="FM154" s="239">
        <v>0</v>
      </c>
      <c r="FN154" s="239">
        <v>0</v>
      </c>
      <c r="FO154" s="239">
        <v>0</v>
      </c>
      <c r="FP154" s="239">
        <v>0</v>
      </c>
      <c r="FQ154" s="239">
        <v>0</v>
      </c>
      <c r="FR154" s="239">
        <v>0</v>
      </c>
      <c r="FS154" s="239">
        <v>0</v>
      </c>
      <c r="FT154" s="239">
        <v>0</v>
      </c>
      <c r="FU154" s="239">
        <v>0</v>
      </c>
      <c r="FV154" s="239">
        <v>5957734</v>
      </c>
      <c r="FW154" s="239">
        <v>0</v>
      </c>
      <c r="FX154" s="239">
        <v>113871</v>
      </c>
      <c r="FY154" s="834">
        <v>0.5</v>
      </c>
      <c r="FZ154" s="834">
        <v>0.49</v>
      </c>
      <c r="GA154" s="834">
        <v>0</v>
      </c>
      <c r="GB154" s="834">
        <v>0.01</v>
      </c>
      <c r="GC154" s="214" t="s">
        <v>746</v>
      </c>
    </row>
    <row r="155" spans="2:185" s="214" customFormat="1" x14ac:dyDescent="0.2">
      <c r="B155" s="602" t="s">
        <v>393</v>
      </c>
      <c r="C155" s="602" t="s">
        <v>392</v>
      </c>
      <c r="D155" s="239">
        <v>535826</v>
      </c>
      <c r="E155" s="239">
        <v>-80068</v>
      </c>
      <c r="F155" s="239">
        <v>455758</v>
      </c>
      <c r="G155" s="239">
        <v>649166</v>
      </c>
      <c r="H155" s="239">
        <v>-62027</v>
      </c>
      <c r="I155" s="239">
        <v>587139</v>
      </c>
      <c r="J155" s="239">
        <v>-113340</v>
      </c>
      <c r="K155" s="239">
        <v>-18041</v>
      </c>
      <c r="L155" s="239">
        <v>-131381</v>
      </c>
      <c r="M155" s="239">
        <v>130669</v>
      </c>
      <c r="N155" s="239">
        <v>130669</v>
      </c>
      <c r="O155" s="239">
        <v>0</v>
      </c>
      <c r="P155" s="239">
        <v>478128</v>
      </c>
      <c r="Q155" s="239">
        <v>80300</v>
      </c>
      <c r="R155" s="239">
        <v>397828</v>
      </c>
      <c r="S155" s="239">
        <v>0</v>
      </c>
      <c r="T155" s="239">
        <v>0</v>
      </c>
      <c r="U155" s="239">
        <v>0</v>
      </c>
      <c r="V155" s="239">
        <v>0</v>
      </c>
      <c r="W155" s="239">
        <v>0</v>
      </c>
      <c r="X155" s="239">
        <v>0</v>
      </c>
      <c r="Y155" s="239">
        <v>158770</v>
      </c>
      <c r="Z155" s="239">
        <v>158770</v>
      </c>
      <c r="AA155" s="239">
        <v>0</v>
      </c>
      <c r="AB155" s="239">
        <v>0</v>
      </c>
      <c r="AC155" s="239">
        <v>0</v>
      </c>
      <c r="AD155" s="239">
        <v>0</v>
      </c>
      <c r="AE155" s="239">
        <v>0</v>
      </c>
      <c r="AF155" s="239">
        <v>0</v>
      </c>
      <c r="AG155" s="239">
        <v>158770</v>
      </c>
      <c r="AH155" s="239">
        <v>158770</v>
      </c>
      <c r="AI155" s="239">
        <v>0</v>
      </c>
      <c r="AJ155" s="239">
        <v>0</v>
      </c>
      <c r="AK155" s="239">
        <v>0</v>
      </c>
      <c r="AL155" s="239">
        <v>0</v>
      </c>
      <c r="AM155" s="239">
        <v>0</v>
      </c>
      <c r="AN155" s="239">
        <v>0</v>
      </c>
      <c r="AO155" s="239">
        <v>0</v>
      </c>
      <c r="AP155" s="239">
        <v>0</v>
      </c>
      <c r="AQ155" s="239">
        <v>0</v>
      </c>
      <c r="AR155" s="239">
        <v>0</v>
      </c>
      <c r="AS155" s="239">
        <v>0</v>
      </c>
      <c r="AT155" s="239">
        <v>0</v>
      </c>
      <c r="AU155" s="239">
        <v>0</v>
      </c>
      <c r="AV155" s="239">
        <v>0</v>
      </c>
      <c r="AW155" s="239">
        <v>0</v>
      </c>
      <c r="AX155" s="239">
        <v>0</v>
      </c>
      <c r="AY155" s="239">
        <v>0</v>
      </c>
      <c r="AZ155" s="239">
        <v>0</v>
      </c>
      <c r="BA155" s="239">
        <v>0</v>
      </c>
      <c r="BB155" s="239">
        <v>0</v>
      </c>
      <c r="BC155" s="239">
        <v>1342301</v>
      </c>
      <c r="BD155" s="239">
        <v>243664</v>
      </c>
      <c r="BE155" s="239">
        <v>27074</v>
      </c>
      <c r="BF155" s="239">
        <v>1314042.4031253222</v>
      </c>
      <c r="BG155" s="239">
        <v>238637.46647626607</v>
      </c>
      <c r="BH155" s="239">
        <v>26515.274052918452</v>
      </c>
      <c r="BI155" s="239">
        <v>82075.558862660939</v>
      </c>
      <c r="BJ155" s="239">
        <v>14399.051282188839</v>
      </c>
      <c r="BK155" s="239">
        <v>1599.8945869098711</v>
      </c>
      <c r="BL155" s="239">
        <v>1135379</v>
      </c>
      <c r="BM155" s="239">
        <v>134782</v>
      </c>
      <c r="BN155" s="239">
        <v>14976</v>
      </c>
      <c r="BO155" s="239">
        <v>206922</v>
      </c>
      <c r="BP155" s="239">
        <v>108882</v>
      </c>
      <c r="BQ155" s="239">
        <v>12098</v>
      </c>
      <c r="BR155" s="239">
        <v>0</v>
      </c>
      <c r="BS155" s="239">
        <v>0</v>
      </c>
      <c r="BT155" s="239">
        <v>0</v>
      </c>
      <c r="BU155" s="239">
        <v>0</v>
      </c>
      <c r="BV155" s="239">
        <v>0</v>
      </c>
      <c r="BW155" s="239">
        <v>0</v>
      </c>
      <c r="BX155" s="239">
        <v>0</v>
      </c>
      <c r="BY155" s="239">
        <v>0</v>
      </c>
      <c r="BZ155" s="239">
        <v>0</v>
      </c>
      <c r="CA155" s="239">
        <v>0</v>
      </c>
      <c r="CB155" s="239">
        <v>0</v>
      </c>
      <c r="CC155" s="239">
        <v>0</v>
      </c>
      <c r="CD155" s="239">
        <v>0</v>
      </c>
      <c r="CE155" s="239">
        <v>0</v>
      </c>
      <c r="CF155" s="239">
        <v>0</v>
      </c>
      <c r="CG155" s="239">
        <v>0</v>
      </c>
      <c r="CH155" s="239">
        <v>0</v>
      </c>
      <c r="CI155" s="239">
        <v>0</v>
      </c>
      <c r="CJ155" s="239">
        <v>0</v>
      </c>
      <c r="CK155" s="239">
        <v>0</v>
      </c>
      <c r="CL155" s="239">
        <v>0</v>
      </c>
      <c r="CM155" s="239">
        <v>0</v>
      </c>
      <c r="CN155" s="239">
        <v>0</v>
      </c>
      <c r="CO155" s="239">
        <v>0</v>
      </c>
      <c r="CP155" s="239">
        <v>0</v>
      </c>
      <c r="CQ155" s="239">
        <v>0</v>
      </c>
      <c r="CR155" s="239">
        <v>0</v>
      </c>
      <c r="CS155" s="239">
        <v>-778</v>
      </c>
      <c r="CT155" s="239">
        <v>-175</v>
      </c>
      <c r="CU155" s="239">
        <v>-19</v>
      </c>
      <c r="CV155" s="239">
        <v>0</v>
      </c>
      <c r="CW155" s="239">
        <v>0</v>
      </c>
      <c r="CX155" s="239">
        <v>0</v>
      </c>
      <c r="CY155" s="239">
        <v>0</v>
      </c>
      <c r="CZ155" s="239">
        <v>0</v>
      </c>
      <c r="DA155" s="239">
        <v>0</v>
      </c>
      <c r="DB155" s="239">
        <v>0</v>
      </c>
      <c r="DC155" s="239">
        <v>0</v>
      </c>
      <c r="DD155" s="239">
        <v>0</v>
      </c>
      <c r="DE155" s="239">
        <v>-495</v>
      </c>
      <c r="DF155" s="239">
        <v>-111</v>
      </c>
      <c r="DG155" s="239">
        <v>-12</v>
      </c>
      <c r="DH155" s="239">
        <v>3856</v>
      </c>
      <c r="DI155" s="239">
        <v>868</v>
      </c>
      <c r="DJ155" s="239">
        <v>96</v>
      </c>
      <c r="DK155" s="239">
        <v>8556</v>
      </c>
      <c r="DL155" s="239">
        <v>1925</v>
      </c>
      <c r="DM155" s="239">
        <v>214</v>
      </c>
      <c r="DN155" s="239">
        <v>-4700</v>
      </c>
      <c r="DO155" s="239">
        <v>-1057</v>
      </c>
      <c r="DP155" s="239">
        <v>-118</v>
      </c>
      <c r="DQ155" s="239">
        <v>0</v>
      </c>
      <c r="DR155" s="239">
        <v>0</v>
      </c>
      <c r="DS155" s="239">
        <v>0</v>
      </c>
      <c r="DT155" s="239">
        <v>0</v>
      </c>
      <c r="DU155" s="239">
        <v>0</v>
      </c>
      <c r="DV155" s="239">
        <v>0</v>
      </c>
      <c r="DW155" s="239">
        <v>0</v>
      </c>
      <c r="DX155" s="239">
        <v>0</v>
      </c>
      <c r="DY155" s="239">
        <v>0</v>
      </c>
      <c r="DZ155" s="239">
        <v>9820</v>
      </c>
      <c r="EA155" s="239">
        <v>2209</v>
      </c>
      <c r="EB155" s="239">
        <v>245</v>
      </c>
      <c r="EC155" s="239">
        <v>13769</v>
      </c>
      <c r="ED155" s="239">
        <v>0</v>
      </c>
      <c r="EE155" s="239">
        <v>0</v>
      </c>
      <c r="EF155" s="239">
        <v>-3949</v>
      </c>
      <c r="EG155" s="239">
        <v>2209</v>
      </c>
      <c r="EH155" s="239">
        <v>245</v>
      </c>
      <c r="EI155" s="239">
        <v>83074</v>
      </c>
      <c r="EJ155" s="239">
        <v>14896</v>
      </c>
      <c r="EK155" s="239">
        <v>1655</v>
      </c>
      <c r="EL155" s="239">
        <v>117396</v>
      </c>
      <c r="EM155" s="239">
        <v>0</v>
      </c>
      <c r="EN155" s="239">
        <v>0</v>
      </c>
      <c r="EO155" s="239">
        <v>-34322</v>
      </c>
      <c r="EP155" s="239">
        <v>14896</v>
      </c>
      <c r="EQ155" s="239">
        <v>1655</v>
      </c>
      <c r="ER155" s="239">
        <v>16699</v>
      </c>
      <c r="ES155" s="239">
        <v>3300</v>
      </c>
      <c r="ET155" s="239">
        <v>367</v>
      </c>
      <c r="EU155" s="239">
        <v>18447</v>
      </c>
      <c r="EV155" s="239">
        <v>0</v>
      </c>
      <c r="EW155" s="239">
        <v>0</v>
      </c>
      <c r="EX155" s="239">
        <v>-1748</v>
      </c>
      <c r="EY155" s="239">
        <v>3300</v>
      </c>
      <c r="EZ155" s="239">
        <v>367</v>
      </c>
      <c r="FA155" s="239">
        <v>143686</v>
      </c>
      <c r="FB155" s="239">
        <v>30713</v>
      </c>
      <c r="FC155" s="239">
        <v>3413</v>
      </c>
      <c r="FD155" s="239">
        <v>148149</v>
      </c>
      <c r="FE155" s="239">
        <v>33062</v>
      </c>
      <c r="FF155" s="239">
        <v>3674</v>
      </c>
      <c r="FG155" s="239">
        <v>-4463</v>
      </c>
      <c r="FH155" s="239">
        <v>-2349</v>
      </c>
      <c r="FI155" s="239">
        <v>-261</v>
      </c>
      <c r="FJ155" s="239">
        <v>0</v>
      </c>
      <c r="FK155" s="239">
        <v>0</v>
      </c>
      <c r="FL155" s="239">
        <v>0</v>
      </c>
      <c r="FM155" s="239">
        <v>0</v>
      </c>
      <c r="FN155" s="239">
        <v>0</v>
      </c>
      <c r="FO155" s="239">
        <v>0</v>
      </c>
      <c r="FP155" s="239">
        <v>0</v>
      </c>
      <c r="FQ155" s="239">
        <v>0</v>
      </c>
      <c r="FR155" s="239">
        <v>0</v>
      </c>
      <c r="FS155" s="239">
        <v>0</v>
      </c>
      <c r="FT155" s="239">
        <v>0</v>
      </c>
      <c r="FU155" s="239">
        <v>0</v>
      </c>
      <c r="FV155" s="239">
        <v>1598163</v>
      </c>
      <c r="FW155" s="239">
        <v>295364</v>
      </c>
      <c r="FX155" s="239">
        <v>32819</v>
      </c>
      <c r="FY155" s="834">
        <v>0.5</v>
      </c>
      <c r="FZ155" s="834">
        <v>0.4</v>
      </c>
      <c r="GA155" s="834">
        <v>0.09</v>
      </c>
      <c r="GB155" s="834">
        <v>0.01</v>
      </c>
      <c r="GC155" s="214" t="s">
        <v>1158</v>
      </c>
    </row>
    <row r="156" spans="2:185" s="214" customFormat="1" x14ac:dyDescent="0.2">
      <c r="B156" s="602" t="s">
        <v>395</v>
      </c>
      <c r="C156" s="602" t="s">
        <v>394</v>
      </c>
      <c r="D156" s="239">
        <v>10012457</v>
      </c>
      <c r="E156" s="239">
        <v>0</v>
      </c>
      <c r="F156" s="239">
        <v>10012457</v>
      </c>
      <c r="G156" s="239">
        <v>14122157</v>
      </c>
      <c r="H156" s="239">
        <v>0</v>
      </c>
      <c r="I156" s="239">
        <v>14122157</v>
      </c>
      <c r="J156" s="239">
        <v>-4109700</v>
      </c>
      <c r="K156" s="239">
        <v>0</v>
      </c>
      <c r="L156" s="239">
        <v>-4109700</v>
      </c>
      <c r="M156" s="239">
        <v>331514</v>
      </c>
      <c r="N156" s="239">
        <v>331514</v>
      </c>
      <c r="O156" s="239">
        <v>0</v>
      </c>
      <c r="P156" s="239">
        <v>0</v>
      </c>
      <c r="Q156" s="239">
        <v>0</v>
      </c>
      <c r="R156" s="239">
        <v>0</v>
      </c>
      <c r="S156" s="239">
        <v>0</v>
      </c>
      <c r="T156" s="239">
        <v>0</v>
      </c>
      <c r="U156" s="239">
        <v>0</v>
      </c>
      <c r="V156" s="239">
        <v>0</v>
      </c>
      <c r="W156" s="239">
        <v>0</v>
      </c>
      <c r="X156" s="239">
        <v>0</v>
      </c>
      <c r="Y156" s="239">
        <v>0</v>
      </c>
      <c r="Z156" s="239">
        <v>0</v>
      </c>
      <c r="AA156" s="239">
        <v>0</v>
      </c>
      <c r="AB156" s="239">
        <v>0</v>
      </c>
      <c r="AC156" s="239">
        <v>0</v>
      </c>
      <c r="AD156" s="239">
        <v>0</v>
      </c>
      <c r="AE156" s="239">
        <v>0</v>
      </c>
      <c r="AF156" s="239">
        <v>0</v>
      </c>
      <c r="AG156" s="239">
        <v>0</v>
      </c>
      <c r="AH156" s="239">
        <v>0</v>
      </c>
      <c r="AI156" s="239">
        <v>0</v>
      </c>
      <c r="AJ156" s="239">
        <v>0</v>
      </c>
      <c r="AK156" s="239">
        <v>0</v>
      </c>
      <c r="AL156" s="239">
        <v>0</v>
      </c>
      <c r="AM156" s="239">
        <v>0</v>
      </c>
      <c r="AN156" s="239">
        <v>0</v>
      </c>
      <c r="AO156" s="239">
        <v>0</v>
      </c>
      <c r="AP156" s="239">
        <v>0</v>
      </c>
      <c r="AQ156" s="239">
        <v>0</v>
      </c>
      <c r="AR156" s="239">
        <v>0</v>
      </c>
      <c r="AS156" s="239">
        <v>0</v>
      </c>
      <c r="AT156" s="239">
        <v>0</v>
      </c>
      <c r="AU156" s="239">
        <v>0</v>
      </c>
      <c r="AV156" s="239">
        <v>0</v>
      </c>
      <c r="AW156" s="239">
        <v>0</v>
      </c>
      <c r="AX156" s="239">
        <v>0</v>
      </c>
      <c r="AY156" s="239">
        <v>0</v>
      </c>
      <c r="AZ156" s="239">
        <v>0</v>
      </c>
      <c r="BA156" s="239">
        <v>0</v>
      </c>
      <c r="BB156" s="239">
        <v>0</v>
      </c>
      <c r="BC156" s="239">
        <v>1544066</v>
      </c>
      <c r="BD156" s="239">
        <v>1904348</v>
      </c>
      <c r="BE156" s="239">
        <v>0</v>
      </c>
      <c r="BF156" s="239">
        <v>1519923.2885227466</v>
      </c>
      <c r="BG156" s="239">
        <v>1874572.0558447212</v>
      </c>
      <c r="BH156" s="239">
        <v>0</v>
      </c>
      <c r="BI156" s="239">
        <v>71866.503476394835</v>
      </c>
      <c r="BJ156" s="239">
        <v>88635.354287553637</v>
      </c>
      <c r="BK156" s="239">
        <v>0</v>
      </c>
      <c r="BL156" s="239">
        <v>2024960</v>
      </c>
      <c r="BM156" s="239">
        <v>1153131</v>
      </c>
      <c r="BN156" s="239">
        <v>0</v>
      </c>
      <c r="BO156" s="239">
        <v>-480894</v>
      </c>
      <c r="BP156" s="239">
        <v>751217</v>
      </c>
      <c r="BQ156" s="239">
        <v>0</v>
      </c>
      <c r="BR156" s="239">
        <v>0</v>
      </c>
      <c r="BS156" s="239">
        <v>0</v>
      </c>
      <c r="BT156" s="239">
        <v>0</v>
      </c>
      <c r="BU156" s="239">
        <v>0</v>
      </c>
      <c r="BV156" s="239">
        <v>0</v>
      </c>
      <c r="BW156" s="239">
        <v>0</v>
      </c>
      <c r="BX156" s="239">
        <v>0</v>
      </c>
      <c r="BY156" s="239">
        <v>0</v>
      </c>
      <c r="BZ156" s="239">
        <v>0</v>
      </c>
      <c r="CA156" s="239">
        <v>9324</v>
      </c>
      <c r="CB156" s="239">
        <v>11500</v>
      </c>
      <c r="CC156" s="239">
        <v>0</v>
      </c>
      <c r="CD156" s="239">
        <v>3982</v>
      </c>
      <c r="CE156" s="239">
        <v>4910</v>
      </c>
      <c r="CF156" s="239">
        <v>0</v>
      </c>
      <c r="CG156" s="239">
        <v>5342</v>
      </c>
      <c r="CH156" s="239">
        <v>6590</v>
      </c>
      <c r="CI156" s="239">
        <v>0</v>
      </c>
      <c r="CJ156" s="239">
        <v>61</v>
      </c>
      <c r="CK156" s="239">
        <v>75</v>
      </c>
      <c r="CL156" s="239">
        <v>0</v>
      </c>
      <c r="CM156" s="239">
        <v>187</v>
      </c>
      <c r="CN156" s="239">
        <v>231</v>
      </c>
      <c r="CO156" s="239">
        <v>0</v>
      </c>
      <c r="CP156" s="239">
        <v>-126</v>
      </c>
      <c r="CQ156" s="239">
        <v>-156</v>
      </c>
      <c r="CR156" s="239">
        <v>0</v>
      </c>
      <c r="CS156" s="239">
        <v>-447</v>
      </c>
      <c r="CT156" s="239">
        <v>-551</v>
      </c>
      <c r="CU156" s="239">
        <v>0</v>
      </c>
      <c r="CV156" s="239">
        <v>0</v>
      </c>
      <c r="CW156" s="239">
        <v>0</v>
      </c>
      <c r="CX156" s="239">
        <v>0</v>
      </c>
      <c r="CY156" s="239">
        <v>0</v>
      </c>
      <c r="CZ156" s="239">
        <v>0</v>
      </c>
      <c r="DA156" s="239">
        <v>0</v>
      </c>
      <c r="DB156" s="239">
        <v>0</v>
      </c>
      <c r="DC156" s="239">
        <v>0</v>
      </c>
      <c r="DD156" s="239">
        <v>0</v>
      </c>
      <c r="DE156" s="239">
        <v>0</v>
      </c>
      <c r="DF156" s="239">
        <v>0</v>
      </c>
      <c r="DG156" s="239">
        <v>0</v>
      </c>
      <c r="DH156" s="239">
        <v>0</v>
      </c>
      <c r="DI156" s="239">
        <v>0</v>
      </c>
      <c r="DJ156" s="239">
        <v>0</v>
      </c>
      <c r="DK156" s="239">
        <v>0</v>
      </c>
      <c r="DL156" s="239">
        <v>0</v>
      </c>
      <c r="DM156" s="239">
        <v>0</v>
      </c>
      <c r="DN156" s="239">
        <v>0</v>
      </c>
      <c r="DO156" s="239">
        <v>0</v>
      </c>
      <c r="DP156" s="239">
        <v>0</v>
      </c>
      <c r="DQ156" s="239">
        <v>0</v>
      </c>
      <c r="DR156" s="239">
        <v>0</v>
      </c>
      <c r="DS156" s="239">
        <v>0</v>
      </c>
      <c r="DT156" s="239">
        <v>0</v>
      </c>
      <c r="DU156" s="239">
        <v>0</v>
      </c>
      <c r="DV156" s="239">
        <v>0</v>
      </c>
      <c r="DW156" s="239">
        <v>0</v>
      </c>
      <c r="DX156" s="239">
        <v>0</v>
      </c>
      <c r="DY156" s="239">
        <v>0</v>
      </c>
      <c r="DZ156" s="239">
        <v>58284</v>
      </c>
      <c r="EA156" s="239">
        <v>71884</v>
      </c>
      <c r="EB156" s="239">
        <v>0</v>
      </c>
      <c r="EC156" s="239">
        <v>133257</v>
      </c>
      <c r="ED156" s="239">
        <v>0</v>
      </c>
      <c r="EE156" s="239">
        <v>0</v>
      </c>
      <c r="EF156" s="239">
        <v>-74973</v>
      </c>
      <c r="EG156" s="239">
        <v>71884</v>
      </c>
      <c r="EH156" s="239">
        <v>0</v>
      </c>
      <c r="EI156" s="239">
        <v>231138</v>
      </c>
      <c r="EJ156" s="239">
        <v>285071</v>
      </c>
      <c r="EK156" s="239">
        <v>0</v>
      </c>
      <c r="EL156" s="239">
        <v>764699</v>
      </c>
      <c r="EM156" s="239">
        <v>0</v>
      </c>
      <c r="EN156" s="239">
        <v>0</v>
      </c>
      <c r="EO156" s="239">
        <v>-533561</v>
      </c>
      <c r="EP156" s="239">
        <v>285071</v>
      </c>
      <c r="EQ156" s="239">
        <v>0</v>
      </c>
      <c r="ER156" s="239">
        <v>12644</v>
      </c>
      <c r="ES156" s="239">
        <v>15594</v>
      </c>
      <c r="ET156" s="239">
        <v>0</v>
      </c>
      <c r="EU156" s="239">
        <v>14913</v>
      </c>
      <c r="EV156" s="239">
        <v>0</v>
      </c>
      <c r="EW156" s="239">
        <v>0</v>
      </c>
      <c r="EX156" s="239">
        <v>-2269</v>
      </c>
      <c r="EY156" s="239">
        <v>15594</v>
      </c>
      <c r="EZ156" s="239">
        <v>0</v>
      </c>
      <c r="FA156" s="239">
        <v>298444</v>
      </c>
      <c r="FB156" s="239">
        <v>368080</v>
      </c>
      <c r="FC156" s="239">
        <v>0</v>
      </c>
      <c r="FD156" s="239">
        <v>321912</v>
      </c>
      <c r="FE156" s="239">
        <v>397025</v>
      </c>
      <c r="FF156" s="239">
        <v>0</v>
      </c>
      <c r="FG156" s="239">
        <v>-23468</v>
      </c>
      <c r="FH156" s="239">
        <v>-28945</v>
      </c>
      <c r="FI156" s="239">
        <v>0</v>
      </c>
      <c r="FJ156" s="239">
        <v>0</v>
      </c>
      <c r="FK156" s="239">
        <v>0</v>
      </c>
      <c r="FL156" s="239">
        <v>0</v>
      </c>
      <c r="FM156" s="239">
        <v>0</v>
      </c>
      <c r="FN156" s="239">
        <v>0</v>
      </c>
      <c r="FO156" s="239">
        <v>0</v>
      </c>
      <c r="FP156" s="239">
        <v>0</v>
      </c>
      <c r="FQ156" s="239">
        <v>0</v>
      </c>
      <c r="FR156" s="239">
        <v>0</v>
      </c>
      <c r="FS156" s="239">
        <v>0</v>
      </c>
      <c r="FT156" s="239">
        <v>0</v>
      </c>
      <c r="FU156" s="239">
        <v>0</v>
      </c>
      <c r="FV156" s="239">
        <v>2153514</v>
      </c>
      <c r="FW156" s="239">
        <v>2656001</v>
      </c>
      <c r="FX156" s="239">
        <v>0</v>
      </c>
      <c r="FY156" s="834">
        <v>0.33000000000000007</v>
      </c>
      <c r="FZ156" s="834">
        <v>0.3</v>
      </c>
      <c r="GA156" s="834">
        <v>0.37</v>
      </c>
      <c r="GB156" s="834">
        <v>0</v>
      </c>
      <c r="GC156" s="214" t="s">
        <v>1161</v>
      </c>
    </row>
    <row r="157" spans="2:185" s="214" customFormat="1" x14ac:dyDescent="0.2">
      <c r="B157" s="602" t="s">
        <v>397</v>
      </c>
      <c r="C157" s="602" t="s">
        <v>396</v>
      </c>
      <c r="D157" s="239">
        <v>103185</v>
      </c>
      <c r="E157" s="239">
        <v>0</v>
      </c>
      <c r="F157" s="239">
        <v>103185</v>
      </c>
      <c r="G157" s="239">
        <v>419786</v>
      </c>
      <c r="H157" s="239">
        <v>0</v>
      </c>
      <c r="I157" s="239">
        <v>419786</v>
      </c>
      <c r="J157" s="239">
        <v>-316601</v>
      </c>
      <c r="K157" s="239">
        <v>0</v>
      </c>
      <c r="L157" s="239">
        <v>-316601</v>
      </c>
      <c r="M157" s="239">
        <v>121519</v>
      </c>
      <c r="N157" s="239">
        <v>121519</v>
      </c>
      <c r="O157" s="239">
        <v>0</v>
      </c>
      <c r="P157" s="239">
        <v>0</v>
      </c>
      <c r="Q157" s="239">
        <v>0</v>
      </c>
      <c r="R157" s="239">
        <v>0</v>
      </c>
      <c r="S157" s="239">
        <v>0</v>
      </c>
      <c r="T157" s="239">
        <v>0</v>
      </c>
      <c r="U157" s="239">
        <v>0</v>
      </c>
      <c r="V157" s="239">
        <v>0</v>
      </c>
      <c r="W157" s="239">
        <v>0</v>
      </c>
      <c r="X157" s="239">
        <v>0</v>
      </c>
      <c r="Y157" s="239">
        <v>0</v>
      </c>
      <c r="Z157" s="239">
        <v>0</v>
      </c>
      <c r="AA157" s="239">
        <v>0</v>
      </c>
      <c r="AB157" s="239">
        <v>0</v>
      </c>
      <c r="AC157" s="239">
        <v>0</v>
      </c>
      <c r="AD157" s="239">
        <v>0</v>
      </c>
      <c r="AE157" s="239">
        <v>0</v>
      </c>
      <c r="AF157" s="239">
        <v>0</v>
      </c>
      <c r="AG157" s="239">
        <v>0</v>
      </c>
      <c r="AH157" s="239">
        <v>0</v>
      </c>
      <c r="AI157" s="239">
        <v>0</v>
      </c>
      <c r="AJ157" s="239">
        <v>0</v>
      </c>
      <c r="AK157" s="239">
        <v>0</v>
      </c>
      <c r="AL157" s="239">
        <v>0</v>
      </c>
      <c r="AM157" s="239">
        <v>0</v>
      </c>
      <c r="AN157" s="239">
        <v>0</v>
      </c>
      <c r="AO157" s="239">
        <v>0</v>
      </c>
      <c r="AP157" s="239">
        <v>0</v>
      </c>
      <c r="AQ157" s="239">
        <v>0</v>
      </c>
      <c r="AR157" s="239">
        <v>0</v>
      </c>
      <c r="AS157" s="239">
        <v>0</v>
      </c>
      <c r="AT157" s="239">
        <v>0</v>
      </c>
      <c r="AU157" s="239">
        <v>0</v>
      </c>
      <c r="AV157" s="239">
        <v>0</v>
      </c>
      <c r="AW157" s="239">
        <v>0</v>
      </c>
      <c r="AX157" s="239">
        <v>0</v>
      </c>
      <c r="AY157" s="239">
        <v>0</v>
      </c>
      <c r="AZ157" s="239">
        <v>0</v>
      </c>
      <c r="BA157" s="239">
        <v>0</v>
      </c>
      <c r="BB157" s="239">
        <v>0</v>
      </c>
      <c r="BC157" s="239">
        <v>911645</v>
      </c>
      <c r="BD157" s="239">
        <v>205120</v>
      </c>
      <c r="BE157" s="239">
        <v>22791</v>
      </c>
      <c r="BF157" s="239">
        <v>888397.87080000003</v>
      </c>
      <c r="BG157" s="239">
        <v>199889.52092999997</v>
      </c>
      <c r="BH157" s="239">
        <v>22209.946769999999</v>
      </c>
      <c r="BI157" s="239">
        <v>68641.445343347645</v>
      </c>
      <c r="BJ157" s="239">
        <v>15444.325202253218</v>
      </c>
      <c r="BK157" s="239">
        <v>1716.0361335836908</v>
      </c>
      <c r="BL157" s="239">
        <v>758104</v>
      </c>
      <c r="BM157" s="239">
        <v>108300</v>
      </c>
      <c r="BN157" s="239">
        <v>12033</v>
      </c>
      <c r="BO157" s="239">
        <v>153541</v>
      </c>
      <c r="BP157" s="239">
        <v>96820</v>
      </c>
      <c r="BQ157" s="239">
        <v>10758</v>
      </c>
      <c r="BR157" s="239">
        <v>4801</v>
      </c>
      <c r="BS157" s="239">
        <v>1080</v>
      </c>
      <c r="BT157" s="239">
        <v>120</v>
      </c>
      <c r="BU157" s="239">
        <v>1193</v>
      </c>
      <c r="BV157" s="239">
        <v>268</v>
      </c>
      <c r="BW157" s="239">
        <v>30</v>
      </c>
      <c r="BX157" s="239">
        <v>3608</v>
      </c>
      <c r="BY157" s="239">
        <v>812</v>
      </c>
      <c r="BZ157" s="239">
        <v>90</v>
      </c>
      <c r="CA157" s="239">
        <v>0</v>
      </c>
      <c r="CB157" s="239">
        <v>0</v>
      </c>
      <c r="CC157" s="239">
        <v>0</v>
      </c>
      <c r="CD157" s="239">
        <v>0</v>
      </c>
      <c r="CE157" s="239">
        <v>0</v>
      </c>
      <c r="CF157" s="239">
        <v>0</v>
      </c>
      <c r="CG157" s="239">
        <v>0</v>
      </c>
      <c r="CH157" s="239">
        <v>0</v>
      </c>
      <c r="CI157" s="239">
        <v>0</v>
      </c>
      <c r="CJ157" s="239">
        <v>-819</v>
      </c>
      <c r="CK157" s="239">
        <v>-184</v>
      </c>
      <c r="CL157" s="239">
        <v>-20</v>
      </c>
      <c r="CM157" s="239">
        <v>9208</v>
      </c>
      <c r="CN157" s="239">
        <v>2072</v>
      </c>
      <c r="CO157" s="239">
        <v>230</v>
      </c>
      <c r="CP157" s="239">
        <v>-10027</v>
      </c>
      <c r="CQ157" s="239">
        <v>-2256</v>
      </c>
      <c r="CR157" s="239">
        <v>-250</v>
      </c>
      <c r="CS157" s="239">
        <v>-929</v>
      </c>
      <c r="CT157" s="239">
        <v>-209</v>
      </c>
      <c r="CU157" s="239">
        <v>-23</v>
      </c>
      <c r="CV157" s="239">
        <v>0</v>
      </c>
      <c r="CW157" s="239">
        <v>0</v>
      </c>
      <c r="CX157" s="239">
        <v>0</v>
      </c>
      <c r="CY157" s="239">
        <v>0</v>
      </c>
      <c r="CZ157" s="239">
        <v>0</v>
      </c>
      <c r="DA157" s="239">
        <v>0</v>
      </c>
      <c r="DB157" s="239">
        <v>0</v>
      </c>
      <c r="DC157" s="239">
        <v>0</v>
      </c>
      <c r="DD157" s="239">
        <v>0</v>
      </c>
      <c r="DE157" s="239">
        <v>-2749</v>
      </c>
      <c r="DF157" s="239">
        <v>-619</v>
      </c>
      <c r="DG157" s="239">
        <v>-69</v>
      </c>
      <c r="DH157" s="239">
        <v>1391</v>
      </c>
      <c r="DI157" s="239">
        <v>313</v>
      </c>
      <c r="DJ157" s="239">
        <v>35</v>
      </c>
      <c r="DK157" s="239">
        <v>3463</v>
      </c>
      <c r="DL157" s="239">
        <v>779</v>
      </c>
      <c r="DM157" s="239">
        <v>87</v>
      </c>
      <c r="DN157" s="239">
        <v>-2072</v>
      </c>
      <c r="DO157" s="239">
        <v>-466</v>
      </c>
      <c r="DP157" s="239">
        <v>-52</v>
      </c>
      <c r="DQ157" s="239">
        <v>0</v>
      </c>
      <c r="DR157" s="239">
        <v>0</v>
      </c>
      <c r="DS157" s="239">
        <v>0</v>
      </c>
      <c r="DT157" s="239">
        <v>0</v>
      </c>
      <c r="DU157" s="239">
        <v>0</v>
      </c>
      <c r="DV157" s="239">
        <v>0</v>
      </c>
      <c r="DW157" s="239">
        <v>0</v>
      </c>
      <c r="DX157" s="239">
        <v>0</v>
      </c>
      <c r="DY157" s="239">
        <v>0</v>
      </c>
      <c r="DZ157" s="239">
        <v>12608</v>
      </c>
      <c r="EA157" s="239">
        <v>2837</v>
      </c>
      <c r="EB157" s="239">
        <v>315</v>
      </c>
      <c r="EC157" s="239">
        <v>16224</v>
      </c>
      <c r="ED157" s="239">
        <v>0</v>
      </c>
      <c r="EE157" s="239">
        <v>0</v>
      </c>
      <c r="EF157" s="239">
        <v>-3616</v>
      </c>
      <c r="EG157" s="239">
        <v>2837</v>
      </c>
      <c r="EH157" s="239">
        <v>315</v>
      </c>
      <c r="EI157" s="239">
        <v>101838</v>
      </c>
      <c r="EJ157" s="239">
        <v>22914</v>
      </c>
      <c r="EK157" s="239">
        <v>2546</v>
      </c>
      <c r="EL157" s="239">
        <v>130029</v>
      </c>
      <c r="EM157" s="239">
        <v>0</v>
      </c>
      <c r="EN157" s="239">
        <v>0</v>
      </c>
      <c r="EO157" s="239">
        <v>-28191</v>
      </c>
      <c r="EP157" s="239">
        <v>22914</v>
      </c>
      <c r="EQ157" s="239">
        <v>2546</v>
      </c>
      <c r="ER157" s="239">
        <v>19132</v>
      </c>
      <c r="ES157" s="239">
        <v>4305</v>
      </c>
      <c r="ET157" s="239">
        <v>478</v>
      </c>
      <c r="EU157" s="239">
        <v>24113</v>
      </c>
      <c r="EV157" s="239">
        <v>0</v>
      </c>
      <c r="EW157" s="239">
        <v>0</v>
      </c>
      <c r="EX157" s="239">
        <v>-4981</v>
      </c>
      <c r="EY157" s="239">
        <v>4305</v>
      </c>
      <c r="EZ157" s="239">
        <v>478</v>
      </c>
      <c r="FA157" s="239">
        <v>205064</v>
      </c>
      <c r="FB157" s="239">
        <v>46139</v>
      </c>
      <c r="FC157" s="239">
        <v>5127</v>
      </c>
      <c r="FD157" s="239">
        <v>200933</v>
      </c>
      <c r="FE157" s="239">
        <v>45210</v>
      </c>
      <c r="FF157" s="239">
        <v>5023</v>
      </c>
      <c r="FG157" s="239">
        <v>4131</v>
      </c>
      <c r="FH157" s="239">
        <v>929</v>
      </c>
      <c r="FI157" s="239">
        <v>104</v>
      </c>
      <c r="FJ157" s="239">
        <v>0</v>
      </c>
      <c r="FK157" s="239">
        <v>0</v>
      </c>
      <c r="FL157" s="239">
        <v>0</v>
      </c>
      <c r="FM157" s="239">
        <v>0</v>
      </c>
      <c r="FN157" s="239">
        <v>0</v>
      </c>
      <c r="FO157" s="239">
        <v>0</v>
      </c>
      <c r="FP157" s="239">
        <v>0</v>
      </c>
      <c r="FQ157" s="239">
        <v>0</v>
      </c>
      <c r="FR157" s="239">
        <v>0</v>
      </c>
      <c r="FS157" s="239">
        <v>0</v>
      </c>
      <c r="FT157" s="239">
        <v>0</v>
      </c>
      <c r="FU157" s="239">
        <v>0</v>
      </c>
      <c r="FV157" s="239">
        <v>1251982</v>
      </c>
      <c r="FW157" s="239">
        <v>281696</v>
      </c>
      <c r="FX157" s="239">
        <v>31300</v>
      </c>
      <c r="FY157" s="834">
        <v>0.5</v>
      </c>
      <c r="FZ157" s="834">
        <v>0.4</v>
      </c>
      <c r="GA157" s="834">
        <v>0.09</v>
      </c>
      <c r="GB157" s="834">
        <v>0.01</v>
      </c>
      <c r="GC157" s="214" t="s">
        <v>1158</v>
      </c>
    </row>
    <row r="158" spans="2:185" s="214" customFormat="1" x14ac:dyDescent="0.2">
      <c r="B158" s="602" t="s">
        <v>399</v>
      </c>
      <c r="C158" s="602" t="s">
        <v>398</v>
      </c>
      <c r="D158" s="239">
        <v>-463316</v>
      </c>
      <c r="E158" s="239">
        <v>0</v>
      </c>
      <c r="F158" s="239">
        <v>-463316</v>
      </c>
      <c r="G158" s="239">
        <v>-504694</v>
      </c>
      <c r="H158" s="239">
        <v>0</v>
      </c>
      <c r="I158" s="239">
        <v>-504694</v>
      </c>
      <c r="J158" s="239">
        <v>41378</v>
      </c>
      <c r="K158" s="239">
        <v>0</v>
      </c>
      <c r="L158" s="239">
        <v>41378</v>
      </c>
      <c r="M158" s="239">
        <v>145092</v>
      </c>
      <c r="N158" s="239">
        <v>145092</v>
      </c>
      <c r="O158" s="239">
        <v>0</v>
      </c>
      <c r="P158" s="239">
        <v>0</v>
      </c>
      <c r="Q158" s="239">
        <v>0</v>
      </c>
      <c r="R158" s="239">
        <v>0</v>
      </c>
      <c r="S158" s="239">
        <v>0</v>
      </c>
      <c r="T158" s="239">
        <v>0</v>
      </c>
      <c r="U158" s="239">
        <v>0</v>
      </c>
      <c r="V158" s="239">
        <v>0</v>
      </c>
      <c r="W158" s="239">
        <v>0</v>
      </c>
      <c r="X158" s="239">
        <v>0</v>
      </c>
      <c r="Y158" s="239">
        <v>0</v>
      </c>
      <c r="Z158" s="239">
        <v>0</v>
      </c>
      <c r="AA158" s="239">
        <v>0</v>
      </c>
      <c r="AB158" s="239">
        <v>0</v>
      </c>
      <c r="AC158" s="239">
        <v>0</v>
      </c>
      <c r="AD158" s="239">
        <v>0</v>
      </c>
      <c r="AE158" s="239">
        <v>0</v>
      </c>
      <c r="AF158" s="239">
        <v>0</v>
      </c>
      <c r="AG158" s="239">
        <v>0</v>
      </c>
      <c r="AH158" s="239">
        <v>0</v>
      </c>
      <c r="AI158" s="239">
        <v>0</v>
      </c>
      <c r="AJ158" s="239">
        <v>0</v>
      </c>
      <c r="AK158" s="239">
        <v>0</v>
      </c>
      <c r="AL158" s="239">
        <v>0</v>
      </c>
      <c r="AM158" s="239">
        <v>0</v>
      </c>
      <c r="AN158" s="239">
        <v>0</v>
      </c>
      <c r="AO158" s="239">
        <v>0</v>
      </c>
      <c r="AP158" s="239">
        <v>0</v>
      </c>
      <c r="AQ158" s="239">
        <v>0</v>
      </c>
      <c r="AR158" s="239">
        <v>0</v>
      </c>
      <c r="AS158" s="239">
        <v>0</v>
      </c>
      <c r="AT158" s="239">
        <v>0</v>
      </c>
      <c r="AU158" s="239">
        <v>0</v>
      </c>
      <c r="AV158" s="239">
        <v>0</v>
      </c>
      <c r="AW158" s="239">
        <v>0</v>
      </c>
      <c r="AX158" s="239">
        <v>0</v>
      </c>
      <c r="AY158" s="239">
        <v>0</v>
      </c>
      <c r="AZ158" s="239">
        <v>0</v>
      </c>
      <c r="BA158" s="239">
        <v>0</v>
      </c>
      <c r="BB158" s="239">
        <v>0</v>
      </c>
      <c r="BC158" s="239">
        <v>862400</v>
      </c>
      <c r="BD158" s="239">
        <v>215600</v>
      </c>
      <c r="BE158" s="239">
        <v>0</v>
      </c>
      <c r="BF158" s="239">
        <v>839805.36927038617</v>
      </c>
      <c r="BG158" s="239">
        <v>209951.34231759654</v>
      </c>
      <c r="BH158" s="239">
        <v>0</v>
      </c>
      <c r="BI158" s="239">
        <v>73587.431759656654</v>
      </c>
      <c r="BJ158" s="239">
        <v>18396.857939914164</v>
      </c>
      <c r="BK158" s="239">
        <v>0</v>
      </c>
      <c r="BL158" s="239">
        <v>833920</v>
      </c>
      <c r="BM158" s="239">
        <v>134720</v>
      </c>
      <c r="BN158" s="239">
        <v>0</v>
      </c>
      <c r="BO158" s="239">
        <v>28480</v>
      </c>
      <c r="BP158" s="239">
        <v>80880</v>
      </c>
      <c r="BQ158" s="239">
        <v>0</v>
      </c>
      <c r="BR158" s="239">
        <v>17317</v>
      </c>
      <c r="BS158" s="239">
        <v>4329</v>
      </c>
      <c r="BT158" s="239">
        <v>0</v>
      </c>
      <c r="BU158" s="239">
        <v>8566</v>
      </c>
      <c r="BV158" s="239">
        <v>2141</v>
      </c>
      <c r="BW158" s="239">
        <v>0</v>
      </c>
      <c r="BX158" s="239">
        <v>8751</v>
      </c>
      <c r="BY158" s="239">
        <v>2188</v>
      </c>
      <c r="BZ158" s="239">
        <v>0</v>
      </c>
      <c r="CA158" s="239">
        <v>22873</v>
      </c>
      <c r="CB158" s="239">
        <v>5718</v>
      </c>
      <c r="CC158" s="239">
        <v>0</v>
      </c>
      <c r="CD158" s="239">
        <v>3916</v>
      </c>
      <c r="CE158" s="239">
        <v>979</v>
      </c>
      <c r="CF158" s="239">
        <v>0</v>
      </c>
      <c r="CG158" s="239">
        <v>18957</v>
      </c>
      <c r="CH158" s="239">
        <v>4739</v>
      </c>
      <c r="CI158" s="239">
        <v>0</v>
      </c>
      <c r="CJ158" s="239">
        <v>-2435</v>
      </c>
      <c r="CK158" s="239">
        <v>-609</v>
      </c>
      <c r="CL158" s="239">
        <v>0</v>
      </c>
      <c r="CM158" s="239">
        <v>2255</v>
      </c>
      <c r="CN158" s="239">
        <v>564</v>
      </c>
      <c r="CO158" s="239">
        <v>0</v>
      </c>
      <c r="CP158" s="239">
        <v>-4690</v>
      </c>
      <c r="CQ158" s="239">
        <v>-1173</v>
      </c>
      <c r="CR158" s="239">
        <v>0</v>
      </c>
      <c r="CS158" s="239">
        <v>-366</v>
      </c>
      <c r="CT158" s="239">
        <v>-92</v>
      </c>
      <c r="CU158" s="239">
        <v>0</v>
      </c>
      <c r="CV158" s="239">
        <v>0</v>
      </c>
      <c r="CW158" s="239">
        <v>0</v>
      </c>
      <c r="CX158" s="239">
        <v>0</v>
      </c>
      <c r="CY158" s="239">
        <v>0</v>
      </c>
      <c r="CZ158" s="239">
        <v>0</v>
      </c>
      <c r="DA158" s="239">
        <v>0</v>
      </c>
      <c r="DB158" s="239">
        <v>0</v>
      </c>
      <c r="DC158" s="239">
        <v>0</v>
      </c>
      <c r="DD158" s="239">
        <v>0</v>
      </c>
      <c r="DE158" s="239">
        <v>0</v>
      </c>
      <c r="DF158" s="239">
        <v>0</v>
      </c>
      <c r="DG158" s="239">
        <v>0</v>
      </c>
      <c r="DH158" s="239">
        <v>0</v>
      </c>
      <c r="DI158" s="239">
        <v>0</v>
      </c>
      <c r="DJ158" s="239">
        <v>0</v>
      </c>
      <c r="DK158" s="239">
        <v>0</v>
      </c>
      <c r="DL158" s="239">
        <v>0</v>
      </c>
      <c r="DM158" s="239">
        <v>0</v>
      </c>
      <c r="DN158" s="239">
        <v>0</v>
      </c>
      <c r="DO158" s="239">
        <v>0</v>
      </c>
      <c r="DP158" s="239">
        <v>0</v>
      </c>
      <c r="DQ158" s="239">
        <v>438</v>
      </c>
      <c r="DR158" s="239">
        <v>109</v>
      </c>
      <c r="DS158" s="239">
        <v>0</v>
      </c>
      <c r="DT158" s="239">
        <v>609</v>
      </c>
      <c r="DU158" s="239">
        <v>152</v>
      </c>
      <c r="DV158" s="239">
        <v>0</v>
      </c>
      <c r="DW158" s="239">
        <v>-171</v>
      </c>
      <c r="DX158" s="239">
        <v>-43</v>
      </c>
      <c r="DY158" s="239">
        <v>0</v>
      </c>
      <c r="DZ158" s="239">
        <v>2460</v>
      </c>
      <c r="EA158" s="239">
        <v>615</v>
      </c>
      <c r="EB158" s="239">
        <v>0</v>
      </c>
      <c r="EC158" s="239">
        <v>3076</v>
      </c>
      <c r="ED158" s="239">
        <v>0</v>
      </c>
      <c r="EE158" s="239">
        <v>0</v>
      </c>
      <c r="EF158" s="239">
        <v>-616</v>
      </c>
      <c r="EG158" s="239">
        <v>615</v>
      </c>
      <c r="EH158" s="239">
        <v>0</v>
      </c>
      <c r="EI158" s="239">
        <v>45260</v>
      </c>
      <c r="EJ158" s="239">
        <v>11315</v>
      </c>
      <c r="EK158" s="239">
        <v>0</v>
      </c>
      <c r="EL158" s="239">
        <v>99057</v>
      </c>
      <c r="EM158" s="239">
        <v>0</v>
      </c>
      <c r="EN158" s="239">
        <v>0</v>
      </c>
      <c r="EO158" s="239">
        <v>-53797</v>
      </c>
      <c r="EP158" s="239">
        <v>11315</v>
      </c>
      <c r="EQ158" s="239">
        <v>0</v>
      </c>
      <c r="ER158" s="239">
        <v>10690</v>
      </c>
      <c r="ES158" s="239">
        <v>2672</v>
      </c>
      <c r="ET158" s="239">
        <v>0</v>
      </c>
      <c r="EU158" s="239">
        <v>25883</v>
      </c>
      <c r="EV158" s="239">
        <v>0</v>
      </c>
      <c r="EW158" s="239">
        <v>0</v>
      </c>
      <c r="EX158" s="239">
        <v>-15193</v>
      </c>
      <c r="EY158" s="239">
        <v>2672</v>
      </c>
      <c r="EZ158" s="239">
        <v>0</v>
      </c>
      <c r="FA158" s="239">
        <v>250427</v>
      </c>
      <c r="FB158" s="239">
        <v>62607</v>
      </c>
      <c r="FC158" s="239">
        <v>0</v>
      </c>
      <c r="FD158" s="239">
        <v>244772</v>
      </c>
      <c r="FE158" s="239">
        <v>61193</v>
      </c>
      <c r="FF158" s="239">
        <v>0</v>
      </c>
      <c r="FG158" s="239">
        <v>5655</v>
      </c>
      <c r="FH158" s="239">
        <v>1414</v>
      </c>
      <c r="FI158" s="239">
        <v>0</v>
      </c>
      <c r="FJ158" s="239">
        <v>0</v>
      </c>
      <c r="FK158" s="239">
        <v>0</v>
      </c>
      <c r="FL158" s="239">
        <v>0</v>
      </c>
      <c r="FM158" s="239">
        <v>0</v>
      </c>
      <c r="FN158" s="239">
        <v>0</v>
      </c>
      <c r="FO158" s="239">
        <v>0</v>
      </c>
      <c r="FP158" s="239">
        <v>0</v>
      </c>
      <c r="FQ158" s="239">
        <v>0</v>
      </c>
      <c r="FR158" s="239">
        <v>0</v>
      </c>
      <c r="FS158" s="239">
        <v>0</v>
      </c>
      <c r="FT158" s="239">
        <v>0</v>
      </c>
      <c r="FU158" s="239">
        <v>0</v>
      </c>
      <c r="FV158" s="239">
        <v>1209064</v>
      </c>
      <c r="FW158" s="239">
        <v>302264</v>
      </c>
      <c r="FX158" s="239">
        <v>0</v>
      </c>
      <c r="FY158" s="834">
        <v>0.5</v>
      </c>
      <c r="FZ158" s="834">
        <v>0.4</v>
      </c>
      <c r="GA158" s="834">
        <v>0.1</v>
      </c>
      <c r="GB158" s="834">
        <v>0</v>
      </c>
      <c r="GC158" s="214" t="s">
        <v>1158</v>
      </c>
    </row>
    <row r="159" spans="2:185" s="214" customFormat="1" x14ac:dyDescent="0.2">
      <c r="B159" s="602" t="s">
        <v>401</v>
      </c>
      <c r="C159" s="602" t="s">
        <v>400</v>
      </c>
      <c r="D159" s="239">
        <v>-5058698</v>
      </c>
      <c r="E159" s="239">
        <v>-2126428</v>
      </c>
      <c r="F159" s="239">
        <v>-7185126</v>
      </c>
      <c r="G159" s="239">
        <v>-5002039</v>
      </c>
      <c r="H159" s="239">
        <v>-2270001</v>
      </c>
      <c r="I159" s="239">
        <v>-7272040</v>
      </c>
      <c r="J159" s="239">
        <v>-56659</v>
      </c>
      <c r="K159" s="239">
        <v>143573</v>
      </c>
      <c r="L159" s="239">
        <v>86914</v>
      </c>
      <c r="M159" s="239">
        <v>760155</v>
      </c>
      <c r="N159" s="239">
        <v>760155</v>
      </c>
      <c r="O159" s="239">
        <v>0</v>
      </c>
      <c r="P159" s="239">
        <v>0</v>
      </c>
      <c r="Q159" s="239">
        <v>0</v>
      </c>
      <c r="R159" s="239">
        <v>0</v>
      </c>
      <c r="S159" s="239">
        <v>0</v>
      </c>
      <c r="T159" s="239">
        <v>0</v>
      </c>
      <c r="U159" s="239">
        <v>0</v>
      </c>
      <c r="V159" s="239">
        <v>0</v>
      </c>
      <c r="W159" s="239">
        <v>0</v>
      </c>
      <c r="X159" s="239">
        <v>0</v>
      </c>
      <c r="Y159" s="239">
        <v>0</v>
      </c>
      <c r="Z159" s="239">
        <v>0</v>
      </c>
      <c r="AA159" s="239">
        <v>0</v>
      </c>
      <c r="AB159" s="239">
        <v>0</v>
      </c>
      <c r="AC159" s="239">
        <v>0</v>
      </c>
      <c r="AD159" s="239">
        <v>0</v>
      </c>
      <c r="AE159" s="239">
        <v>0</v>
      </c>
      <c r="AF159" s="239">
        <v>0</v>
      </c>
      <c r="AG159" s="239">
        <v>0</v>
      </c>
      <c r="AH159" s="239">
        <v>0</v>
      </c>
      <c r="AI159" s="239">
        <v>0</v>
      </c>
      <c r="AJ159" s="239">
        <v>0</v>
      </c>
      <c r="AK159" s="239">
        <v>0</v>
      </c>
      <c r="AL159" s="239">
        <v>0</v>
      </c>
      <c r="AM159" s="239">
        <v>0</v>
      </c>
      <c r="AN159" s="239">
        <v>0</v>
      </c>
      <c r="AO159" s="239">
        <v>0</v>
      </c>
      <c r="AP159" s="239">
        <v>0</v>
      </c>
      <c r="AQ159" s="239">
        <v>0</v>
      </c>
      <c r="AR159" s="239">
        <v>0</v>
      </c>
      <c r="AS159" s="239">
        <v>0</v>
      </c>
      <c r="AT159" s="239">
        <v>0</v>
      </c>
      <c r="AU159" s="239">
        <v>0</v>
      </c>
      <c r="AV159" s="239">
        <v>0</v>
      </c>
      <c r="AW159" s="239">
        <v>0</v>
      </c>
      <c r="AX159" s="239">
        <v>0</v>
      </c>
      <c r="AY159" s="239">
        <v>0</v>
      </c>
      <c r="AZ159" s="239">
        <v>0</v>
      </c>
      <c r="BA159" s="239">
        <v>0</v>
      </c>
      <c r="BB159" s="239">
        <v>0</v>
      </c>
      <c r="BC159" s="239">
        <v>9517213</v>
      </c>
      <c r="BD159" s="239">
        <v>0</v>
      </c>
      <c r="BE159" s="239">
        <v>88484</v>
      </c>
      <c r="BF159" s="239">
        <v>9285229.4309658147</v>
      </c>
      <c r="BG159" s="239">
        <v>0</v>
      </c>
      <c r="BH159" s="239">
        <v>86322.297411866952</v>
      </c>
      <c r="BI159" s="239">
        <v>751338.54457832605</v>
      </c>
      <c r="BJ159" s="239">
        <v>0</v>
      </c>
      <c r="BK159" s="239">
        <v>6500.6343916309006</v>
      </c>
      <c r="BL159" s="239">
        <v>7925908</v>
      </c>
      <c r="BM159" s="239">
        <v>0</v>
      </c>
      <c r="BN159" s="239">
        <v>54549</v>
      </c>
      <c r="BO159" s="239">
        <v>1591305</v>
      </c>
      <c r="BP159" s="239">
        <v>0</v>
      </c>
      <c r="BQ159" s="239">
        <v>33935</v>
      </c>
      <c r="BR159" s="239">
        <v>83998</v>
      </c>
      <c r="BS159" s="239">
        <v>0</v>
      </c>
      <c r="BT159" s="239">
        <v>789</v>
      </c>
      <c r="BU159" s="239">
        <v>117793</v>
      </c>
      <c r="BV159" s="239">
        <v>0</v>
      </c>
      <c r="BW159" s="239">
        <v>1102</v>
      </c>
      <c r="BX159" s="239">
        <v>-33795</v>
      </c>
      <c r="BY159" s="239">
        <v>0</v>
      </c>
      <c r="BZ159" s="239">
        <v>-313</v>
      </c>
      <c r="CA159" s="239">
        <v>0</v>
      </c>
      <c r="CB159" s="239">
        <v>0</v>
      </c>
      <c r="CC159" s="239">
        <v>0</v>
      </c>
      <c r="CD159" s="239">
        <v>0</v>
      </c>
      <c r="CE159" s="239">
        <v>0</v>
      </c>
      <c r="CF159" s="239">
        <v>0</v>
      </c>
      <c r="CG159" s="239">
        <v>0</v>
      </c>
      <c r="CH159" s="239">
        <v>0</v>
      </c>
      <c r="CI159" s="239">
        <v>0</v>
      </c>
      <c r="CJ159" s="239">
        <v>2999</v>
      </c>
      <c r="CK159" s="239">
        <v>0</v>
      </c>
      <c r="CL159" s="239">
        <v>30</v>
      </c>
      <c r="CM159" s="239">
        <v>50321</v>
      </c>
      <c r="CN159" s="239">
        <v>0</v>
      </c>
      <c r="CO159" s="239">
        <v>508</v>
      </c>
      <c r="CP159" s="239">
        <v>-47322</v>
      </c>
      <c r="CQ159" s="239">
        <v>0</v>
      </c>
      <c r="CR159" s="239">
        <v>-478</v>
      </c>
      <c r="CS159" s="239">
        <v>-26914</v>
      </c>
      <c r="CT159" s="239">
        <v>0</v>
      </c>
      <c r="CU159" s="239">
        <v>-238</v>
      </c>
      <c r="CV159" s="239">
        <v>0</v>
      </c>
      <c r="CW159" s="239">
        <v>0</v>
      </c>
      <c r="CX159" s="239">
        <v>0</v>
      </c>
      <c r="CY159" s="239">
        <v>0</v>
      </c>
      <c r="CZ159" s="239">
        <v>0</v>
      </c>
      <c r="DA159" s="239">
        <v>0</v>
      </c>
      <c r="DB159" s="239">
        <v>0</v>
      </c>
      <c r="DC159" s="239">
        <v>0</v>
      </c>
      <c r="DD159" s="239">
        <v>0</v>
      </c>
      <c r="DE159" s="239">
        <v>-1795</v>
      </c>
      <c r="DF159" s="239">
        <v>0</v>
      </c>
      <c r="DG159" s="239">
        <v>-18</v>
      </c>
      <c r="DH159" s="239">
        <v>0</v>
      </c>
      <c r="DI159" s="239">
        <v>0</v>
      </c>
      <c r="DJ159" s="239">
        <v>0</v>
      </c>
      <c r="DK159" s="239">
        <v>0</v>
      </c>
      <c r="DL159" s="239">
        <v>0</v>
      </c>
      <c r="DM159" s="239">
        <v>0</v>
      </c>
      <c r="DN159" s="239">
        <v>0</v>
      </c>
      <c r="DO159" s="239">
        <v>0</v>
      </c>
      <c r="DP159" s="239">
        <v>0</v>
      </c>
      <c r="DQ159" s="239">
        <v>1507</v>
      </c>
      <c r="DR159" s="239">
        <v>0</v>
      </c>
      <c r="DS159" s="239">
        <v>15</v>
      </c>
      <c r="DT159" s="239">
        <v>0</v>
      </c>
      <c r="DU159" s="239">
        <v>0</v>
      </c>
      <c r="DV159" s="239">
        <v>0</v>
      </c>
      <c r="DW159" s="239">
        <v>1507</v>
      </c>
      <c r="DX159" s="239">
        <v>0</v>
      </c>
      <c r="DY159" s="239">
        <v>15</v>
      </c>
      <c r="DZ159" s="239">
        <v>122000</v>
      </c>
      <c r="EA159" s="239">
        <v>0</v>
      </c>
      <c r="EB159" s="239">
        <v>1144</v>
      </c>
      <c r="EC159" s="239">
        <v>123888</v>
      </c>
      <c r="ED159" s="239">
        <v>0</v>
      </c>
      <c r="EE159" s="239">
        <v>0</v>
      </c>
      <c r="EF159" s="239">
        <v>-1888</v>
      </c>
      <c r="EG159" s="239">
        <v>0</v>
      </c>
      <c r="EH159" s="239">
        <v>1144</v>
      </c>
      <c r="EI159" s="239">
        <v>1138097</v>
      </c>
      <c r="EJ159" s="239">
        <v>0</v>
      </c>
      <c r="EK159" s="239">
        <v>9584</v>
      </c>
      <c r="EL159" s="239">
        <v>1142662</v>
      </c>
      <c r="EM159" s="239">
        <v>0</v>
      </c>
      <c r="EN159" s="239">
        <v>0</v>
      </c>
      <c r="EO159" s="239">
        <v>-4565</v>
      </c>
      <c r="EP159" s="239">
        <v>0</v>
      </c>
      <c r="EQ159" s="239">
        <v>9584</v>
      </c>
      <c r="ER159" s="239">
        <v>183207</v>
      </c>
      <c r="ES159" s="239">
        <v>0</v>
      </c>
      <c r="ET159" s="239">
        <v>1649</v>
      </c>
      <c r="EU159" s="239">
        <v>188311</v>
      </c>
      <c r="EV159" s="239">
        <v>0</v>
      </c>
      <c r="EW159" s="239">
        <v>0</v>
      </c>
      <c r="EX159" s="239">
        <v>-5104</v>
      </c>
      <c r="EY159" s="239">
        <v>0</v>
      </c>
      <c r="EZ159" s="239">
        <v>1649</v>
      </c>
      <c r="FA159" s="239">
        <v>2698271</v>
      </c>
      <c r="FB159" s="239">
        <v>0</v>
      </c>
      <c r="FC159" s="239">
        <v>27255</v>
      </c>
      <c r="FD159" s="239">
        <v>2798228</v>
      </c>
      <c r="FE159" s="239">
        <v>0</v>
      </c>
      <c r="FF159" s="239">
        <v>28265</v>
      </c>
      <c r="FG159" s="239">
        <v>-99957</v>
      </c>
      <c r="FH159" s="239">
        <v>0</v>
      </c>
      <c r="FI159" s="239">
        <v>-1010</v>
      </c>
      <c r="FJ159" s="239">
        <v>315743</v>
      </c>
      <c r="FK159" s="239">
        <v>0</v>
      </c>
      <c r="FL159" s="239">
        <v>0</v>
      </c>
      <c r="FM159" s="239">
        <v>224905</v>
      </c>
      <c r="FN159" s="239">
        <v>0</v>
      </c>
      <c r="FO159" s="239">
        <v>0</v>
      </c>
      <c r="FP159" s="239">
        <v>90838</v>
      </c>
      <c r="FQ159" s="239">
        <v>0</v>
      </c>
      <c r="FR159" s="239">
        <v>0</v>
      </c>
      <c r="FS159" s="239">
        <v>0</v>
      </c>
      <c r="FT159" s="239">
        <v>0</v>
      </c>
      <c r="FU159" s="239">
        <v>0</v>
      </c>
      <c r="FV159" s="239">
        <v>14034326</v>
      </c>
      <c r="FW159" s="239">
        <v>0</v>
      </c>
      <c r="FX159" s="239">
        <v>128694</v>
      </c>
      <c r="FY159" s="834">
        <v>0</v>
      </c>
      <c r="FZ159" s="834">
        <v>0.99</v>
      </c>
      <c r="GA159" s="834">
        <v>0</v>
      </c>
      <c r="GB159" s="834">
        <v>0.01</v>
      </c>
      <c r="GC159" s="214" t="s">
        <v>1160</v>
      </c>
    </row>
    <row r="160" spans="2:185" s="214" customFormat="1" x14ac:dyDescent="0.2">
      <c r="B160" s="602" t="s">
        <v>403</v>
      </c>
      <c r="C160" s="602" t="s">
        <v>402</v>
      </c>
      <c r="D160" s="239">
        <v>-1102411</v>
      </c>
      <c r="E160" s="239">
        <v>-124981</v>
      </c>
      <c r="F160" s="239">
        <v>-1227392</v>
      </c>
      <c r="G160" s="239">
        <v>170639</v>
      </c>
      <c r="H160" s="239">
        <v>-192751</v>
      </c>
      <c r="I160" s="239">
        <v>-22112</v>
      </c>
      <c r="J160" s="239">
        <v>-1273050</v>
      </c>
      <c r="K160" s="239">
        <v>67770</v>
      </c>
      <c r="L160" s="239">
        <v>-1205280</v>
      </c>
      <c r="M160" s="239">
        <v>246453</v>
      </c>
      <c r="N160" s="239">
        <v>246453</v>
      </c>
      <c r="O160" s="239">
        <v>0</v>
      </c>
      <c r="P160" s="239">
        <v>0</v>
      </c>
      <c r="Q160" s="239">
        <v>0</v>
      </c>
      <c r="R160" s="239">
        <v>0</v>
      </c>
      <c r="S160" s="239">
        <v>0</v>
      </c>
      <c r="T160" s="239">
        <v>0</v>
      </c>
      <c r="U160" s="239">
        <v>0</v>
      </c>
      <c r="V160" s="239">
        <v>0</v>
      </c>
      <c r="W160" s="239">
        <v>0</v>
      </c>
      <c r="X160" s="239">
        <v>0</v>
      </c>
      <c r="Y160" s="239">
        <v>0</v>
      </c>
      <c r="Z160" s="239">
        <v>0</v>
      </c>
      <c r="AA160" s="239">
        <v>0</v>
      </c>
      <c r="AB160" s="239">
        <v>0</v>
      </c>
      <c r="AC160" s="239">
        <v>0</v>
      </c>
      <c r="AD160" s="239">
        <v>0</v>
      </c>
      <c r="AE160" s="239">
        <v>0</v>
      </c>
      <c r="AF160" s="239">
        <v>0</v>
      </c>
      <c r="AG160" s="239">
        <v>0</v>
      </c>
      <c r="AH160" s="239">
        <v>0</v>
      </c>
      <c r="AI160" s="239">
        <v>0</v>
      </c>
      <c r="AJ160" s="239">
        <v>0</v>
      </c>
      <c r="AK160" s="239">
        <v>0</v>
      </c>
      <c r="AL160" s="239">
        <v>0</v>
      </c>
      <c r="AM160" s="239">
        <v>0</v>
      </c>
      <c r="AN160" s="239">
        <v>0</v>
      </c>
      <c r="AO160" s="239">
        <v>0</v>
      </c>
      <c r="AP160" s="239">
        <v>0</v>
      </c>
      <c r="AQ160" s="239">
        <v>0</v>
      </c>
      <c r="AR160" s="239">
        <v>0</v>
      </c>
      <c r="AS160" s="239">
        <v>0</v>
      </c>
      <c r="AT160" s="239">
        <v>0</v>
      </c>
      <c r="AU160" s="239">
        <v>0</v>
      </c>
      <c r="AV160" s="239">
        <v>0</v>
      </c>
      <c r="AW160" s="239">
        <v>0</v>
      </c>
      <c r="AX160" s="239">
        <v>0</v>
      </c>
      <c r="AY160" s="239">
        <v>0</v>
      </c>
      <c r="AZ160" s="239">
        <v>0</v>
      </c>
      <c r="BA160" s="239">
        <v>0</v>
      </c>
      <c r="BB160" s="239">
        <v>0</v>
      </c>
      <c r="BC160" s="239">
        <v>1867645</v>
      </c>
      <c r="BD160" s="239">
        <v>0</v>
      </c>
      <c r="BE160" s="239">
        <v>37953</v>
      </c>
      <c r="BF160" s="239">
        <v>1820672.3488422318</v>
      </c>
      <c r="BG160" s="239">
        <v>0</v>
      </c>
      <c r="BH160" s="239">
        <v>36998.427681373381</v>
      </c>
      <c r="BI160" s="239">
        <v>152220.74479506435</v>
      </c>
      <c r="BJ160" s="239">
        <v>0</v>
      </c>
      <c r="BK160" s="239">
        <v>2863.0390568669523</v>
      </c>
      <c r="BL160" s="239">
        <v>1606464</v>
      </c>
      <c r="BM160" s="239">
        <v>0</v>
      </c>
      <c r="BN160" s="239">
        <v>22158</v>
      </c>
      <c r="BO160" s="239">
        <v>261181</v>
      </c>
      <c r="BP160" s="239">
        <v>0</v>
      </c>
      <c r="BQ160" s="239">
        <v>15795</v>
      </c>
      <c r="BR160" s="239">
        <v>2332</v>
      </c>
      <c r="BS160" s="239">
        <v>0</v>
      </c>
      <c r="BT160" s="239">
        <v>48</v>
      </c>
      <c r="BU160" s="239">
        <v>0</v>
      </c>
      <c r="BV160" s="239">
        <v>0</v>
      </c>
      <c r="BW160" s="239">
        <v>0</v>
      </c>
      <c r="BX160" s="239">
        <v>2332</v>
      </c>
      <c r="BY160" s="239">
        <v>0</v>
      </c>
      <c r="BZ160" s="239">
        <v>48</v>
      </c>
      <c r="CA160" s="239">
        <v>0</v>
      </c>
      <c r="CB160" s="239">
        <v>0</v>
      </c>
      <c r="CC160" s="239">
        <v>0</v>
      </c>
      <c r="CD160" s="239">
        <v>0</v>
      </c>
      <c r="CE160" s="239">
        <v>0</v>
      </c>
      <c r="CF160" s="239">
        <v>0</v>
      </c>
      <c r="CG160" s="239">
        <v>0</v>
      </c>
      <c r="CH160" s="239">
        <v>0</v>
      </c>
      <c r="CI160" s="239">
        <v>0</v>
      </c>
      <c r="CJ160" s="239">
        <v>11053</v>
      </c>
      <c r="CK160" s="239">
        <v>0</v>
      </c>
      <c r="CL160" s="239">
        <v>226</v>
      </c>
      <c r="CM160" s="239">
        <v>45797</v>
      </c>
      <c r="CN160" s="239">
        <v>0</v>
      </c>
      <c r="CO160" s="239">
        <v>935</v>
      </c>
      <c r="CP160" s="239">
        <v>-34744</v>
      </c>
      <c r="CQ160" s="239">
        <v>0</v>
      </c>
      <c r="CR160" s="239">
        <v>-709</v>
      </c>
      <c r="CS160" s="239">
        <v>0</v>
      </c>
      <c r="CT160" s="239">
        <v>0</v>
      </c>
      <c r="CU160" s="239">
        <v>0</v>
      </c>
      <c r="CV160" s="239">
        <v>0</v>
      </c>
      <c r="CW160" s="239">
        <v>0</v>
      </c>
      <c r="CX160" s="239">
        <v>0</v>
      </c>
      <c r="CY160" s="239">
        <v>0</v>
      </c>
      <c r="CZ160" s="239">
        <v>0</v>
      </c>
      <c r="DA160" s="239">
        <v>0</v>
      </c>
      <c r="DB160" s="239">
        <v>0</v>
      </c>
      <c r="DC160" s="239">
        <v>0</v>
      </c>
      <c r="DD160" s="239">
        <v>0</v>
      </c>
      <c r="DE160" s="239">
        <v>0</v>
      </c>
      <c r="DF160" s="239">
        <v>0</v>
      </c>
      <c r="DG160" s="239">
        <v>0</v>
      </c>
      <c r="DH160" s="239">
        <v>0</v>
      </c>
      <c r="DI160" s="239">
        <v>0</v>
      </c>
      <c r="DJ160" s="239">
        <v>0</v>
      </c>
      <c r="DK160" s="239">
        <v>0</v>
      </c>
      <c r="DL160" s="239">
        <v>0</v>
      </c>
      <c r="DM160" s="239">
        <v>0</v>
      </c>
      <c r="DN160" s="239">
        <v>0</v>
      </c>
      <c r="DO160" s="239">
        <v>0</v>
      </c>
      <c r="DP160" s="239">
        <v>0</v>
      </c>
      <c r="DQ160" s="239">
        <v>746</v>
      </c>
      <c r="DR160" s="239">
        <v>0</v>
      </c>
      <c r="DS160" s="239">
        <v>15</v>
      </c>
      <c r="DT160" s="239">
        <v>746</v>
      </c>
      <c r="DU160" s="239">
        <v>0</v>
      </c>
      <c r="DV160" s="239">
        <v>15</v>
      </c>
      <c r="DW160" s="239">
        <v>0</v>
      </c>
      <c r="DX160" s="239">
        <v>0</v>
      </c>
      <c r="DY160" s="239">
        <v>0</v>
      </c>
      <c r="DZ160" s="239">
        <v>19846</v>
      </c>
      <c r="EA160" s="239">
        <v>0</v>
      </c>
      <c r="EB160" s="239">
        <v>405</v>
      </c>
      <c r="EC160" s="239">
        <v>17649</v>
      </c>
      <c r="ED160" s="239">
        <v>0</v>
      </c>
      <c r="EE160" s="239">
        <v>0</v>
      </c>
      <c r="EF160" s="239">
        <v>2197</v>
      </c>
      <c r="EG160" s="239">
        <v>0</v>
      </c>
      <c r="EH160" s="239">
        <v>405</v>
      </c>
      <c r="EI160" s="239">
        <v>96917</v>
      </c>
      <c r="EJ160" s="239">
        <v>0</v>
      </c>
      <c r="EK160" s="239">
        <v>1947</v>
      </c>
      <c r="EL160" s="239">
        <v>147912</v>
      </c>
      <c r="EM160" s="239">
        <v>0</v>
      </c>
      <c r="EN160" s="239">
        <v>0</v>
      </c>
      <c r="EO160" s="239">
        <v>-50995</v>
      </c>
      <c r="EP160" s="239">
        <v>0</v>
      </c>
      <c r="EQ160" s="239">
        <v>1947</v>
      </c>
      <c r="ER160" s="239">
        <v>6857</v>
      </c>
      <c r="ES160" s="239">
        <v>0</v>
      </c>
      <c r="ET160" s="239">
        <v>140</v>
      </c>
      <c r="EU160" s="239">
        <v>8120</v>
      </c>
      <c r="EV160" s="239">
        <v>0</v>
      </c>
      <c r="EW160" s="239">
        <v>0</v>
      </c>
      <c r="EX160" s="239">
        <v>-1263</v>
      </c>
      <c r="EY160" s="239">
        <v>0</v>
      </c>
      <c r="EZ160" s="239">
        <v>140</v>
      </c>
      <c r="FA160" s="239">
        <v>468454</v>
      </c>
      <c r="FB160" s="239">
        <v>0</v>
      </c>
      <c r="FC160" s="239">
        <v>9560</v>
      </c>
      <c r="FD160" s="239">
        <v>477890</v>
      </c>
      <c r="FE160" s="239">
        <v>0</v>
      </c>
      <c r="FF160" s="239">
        <v>9753</v>
      </c>
      <c r="FG160" s="239">
        <v>-9436</v>
      </c>
      <c r="FH160" s="239">
        <v>0</v>
      </c>
      <c r="FI160" s="239">
        <v>-193</v>
      </c>
      <c r="FJ160" s="239">
        <v>0</v>
      </c>
      <c r="FK160" s="239">
        <v>0</v>
      </c>
      <c r="FL160" s="239">
        <v>0</v>
      </c>
      <c r="FM160" s="239">
        <v>0</v>
      </c>
      <c r="FN160" s="239">
        <v>0</v>
      </c>
      <c r="FO160" s="239">
        <v>0</v>
      </c>
      <c r="FP160" s="239">
        <v>0</v>
      </c>
      <c r="FQ160" s="239">
        <v>0</v>
      </c>
      <c r="FR160" s="239">
        <v>0</v>
      </c>
      <c r="FS160" s="239">
        <v>0</v>
      </c>
      <c r="FT160" s="239">
        <v>0</v>
      </c>
      <c r="FU160" s="239">
        <v>0</v>
      </c>
      <c r="FV160" s="239">
        <v>2473850</v>
      </c>
      <c r="FW160" s="239">
        <v>0</v>
      </c>
      <c r="FX160" s="239">
        <v>50294</v>
      </c>
      <c r="FY160" s="834">
        <v>0.5</v>
      </c>
      <c r="FZ160" s="834">
        <v>0.49</v>
      </c>
      <c r="GA160" s="834">
        <v>0</v>
      </c>
      <c r="GB160" s="834">
        <v>0.01</v>
      </c>
      <c r="GC160" s="214" t="s">
        <v>746</v>
      </c>
    </row>
    <row r="161" spans="1:185" s="214" customFormat="1" x14ac:dyDescent="0.2">
      <c r="B161" s="602" t="s">
        <v>405</v>
      </c>
      <c r="C161" s="602" t="s">
        <v>404</v>
      </c>
      <c r="D161" s="239">
        <v>-2355796</v>
      </c>
      <c r="E161" s="239">
        <v>0</v>
      </c>
      <c r="F161" s="239">
        <v>-2355796</v>
      </c>
      <c r="G161" s="239">
        <v>-2470839</v>
      </c>
      <c r="H161" s="239">
        <v>0</v>
      </c>
      <c r="I161" s="239">
        <v>-2470839</v>
      </c>
      <c r="J161" s="239">
        <v>115043</v>
      </c>
      <c r="K161" s="239">
        <v>0</v>
      </c>
      <c r="L161" s="239">
        <v>115043</v>
      </c>
      <c r="M161" s="239">
        <v>203668</v>
      </c>
      <c r="N161" s="239">
        <v>203668</v>
      </c>
      <c r="O161" s="239">
        <v>0</v>
      </c>
      <c r="P161" s="239">
        <v>0</v>
      </c>
      <c r="Q161" s="239">
        <v>60192</v>
      </c>
      <c r="R161" s="239">
        <v>-60192</v>
      </c>
      <c r="S161" s="239">
        <v>38808</v>
      </c>
      <c r="T161" s="239">
        <v>0</v>
      </c>
      <c r="U161" s="239">
        <v>0</v>
      </c>
      <c r="V161" s="239">
        <v>0</v>
      </c>
      <c r="W161" s="239">
        <v>38808</v>
      </c>
      <c r="X161" s="239">
        <v>0</v>
      </c>
      <c r="Y161" s="239">
        <v>0</v>
      </c>
      <c r="Z161" s="239">
        <v>0</v>
      </c>
      <c r="AA161" s="239">
        <v>0</v>
      </c>
      <c r="AB161" s="239">
        <v>0</v>
      </c>
      <c r="AC161" s="239">
        <v>55000</v>
      </c>
      <c r="AD161" s="239">
        <v>55000</v>
      </c>
      <c r="AE161" s="239">
        <v>0</v>
      </c>
      <c r="AF161" s="239">
        <v>0</v>
      </c>
      <c r="AG161" s="239">
        <v>-55000</v>
      </c>
      <c r="AH161" s="239">
        <v>-55000</v>
      </c>
      <c r="AI161" s="239">
        <v>0</v>
      </c>
      <c r="AJ161" s="239">
        <v>0</v>
      </c>
      <c r="AK161" s="239">
        <v>0</v>
      </c>
      <c r="AL161" s="239">
        <v>0</v>
      </c>
      <c r="AM161" s="239">
        <v>0</v>
      </c>
      <c r="AN161" s="239">
        <v>0</v>
      </c>
      <c r="AO161" s="239">
        <v>0</v>
      </c>
      <c r="AP161" s="239">
        <v>0</v>
      </c>
      <c r="AQ161" s="239">
        <v>0</v>
      </c>
      <c r="AR161" s="239">
        <v>0</v>
      </c>
      <c r="AS161" s="239">
        <v>0</v>
      </c>
      <c r="AT161" s="239">
        <v>0</v>
      </c>
      <c r="AU161" s="239">
        <v>0</v>
      </c>
      <c r="AV161" s="239">
        <v>0</v>
      </c>
      <c r="AW161" s="239">
        <v>0</v>
      </c>
      <c r="AX161" s="239">
        <v>0</v>
      </c>
      <c r="AY161" s="239">
        <v>0</v>
      </c>
      <c r="AZ161" s="239">
        <v>0</v>
      </c>
      <c r="BA161" s="239">
        <v>0</v>
      </c>
      <c r="BB161" s="239">
        <v>0</v>
      </c>
      <c r="BC161" s="239">
        <v>1200803</v>
      </c>
      <c r="BD161" s="239">
        <v>270181</v>
      </c>
      <c r="BE161" s="239">
        <v>30020</v>
      </c>
      <c r="BF161" s="239">
        <v>1167476.7891845491</v>
      </c>
      <c r="BG161" s="239">
        <v>262682.27756652352</v>
      </c>
      <c r="BH161" s="239">
        <v>29186.919729613728</v>
      </c>
      <c r="BI161" s="239">
        <v>125424.82128755364</v>
      </c>
      <c r="BJ161" s="239">
        <v>28220.584789699566</v>
      </c>
      <c r="BK161" s="239">
        <v>3135.620532188841</v>
      </c>
      <c r="BL161" s="239">
        <v>994299</v>
      </c>
      <c r="BM161" s="239">
        <v>142950</v>
      </c>
      <c r="BN161" s="239">
        <v>15883</v>
      </c>
      <c r="BO161" s="239">
        <v>206504</v>
      </c>
      <c r="BP161" s="239">
        <v>127231</v>
      </c>
      <c r="BQ161" s="239">
        <v>14137</v>
      </c>
      <c r="BR161" s="239">
        <v>0</v>
      </c>
      <c r="BS161" s="239">
        <v>0</v>
      </c>
      <c r="BT161" s="239">
        <v>0</v>
      </c>
      <c r="BU161" s="239">
        <v>1703</v>
      </c>
      <c r="BV161" s="239">
        <v>383</v>
      </c>
      <c r="BW161" s="239">
        <v>43</v>
      </c>
      <c r="BX161" s="239">
        <v>-1703</v>
      </c>
      <c r="BY161" s="239">
        <v>-383</v>
      </c>
      <c r="BZ161" s="239">
        <v>-43</v>
      </c>
      <c r="CA161" s="239">
        <v>0</v>
      </c>
      <c r="CB161" s="239">
        <v>0</v>
      </c>
      <c r="CC161" s="239">
        <v>0</v>
      </c>
      <c r="CD161" s="239">
        <v>0</v>
      </c>
      <c r="CE161" s="239">
        <v>0</v>
      </c>
      <c r="CF161" s="239">
        <v>0</v>
      </c>
      <c r="CG161" s="239">
        <v>0</v>
      </c>
      <c r="CH161" s="239">
        <v>0</v>
      </c>
      <c r="CI161" s="239">
        <v>0</v>
      </c>
      <c r="CJ161" s="239">
        <v>810</v>
      </c>
      <c r="CK161" s="239">
        <v>182</v>
      </c>
      <c r="CL161" s="239">
        <v>20</v>
      </c>
      <c r="CM161" s="239">
        <v>10418</v>
      </c>
      <c r="CN161" s="239">
        <v>2344</v>
      </c>
      <c r="CO161" s="239">
        <v>260</v>
      </c>
      <c r="CP161" s="239">
        <v>-9608</v>
      </c>
      <c r="CQ161" s="239">
        <v>-2162</v>
      </c>
      <c r="CR161" s="239">
        <v>-240</v>
      </c>
      <c r="CS161" s="239">
        <v>-2177</v>
      </c>
      <c r="CT161" s="239">
        <v>-490</v>
      </c>
      <c r="CU161" s="239">
        <v>-54</v>
      </c>
      <c r="CV161" s="239">
        <v>0</v>
      </c>
      <c r="CW161" s="239">
        <v>0</v>
      </c>
      <c r="CX161" s="239">
        <v>0</v>
      </c>
      <c r="CY161" s="239">
        <v>0</v>
      </c>
      <c r="CZ161" s="239">
        <v>0</v>
      </c>
      <c r="DA161" s="239">
        <v>0</v>
      </c>
      <c r="DB161" s="239">
        <v>0</v>
      </c>
      <c r="DC161" s="239">
        <v>0</v>
      </c>
      <c r="DD161" s="239">
        <v>0</v>
      </c>
      <c r="DE161" s="239">
        <v>0</v>
      </c>
      <c r="DF161" s="239">
        <v>0</v>
      </c>
      <c r="DG161" s="239">
        <v>0</v>
      </c>
      <c r="DH161" s="239">
        <v>0</v>
      </c>
      <c r="DI161" s="239">
        <v>0</v>
      </c>
      <c r="DJ161" s="239">
        <v>0</v>
      </c>
      <c r="DK161" s="239">
        <v>0</v>
      </c>
      <c r="DL161" s="239">
        <v>0</v>
      </c>
      <c r="DM161" s="239">
        <v>0</v>
      </c>
      <c r="DN161" s="239">
        <v>0</v>
      </c>
      <c r="DO161" s="239">
        <v>0</v>
      </c>
      <c r="DP161" s="239">
        <v>0</v>
      </c>
      <c r="DQ161" s="239">
        <v>609</v>
      </c>
      <c r="DR161" s="239">
        <v>137</v>
      </c>
      <c r="DS161" s="239">
        <v>15</v>
      </c>
      <c r="DT161" s="239">
        <v>0</v>
      </c>
      <c r="DU161" s="239">
        <v>0</v>
      </c>
      <c r="DV161" s="239">
        <v>0</v>
      </c>
      <c r="DW161" s="239">
        <v>609</v>
      </c>
      <c r="DX161" s="239">
        <v>137</v>
      </c>
      <c r="DY161" s="239">
        <v>15</v>
      </c>
      <c r="DZ161" s="239">
        <v>8758</v>
      </c>
      <c r="EA161" s="239">
        <v>1971</v>
      </c>
      <c r="EB161" s="239">
        <v>219</v>
      </c>
      <c r="EC161" s="239">
        <v>8699</v>
      </c>
      <c r="ED161" s="239">
        <v>0</v>
      </c>
      <c r="EE161" s="239">
        <v>0</v>
      </c>
      <c r="EF161" s="239">
        <v>59</v>
      </c>
      <c r="EG161" s="239">
        <v>1971</v>
      </c>
      <c r="EH161" s="239">
        <v>219</v>
      </c>
      <c r="EI161" s="239">
        <v>71071</v>
      </c>
      <c r="EJ161" s="239">
        <v>15991</v>
      </c>
      <c r="EK161" s="239">
        <v>1777</v>
      </c>
      <c r="EL161" s="239">
        <v>143710</v>
      </c>
      <c r="EM161" s="239">
        <v>0</v>
      </c>
      <c r="EN161" s="239">
        <v>0</v>
      </c>
      <c r="EO161" s="239">
        <v>-72639</v>
      </c>
      <c r="EP161" s="239">
        <v>15991</v>
      </c>
      <c r="EQ161" s="239">
        <v>1777</v>
      </c>
      <c r="ER161" s="239">
        <v>26728</v>
      </c>
      <c r="ES161" s="239">
        <v>6014</v>
      </c>
      <c r="ET161" s="239">
        <v>668</v>
      </c>
      <c r="EU161" s="239">
        <v>33409</v>
      </c>
      <c r="EV161" s="239">
        <v>0</v>
      </c>
      <c r="EW161" s="239">
        <v>0</v>
      </c>
      <c r="EX161" s="239">
        <v>-6681</v>
      </c>
      <c r="EY161" s="239">
        <v>6014</v>
      </c>
      <c r="EZ161" s="239">
        <v>668</v>
      </c>
      <c r="FA161" s="239">
        <v>335491</v>
      </c>
      <c r="FB161" s="239">
        <v>75354</v>
      </c>
      <c r="FC161" s="239">
        <v>8373</v>
      </c>
      <c r="FD161" s="239">
        <v>342956</v>
      </c>
      <c r="FE161" s="239">
        <v>76776</v>
      </c>
      <c r="FF161" s="239">
        <v>8531</v>
      </c>
      <c r="FG161" s="239">
        <v>-7465</v>
      </c>
      <c r="FH161" s="239">
        <v>-1422</v>
      </c>
      <c r="FI161" s="239">
        <v>-158</v>
      </c>
      <c r="FJ161" s="239">
        <v>0</v>
      </c>
      <c r="FK161" s="239">
        <v>0</v>
      </c>
      <c r="FL161" s="239">
        <v>0</v>
      </c>
      <c r="FM161" s="239">
        <v>0</v>
      </c>
      <c r="FN161" s="239">
        <v>0</v>
      </c>
      <c r="FO161" s="239">
        <v>0</v>
      </c>
      <c r="FP161" s="239">
        <v>0</v>
      </c>
      <c r="FQ161" s="239">
        <v>0</v>
      </c>
      <c r="FR161" s="239">
        <v>0</v>
      </c>
      <c r="FS161" s="239">
        <v>0</v>
      </c>
      <c r="FT161" s="239">
        <v>0</v>
      </c>
      <c r="FU161" s="239">
        <v>0</v>
      </c>
      <c r="FV161" s="239">
        <v>1642093</v>
      </c>
      <c r="FW161" s="239">
        <v>369340</v>
      </c>
      <c r="FX161" s="239">
        <v>41038</v>
      </c>
      <c r="FY161" s="834">
        <v>0.5</v>
      </c>
      <c r="FZ161" s="834">
        <v>0.4</v>
      </c>
      <c r="GA161" s="834">
        <v>0.09</v>
      </c>
      <c r="GB161" s="834">
        <v>0.01</v>
      </c>
      <c r="GC161" s="214" t="s">
        <v>1158</v>
      </c>
    </row>
    <row r="162" spans="1:185" s="214" customFormat="1" x14ac:dyDescent="0.2">
      <c r="A162" s="215"/>
      <c r="B162" s="602" t="s">
        <v>407</v>
      </c>
      <c r="C162" s="602" t="s">
        <v>406</v>
      </c>
      <c r="D162" s="239">
        <v>154443</v>
      </c>
      <c r="E162" s="239">
        <v>0</v>
      </c>
      <c r="F162" s="239">
        <v>154443</v>
      </c>
      <c r="G162" s="239">
        <v>107637</v>
      </c>
      <c r="H162" s="239">
        <v>0</v>
      </c>
      <c r="I162" s="239">
        <v>107637</v>
      </c>
      <c r="J162" s="239">
        <v>46806</v>
      </c>
      <c r="K162" s="239">
        <v>0</v>
      </c>
      <c r="L162" s="239">
        <v>46806</v>
      </c>
      <c r="M162" s="239">
        <v>92673</v>
      </c>
      <c r="N162" s="239">
        <v>92673</v>
      </c>
      <c r="O162" s="239">
        <v>0</v>
      </c>
      <c r="P162" s="239">
        <v>0</v>
      </c>
      <c r="Q162" s="239">
        <v>0</v>
      </c>
      <c r="R162" s="239">
        <v>0</v>
      </c>
      <c r="S162" s="239">
        <v>755602</v>
      </c>
      <c r="T162" s="239">
        <v>0</v>
      </c>
      <c r="U162" s="239">
        <v>641000</v>
      </c>
      <c r="V162" s="239">
        <v>0</v>
      </c>
      <c r="W162" s="239">
        <v>114602</v>
      </c>
      <c r="X162" s="239">
        <v>0</v>
      </c>
      <c r="Y162" s="239">
        <v>0</v>
      </c>
      <c r="Z162" s="239">
        <v>0</v>
      </c>
      <c r="AA162" s="239">
        <v>0</v>
      </c>
      <c r="AB162" s="239">
        <v>0</v>
      </c>
      <c r="AC162" s="239">
        <v>0</v>
      </c>
      <c r="AD162" s="239">
        <v>0</v>
      </c>
      <c r="AE162" s="239">
        <v>0</v>
      </c>
      <c r="AF162" s="239">
        <v>0</v>
      </c>
      <c r="AG162" s="239">
        <v>0</v>
      </c>
      <c r="AH162" s="239">
        <v>0</v>
      </c>
      <c r="AI162" s="239">
        <v>0</v>
      </c>
      <c r="AJ162" s="239">
        <v>0</v>
      </c>
      <c r="AK162" s="239">
        <v>0</v>
      </c>
      <c r="AL162" s="239">
        <v>0</v>
      </c>
      <c r="AM162" s="239">
        <v>0</v>
      </c>
      <c r="AN162" s="239">
        <v>0</v>
      </c>
      <c r="AO162" s="239">
        <v>0</v>
      </c>
      <c r="AP162" s="239">
        <v>0</v>
      </c>
      <c r="AQ162" s="239">
        <v>0</v>
      </c>
      <c r="AR162" s="239">
        <v>0</v>
      </c>
      <c r="AS162" s="239">
        <v>0</v>
      </c>
      <c r="AT162" s="239">
        <v>0</v>
      </c>
      <c r="AU162" s="239">
        <v>0</v>
      </c>
      <c r="AV162" s="239">
        <v>0</v>
      </c>
      <c r="AW162" s="239">
        <v>0</v>
      </c>
      <c r="AX162" s="239">
        <v>0</v>
      </c>
      <c r="AY162" s="239">
        <v>0</v>
      </c>
      <c r="AZ162" s="239">
        <v>0</v>
      </c>
      <c r="BA162" s="239">
        <v>0</v>
      </c>
      <c r="BB162" s="239">
        <v>0</v>
      </c>
      <c r="BC162" s="239">
        <v>773606</v>
      </c>
      <c r="BD162" s="239">
        <v>174061</v>
      </c>
      <c r="BE162" s="239">
        <v>19340</v>
      </c>
      <c r="BF162" s="239">
        <v>760457.99280000012</v>
      </c>
      <c r="BG162" s="239">
        <v>171103.04837999999</v>
      </c>
      <c r="BH162" s="239">
        <v>19011.449820000002</v>
      </c>
      <c r="BI162" s="239">
        <v>39401.894721030039</v>
      </c>
      <c r="BJ162" s="239">
        <v>8865.4263122317589</v>
      </c>
      <c r="BK162" s="239">
        <v>985.0473680257511</v>
      </c>
      <c r="BL162" s="239">
        <v>759277</v>
      </c>
      <c r="BM162" s="239">
        <v>114273</v>
      </c>
      <c r="BN162" s="239">
        <v>12697</v>
      </c>
      <c r="BO162" s="239">
        <v>14329</v>
      </c>
      <c r="BP162" s="239">
        <v>59788</v>
      </c>
      <c r="BQ162" s="239">
        <v>6643</v>
      </c>
      <c r="BR162" s="239">
        <v>5725</v>
      </c>
      <c r="BS162" s="239">
        <v>1288</v>
      </c>
      <c r="BT162" s="239">
        <v>143</v>
      </c>
      <c r="BU162" s="239">
        <v>1568</v>
      </c>
      <c r="BV162" s="239">
        <v>353</v>
      </c>
      <c r="BW162" s="239">
        <v>39</v>
      </c>
      <c r="BX162" s="239">
        <v>4157</v>
      </c>
      <c r="BY162" s="239">
        <v>935</v>
      </c>
      <c r="BZ162" s="239">
        <v>104</v>
      </c>
      <c r="CA162" s="239">
        <v>0</v>
      </c>
      <c r="CB162" s="239">
        <v>0</v>
      </c>
      <c r="CC162" s="239">
        <v>0</v>
      </c>
      <c r="CD162" s="239">
        <v>0</v>
      </c>
      <c r="CE162" s="239">
        <v>0</v>
      </c>
      <c r="CF162" s="239">
        <v>0</v>
      </c>
      <c r="CG162" s="239">
        <v>0</v>
      </c>
      <c r="CH162" s="239">
        <v>0</v>
      </c>
      <c r="CI162" s="239">
        <v>0</v>
      </c>
      <c r="CJ162" s="239">
        <v>0</v>
      </c>
      <c r="CK162" s="239">
        <v>0</v>
      </c>
      <c r="CL162" s="239">
        <v>0</v>
      </c>
      <c r="CM162" s="239">
        <v>0</v>
      </c>
      <c r="CN162" s="239">
        <v>0</v>
      </c>
      <c r="CO162" s="239">
        <v>0</v>
      </c>
      <c r="CP162" s="239">
        <v>0</v>
      </c>
      <c r="CQ162" s="239">
        <v>0</v>
      </c>
      <c r="CR162" s="239">
        <v>0</v>
      </c>
      <c r="CS162" s="239">
        <v>-357</v>
      </c>
      <c r="CT162" s="239">
        <v>-80</v>
      </c>
      <c r="CU162" s="239">
        <v>-9</v>
      </c>
      <c r="CV162" s="239">
        <v>0</v>
      </c>
      <c r="CW162" s="239">
        <v>0</v>
      </c>
      <c r="CX162" s="239">
        <v>0</v>
      </c>
      <c r="CY162" s="239">
        <v>0</v>
      </c>
      <c r="CZ162" s="239">
        <v>0</v>
      </c>
      <c r="DA162" s="239">
        <v>0</v>
      </c>
      <c r="DB162" s="239">
        <v>0</v>
      </c>
      <c r="DC162" s="239">
        <v>0</v>
      </c>
      <c r="DD162" s="239">
        <v>0</v>
      </c>
      <c r="DE162" s="239">
        <v>0</v>
      </c>
      <c r="DF162" s="239">
        <v>0</v>
      </c>
      <c r="DG162" s="239">
        <v>0</v>
      </c>
      <c r="DH162" s="239">
        <v>4125</v>
      </c>
      <c r="DI162" s="239">
        <v>928</v>
      </c>
      <c r="DJ162" s="239">
        <v>103</v>
      </c>
      <c r="DK162" s="239">
        <v>0</v>
      </c>
      <c r="DL162" s="239">
        <v>0</v>
      </c>
      <c r="DM162" s="239">
        <v>0</v>
      </c>
      <c r="DN162" s="239">
        <v>4125</v>
      </c>
      <c r="DO162" s="239">
        <v>928</v>
      </c>
      <c r="DP162" s="239">
        <v>103</v>
      </c>
      <c r="DQ162" s="239">
        <v>0</v>
      </c>
      <c r="DR162" s="239">
        <v>0</v>
      </c>
      <c r="DS162" s="239">
        <v>0</v>
      </c>
      <c r="DT162" s="239">
        <v>0</v>
      </c>
      <c r="DU162" s="239">
        <v>0</v>
      </c>
      <c r="DV162" s="239">
        <v>0</v>
      </c>
      <c r="DW162" s="239">
        <v>0</v>
      </c>
      <c r="DX162" s="239">
        <v>0</v>
      </c>
      <c r="DY162" s="239">
        <v>0</v>
      </c>
      <c r="DZ162" s="239">
        <v>4678</v>
      </c>
      <c r="EA162" s="239">
        <v>1053</v>
      </c>
      <c r="EB162" s="239">
        <v>117</v>
      </c>
      <c r="EC162" s="239">
        <v>5850</v>
      </c>
      <c r="ED162" s="239">
        <v>0</v>
      </c>
      <c r="EE162" s="239">
        <v>0</v>
      </c>
      <c r="EF162" s="239">
        <v>-1172</v>
      </c>
      <c r="EG162" s="239">
        <v>1053</v>
      </c>
      <c r="EH162" s="239">
        <v>117</v>
      </c>
      <c r="EI162" s="239">
        <v>46851</v>
      </c>
      <c r="EJ162" s="239">
        <v>10541</v>
      </c>
      <c r="EK162" s="239">
        <v>1171</v>
      </c>
      <c r="EL162" s="239">
        <v>57697</v>
      </c>
      <c r="EM162" s="239">
        <v>0</v>
      </c>
      <c r="EN162" s="239">
        <v>0</v>
      </c>
      <c r="EO162" s="239">
        <v>-10846</v>
      </c>
      <c r="EP162" s="239">
        <v>10541</v>
      </c>
      <c r="EQ162" s="239">
        <v>1171</v>
      </c>
      <c r="ER162" s="239">
        <v>14683</v>
      </c>
      <c r="ES162" s="239">
        <v>3304</v>
      </c>
      <c r="ET162" s="239">
        <v>367</v>
      </c>
      <c r="EU162" s="239">
        <v>11673</v>
      </c>
      <c r="EV162" s="239">
        <v>0</v>
      </c>
      <c r="EW162" s="239">
        <v>0</v>
      </c>
      <c r="EX162" s="239">
        <v>3010</v>
      </c>
      <c r="EY162" s="239">
        <v>3304</v>
      </c>
      <c r="EZ162" s="239">
        <v>367</v>
      </c>
      <c r="FA162" s="239">
        <v>88338</v>
      </c>
      <c r="FB162" s="239">
        <v>17322</v>
      </c>
      <c r="FC162" s="239">
        <v>1925</v>
      </c>
      <c r="FD162" s="239">
        <v>85972</v>
      </c>
      <c r="FE162" s="239">
        <v>17177</v>
      </c>
      <c r="FF162" s="239">
        <v>1909</v>
      </c>
      <c r="FG162" s="239">
        <v>2366</v>
      </c>
      <c r="FH162" s="239">
        <v>145</v>
      </c>
      <c r="FI162" s="239">
        <v>16</v>
      </c>
      <c r="FJ162" s="239">
        <v>0</v>
      </c>
      <c r="FK162" s="239">
        <v>0</v>
      </c>
      <c r="FL162" s="239">
        <v>0</v>
      </c>
      <c r="FM162" s="239">
        <v>0</v>
      </c>
      <c r="FN162" s="239">
        <v>0</v>
      </c>
      <c r="FO162" s="239">
        <v>0</v>
      </c>
      <c r="FP162" s="239">
        <v>0</v>
      </c>
      <c r="FQ162" s="239">
        <v>0</v>
      </c>
      <c r="FR162" s="239">
        <v>0</v>
      </c>
      <c r="FS162" s="239">
        <v>0</v>
      </c>
      <c r="FT162" s="239">
        <v>0</v>
      </c>
      <c r="FU162" s="239">
        <v>0</v>
      </c>
      <c r="FV162" s="239">
        <v>937649</v>
      </c>
      <c r="FW162" s="239">
        <v>208417</v>
      </c>
      <c r="FX162" s="239">
        <v>23157</v>
      </c>
      <c r="FY162" s="834">
        <v>0.5</v>
      </c>
      <c r="FZ162" s="834">
        <v>0.4</v>
      </c>
      <c r="GA162" s="834">
        <v>0.09</v>
      </c>
      <c r="GB162" s="834">
        <v>0.01</v>
      </c>
      <c r="GC162" s="214" t="s">
        <v>1158</v>
      </c>
    </row>
    <row r="163" spans="1:185" s="214" customFormat="1" x14ac:dyDescent="0.2">
      <c r="B163" s="602" t="s">
        <v>409</v>
      </c>
      <c r="C163" s="602" t="s">
        <v>408</v>
      </c>
      <c r="D163" s="239">
        <v>-18602</v>
      </c>
      <c r="E163" s="239">
        <v>0</v>
      </c>
      <c r="F163" s="239">
        <v>-18602</v>
      </c>
      <c r="G163" s="239">
        <v>118743</v>
      </c>
      <c r="H163" s="239">
        <v>0</v>
      </c>
      <c r="I163" s="239">
        <v>118743</v>
      </c>
      <c r="J163" s="239">
        <v>-137345</v>
      </c>
      <c r="K163" s="239">
        <v>0</v>
      </c>
      <c r="L163" s="239">
        <v>-137345</v>
      </c>
      <c r="M163" s="239">
        <v>106758</v>
      </c>
      <c r="N163" s="239">
        <v>106758</v>
      </c>
      <c r="O163" s="239">
        <v>0</v>
      </c>
      <c r="P163" s="239">
        <v>0</v>
      </c>
      <c r="Q163" s="239">
        <v>0</v>
      </c>
      <c r="R163" s="239">
        <v>0</v>
      </c>
      <c r="S163" s="239">
        <v>7899</v>
      </c>
      <c r="T163" s="239">
        <v>0</v>
      </c>
      <c r="U163" s="239">
        <v>0</v>
      </c>
      <c r="V163" s="239">
        <v>0</v>
      </c>
      <c r="W163" s="239">
        <v>7899</v>
      </c>
      <c r="X163" s="239">
        <v>0</v>
      </c>
      <c r="Y163" s="239">
        <v>0</v>
      </c>
      <c r="Z163" s="239">
        <v>0</v>
      </c>
      <c r="AA163" s="239">
        <v>0</v>
      </c>
      <c r="AB163" s="239">
        <v>0</v>
      </c>
      <c r="AC163" s="239">
        <v>0</v>
      </c>
      <c r="AD163" s="239">
        <v>0</v>
      </c>
      <c r="AE163" s="239">
        <v>0</v>
      </c>
      <c r="AF163" s="239">
        <v>0</v>
      </c>
      <c r="AG163" s="239">
        <v>0</v>
      </c>
      <c r="AH163" s="239">
        <v>0</v>
      </c>
      <c r="AI163" s="239">
        <v>0</v>
      </c>
      <c r="AJ163" s="239">
        <v>0</v>
      </c>
      <c r="AK163" s="239">
        <v>0</v>
      </c>
      <c r="AL163" s="239">
        <v>0</v>
      </c>
      <c r="AM163" s="239">
        <v>0</v>
      </c>
      <c r="AN163" s="239">
        <v>0</v>
      </c>
      <c r="AO163" s="239">
        <v>0</v>
      </c>
      <c r="AP163" s="239">
        <v>0</v>
      </c>
      <c r="AQ163" s="239">
        <v>0</v>
      </c>
      <c r="AR163" s="239">
        <v>0</v>
      </c>
      <c r="AS163" s="239">
        <v>0</v>
      </c>
      <c r="AT163" s="239">
        <v>0</v>
      </c>
      <c r="AU163" s="239">
        <v>0</v>
      </c>
      <c r="AV163" s="239">
        <v>0</v>
      </c>
      <c r="AW163" s="239">
        <v>0</v>
      </c>
      <c r="AX163" s="239">
        <v>0</v>
      </c>
      <c r="AY163" s="239">
        <v>0</v>
      </c>
      <c r="AZ163" s="239">
        <v>0</v>
      </c>
      <c r="BA163" s="239">
        <v>0</v>
      </c>
      <c r="BB163" s="239">
        <v>0</v>
      </c>
      <c r="BC163" s="239">
        <v>930815</v>
      </c>
      <c r="BD163" s="239">
        <v>209433</v>
      </c>
      <c r="BE163" s="239">
        <v>23270</v>
      </c>
      <c r="BF163" s="239">
        <v>917535.5104257511</v>
      </c>
      <c r="BG163" s="239">
        <v>206445.48984579396</v>
      </c>
      <c r="BH163" s="239">
        <v>22938.387760643778</v>
      </c>
      <c r="BI163" s="239">
        <v>36798.070321888408</v>
      </c>
      <c r="BJ163" s="239">
        <v>8279.5658224248909</v>
      </c>
      <c r="BK163" s="239">
        <v>919.95175804721021</v>
      </c>
      <c r="BL163" s="239">
        <v>798365</v>
      </c>
      <c r="BM163" s="239">
        <v>126501</v>
      </c>
      <c r="BN163" s="239">
        <v>14056</v>
      </c>
      <c r="BO163" s="239">
        <v>132450</v>
      </c>
      <c r="BP163" s="239">
        <v>82932</v>
      </c>
      <c r="BQ163" s="239">
        <v>9214</v>
      </c>
      <c r="BR163" s="239">
        <v>3313</v>
      </c>
      <c r="BS163" s="239">
        <v>746</v>
      </c>
      <c r="BT163" s="239">
        <v>83</v>
      </c>
      <c r="BU163" s="239">
        <v>0</v>
      </c>
      <c r="BV163" s="239">
        <v>0</v>
      </c>
      <c r="BW163" s="239">
        <v>0</v>
      </c>
      <c r="BX163" s="239">
        <v>3313</v>
      </c>
      <c r="BY163" s="239">
        <v>746</v>
      </c>
      <c r="BZ163" s="239">
        <v>83</v>
      </c>
      <c r="CA163" s="239">
        <v>4672</v>
      </c>
      <c r="CB163" s="239">
        <v>1051</v>
      </c>
      <c r="CC163" s="239">
        <v>117</v>
      </c>
      <c r="CD163" s="239">
        <v>10211</v>
      </c>
      <c r="CE163" s="239">
        <v>2297</v>
      </c>
      <c r="CF163" s="239">
        <v>255</v>
      </c>
      <c r="CG163" s="239">
        <v>-5539</v>
      </c>
      <c r="CH163" s="239">
        <v>-1246</v>
      </c>
      <c r="CI163" s="239">
        <v>-138</v>
      </c>
      <c r="CJ163" s="239">
        <v>0</v>
      </c>
      <c r="CK163" s="239">
        <v>0</v>
      </c>
      <c r="CL163" s="239">
        <v>0</v>
      </c>
      <c r="CM163" s="239">
        <v>0</v>
      </c>
      <c r="CN163" s="239">
        <v>0</v>
      </c>
      <c r="CO163" s="239">
        <v>0</v>
      </c>
      <c r="CP163" s="239">
        <v>0</v>
      </c>
      <c r="CQ163" s="239">
        <v>0</v>
      </c>
      <c r="CR163" s="239">
        <v>0</v>
      </c>
      <c r="CS163" s="239">
        <v>-4367</v>
      </c>
      <c r="CT163" s="239">
        <v>-983</v>
      </c>
      <c r="CU163" s="239">
        <v>-109</v>
      </c>
      <c r="CV163" s="239">
        <v>0</v>
      </c>
      <c r="CW163" s="239">
        <v>0</v>
      </c>
      <c r="CX163" s="239">
        <v>0</v>
      </c>
      <c r="CY163" s="239">
        <v>0</v>
      </c>
      <c r="CZ163" s="239">
        <v>0</v>
      </c>
      <c r="DA163" s="239">
        <v>0</v>
      </c>
      <c r="DB163" s="239">
        <v>0</v>
      </c>
      <c r="DC163" s="239">
        <v>0</v>
      </c>
      <c r="DD163" s="239">
        <v>0</v>
      </c>
      <c r="DE163" s="239">
        <v>0</v>
      </c>
      <c r="DF163" s="239">
        <v>0</v>
      </c>
      <c r="DG163" s="239">
        <v>0</v>
      </c>
      <c r="DH163" s="239">
        <v>17589</v>
      </c>
      <c r="DI163" s="239">
        <v>3958</v>
      </c>
      <c r="DJ163" s="239">
        <v>440</v>
      </c>
      <c r="DK163" s="239">
        <v>19017</v>
      </c>
      <c r="DL163" s="239">
        <v>4279</v>
      </c>
      <c r="DM163" s="239">
        <v>475</v>
      </c>
      <c r="DN163" s="239">
        <v>-1428</v>
      </c>
      <c r="DO163" s="239">
        <v>-321</v>
      </c>
      <c r="DP163" s="239">
        <v>-35</v>
      </c>
      <c r="DQ163" s="239">
        <v>0</v>
      </c>
      <c r="DR163" s="239">
        <v>0</v>
      </c>
      <c r="DS163" s="239">
        <v>0</v>
      </c>
      <c r="DT163" s="239">
        <v>0</v>
      </c>
      <c r="DU163" s="239">
        <v>0</v>
      </c>
      <c r="DV163" s="239">
        <v>0</v>
      </c>
      <c r="DW163" s="239">
        <v>0</v>
      </c>
      <c r="DX163" s="239">
        <v>0</v>
      </c>
      <c r="DY163" s="239">
        <v>0</v>
      </c>
      <c r="DZ163" s="239">
        <v>10167</v>
      </c>
      <c r="EA163" s="239">
        <v>2288</v>
      </c>
      <c r="EB163" s="239">
        <v>254</v>
      </c>
      <c r="EC163" s="239">
        <v>11503</v>
      </c>
      <c r="ED163" s="239">
        <v>0</v>
      </c>
      <c r="EE163" s="239">
        <v>0</v>
      </c>
      <c r="EF163" s="239">
        <v>-1336</v>
      </c>
      <c r="EG163" s="239">
        <v>2288</v>
      </c>
      <c r="EH163" s="239">
        <v>254</v>
      </c>
      <c r="EI163" s="239">
        <v>49948</v>
      </c>
      <c r="EJ163" s="239">
        <v>11238</v>
      </c>
      <c r="EK163" s="239">
        <v>1249</v>
      </c>
      <c r="EL163" s="239">
        <v>61708</v>
      </c>
      <c r="EM163" s="239">
        <v>0</v>
      </c>
      <c r="EN163" s="239">
        <v>0</v>
      </c>
      <c r="EO163" s="239">
        <v>-11760</v>
      </c>
      <c r="EP163" s="239">
        <v>11238</v>
      </c>
      <c r="EQ163" s="239">
        <v>1249</v>
      </c>
      <c r="ER163" s="239">
        <v>18370</v>
      </c>
      <c r="ES163" s="239">
        <v>4133</v>
      </c>
      <c r="ET163" s="239">
        <v>459</v>
      </c>
      <c r="EU163" s="239">
        <v>22953</v>
      </c>
      <c r="EV163" s="239">
        <v>0</v>
      </c>
      <c r="EW163" s="239">
        <v>0</v>
      </c>
      <c r="EX163" s="239">
        <v>-4583</v>
      </c>
      <c r="EY163" s="239">
        <v>4133</v>
      </c>
      <c r="EZ163" s="239">
        <v>459</v>
      </c>
      <c r="FA163" s="239">
        <v>97214</v>
      </c>
      <c r="FB163" s="239">
        <v>21846</v>
      </c>
      <c r="FC163" s="239">
        <v>2427</v>
      </c>
      <c r="FD163" s="239">
        <v>91368</v>
      </c>
      <c r="FE163" s="239">
        <v>20558</v>
      </c>
      <c r="FF163" s="239">
        <v>2284</v>
      </c>
      <c r="FG163" s="239">
        <v>5846</v>
      </c>
      <c r="FH163" s="239">
        <v>1288</v>
      </c>
      <c r="FI163" s="239">
        <v>143</v>
      </c>
      <c r="FJ163" s="239">
        <v>0</v>
      </c>
      <c r="FK163" s="239">
        <v>0</v>
      </c>
      <c r="FL163" s="239">
        <v>0</v>
      </c>
      <c r="FM163" s="239">
        <v>0</v>
      </c>
      <c r="FN163" s="239">
        <v>0</v>
      </c>
      <c r="FO163" s="239">
        <v>0</v>
      </c>
      <c r="FP163" s="239">
        <v>0</v>
      </c>
      <c r="FQ163" s="239">
        <v>0</v>
      </c>
      <c r="FR163" s="239">
        <v>0</v>
      </c>
      <c r="FS163" s="239">
        <v>0</v>
      </c>
      <c r="FT163" s="239">
        <v>0</v>
      </c>
      <c r="FU163" s="239">
        <v>0</v>
      </c>
      <c r="FV163" s="239">
        <v>1127721</v>
      </c>
      <c r="FW163" s="239">
        <v>253710</v>
      </c>
      <c r="FX163" s="239">
        <v>28190</v>
      </c>
      <c r="FY163" s="834">
        <v>0.5</v>
      </c>
      <c r="FZ163" s="834">
        <v>0.4</v>
      </c>
      <c r="GA163" s="834">
        <v>0.09</v>
      </c>
      <c r="GB163" s="834">
        <v>0.01</v>
      </c>
      <c r="GC163" s="214" t="s">
        <v>1158</v>
      </c>
    </row>
    <row r="164" spans="1:185" s="214" customFormat="1" x14ac:dyDescent="0.2">
      <c r="B164" s="602" t="s">
        <v>411</v>
      </c>
      <c r="C164" s="602" t="s">
        <v>410</v>
      </c>
      <c r="D164" s="239">
        <v>-5670680</v>
      </c>
      <c r="E164" s="239">
        <v>-670011</v>
      </c>
      <c r="F164" s="239">
        <v>-6340691</v>
      </c>
      <c r="G164" s="239">
        <v>-4007692</v>
      </c>
      <c r="H164" s="239">
        <v>-459014</v>
      </c>
      <c r="I164" s="239">
        <v>-4466706</v>
      </c>
      <c r="J164" s="239">
        <v>-1662988</v>
      </c>
      <c r="K164" s="239">
        <v>-210997</v>
      </c>
      <c r="L164" s="239">
        <v>-1873985</v>
      </c>
      <c r="M164" s="239">
        <v>1123710</v>
      </c>
      <c r="N164" s="239">
        <v>1123710</v>
      </c>
      <c r="O164" s="239">
        <v>0</v>
      </c>
      <c r="P164" s="239">
        <v>0</v>
      </c>
      <c r="Q164" s="239">
        <v>0</v>
      </c>
      <c r="R164" s="239">
        <v>0</v>
      </c>
      <c r="S164" s="239">
        <v>0</v>
      </c>
      <c r="T164" s="239">
        <v>0</v>
      </c>
      <c r="U164" s="239">
        <v>0</v>
      </c>
      <c r="V164" s="239">
        <v>0</v>
      </c>
      <c r="W164" s="239">
        <v>0</v>
      </c>
      <c r="X164" s="239">
        <v>0</v>
      </c>
      <c r="Y164" s="239">
        <v>0</v>
      </c>
      <c r="Z164" s="239">
        <v>0</v>
      </c>
      <c r="AA164" s="239">
        <v>0</v>
      </c>
      <c r="AB164" s="239">
        <v>0</v>
      </c>
      <c r="AC164" s="239">
        <v>0</v>
      </c>
      <c r="AD164" s="239">
        <v>0</v>
      </c>
      <c r="AE164" s="239">
        <v>0</v>
      </c>
      <c r="AF164" s="239">
        <v>0</v>
      </c>
      <c r="AG164" s="239">
        <v>0</v>
      </c>
      <c r="AH164" s="239">
        <v>0</v>
      </c>
      <c r="AI164" s="239">
        <v>0</v>
      </c>
      <c r="AJ164" s="239">
        <v>0</v>
      </c>
      <c r="AK164" s="239">
        <v>0</v>
      </c>
      <c r="AL164" s="239">
        <v>0</v>
      </c>
      <c r="AM164" s="239">
        <v>0</v>
      </c>
      <c r="AN164" s="239">
        <v>0</v>
      </c>
      <c r="AO164" s="239">
        <v>0</v>
      </c>
      <c r="AP164" s="239">
        <v>0</v>
      </c>
      <c r="AQ164" s="239">
        <v>0</v>
      </c>
      <c r="AR164" s="239">
        <v>0</v>
      </c>
      <c r="AS164" s="239">
        <v>0</v>
      </c>
      <c r="AT164" s="239">
        <v>0</v>
      </c>
      <c r="AU164" s="239">
        <v>0</v>
      </c>
      <c r="AV164" s="239">
        <v>0</v>
      </c>
      <c r="AW164" s="239">
        <v>0</v>
      </c>
      <c r="AX164" s="239">
        <v>0</v>
      </c>
      <c r="AY164" s="239">
        <v>0</v>
      </c>
      <c r="AZ164" s="239">
        <v>0</v>
      </c>
      <c r="BA164" s="239">
        <v>0</v>
      </c>
      <c r="BB164" s="239">
        <v>0</v>
      </c>
      <c r="BC164" s="239">
        <v>12409272</v>
      </c>
      <c r="BD164" s="239">
        <v>0</v>
      </c>
      <c r="BE164" s="239">
        <v>124171</v>
      </c>
      <c r="BF164" s="239">
        <v>12064385.147817833</v>
      </c>
      <c r="BG164" s="239">
        <v>0</v>
      </c>
      <c r="BH164" s="239">
        <v>120718.20426585838</v>
      </c>
      <c r="BI164" s="239">
        <v>1265029.9499667382</v>
      </c>
      <c r="BJ164" s="239">
        <v>0</v>
      </c>
      <c r="BK164" s="239">
        <v>12377.956792918454</v>
      </c>
      <c r="BL164" s="239">
        <v>10272878</v>
      </c>
      <c r="BM164" s="239">
        <v>0</v>
      </c>
      <c r="BN164" s="239">
        <v>73319</v>
      </c>
      <c r="BO164" s="239">
        <v>2136394</v>
      </c>
      <c r="BP164" s="239">
        <v>0</v>
      </c>
      <c r="BQ164" s="239">
        <v>50852</v>
      </c>
      <c r="BR164" s="239">
        <v>2612</v>
      </c>
      <c r="BS164" s="239">
        <v>0</v>
      </c>
      <c r="BT164" s="239">
        <v>26</v>
      </c>
      <c r="BU164" s="239">
        <v>0</v>
      </c>
      <c r="BV164" s="239">
        <v>0</v>
      </c>
      <c r="BW164" s="239">
        <v>0</v>
      </c>
      <c r="BX164" s="239">
        <v>2612</v>
      </c>
      <c r="BY164" s="239">
        <v>0</v>
      </c>
      <c r="BZ164" s="239">
        <v>26</v>
      </c>
      <c r="CA164" s="239">
        <v>188437</v>
      </c>
      <c r="CB164" s="239">
        <v>0</v>
      </c>
      <c r="CC164" s="239">
        <v>1903</v>
      </c>
      <c r="CD164" s="239">
        <v>0</v>
      </c>
      <c r="CE164" s="239">
        <v>0</v>
      </c>
      <c r="CF164" s="239">
        <v>0</v>
      </c>
      <c r="CG164" s="239">
        <v>188437</v>
      </c>
      <c r="CH164" s="239">
        <v>0</v>
      </c>
      <c r="CI164" s="239">
        <v>1903</v>
      </c>
      <c r="CJ164" s="239">
        <v>72237</v>
      </c>
      <c r="CK164" s="239">
        <v>0</v>
      </c>
      <c r="CL164" s="239">
        <v>730</v>
      </c>
      <c r="CM164" s="239">
        <v>119960</v>
      </c>
      <c r="CN164" s="239">
        <v>0</v>
      </c>
      <c r="CO164" s="239">
        <v>1212</v>
      </c>
      <c r="CP164" s="239">
        <v>-47723</v>
      </c>
      <c r="CQ164" s="239">
        <v>0</v>
      </c>
      <c r="CR164" s="239">
        <v>-482</v>
      </c>
      <c r="CS164" s="239">
        <v>0</v>
      </c>
      <c r="CT164" s="239">
        <v>0</v>
      </c>
      <c r="CU164" s="239">
        <v>0</v>
      </c>
      <c r="CV164" s="239">
        <v>0</v>
      </c>
      <c r="CW164" s="239">
        <v>0</v>
      </c>
      <c r="CX164" s="239">
        <v>0</v>
      </c>
      <c r="CY164" s="239">
        <v>0</v>
      </c>
      <c r="CZ164" s="239">
        <v>0</v>
      </c>
      <c r="DA164" s="239">
        <v>0</v>
      </c>
      <c r="DB164" s="239">
        <v>0</v>
      </c>
      <c r="DC164" s="239">
        <v>0</v>
      </c>
      <c r="DD164" s="239">
        <v>0</v>
      </c>
      <c r="DE164" s="239">
        <v>0</v>
      </c>
      <c r="DF164" s="239">
        <v>0</v>
      </c>
      <c r="DG164" s="239">
        <v>0</v>
      </c>
      <c r="DH164" s="239">
        <v>0</v>
      </c>
      <c r="DI164" s="239">
        <v>0</v>
      </c>
      <c r="DJ164" s="239">
        <v>0</v>
      </c>
      <c r="DK164" s="239">
        <v>0</v>
      </c>
      <c r="DL164" s="239">
        <v>0</v>
      </c>
      <c r="DM164" s="239">
        <v>0</v>
      </c>
      <c r="DN164" s="239">
        <v>0</v>
      </c>
      <c r="DO164" s="239">
        <v>0</v>
      </c>
      <c r="DP164" s="239">
        <v>0</v>
      </c>
      <c r="DQ164" s="239">
        <v>0</v>
      </c>
      <c r="DR164" s="239">
        <v>0</v>
      </c>
      <c r="DS164" s="239">
        <v>0</v>
      </c>
      <c r="DT164" s="239">
        <v>0</v>
      </c>
      <c r="DU164" s="239">
        <v>0</v>
      </c>
      <c r="DV164" s="239">
        <v>0</v>
      </c>
      <c r="DW164" s="239">
        <v>0</v>
      </c>
      <c r="DX164" s="239">
        <v>0</v>
      </c>
      <c r="DY164" s="239">
        <v>0</v>
      </c>
      <c r="DZ164" s="239">
        <v>145890</v>
      </c>
      <c r="EA164" s="239">
        <v>0</v>
      </c>
      <c r="EB164" s="239">
        <v>1474</v>
      </c>
      <c r="EC164" s="239">
        <v>185749</v>
      </c>
      <c r="ED164" s="239">
        <v>0</v>
      </c>
      <c r="EE164" s="239">
        <v>0</v>
      </c>
      <c r="EF164" s="239">
        <v>-39859</v>
      </c>
      <c r="EG164" s="239">
        <v>0</v>
      </c>
      <c r="EH164" s="239">
        <v>1474</v>
      </c>
      <c r="EI164" s="239">
        <v>1524595</v>
      </c>
      <c r="EJ164" s="239">
        <v>0</v>
      </c>
      <c r="EK164" s="239">
        <v>15296</v>
      </c>
      <c r="EL164" s="239">
        <v>1517102</v>
      </c>
      <c r="EM164" s="239">
        <v>0</v>
      </c>
      <c r="EN164" s="239">
        <v>0</v>
      </c>
      <c r="EO164" s="239">
        <v>7493</v>
      </c>
      <c r="EP164" s="239">
        <v>0</v>
      </c>
      <c r="EQ164" s="239">
        <v>15296</v>
      </c>
      <c r="ER164" s="239">
        <v>153717</v>
      </c>
      <c r="ES164" s="239">
        <v>0</v>
      </c>
      <c r="ET164" s="239">
        <v>1542</v>
      </c>
      <c r="EU164" s="239">
        <v>226350</v>
      </c>
      <c r="EV164" s="239">
        <v>0</v>
      </c>
      <c r="EW164" s="239">
        <v>0</v>
      </c>
      <c r="EX164" s="239">
        <v>-72633</v>
      </c>
      <c r="EY164" s="239">
        <v>0</v>
      </c>
      <c r="EZ164" s="239">
        <v>1542</v>
      </c>
      <c r="FA164" s="239">
        <v>4951225</v>
      </c>
      <c r="FB164" s="239">
        <v>0</v>
      </c>
      <c r="FC164" s="239">
        <v>50012</v>
      </c>
      <c r="FD164" s="239">
        <v>4827923</v>
      </c>
      <c r="FE164" s="239">
        <v>0</v>
      </c>
      <c r="FF164" s="239">
        <v>48767</v>
      </c>
      <c r="FG164" s="239">
        <v>123302</v>
      </c>
      <c r="FH164" s="239">
        <v>0</v>
      </c>
      <c r="FI164" s="239">
        <v>1245</v>
      </c>
      <c r="FJ164" s="239">
        <v>719596</v>
      </c>
      <c r="FK164" s="239">
        <v>0</v>
      </c>
      <c r="FL164" s="239">
        <v>0</v>
      </c>
      <c r="FM164" s="239">
        <v>861923</v>
      </c>
      <c r="FN164" s="239">
        <v>0</v>
      </c>
      <c r="FO164" s="239">
        <v>0</v>
      </c>
      <c r="FP164" s="239">
        <v>-142327</v>
      </c>
      <c r="FQ164" s="239">
        <v>0</v>
      </c>
      <c r="FR164" s="239">
        <v>0</v>
      </c>
      <c r="FS164" s="239">
        <v>0</v>
      </c>
      <c r="FT164" s="239">
        <v>0</v>
      </c>
      <c r="FU164" s="239">
        <v>0</v>
      </c>
      <c r="FV164" s="239">
        <v>20167581</v>
      </c>
      <c r="FW164" s="239">
        <v>0</v>
      </c>
      <c r="FX164" s="239">
        <v>195154</v>
      </c>
      <c r="FY164" s="834">
        <v>0</v>
      </c>
      <c r="FZ164" s="834">
        <v>0.99</v>
      </c>
      <c r="GA164" s="834">
        <v>0</v>
      </c>
      <c r="GB164" s="834">
        <v>0.01</v>
      </c>
      <c r="GC164" s="214" t="s">
        <v>1160</v>
      </c>
    </row>
    <row r="165" spans="1:185" s="214" customFormat="1" x14ac:dyDescent="0.2">
      <c r="B165" s="602" t="s">
        <v>413</v>
      </c>
      <c r="C165" s="602" t="s">
        <v>412</v>
      </c>
      <c r="D165" s="239">
        <v>-393915</v>
      </c>
      <c r="E165" s="239">
        <v>0</v>
      </c>
      <c r="F165" s="239">
        <v>-393915</v>
      </c>
      <c r="G165" s="239">
        <v>-422033</v>
      </c>
      <c r="H165" s="239">
        <v>0</v>
      </c>
      <c r="I165" s="239">
        <v>-422033</v>
      </c>
      <c r="J165" s="239">
        <v>28118</v>
      </c>
      <c r="K165" s="239">
        <v>0</v>
      </c>
      <c r="L165" s="239">
        <v>28118</v>
      </c>
      <c r="M165" s="239">
        <v>126789</v>
      </c>
      <c r="N165" s="239">
        <v>126789</v>
      </c>
      <c r="O165" s="239">
        <v>0</v>
      </c>
      <c r="P165" s="239">
        <v>0</v>
      </c>
      <c r="Q165" s="239">
        <v>0</v>
      </c>
      <c r="R165" s="239">
        <v>0</v>
      </c>
      <c r="S165" s="239">
        <v>65923</v>
      </c>
      <c r="T165" s="239">
        <v>0</v>
      </c>
      <c r="U165" s="239">
        <v>20186</v>
      </c>
      <c r="V165" s="239">
        <v>0</v>
      </c>
      <c r="W165" s="239">
        <v>45737</v>
      </c>
      <c r="X165" s="239">
        <v>0</v>
      </c>
      <c r="Y165" s="239">
        <v>0</v>
      </c>
      <c r="Z165" s="239">
        <v>0</v>
      </c>
      <c r="AA165" s="239">
        <v>0</v>
      </c>
      <c r="AB165" s="239">
        <v>0</v>
      </c>
      <c r="AC165" s="239">
        <v>0</v>
      </c>
      <c r="AD165" s="239">
        <v>0</v>
      </c>
      <c r="AE165" s="239">
        <v>0</v>
      </c>
      <c r="AF165" s="239">
        <v>0</v>
      </c>
      <c r="AG165" s="239">
        <v>0</v>
      </c>
      <c r="AH165" s="239">
        <v>0</v>
      </c>
      <c r="AI165" s="239">
        <v>0</v>
      </c>
      <c r="AJ165" s="239">
        <v>0</v>
      </c>
      <c r="AK165" s="239">
        <v>0</v>
      </c>
      <c r="AL165" s="239">
        <v>0</v>
      </c>
      <c r="AM165" s="239">
        <v>0</v>
      </c>
      <c r="AN165" s="239">
        <v>0</v>
      </c>
      <c r="AO165" s="239">
        <v>0</v>
      </c>
      <c r="AP165" s="239">
        <v>0</v>
      </c>
      <c r="AQ165" s="239">
        <v>0</v>
      </c>
      <c r="AR165" s="239">
        <v>0</v>
      </c>
      <c r="AS165" s="239">
        <v>0</v>
      </c>
      <c r="AT165" s="239">
        <v>0</v>
      </c>
      <c r="AU165" s="239">
        <v>0</v>
      </c>
      <c r="AV165" s="239">
        <v>0</v>
      </c>
      <c r="AW165" s="239">
        <v>0</v>
      </c>
      <c r="AX165" s="239">
        <v>0</v>
      </c>
      <c r="AY165" s="239">
        <v>0</v>
      </c>
      <c r="AZ165" s="239">
        <v>0</v>
      </c>
      <c r="BA165" s="239">
        <v>0</v>
      </c>
      <c r="BB165" s="239">
        <v>0</v>
      </c>
      <c r="BC165" s="239">
        <v>798865</v>
      </c>
      <c r="BD165" s="239">
        <v>179745</v>
      </c>
      <c r="BE165" s="239">
        <v>19972</v>
      </c>
      <c r="BF165" s="239">
        <v>781010.0035793992</v>
      </c>
      <c r="BG165" s="239">
        <v>175727.25080536481</v>
      </c>
      <c r="BH165" s="239">
        <v>19525.25008948498</v>
      </c>
      <c r="BI165" s="239">
        <v>44408.104390557943</v>
      </c>
      <c r="BJ165" s="239">
        <v>9991.8234878755356</v>
      </c>
      <c r="BK165" s="239">
        <v>1110.2026097639484</v>
      </c>
      <c r="BL165" s="239">
        <v>740131</v>
      </c>
      <c r="BM165" s="239">
        <v>112901</v>
      </c>
      <c r="BN165" s="239">
        <v>12545</v>
      </c>
      <c r="BO165" s="239">
        <v>58734</v>
      </c>
      <c r="BP165" s="239">
        <v>66844</v>
      </c>
      <c r="BQ165" s="239">
        <v>7427</v>
      </c>
      <c r="BR165" s="239">
        <v>7776</v>
      </c>
      <c r="BS165" s="239">
        <v>1750</v>
      </c>
      <c r="BT165" s="239">
        <v>194</v>
      </c>
      <c r="BU165" s="239">
        <v>3557</v>
      </c>
      <c r="BV165" s="239">
        <v>800</v>
      </c>
      <c r="BW165" s="239">
        <v>89</v>
      </c>
      <c r="BX165" s="239">
        <v>4219</v>
      </c>
      <c r="BY165" s="239">
        <v>950</v>
      </c>
      <c r="BZ165" s="239">
        <v>105</v>
      </c>
      <c r="CA165" s="239">
        <v>1849</v>
      </c>
      <c r="CB165" s="239">
        <v>416</v>
      </c>
      <c r="CC165" s="239">
        <v>46</v>
      </c>
      <c r="CD165" s="239">
        <v>8269</v>
      </c>
      <c r="CE165" s="239">
        <v>1860</v>
      </c>
      <c r="CF165" s="239">
        <v>207</v>
      </c>
      <c r="CG165" s="239">
        <v>-6420</v>
      </c>
      <c r="CH165" s="239">
        <v>-1444</v>
      </c>
      <c r="CI165" s="239">
        <v>-161</v>
      </c>
      <c r="CJ165" s="239">
        <v>860</v>
      </c>
      <c r="CK165" s="239">
        <v>193</v>
      </c>
      <c r="CL165" s="239">
        <v>21</v>
      </c>
      <c r="CM165" s="239">
        <v>6413</v>
      </c>
      <c r="CN165" s="239">
        <v>1443</v>
      </c>
      <c r="CO165" s="239">
        <v>160</v>
      </c>
      <c r="CP165" s="239">
        <v>-5553</v>
      </c>
      <c r="CQ165" s="239">
        <v>-1250</v>
      </c>
      <c r="CR165" s="239">
        <v>-139</v>
      </c>
      <c r="CS165" s="239">
        <v>-2378</v>
      </c>
      <c r="CT165" s="239">
        <v>-535</v>
      </c>
      <c r="CU165" s="239">
        <v>-59</v>
      </c>
      <c r="CV165" s="239">
        <v>0</v>
      </c>
      <c r="CW165" s="239">
        <v>0</v>
      </c>
      <c r="CX165" s="239">
        <v>0</v>
      </c>
      <c r="CY165" s="239">
        <v>0</v>
      </c>
      <c r="CZ165" s="239">
        <v>0</v>
      </c>
      <c r="DA165" s="239">
        <v>0</v>
      </c>
      <c r="DB165" s="239">
        <v>0</v>
      </c>
      <c r="DC165" s="239">
        <v>0</v>
      </c>
      <c r="DD165" s="239">
        <v>0</v>
      </c>
      <c r="DE165" s="239">
        <v>0</v>
      </c>
      <c r="DF165" s="239">
        <v>0</v>
      </c>
      <c r="DG165" s="239">
        <v>0</v>
      </c>
      <c r="DH165" s="239">
        <v>0</v>
      </c>
      <c r="DI165" s="239">
        <v>0</v>
      </c>
      <c r="DJ165" s="239">
        <v>0</v>
      </c>
      <c r="DK165" s="239">
        <v>0</v>
      </c>
      <c r="DL165" s="239">
        <v>0</v>
      </c>
      <c r="DM165" s="239">
        <v>0</v>
      </c>
      <c r="DN165" s="239">
        <v>0</v>
      </c>
      <c r="DO165" s="239">
        <v>0</v>
      </c>
      <c r="DP165" s="239">
        <v>0</v>
      </c>
      <c r="DQ165" s="239">
        <v>609</v>
      </c>
      <c r="DR165" s="239">
        <v>137</v>
      </c>
      <c r="DS165" s="239">
        <v>15</v>
      </c>
      <c r="DT165" s="239">
        <v>609</v>
      </c>
      <c r="DU165" s="239">
        <v>137</v>
      </c>
      <c r="DV165" s="239">
        <v>15</v>
      </c>
      <c r="DW165" s="239">
        <v>0</v>
      </c>
      <c r="DX165" s="239">
        <v>0</v>
      </c>
      <c r="DY165" s="239">
        <v>0</v>
      </c>
      <c r="DZ165" s="239">
        <v>2805</v>
      </c>
      <c r="EA165" s="239">
        <v>631</v>
      </c>
      <c r="EB165" s="239">
        <v>70</v>
      </c>
      <c r="EC165" s="239">
        <v>4314</v>
      </c>
      <c r="ED165" s="239">
        <v>0</v>
      </c>
      <c r="EE165" s="239">
        <v>0</v>
      </c>
      <c r="EF165" s="239">
        <v>-1509</v>
      </c>
      <c r="EG165" s="239">
        <v>631</v>
      </c>
      <c r="EH165" s="239">
        <v>70</v>
      </c>
      <c r="EI165" s="239">
        <v>41935</v>
      </c>
      <c r="EJ165" s="239">
        <v>9435</v>
      </c>
      <c r="EK165" s="239">
        <v>1048</v>
      </c>
      <c r="EL165" s="239">
        <v>104844</v>
      </c>
      <c r="EM165" s="239">
        <v>0</v>
      </c>
      <c r="EN165" s="239">
        <v>0</v>
      </c>
      <c r="EO165" s="239">
        <v>-62909</v>
      </c>
      <c r="EP165" s="239">
        <v>9435</v>
      </c>
      <c r="EQ165" s="239">
        <v>1048</v>
      </c>
      <c r="ER165" s="239">
        <v>9833</v>
      </c>
      <c r="ES165" s="239">
        <v>2212</v>
      </c>
      <c r="ET165" s="239">
        <v>246</v>
      </c>
      <c r="EU165" s="239">
        <v>12688</v>
      </c>
      <c r="EV165" s="239">
        <v>0</v>
      </c>
      <c r="EW165" s="239">
        <v>0</v>
      </c>
      <c r="EX165" s="239">
        <v>-2855</v>
      </c>
      <c r="EY165" s="239">
        <v>2212</v>
      </c>
      <c r="EZ165" s="239">
        <v>246</v>
      </c>
      <c r="FA165" s="239">
        <v>155618</v>
      </c>
      <c r="FB165" s="239">
        <v>34791</v>
      </c>
      <c r="FC165" s="239">
        <v>3866</v>
      </c>
      <c r="FD165" s="239">
        <v>169764</v>
      </c>
      <c r="FE165" s="239">
        <v>38129</v>
      </c>
      <c r="FF165" s="239">
        <v>4237</v>
      </c>
      <c r="FG165" s="239">
        <v>-14146</v>
      </c>
      <c r="FH165" s="239">
        <v>-3338</v>
      </c>
      <c r="FI165" s="239">
        <v>-371</v>
      </c>
      <c r="FJ165" s="239">
        <v>0</v>
      </c>
      <c r="FK165" s="239">
        <v>0</v>
      </c>
      <c r="FL165" s="239">
        <v>0</v>
      </c>
      <c r="FM165" s="239">
        <v>0</v>
      </c>
      <c r="FN165" s="239">
        <v>0</v>
      </c>
      <c r="FO165" s="239">
        <v>0</v>
      </c>
      <c r="FP165" s="239">
        <v>0</v>
      </c>
      <c r="FQ165" s="239">
        <v>0</v>
      </c>
      <c r="FR165" s="239">
        <v>0</v>
      </c>
      <c r="FS165" s="239">
        <v>0</v>
      </c>
      <c r="FT165" s="239">
        <v>0</v>
      </c>
      <c r="FU165" s="239">
        <v>0</v>
      </c>
      <c r="FV165" s="239">
        <v>1017772</v>
      </c>
      <c r="FW165" s="239">
        <v>228775</v>
      </c>
      <c r="FX165" s="239">
        <v>25419</v>
      </c>
      <c r="FY165" s="834">
        <v>0.5</v>
      </c>
      <c r="FZ165" s="834">
        <v>0.4</v>
      </c>
      <c r="GA165" s="834">
        <v>0.09</v>
      </c>
      <c r="GB165" s="834">
        <v>0.01</v>
      </c>
      <c r="GC165" s="214" t="s">
        <v>1158</v>
      </c>
    </row>
    <row r="166" spans="1:185" s="214" customFormat="1" x14ac:dyDescent="0.2">
      <c r="B166" s="602" t="s">
        <v>415</v>
      </c>
      <c r="C166" s="602" t="s">
        <v>414</v>
      </c>
      <c r="D166" s="239">
        <v>-7693580</v>
      </c>
      <c r="E166" s="239">
        <v>0</v>
      </c>
      <c r="F166" s="239">
        <v>-7693580</v>
      </c>
      <c r="G166" s="239">
        <v>-4794668</v>
      </c>
      <c r="H166" s="239">
        <v>1069</v>
      </c>
      <c r="I166" s="239">
        <v>-4793599</v>
      </c>
      <c r="J166" s="239">
        <v>-2898912</v>
      </c>
      <c r="K166" s="239">
        <v>-1069</v>
      </c>
      <c r="L166" s="239">
        <v>-2899981</v>
      </c>
      <c r="M166" s="239">
        <v>273476</v>
      </c>
      <c r="N166" s="239">
        <v>273476</v>
      </c>
      <c r="O166" s="239">
        <v>0</v>
      </c>
      <c r="P166" s="239">
        <v>0</v>
      </c>
      <c r="Q166" s="239">
        <v>1110</v>
      </c>
      <c r="R166" s="239">
        <v>-1110</v>
      </c>
      <c r="S166" s="239">
        <v>0</v>
      </c>
      <c r="T166" s="239">
        <v>0</v>
      </c>
      <c r="U166" s="239">
        <v>0</v>
      </c>
      <c r="V166" s="239">
        <v>0</v>
      </c>
      <c r="W166" s="239">
        <v>0</v>
      </c>
      <c r="X166" s="239">
        <v>0</v>
      </c>
      <c r="Y166" s="239">
        <v>0</v>
      </c>
      <c r="Z166" s="239">
        <v>0</v>
      </c>
      <c r="AA166" s="239">
        <v>0</v>
      </c>
      <c r="AB166" s="239">
        <v>0</v>
      </c>
      <c r="AC166" s="239">
        <v>0</v>
      </c>
      <c r="AD166" s="239">
        <v>0</v>
      </c>
      <c r="AE166" s="239">
        <v>0</v>
      </c>
      <c r="AF166" s="239">
        <v>0</v>
      </c>
      <c r="AG166" s="239">
        <v>0</v>
      </c>
      <c r="AH166" s="239">
        <v>0</v>
      </c>
      <c r="AI166" s="239">
        <v>0</v>
      </c>
      <c r="AJ166" s="239">
        <v>0</v>
      </c>
      <c r="AK166" s="239">
        <v>0</v>
      </c>
      <c r="AL166" s="239">
        <v>0</v>
      </c>
      <c r="AM166" s="239">
        <v>0</v>
      </c>
      <c r="AN166" s="239">
        <v>0</v>
      </c>
      <c r="AO166" s="239">
        <v>0</v>
      </c>
      <c r="AP166" s="239">
        <v>0</v>
      </c>
      <c r="AQ166" s="239">
        <v>0</v>
      </c>
      <c r="AR166" s="239">
        <v>0</v>
      </c>
      <c r="AS166" s="239">
        <v>0</v>
      </c>
      <c r="AT166" s="239">
        <v>0</v>
      </c>
      <c r="AU166" s="239">
        <v>0</v>
      </c>
      <c r="AV166" s="239">
        <v>0</v>
      </c>
      <c r="AW166" s="239">
        <v>0</v>
      </c>
      <c r="AX166" s="239">
        <v>0</v>
      </c>
      <c r="AY166" s="239">
        <v>0</v>
      </c>
      <c r="AZ166" s="239">
        <v>0</v>
      </c>
      <c r="BA166" s="239">
        <v>0</v>
      </c>
      <c r="BB166" s="239">
        <v>0</v>
      </c>
      <c r="BC166" s="239">
        <v>2343668</v>
      </c>
      <c r="BD166" s="239">
        <v>0</v>
      </c>
      <c r="BE166" s="239">
        <v>47830</v>
      </c>
      <c r="BF166" s="239">
        <v>2287254.3933889694</v>
      </c>
      <c r="BG166" s="239">
        <v>0</v>
      </c>
      <c r="BH166" s="239">
        <v>46678.661089570815</v>
      </c>
      <c r="BI166" s="239">
        <v>154037.69222042919</v>
      </c>
      <c r="BJ166" s="239">
        <v>0</v>
      </c>
      <c r="BK166" s="239">
        <v>3143.6263718454934</v>
      </c>
      <c r="BL166" s="239">
        <v>2126950</v>
      </c>
      <c r="BM166" s="239">
        <v>0</v>
      </c>
      <c r="BN166" s="239">
        <v>29582</v>
      </c>
      <c r="BO166" s="239">
        <v>216718</v>
      </c>
      <c r="BP166" s="239">
        <v>0</v>
      </c>
      <c r="BQ166" s="239">
        <v>18248</v>
      </c>
      <c r="BR166" s="239">
        <v>8201</v>
      </c>
      <c r="BS166" s="239">
        <v>0</v>
      </c>
      <c r="BT166" s="239">
        <v>167</v>
      </c>
      <c r="BU166" s="239">
        <v>6246</v>
      </c>
      <c r="BV166" s="239">
        <v>0</v>
      </c>
      <c r="BW166" s="239">
        <v>127</v>
      </c>
      <c r="BX166" s="239">
        <v>1955</v>
      </c>
      <c r="BY166" s="239">
        <v>0</v>
      </c>
      <c r="BZ166" s="239">
        <v>40</v>
      </c>
      <c r="CA166" s="239">
        <v>864</v>
      </c>
      <c r="CB166" s="239">
        <v>0</v>
      </c>
      <c r="CC166" s="239">
        <v>18</v>
      </c>
      <c r="CD166" s="239">
        <v>2017</v>
      </c>
      <c r="CE166" s="239">
        <v>0</v>
      </c>
      <c r="CF166" s="239">
        <v>41</v>
      </c>
      <c r="CG166" s="239">
        <v>-1153</v>
      </c>
      <c r="CH166" s="239">
        <v>0</v>
      </c>
      <c r="CI166" s="239">
        <v>-23</v>
      </c>
      <c r="CJ166" s="239">
        <v>-333</v>
      </c>
      <c r="CK166" s="239">
        <v>0</v>
      </c>
      <c r="CL166" s="239">
        <v>-7</v>
      </c>
      <c r="CM166" s="239">
        <v>5832</v>
      </c>
      <c r="CN166" s="239">
        <v>0</v>
      </c>
      <c r="CO166" s="239">
        <v>119</v>
      </c>
      <c r="CP166" s="239">
        <v>-6165</v>
      </c>
      <c r="CQ166" s="239">
        <v>0</v>
      </c>
      <c r="CR166" s="239">
        <v>-126</v>
      </c>
      <c r="CS166" s="239">
        <v>-3062</v>
      </c>
      <c r="CT166" s="239">
        <v>0</v>
      </c>
      <c r="CU166" s="239">
        <v>-62</v>
      </c>
      <c r="CV166" s="239">
        <v>0</v>
      </c>
      <c r="CW166" s="239">
        <v>0</v>
      </c>
      <c r="CX166" s="239">
        <v>0</v>
      </c>
      <c r="CY166" s="239">
        <v>0</v>
      </c>
      <c r="CZ166" s="239">
        <v>0</v>
      </c>
      <c r="DA166" s="239">
        <v>0</v>
      </c>
      <c r="DB166" s="239">
        <v>0</v>
      </c>
      <c r="DC166" s="239">
        <v>0</v>
      </c>
      <c r="DD166" s="239">
        <v>0</v>
      </c>
      <c r="DE166" s="239">
        <v>0</v>
      </c>
      <c r="DF166" s="239">
        <v>0</v>
      </c>
      <c r="DG166" s="239">
        <v>0</v>
      </c>
      <c r="DH166" s="239">
        <v>1769</v>
      </c>
      <c r="DI166" s="239">
        <v>0</v>
      </c>
      <c r="DJ166" s="239">
        <v>36</v>
      </c>
      <c r="DK166" s="239">
        <v>0</v>
      </c>
      <c r="DL166" s="239">
        <v>0</v>
      </c>
      <c r="DM166" s="239">
        <v>0</v>
      </c>
      <c r="DN166" s="239">
        <v>1769</v>
      </c>
      <c r="DO166" s="239">
        <v>0</v>
      </c>
      <c r="DP166" s="239">
        <v>36</v>
      </c>
      <c r="DQ166" s="239">
        <v>746</v>
      </c>
      <c r="DR166" s="239">
        <v>0</v>
      </c>
      <c r="DS166" s="239">
        <v>15</v>
      </c>
      <c r="DT166" s="239">
        <v>0</v>
      </c>
      <c r="DU166" s="239">
        <v>0</v>
      </c>
      <c r="DV166" s="239">
        <v>0</v>
      </c>
      <c r="DW166" s="239">
        <v>746</v>
      </c>
      <c r="DX166" s="239">
        <v>0</v>
      </c>
      <c r="DY166" s="239">
        <v>15</v>
      </c>
      <c r="DZ166" s="239">
        <v>16358</v>
      </c>
      <c r="EA166" s="239">
        <v>0</v>
      </c>
      <c r="EB166" s="239">
        <v>334</v>
      </c>
      <c r="EC166" s="239">
        <v>19105</v>
      </c>
      <c r="ED166" s="239">
        <v>0</v>
      </c>
      <c r="EE166" s="239">
        <v>0</v>
      </c>
      <c r="EF166" s="239">
        <v>-2747</v>
      </c>
      <c r="EG166" s="239">
        <v>0</v>
      </c>
      <c r="EH166" s="239">
        <v>334</v>
      </c>
      <c r="EI166" s="239">
        <v>242250</v>
      </c>
      <c r="EJ166" s="239">
        <v>0</v>
      </c>
      <c r="EK166" s="239">
        <v>4944</v>
      </c>
      <c r="EL166" s="239">
        <v>272513</v>
      </c>
      <c r="EM166" s="239">
        <v>0</v>
      </c>
      <c r="EN166" s="239">
        <v>0</v>
      </c>
      <c r="EO166" s="239">
        <v>-30263</v>
      </c>
      <c r="EP166" s="239">
        <v>0</v>
      </c>
      <c r="EQ166" s="239">
        <v>4944</v>
      </c>
      <c r="ER166" s="239">
        <v>35428</v>
      </c>
      <c r="ES166" s="239">
        <v>0</v>
      </c>
      <c r="ET166" s="239">
        <v>723</v>
      </c>
      <c r="EU166" s="239">
        <v>37354</v>
      </c>
      <c r="EV166" s="239">
        <v>0</v>
      </c>
      <c r="EW166" s="239">
        <v>0</v>
      </c>
      <c r="EX166" s="239">
        <v>-1926</v>
      </c>
      <c r="EY166" s="239">
        <v>0</v>
      </c>
      <c r="EZ166" s="239">
        <v>723</v>
      </c>
      <c r="FA166" s="239">
        <v>564426</v>
      </c>
      <c r="FB166" s="239">
        <v>0</v>
      </c>
      <c r="FC166" s="239">
        <v>11519</v>
      </c>
      <c r="FD166" s="239">
        <v>616117</v>
      </c>
      <c r="FE166" s="239">
        <v>0</v>
      </c>
      <c r="FF166" s="239">
        <v>12573</v>
      </c>
      <c r="FG166" s="239">
        <v>-51691</v>
      </c>
      <c r="FH166" s="239">
        <v>0</v>
      </c>
      <c r="FI166" s="239">
        <v>-1054</v>
      </c>
      <c r="FJ166" s="239">
        <v>0</v>
      </c>
      <c r="FK166" s="239">
        <v>0</v>
      </c>
      <c r="FL166" s="239">
        <v>0</v>
      </c>
      <c r="FM166" s="239">
        <v>0</v>
      </c>
      <c r="FN166" s="239">
        <v>0</v>
      </c>
      <c r="FO166" s="239">
        <v>0</v>
      </c>
      <c r="FP166" s="239">
        <v>0</v>
      </c>
      <c r="FQ166" s="239">
        <v>0</v>
      </c>
      <c r="FR166" s="239">
        <v>0</v>
      </c>
      <c r="FS166" s="239">
        <v>0</v>
      </c>
      <c r="FT166" s="239">
        <v>0</v>
      </c>
      <c r="FU166" s="239">
        <v>0</v>
      </c>
      <c r="FV166" s="239">
        <v>3210315</v>
      </c>
      <c r="FW166" s="239">
        <v>0</v>
      </c>
      <c r="FX166" s="239">
        <v>65517</v>
      </c>
      <c r="FY166" s="834">
        <v>0.5</v>
      </c>
      <c r="FZ166" s="834">
        <v>0.49</v>
      </c>
      <c r="GA166" s="834">
        <v>0</v>
      </c>
      <c r="GB166" s="834">
        <v>0.01</v>
      </c>
      <c r="GC166" s="214" t="s">
        <v>746</v>
      </c>
    </row>
    <row r="167" spans="1:185" s="214" customFormat="1" x14ac:dyDescent="0.2">
      <c r="B167" s="602" t="s">
        <v>417</v>
      </c>
      <c r="C167" s="602" t="s">
        <v>416</v>
      </c>
      <c r="D167" s="239">
        <v>495731</v>
      </c>
      <c r="E167" s="239">
        <v>0</v>
      </c>
      <c r="F167" s="239">
        <v>495731</v>
      </c>
      <c r="G167" s="239">
        <v>268237</v>
      </c>
      <c r="H167" s="239">
        <v>0</v>
      </c>
      <c r="I167" s="239">
        <v>268237</v>
      </c>
      <c r="J167" s="239">
        <v>227494</v>
      </c>
      <c r="K167" s="239">
        <v>0</v>
      </c>
      <c r="L167" s="239">
        <v>227494</v>
      </c>
      <c r="M167" s="239">
        <v>62450</v>
      </c>
      <c r="N167" s="239">
        <v>62450</v>
      </c>
      <c r="O167" s="239">
        <v>0</v>
      </c>
      <c r="P167" s="239">
        <v>0</v>
      </c>
      <c r="Q167" s="239">
        <v>0</v>
      </c>
      <c r="R167" s="239">
        <v>0</v>
      </c>
      <c r="S167" s="239">
        <v>144590</v>
      </c>
      <c r="T167" s="239">
        <v>0</v>
      </c>
      <c r="U167" s="239">
        <v>150000</v>
      </c>
      <c r="V167" s="239">
        <v>0</v>
      </c>
      <c r="W167" s="239">
        <v>-5410</v>
      </c>
      <c r="X167" s="239">
        <v>0</v>
      </c>
      <c r="Y167" s="239">
        <v>0</v>
      </c>
      <c r="Z167" s="239">
        <v>0</v>
      </c>
      <c r="AA167" s="239">
        <v>0</v>
      </c>
      <c r="AB167" s="239">
        <v>0</v>
      </c>
      <c r="AC167" s="239">
        <v>0</v>
      </c>
      <c r="AD167" s="239">
        <v>0</v>
      </c>
      <c r="AE167" s="239">
        <v>0</v>
      </c>
      <c r="AF167" s="239">
        <v>0</v>
      </c>
      <c r="AG167" s="239">
        <v>0</v>
      </c>
      <c r="AH167" s="239">
        <v>0</v>
      </c>
      <c r="AI167" s="239">
        <v>0</v>
      </c>
      <c r="AJ167" s="239">
        <v>0</v>
      </c>
      <c r="AK167" s="239">
        <v>0</v>
      </c>
      <c r="AL167" s="239">
        <v>0</v>
      </c>
      <c r="AM167" s="239">
        <v>0</v>
      </c>
      <c r="AN167" s="239">
        <v>0</v>
      </c>
      <c r="AO167" s="239">
        <v>0</v>
      </c>
      <c r="AP167" s="239">
        <v>0</v>
      </c>
      <c r="AQ167" s="239">
        <v>0</v>
      </c>
      <c r="AR167" s="239">
        <v>0</v>
      </c>
      <c r="AS167" s="239">
        <v>0</v>
      </c>
      <c r="AT167" s="239">
        <v>0</v>
      </c>
      <c r="AU167" s="239">
        <v>0</v>
      </c>
      <c r="AV167" s="239">
        <v>0</v>
      </c>
      <c r="AW167" s="239">
        <v>0</v>
      </c>
      <c r="AX167" s="239">
        <v>0</v>
      </c>
      <c r="AY167" s="239">
        <v>0</v>
      </c>
      <c r="AZ167" s="239">
        <v>0</v>
      </c>
      <c r="BA167" s="239">
        <v>0</v>
      </c>
      <c r="BB167" s="239">
        <v>0</v>
      </c>
      <c r="BC167" s="239">
        <v>468143</v>
      </c>
      <c r="BD167" s="239">
        <v>105332</v>
      </c>
      <c r="BE167" s="239">
        <v>11704</v>
      </c>
      <c r="BF167" s="239">
        <v>457730.58151931327</v>
      </c>
      <c r="BG167" s="239">
        <v>102989.3808418455</v>
      </c>
      <c r="BH167" s="239">
        <v>11443.264537982832</v>
      </c>
      <c r="BI167" s="239">
        <v>33356.873519313303</v>
      </c>
      <c r="BJ167" s="239">
        <v>7505.2965418454933</v>
      </c>
      <c r="BK167" s="239">
        <v>833.92183798283259</v>
      </c>
      <c r="BL167" s="239">
        <v>772585</v>
      </c>
      <c r="BM167" s="239">
        <v>114740</v>
      </c>
      <c r="BN167" s="239">
        <v>12749</v>
      </c>
      <c r="BO167" s="239">
        <v>-304442</v>
      </c>
      <c r="BP167" s="239">
        <v>-9408</v>
      </c>
      <c r="BQ167" s="239">
        <v>-1045</v>
      </c>
      <c r="BR167" s="239">
        <v>3753</v>
      </c>
      <c r="BS167" s="239">
        <v>844</v>
      </c>
      <c r="BT167" s="239">
        <v>94</v>
      </c>
      <c r="BU167" s="239">
        <v>3248</v>
      </c>
      <c r="BV167" s="239">
        <v>731</v>
      </c>
      <c r="BW167" s="239">
        <v>81</v>
      </c>
      <c r="BX167" s="239">
        <v>505</v>
      </c>
      <c r="BY167" s="239">
        <v>113</v>
      </c>
      <c r="BZ167" s="239">
        <v>13</v>
      </c>
      <c r="CA167" s="239">
        <v>0</v>
      </c>
      <c r="CB167" s="239">
        <v>0</v>
      </c>
      <c r="CC167" s="239">
        <v>0</v>
      </c>
      <c r="CD167" s="239">
        <v>0</v>
      </c>
      <c r="CE167" s="239">
        <v>0</v>
      </c>
      <c r="CF167" s="239">
        <v>0</v>
      </c>
      <c r="CG167" s="239">
        <v>0</v>
      </c>
      <c r="CH167" s="239">
        <v>0</v>
      </c>
      <c r="CI167" s="239">
        <v>0</v>
      </c>
      <c r="CJ167" s="239">
        <v>0</v>
      </c>
      <c r="CK167" s="239">
        <v>0</v>
      </c>
      <c r="CL167" s="239">
        <v>0</v>
      </c>
      <c r="CM167" s="239">
        <v>0</v>
      </c>
      <c r="CN167" s="239">
        <v>0</v>
      </c>
      <c r="CO167" s="239">
        <v>0</v>
      </c>
      <c r="CP167" s="239">
        <v>0</v>
      </c>
      <c r="CQ167" s="239">
        <v>0</v>
      </c>
      <c r="CR167" s="239">
        <v>0</v>
      </c>
      <c r="CS167" s="239">
        <v>-867</v>
      </c>
      <c r="CT167" s="239">
        <v>-195</v>
      </c>
      <c r="CU167" s="239">
        <v>-22</v>
      </c>
      <c r="CV167" s="239">
        <v>0</v>
      </c>
      <c r="CW167" s="239">
        <v>0</v>
      </c>
      <c r="CX167" s="239">
        <v>0</v>
      </c>
      <c r="CY167" s="239">
        <v>0</v>
      </c>
      <c r="CZ167" s="239">
        <v>0</v>
      </c>
      <c r="DA167" s="239">
        <v>0</v>
      </c>
      <c r="DB167" s="239">
        <v>0</v>
      </c>
      <c r="DC167" s="239">
        <v>0</v>
      </c>
      <c r="DD167" s="239">
        <v>0</v>
      </c>
      <c r="DE167" s="239">
        <v>0</v>
      </c>
      <c r="DF167" s="239">
        <v>0</v>
      </c>
      <c r="DG167" s="239">
        <v>0</v>
      </c>
      <c r="DH167" s="239">
        <v>13931</v>
      </c>
      <c r="DI167" s="239">
        <v>3134</v>
      </c>
      <c r="DJ167" s="239">
        <v>348</v>
      </c>
      <c r="DK167" s="239">
        <v>13905</v>
      </c>
      <c r="DL167" s="239">
        <v>3129</v>
      </c>
      <c r="DM167" s="239">
        <v>348</v>
      </c>
      <c r="DN167" s="239">
        <v>26</v>
      </c>
      <c r="DO167" s="239">
        <v>5</v>
      </c>
      <c r="DP167" s="239">
        <v>0</v>
      </c>
      <c r="DQ167" s="239">
        <v>609</v>
      </c>
      <c r="DR167" s="239">
        <v>137</v>
      </c>
      <c r="DS167" s="239">
        <v>15</v>
      </c>
      <c r="DT167" s="239">
        <v>0</v>
      </c>
      <c r="DU167" s="239">
        <v>0</v>
      </c>
      <c r="DV167" s="239">
        <v>0</v>
      </c>
      <c r="DW167" s="239">
        <v>609</v>
      </c>
      <c r="DX167" s="239">
        <v>137</v>
      </c>
      <c r="DY167" s="239">
        <v>15</v>
      </c>
      <c r="DZ167" s="239">
        <v>7899</v>
      </c>
      <c r="EA167" s="239">
        <v>1777</v>
      </c>
      <c r="EB167" s="239">
        <v>197</v>
      </c>
      <c r="EC167" s="239">
        <v>9874</v>
      </c>
      <c r="ED167" s="239">
        <v>0</v>
      </c>
      <c r="EE167" s="239">
        <v>0</v>
      </c>
      <c r="EF167" s="239">
        <v>-1975</v>
      </c>
      <c r="EG167" s="239">
        <v>1777</v>
      </c>
      <c r="EH167" s="239">
        <v>197</v>
      </c>
      <c r="EI167" s="239">
        <v>58813</v>
      </c>
      <c r="EJ167" s="239">
        <v>13233</v>
      </c>
      <c r="EK167" s="239">
        <v>1470</v>
      </c>
      <c r="EL167" s="239">
        <v>73744</v>
      </c>
      <c r="EM167" s="239">
        <v>0</v>
      </c>
      <c r="EN167" s="239">
        <v>0</v>
      </c>
      <c r="EO167" s="239">
        <v>-14931</v>
      </c>
      <c r="EP167" s="239">
        <v>13233</v>
      </c>
      <c r="EQ167" s="239">
        <v>1470</v>
      </c>
      <c r="ER167" s="239">
        <v>10721</v>
      </c>
      <c r="ES167" s="239">
        <v>2412</v>
      </c>
      <c r="ET167" s="239">
        <v>268</v>
      </c>
      <c r="EU167" s="239">
        <v>13787</v>
      </c>
      <c r="EV167" s="239">
        <v>0</v>
      </c>
      <c r="EW167" s="239">
        <v>0</v>
      </c>
      <c r="EX167" s="239">
        <v>-3066</v>
      </c>
      <c r="EY167" s="239">
        <v>2412</v>
      </c>
      <c r="EZ167" s="239">
        <v>268</v>
      </c>
      <c r="FA167" s="239">
        <v>84210</v>
      </c>
      <c r="FB167" s="239">
        <v>18459</v>
      </c>
      <c r="FC167" s="239">
        <v>2051</v>
      </c>
      <c r="FD167" s="239">
        <v>82759</v>
      </c>
      <c r="FE167" s="239">
        <v>18114</v>
      </c>
      <c r="FF167" s="239">
        <v>2013</v>
      </c>
      <c r="FG167" s="239">
        <v>1451</v>
      </c>
      <c r="FH167" s="239">
        <v>345</v>
      </c>
      <c r="FI167" s="239">
        <v>38</v>
      </c>
      <c r="FJ167" s="239">
        <v>0</v>
      </c>
      <c r="FK167" s="239">
        <v>0</v>
      </c>
      <c r="FL167" s="239">
        <v>0</v>
      </c>
      <c r="FM167" s="239">
        <v>0</v>
      </c>
      <c r="FN167" s="239">
        <v>0</v>
      </c>
      <c r="FO167" s="239">
        <v>0</v>
      </c>
      <c r="FP167" s="239">
        <v>0</v>
      </c>
      <c r="FQ167" s="239">
        <v>0</v>
      </c>
      <c r="FR167" s="239">
        <v>0</v>
      </c>
      <c r="FS167" s="239">
        <v>0</v>
      </c>
      <c r="FT167" s="239">
        <v>0</v>
      </c>
      <c r="FU167" s="239">
        <v>0</v>
      </c>
      <c r="FV167" s="239">
        <v>647212</v>
      </c>
      <c r="FW167" s="239">
        <v>145133</v>
      </c>
      <c r="FX167" s="239">
        <v>16125</v>
      </c>
      <c r="FY167" s="834">
        <v>0.5</v>
      </c>
      <c r="FZ167" s="834">
        <v>0.4</v>
      </c>
      <c r="GA167" s="834">
        <v>0.09</v>
      </c>
      <c r="GB167" s="834">
        <v>0.01</v>
      </c>
      <c r="GC167" s="214" t="s">
        <v>1158</v>
      </c>
    </row>
    <row r="168" spans="1:185" s="214" customFormat="1" x14ac:dyDescent="0.2">
      <c r="B168" s="602" t="s">
        <v>419</v>
      </c>
      <c r="C168" s="602" t="s">
        <v>418</v>
      </c>
      <c r="D168" s="239">
        <v>435513</v>
      </c>
      <c r="E168" s="239">
        <v>0</v>
      </c>
      <c r="F168" s="239">
        <v>435513</v>
      </c>
      <c r="G168" s="239">
        <v>105905</v>
      </c>
      <c r="H168" s="239">
        <v>0</v>
      </c>
      <c r="I168" s="239">
        <v>105905</v>
      </c>
      <c r="J168" s="239">
        <v>329608</v>
      </c>
      <c r="K168" s="239">
        <v>0</v>
      </c>
      <c r="L168" s="239">
        <v>329608</v>
      </c>
      <c r="M168" s="239">
        <v>165853</v>
      </c>
      <c r="N168" s="239">
        <v>165853</v>
      </c>
      <c r="O168" s="239">
        <v>0</v>
      </c>
      <c r="P168" s="239">
        <v>0</v>
      </c>
      <c r="Q168" s="239">
        <v>0</v>
      </c>
      <c r="R168" s="239">
        <v>0</v>
      </c>
      <c r="S168" s="239">
        <v>135318</v>
      </c>
      <c r="T168" s="239">
        <v>0</v>
      </c>
      <c r="U168" s="239">
        <v>135318</v>
      </c>
      <c r="V168" s="239">
        <v>0</v>
      </c>
      <c r="W168" s="239">
        <v>0</v>
      </c>
      <c r="X168" s="239">
        <v>0</v>
      </c>
      <c r="Y168" s="239">
        <v>0</v>
      </c>
      <c r="Z168" s="239">
        <v>0</v>
      </c>
      <c r="AA168" s="239">
        <v>0</v>
      </c>
      <c r="AB168" s="239">
        <v>0</v>
      </c>
      <c r="AC168" s="239">
        <v>0</v>
      </c>
      <c r="AD168" s="239">
        <v>0</v>
      </c>
      <c r="AE168" s="239">
        <v>0</v>
      </c>
      <c r="AF168" s="239">
        <v>0</v>
      </c>
      <c r="AG168" s="239">
        <v>0</v>
      </c>
      <c r="AH168" s="239">
        <v>0</v>
      </c>
      <c r="AI168" s="239">
        <v>0</v>
      </c>
      <c r="AJ168" s="239">
        <v>0</v>
      </c>
      <c r="AK168" s="239">
        <v>0</v>
      </c>
      <c r="AL168" s="239">
        <v>0</v>
      </c>
      <c r="AM168" s="239">
        <v>0</v>
      </c>
      <c r="AN168" s="239">
        <v>0</v>
      </c>
      <c r="AO168" s="239">
        <v>0</v>
      </c>
      <c r="AP168" s="239">
        <v>0</v>
      </c>
      <c r="AQ168" s="239">
        <v>0</v>
      </c>
      <c r="AR168" s="239">
        <v>0</v>
      </c>
      <c r="AS168" s="239">
        <v>0</v>
      </c>
      <c r="AT168" s="239">
        <v>0</v>
      </c>
      <c r="AU168" s="239">
        <v>0</v>
      </c>
      <c r="AV168" s="239">
        <v>0</v>
      </c>
      <c r="AW168" s="239">
        <v>0</v>
      </c>
      <c r="AX168" s="239">
        <v>0</v>
      </c>
      <c r="AY168" s="239">
        <v>0</v>
      </c>
      <c r="AZ168" s="239">
        <v>0</v>
      </c>
      <c r="BA168" s="239">
        <v>0</v>
      </c>
      <c r="BB168" s="239">
        <v>0</v>
      </c>
      <c r="BC168" s="239">
        <v>1336974</v>
      </c>
      <c r="BD168" s="239">
        <v>300819</v>
      </c>
      <c r="BE168" s="239">
        <v>33424</v>
      </c>
      <c r="BF168" s="239">
        <v>1308528.9230832618</v>
      </c>
      <c r="BG168" s="239">
        <v>294419.00769373396</v>
      </c>
      <c r="BH168" s="239">
        <v>32713.223077081544</v>
      </c>
      <c r="BI168" s="239">
        <v>88578.85210300429</v>
      </c>
      <c r="BJ168" s="239">
        <v>19930.241723175961</v>
      </c>
      <c r="BK168" s="239">
        <v>2214.4713025751071</v>
      </c>
      <c r="BL168" s="239">
        <v>1265833</v>
      </c>
      <c r="BM168" s="239">
        <v>194080</v>
      </c>
      <c r="BN168" s="239">
        <v>21564</v>
      </c>
      <c r="BO168" s="239">
        <v>71141</v>
      </c>
      <c r="BP168" s="239">
        <v>106739</v>
      </c>
      <c r="BQ168" s="239">
        <v>11860</v>
      </c>
      <c r="BR168" s="239">
        <v>1263</v>
      </c>
      <c r="BS168" s="239">
        <v>284</v>
      </c>
      <c r="BT168" s="239">
        <v>32</v>
      </c>
      <c r="BU168" s="239">
        <v>0</v>
      </c>
      <c r="BV168" s="239">
        <v>0</v>
      </c>
      <c r="BW168" s="239">
        <v>0</v>
      </c>
      <c r="BX168" s="239">
        <v>1263</v>
      </c>
      <c r="BY168" s="239">
        <v>284</v>
      </c>
      <c r="BZ168" s="239">
        <v>32</v>
      </c>
      <c r="CA168" s="239">
        <v>0</v>
      </c>
      <c r="CB168" s="239">
        <v>0</v>
      </c>
      <c r="CC168" s="239">
        <v>0</v>
      </c>
      <c r="CD168" s="239">
        <v>0</v>
      </c>
      <c r="CE168" s="239">
        <v>0</v>
      </c>
      <c r="CF168" s="239">
        <v>0</v>
      </c>
      <c r="CG168" s="239">
        <v>0</v>
      </c>
      <c r="CH168" s="239">
        <v>0</v>
      </c>
      <c r="CI168" s="239">
        <v>0</v>
      </c>
      <c r="CJ168" s="239">
        <v>0</v>
      </c>
      <c r="CK168" s="239">
        <v>0</v>
      </c>
      <c r="CL168" s="239">
        <v>0</v>
      </c>
      <c r="CM168" s="239">
        <v>0</v>
      </c>
      <c r="CN168" s="239">
        <v>0</v>
      </c>
      <c r="CO168" s="239">
        <v>0</v>
      </c>
      <c r="CP168" s="239">
        <v>0</v>
      </c>
      <c r="CQ168" s="239">
        <v>0</v>
      </c>
      <c r="CR168" s="239">
        <v>0</v>
      </c>
      <c r="CS168" s="239">
        <v>-4900</v>
      </c>
      <c r="CT168" s="239">
        <v>-1102</v>
      </c>
      <c r="CU168" s="239">
        <v>-122</v>
      </c>
      <c r="CV168" s="239">
        <v>0</v>
      </c>
      <c r="CW168" s="239">
        <v>0</v>
      </c>
      <c r="CX168" s="239">
        <v>0</v>
      </c>
      <c r="CY168" s="239">
        <v>0</v>
      </c>
      <c r="CZ168" s="239">
        <v>0</v>
      </c>
      <c r="DA168" s="239">
        <v>0</v>
      </c>
      <c r="DB168" s="239">
        <v>0</v>
      </c>
      <c r="DC168" s="239">
        <v>0</v>
      </c>
      <c r="DD168" s="239">
        <v>0</v>
      </c>
      <c r="DE168" s="239">
        <v>-2974</v>
      </c>
      <c r="DF168" s="239">
        <v>-669</v>
      </c>
      <c r="DG168" s="239">
        <v>-74</v>
      </c>
      <c r="DH168" s="239">
        <v>8248</v>
      </c>
      <c r="DI168" s="239">
        <v>1856</v>
      </c>
      <c r="DJ168" s="239">
        <v>206</v>
      </c>
      <c r="DK168" s="239">
        <v>7981</v>
      </c>
      <c r="DL168" s="239">
        <v>1796</v>
      </c>
      <c r="DM168" s="239">
        <v>200</v>
      </c>
      <c r="DN168" s="239">
        <v>267</v>
      </c>
      <c r="DO168" s="239">
        <v>60</v>
      </c>
      <c r="DP168" s="239">
        <v>6</v>
      </c>
      <c r="DQ168" s="239">
        <v>0</v>
      </c>
      <c r="DR168" s="239">
        <v>0</v>
      </c>
      <c r="DS168" s="239">
        <v>0</v>
      </c>
      <c r="DT168" s="239">
        <v>0</v>
      </c>
      <c r="DU168" s="239">
        <v>0</v>
      </c>
      <c r="DV168" s="239">
        <v>0</v>
      </c>
      <c r="DW168" s="239">
        <v>0</v>
      </c>
      <c r="DX168" s="239">
        <v>0</v>
      </c>
      <c r="DY168" s="239">
        <v>0</v>
      </c>
      <c r="DZ168" s="239">
        <v>20899</v>
      </c>
      <c r="EA168" s="239">
        <v>4702</v>
      </c>
      <c r="EB168" s="239">
        <v>522</v>
      </c>
      <c r="EC168" s="239">
        <v>30451</v>
      </c>
      <c r="ED168" s="239">
        <v>0</v>
      </c>
      <c r="EE168" s="239">
        <v>0</v>
      </c>
      <c r="EF168" s="239">
        <v>-9552</v>
      </c>
      <c r="EG168" s="239">
        <v>4702</v>
      </c>
      <c r="EH168" s="239">
        <v>522</v>
      </c>
      <c r="EI168" s="239">
        <v>44442</v>
      </c>
      <c r="EJ168" s="239">
        <v>9999</v>
      </c>
      <c r="EK168" s="239">
        <v>1111</v>
      </c>
      <c r="EL168" s="239">
        <v>174501</v>
      </c>
      <c r="EM168" s="239">
        <v>0</v>
      </c>
      <c r="EN168" s="239">
        <v>0</v>
      </c>
      <c r="EO168" s="239">
        <v>-130059</v>
      </c>
      <c r="EP168" s="239">
        <v>9999</v>
      </c>
      <c r="EQ168" s="239">
        <v>1111</v>
      </c>
      <c r="ER168" s="239">
        <v>21801</v>
      </c>
      <c r="ES168" s="239">
        <v>4905</v>
      </c>
      <c r="ET168" s="239">
        <v>545</v>
      </c>
      <c r="EU168" s="239">
        <v>30451</v>
      </c>
      <c r="EV168" s="239">
        <v>0</v>
      </c>
      <c r="EW168" s="239">
        <v>0</v>
      </c>
      <c r="EX168" s="239">
        <v>-8650</v>
      </c>
      <c r="EY168" s="239">
        <v>4905</v>
      </c>
      <c r="EZ168" s="239">
        <v>545</v>
      </c>
      <c r="FA168" s="239">
        <v>227770</v>
      </c>
      <c r="FB168" s="239">
        <v>50791</v>
      </c>
      <c r="FC168" s="239">
        <v>5643</v>
      </c>
      <c r="FD168" s="239">
        <v>203668</v>
      </c>
      <c r="FE168" s="239">
        <v>45368</v>
      </c>
      <c r="FF168" s="239">
        <v>5041</v>
      </c>
      <c r="FG168" s="239">
        <v>24102</v>
      </c>
      <c r="FH168" s="239">
        <v>5423</v>
      </c>
      <c r="FI168" s="239">
        <v>602</v>
      </c>
      <c r="FJ168" s="239">
        <v>0</v>
      </c>
      <c r="FK168" s="239">
        <v>0</v>
      </c>
      <c r="FL168" s="239">
        <v>0</v>
      </c>
      <c r="FM168" s="239">
        <v>0</v>
      </c>
      <c r="FN168" s="239">
        <v>0</v>
      </c>
      <c r="FO168" s="239">
        <v>0</v>
      </c>
      <c r="FP168" s="239">
        <v>0</v>
      </c>
      <c r="FQ168" s="239">
        <v>0</v>
      </c>
      <c r="FR168" s="239">
        <v>0</v>
      </c>
      <c r="FS168" s="239">
        <v>0</v>
      </c>
      <c r="FT168" s="239">
        <v>0</v>
      </c>
      <c r="FU168" s="239">
        <v>0</v>
      </c>
      <c r="FV168" s="239">
        <v>1653523</v>
      </c>
      <c r="FW168" s="239">
        <v>371585</v>
      </c>
      <c r="FX168" s="239">
        <v>41287</v>
      </c>
      <c r="FY168" s="834">
        <v>0.5</v>
      </c>
      <c r="FZ168" s="834">
        <v>0.4</v>
      </c>
      <c r="GA168" s="834">
        <v>0.09</v>
      </c>
      <c r="GB168" s="834">
        <v>0.01</v>
      </c>
      <c r="GC168" s="214" t="s">
        <v>1158</v>
      </c>
    </row>
    <row r="169" spans="1:185" s="214" customFormat="1" x14ac:dyDescent="0.2">
      <c r="B169" s="602" t="s">
        <v>421</v>
      </c>
      <c r="C169" s="602" t="s">
        <v>420</v>
      </c>
      <c r="D169" s="239">
        <v>-1370462</v>
      </c>
      <c r="E169" s="239">
        <v>0</v>
      </c>
      <c r="F169" s="239">
        <v>-1370462</v>
      </c>
      <c r="G169" s="239">
        <v>-1664618</v>
      </c>
      <c r="H169" s="239">
        <v>0</v>
      </c>
      <c r="I169" s="239">
        <v>-1664618</v>
      </c>
      <c r="J169" s="239">
        <v>294156</v>
      </c>
      <c r="K169" s="239">
        <v>0</v>
      </c>
      <c r="L169" s="239">
        <v>294156</v>
      </c>
      <c r="M169" s="239">
        <v>264360</v>
      </c>
      <c r="N169" s="239">
        <v>264360</v>
      </c>
      <c r="O169" s="239">
        <v>0</v>
      </c>
      <c r="P169" s="239">
        <v>0</v>
      </c>
      <c r="Q169" s="239">
        <v>0</v>
      </c>
      <c r="R169" s="239">
        <v>0</v>
      </c>
      <c r="S169" s="239">
        <v>0</v>
      </c>
      <c r="T169" s="239">
        <v>0</v>
      </c>
      <c r="U169" s="239">
        <v>0</v>
      </c>
      <c r="V169" s="239">
        <v>0</v>
      </c>
      <c r="W169" s="239">
        <v>0</v>
      </c>
      <c r="X169" s="239">
        <v>0</v>
      </c>
      <c r="Y169" s="239">
        <v>0</v>
      </c>
      <c r="Z169" s="239">
        <v>0</v>
      </c>
      <c r="AA169" s="239">
        <v>0</v>
      </c>
      <c r="AB169" s="239">
        <v>0</v>
      </c>
      <c r="AC169" s="239">
        <v>0</v>
      </c>
      <c r="AD169" s="239">
        <v>0</v>
      </c>
      <c r="AE169" s="239">
        <v>0</v>
      </c>
      <c r="AF169" s="239">
        <v>0</v>
      </c>
      <c r="AG169" s="239">
        <v>0</v>
      </c>
      <c r="AH169" s="239">
        <v>0</v>
      </c>
      <c r="AI169" s="239">
        <v>0</v>
      </c>
      <c r="AJ169" s="239">
        <v>0</v>
      </c>
      <c r="AK169" s="239">
        <v>0</v>
      </c>
      <c r="AL169" s="239">
        <v>0</v>
      </c>
      <c r="AM169" s="239">
        <v>0</v>
      </c>
      <c r="AN169" s="239">
        <v>0</v>
      </c>
      <c r="AO169" s="239">
        <v>0</v>
      </c>
      <c r="AP169" s="239">
        <v>0</v>
      </c>
      <c r="AQ169" s="239">
        <v>0</v>
      </c>
      <c r="AR169" s="239">
        <v>0</v>
      </c>
      <c r="AS169" s="239">
        <v>0</v>
      </c>
      <c r="AT169" s="239">
        <v>0</v>
      </c>
      <c r="AU169" s="239">
        <v>0</v>
      </c>
      <c r="AV169" s="239">
        <v>0</v>
      </c>
      <c r="AW169" s="239">
        <v>0</v>
      </c>
      <c r="AX169" s="239">
        <v>0</v>
      </c>
      <c r="AY169" s="239">
        <v>0</v>
      </c>
      <c r="AZ169" s="239">
        <v>0</v>
      </c>
      <c r="BA169" s="239">
        <v>0</v>
      </c>
      <c r="BB169" s="239">
        <v>0</v>
      </c>
      <c r="BC169" s="239">
        <v>1024114</v>
      </c>
      <c r="BD169" s="239">
        <v>1263074</v>
      </c>
      <c r="BE169" s="239">
        <v>0</v>
      </c>
      <c r="BF169" s="239">
        <v>996768.1255248927</v>
      </c>
      <c r="BG169" s="239">
        <v>1229347.3548140344</v>
      </c>
      <c r="BH169" s="239">
        <v>0</v>
      </c>
      <c r="BI169" s="239">
        <v>80601.712178111586</v>
      </c>
      <c r="BJ169" s="239">
        <v>99408.778353004294</v>
      </c>
      <c r="BK169" s="239">
        <v>0</v>
      </c>
      <c r="BL169" s="239">
        <v>1344626</v>
      </c>
      <c r="BM169" s="239">
        <v>785139</v>
      </c>
      <c r="BN169" s="239">
        <v>0</v>
      </c>
      <c r="BO169" s="239">
        <v>-320512</v>
      </c>
      <c r="BP169" s="239">
        <v>477935</v>
      </c>
      <c r="BQ169" s="239">
        <v>0</v>
      </c>
      <c r="BR169" s="239">
        <v>0</v>
      </c>
      <c r="BS169" s="239">
        <v>0</v>
      </c>
      <c r="BT169" s="239">
        <v>0</v>
      </c>
      <c r="BU169" s="239">
        <v>0</v>
      </c>
      <c r="BV169" s="239">
        <v>0</v>
      </c>
      <c r="BW169" s="239">
        <v>0</v>
      </c>
      <c r="BX169" s="239">
        <v>0</v>
      </c>
      <c r="BY169" s="239">
        <v>0</v>
      </c>
      <c r="BZ169" s="239">
        <v>0</v>
      </c>
      <c r="CA169" s="239">
        <v>0</v>
      </c>
      <c r="CB169" s="239">
        <v>0</v>
      </c>
      <c r="CC169" s="239">
        <v>0</v>
      </c>
      <c r="CD169" s="239">
        <v>347</v>
      </c>
      <c r="CE169" s="239">
        <v>428</v>
      </c>
      <c r="CF169" s="239">
        <v>0</v>
      </c>
      <c r="CG169" s="239">
        <v>-347</v>
      </c>
      <c r="CH169" s="239">
        <v>-428</v>
      </c>
      <c r="CI169" s="239">
        <v>0</v>
      </c>
      <c r="CJ169" s="239">
        <v>0</v>
      </c>
      <c r="CK169" s="239">
        <v>0</v>
      </c>
      <c r="CL169" s="239">
        <v>0</v>
      </c>
      <c r="CM169" s="239">
        <v>1088</v>
      </c>
      <c r="CN169" s="239">
        <v>1342</v>
      </c>
      <c r="CO169" s="239">
        <v>0</v>
      </c>
      <c r="CP169" s="239">
        <v>-1088</v>
      </c>
      <c r="CQ169" s="239">
        <v>-1342</v>
      </c>
      <c r="CR169" s="239">
        <v>0</v>
      </c>
      <c r="CS169" s="239">
        <v>152</v>
      </c>
      <c r="CT169" s="239">
        <v>188</v>
      </c>
      <c r="CU169" s="239">
        <v>0</v>
      </c>
      <c r="CV169" s="239">
        <v>0</v>
      </c>
      <c r="CW169" s="239">
        <v>0</v>
      </c>
      <c r="CX169" s="239">
        <v>0</v>
      </c>
      <c r="CY169" s="239">
        <v>0</v>
      </c>
      <c r="CZ169" s="239">
        <v>0</v>
      </c>
      <c r="DA169" s="239">
        <v>0</v>
      </c>
      <c r="DB169" s="239">
        <v>0</v>
      </c>
      <c r="DC169" s="239">
        <v>0</v>
      </c>
      <c r="DD169" s="239">
        <v>0</v>
      </c>
      <c r="DE169" s="239">
        <v>-545</v>
      </c>
      <c r="DF169" s="239">
        <v>-672</v>
      </c>
      <c r="DG169" s="239">
        <v>0</v>
      </c>
      <c r="DH169" s="239">
        <v>0</v>
      </c>
      <c r="DI169" s="239">
        <v>0</v>
      </c>
      <c r="DJ169" s="239">
        <v>0</v>
      </c>
      <c r="DK169" s="239">
        <v>0</v>
      </c>
      <c r="DL169" s="239">
        <v>0</v>
      </c>
      <c r="DM169" s="239">
        <v>0</v>
      </c>
      <c r="DN169" s="239">
        <v>0</v>
      </c>
      <c r="DO169" s="239">
        <v>0</v>
      </c>
      <c r="DP169" s="239">
        <v>0</v>
      </c>
      <c r="DQ169" s="239">
        <v>0</v>
      </c>
      <c r="DR169" s="239">
        <v>0</v>
      </c>
      <c r="DS169" s="239">
        <v>0</v>
      </c>
      <c r="DT169" s="239">
        <v>0</v>
      </c>
      <c r="DU169" s="239">
        <v>0</v>
      </c>
      <c r="DV169" s="239">
        <v>0</v>
      </c>
      <c r="DW169" s="239">
        <v>0</v>
      </c>
      <c r="DX169" s="239">
        <v>0</v>
      </c>
      <c r="DY169" s="239">
        <v>0</v>
      </c>
      <c r="DZ169" s="239">
        <v>7679</v>
      </c>
      <c r="EA169" s="239">
        <v>9471</v>
      </c>
      <c r="EB169" s="239">
        <v>0</v>
      </c>
      <c r="EC169" s="239">
        <v>17151</v>
      </c>
      <c r="ED169" s="239">
        <v>0</v>
      </c>
      <c r="EE169" s="239">
        <v>0</v>
      </c>
      <c r="EF169" s="239">
        <v>-9472</v>
      </c>
      <c r="EG169" s="239">
        <v>9471</v>
      </c>
      <c r="EH169" s="239">
        <v>0</v>
      </c>
      <c r="EI169" s="239">
        <v>137752</v>
      </c>
      <c r="EJ169" s="239">
        <v>169894</v>
      </c>
      <c r="EK169" s="239">
        <v>0</v>
      </c>
      <c r="EL169" s="239">
        <v>307646</v>
      </c>
      <c r="EM169" s="239">
        <v>0</v>
      </c>
      <c r="EN169" s="239">
        <v>0</v>
      </c>
      <c r="EO169" s="239">
        <v>-169894</v>
      </c>
      <c r="EP169" s="239">
        <v>169894</v>
      </c>
      <c r="EQ169" s="239">
        <v>0</v>
      </c>
      <c r="ER169" s="239">
        <v>8109</v>
      </c>
      <c r="ES169" s="239">
        <v>10001</v>
      </c>
      <c r="ET169" s="239">
        <v>0</v>
      </c>
      <c r="EU169" s="239">
        <v>18110</v>
      </c>
      <c r="EV169" s="239">
        <v>0</v>
      </c>
      <c r="EW169" s="239">
        <v>0</v>
      </c>
      <c r="EX169" s="239">
        <v>-10001</v>
      </c>
      <c r="EY169" s="239">
        <v>10001</v>
      </c>
      <c r="EZ169" s="239">
        <v>0</v>
      </c>
      <c r="FA169" s="239">
        <v>392608</v>
      </c>
      <c r="FB169" s="239">
        <v>484216</v>
      </c>
      <c r="FC169" s="239">
        <v>0</v>
      </c>
      <c r="FD169" s="239">
        <v>396577</v>
      </c>
      <c r="FE169" s="239">
        <v>489111</v>
      </c>
      <c r="FF169" s="239">
        <v>0</v>
      </c>
      <c r="FG169" s="239">
        <v>-3969</v>
      </c>
      <c r="FH169" s="239">
        <v>-4895</v>
      </c>
      <c r="FI169" s="239">
        <v>0</v>
      </c>
      <c r="FJ169" s="239">
        <v>0</v>
      </c>
      <c r="FK169" s="239">
        <v>0</v>
      </c>
      <c r="FL169" s="239">
        <v>0</v>
      </c>
      <c r="FM169" s="239">
        <v>0</v>
      </c>
      <c r="FN169" s="239">
        <v>0</v>
      </c>
      <c r="FO169" s="239">
        <v>0</v>
      </c>
      <c r="FP169" s="239">
        <v>0</v>
      </c>
      <c r="FQ169" s="239">
        <v>0</v>
      </c>
      <c r="FR169" s="239">
        <v>0</v>
      </c>
      <c r="FS169" s="239">
        <v>0</v>
      </c>
      <c r="FT169" s="239">
        <v>0</v>
      </c>
      <c r="FU169" s="239">
        <v>0</v>
      </c>
      <c r="FV169" s="239">
        <v>1569869</v>
      </c>
      <c r="FW169" s="239">
        <v>1936172</v>
      </c>
      <c r="FX169" s="239">
        <v>0</v>
      </c>
      <c r="FY169" s="834">
        <v>0.33000000000000007</v>
      </c>
      <c r="FZ169" s="834">
        <v>0.3</v>
      </c>
      <c r="GA169" s="834">
        <v>0.37</v>
      </c>
      <c r="GB169" s="834">
        <v>0</v>
      </c>
      <c r="GC169" s="214" t="s">
        <v>1159</v>
      </c>
    </row>
    <row r="170" spans="1:185" s="214" customFormat="1" x14ac:dyDescent="0.2">
      <c r="B170" s="602" t="s">
        <v>423</v>
      </c>
      <c r="C170" s="602" t="s">
        <v>422</v>
      </c>
      <c r="D170" s="239">
        <v>27752</v>
      </c>
      <c r="E170" s="239">
        <v>0</v>
      </c>
      <c r="F170" s="239">
        <v>27752</v>
      </c>
      <c r="G170" s="239">
        <v>18145</v>
      </c>
      <c r="H170" s="239">
        <v>0</v>
      </c>
      <c r="I170" s="239">
        <v>18145</v>
      </c>
      <c r="J170" s="239">
        <v>9607</v>
      </c>
      <c r="K170" s="239">
        <v>0</v>
      </c>
      <c r="L170" s="239">
        <v>9607</v>
      </c>
      <c r="M170" s="239">
        <v>107103</v>
      </c>
      <c r="N170" s="239">
        <v>107103</v>
      </c>
      <c r="O170" s="239">
        <v>0</v>
      </c>
      <c r="P170" s="239">
        <v>0</v>
      </c>
      <c r="Q170" s="239">
        <v>0</v>
      </c>
      <c r="R170" s="239">
        <v>0</v>
      </c>
      <c r="S170" s="239">
        <v>86158</v>
      </c>
      <c r="T170" s="239">
        <v>29066</v>
      </c>
      <c r="U170" s="239">
        <v>125331</v>
      </c>
      <c r="V170" s="239">
        <v>0</v>
      </c>
      <c r="W170" s="239">
        <v>-39173</v>
      </c>
      <c r="X170" s="239">
        <v>29066</v>
      </c>
      <c r="Y170" s="239">
        <v>0</v>
      </c>
      <c r="Z170" s="239">
        <v>0</v>
      </c>
      <c r="AA170" s="239">
        <v>0</v>
      </c>
      <c r="AB170" s="239">
        <v>0</v>
      </c>
      <c r="AC170" s="239">
        <v>0</v>
      </c>
      <c r="AD170" s="239">
        <v>0</v>
      </c>
      <c r="AE170" s="239">
        <v>0</v>
      </c>
      <c r="AF170" s="239">
        <v>0</v>
      </c>
      <c r="AG170" s="239">
        <v>0</v>
      </c>
      <c r="AH170" s="239">
        <v>0</v>
      </c>
      <c r="AI170" s="239">
        <v>0</v>
      </c>
      <c r="AJ170" s="239">
        <v>0</v>
      </c>
      <c r="AK170" s="239">
        <v>0</v>
      </c>
      <c r="AL170" s="239">
        <v>0</v>
      </c>
      <c r="AM170" s="239">
        <v>0</v>
      </c>
      <c r="AN170" s="239">
        <v>0</v>
      </c>
      <c r="AO170" s="239">
        <v>0</v>
      </c>
      <c r="AP170" s="239">
        <v>0</v>
      </c>
      <c r="AQ170" s="239">
        <v>0</v>
      </c>
      <c r="AR170" s="239">
        <v>0</v>
      </c>
      <c r="AS170" s="239">
        <v>0</v>
      </c>
      <c r="AT170" s="239">
        <v>0</v>
      </c>
      <c r="AU170" s="239">
        <v>0</v>
      </c>
      <c r="AV170" s="239">
        <v>0</v>
      </c>
      <c r="AW170" s="239">
        <v>0</v>
      </c>
      <c r="AX170" s="239">
        <v>0</v>
      </c>
      <c r="AY170" s="239">
        <v>0</v>
      </c>
      <c r="AZ170" s="239">
        <v>0</v>
      </c>
      <c r="BA170" s="239">
        <v>0</v>
      </c>
      <c r="BB170" s="239">
        <v>0</v>
      </c>
      <c r="BC170" s="239">
        <v>978251</v>
      </c>
      <c r="BD170" s="239">
        <v>220106</v>
      </c>
      <c r="BE170" s="239">
        <v>24456</v>
      </c>
      <c r="BF170" s="239">
        <v>962650.24961373396</v>
      </c>
      <c r="BG170" s="239">
        <v>216596.30616309011</v>
      </c>
      <c r="BH170" s="239">
        <v>24066.256240343348</v>
      </c>
      <c r="BI170" s="239">
        <v>41625.56313304721</v>
      </c>
      <c r="BJ170" s="239">
        <v>9365.7517049356211</v>
      </c>
      <c r="BK170" s="239">
        <v>1040.6390783261802</v>
      </c>
      <c r="BL170" s="239">
        <v>840169</v>
      </c>
      <c r="BM170" s="239">
        <v>132426</v>
      </c>
      <c r="BN170" s="239">
        <v>14714</v>
      </c>
      <c r="BO170" s="239">
        <v>138082</v>
      </c>
      <c r="BP170" s="239">
        <v>87680</v>
      </c>
      <c r="BQ170" s="239">
        <v>9742</v>
      </c>
      <c r="BR170" s="239">
        <v>3207</v>
      </c>
      <c r="BS170" s="239">
        <v>722</v>
      </c>
      <c r="BT170" s="239">
        <v>80</v>
      </c>
      <c r="BU170" s="239">
        <v>2030</v>
      </c>
      <c r="BV170" s="239">
        <v>457</v>
      </c>
      <c r="BW170" s="239">
        <v>51</v>
      </c>
      <c r="BX170" s="239">
        <v>1177</v>
      </c>
      <c r="BY170" s="239">
        <v>265</v>
      </c>
      <c r="BZ170" s="239">
        <v>29</v>
      </c>
      <c r="CA170" s="239">
        <v>435</v>
      </c>
      <c r="CB170" s="239">
        <v>98</v>
      </c>
      <c r="CC170" s="239">
        <v>11</v>
      </c>
      <c r="CD170" s="239">
        <v>2030</v>
      </c>
      <c r="CE170" s="239">
        <v>457</v>
      </c>
      <c r="CF170" s="239">
        <v>51</v>
      </c>
      <c r="CG170" s="239">
        <v>-1595</v>
      </c>
      <c r="CH170" s="239">
        <v>-359</v>
      </c>
      <c r="CI170" s="239">
        <v>-40</v>
      </c>
      <c r="CJ170" s="239">
        <v>63</v>
      </c>
      <c r="CK170" s="239">
        <v>14</v>
      </c>
      <c r="CL170" s="239">
        <v>2</v>
      </c>
      <c r="CM170" s="239">
        <v>0</v>
      </c>
      <c r="CN170" s="239">
        <v>0</v>
      </c>
      <c r="CO170" s="239">
        <v>0</v>
      </c>
      <c r="CP170" s="239">
        <v>63</v>
      </c>
      <c r="CQ170" s="239">
        <v>14</v>
      </c>
      <c r="CR170" s="239">
        <v>2</v>
      </c>
      <c r="CS170" s="239">
        <v>490</v>
      </c>
      <c r="CT170" s="239">
        <v>110</v>
      </c>
      <c r="CU170" s="239">
        <v>12</v>
      </c>
      <c r="CV170" s="239">
        <v>0</v>
      </c>
      <c r="CW170" s="239">
        <v>0</v>
      </c>
      <c r="CX170" s="239">
        <v>0</v>
      </c>
      <c r="CY170" s="239">
        <v>0</v>
      </c>
      <c r="CZ170" s="239">
        <v>0</v>
      </c>
      <c r="DA170" s="239">
        <v>0</v>
      </c>
      <c r="DB170" s="239">
        <v>0</v>
      </c>
      <c r="DC170" s="239">
        <v>0</v>
      </c>
      <c r="DD170" s="239">
        <v>0</v>
      </c>
      <c r="DE170" s="239">
        <v>0</v>
      </c>
      <c r="DF170" s="239">
        <v>0</v>
      </c>
      <c r="DG170" s="239">
        <v>0</v>
      </c>
      <c r="DH170" s="239">
        <v>11672</v>
      </c>
      <c r="DI170" s="239">
        <v>2626</v>
      </c>
      <c r="DJ170" s="239">
        <v>292</v>
      </c>
      <c r="DK170" s="239">
        <v>10213</v>
      </c>
      <c r="DL170" s="239">
        <v>2298</v>
      </c>
      <c r="DM170" s="239">
        <v>255</v>
      </c>
      <c r="DN170" s="239">
        <v>1459</v>
      </c>
      <c r="DO170" s="239">
        <v>328</v>
      </c>
      <c r="DP170" s="239">
        <v>37</v>
      </c>
      <c r="DQ170" s="239">
        <v>0</v>
      </c>
      <c r="DR170" s="239">
        <v>0</v>
      </c>
      <c r="DS170" s="239">
        <v>0</v>
      </c>
      <c r="DT170" s="239">
        <v>0</v>
      </c>
      <c r="DU170" s="239">
        <v>0</v>
      </c>
      <c r="DV170" s="239">
        <v>0</v>
      </c>
      <c r="DW170" s="239">
        <v>0</v>
      </c>
      <c r="DX170" s="239">
        <v>0</v>
      </c>
      <c r="DY170" s="239">
        <v>0</v>
      </c>
      <c r="DZ170" s="239">
        <v>10443</v>
      </c>
      <c r="EA170" s="239">
        <v>2350</v>
      </c>
      <c r="EB170" s="239">
        <v>261</v>
      </c>
      <c r="EC170" s="239">
        <v>12210</v>
      </c>
      <c r="ED170" s="239">
        <v>0</v>
      </c>
      <c r="EE170" s="239">
        <v>0</v>
      </c>
      <c r="EF170" s="239">
        <v>-1767</v>
      </c>
      <c r="EG170" s="239">
        <v>2350</v>
      </c>
      <c r="EH170" s="239">
        <v>261</v>
      </c>
      <c r="EI170" s="239">
        <v>31135</v>
      </c>
      <c r="EJ170" s="239">
        <v>7005</v>
      </c>
      <c r="EK170" s="239">
        <v>778</v>
      </c>
      <c r="EL170" s="239">
        <v>59022</v>
      </c>
      <c r="EM170" s="239">
        <v>0</v>
      </c>
      <c r="EN170" s="239">
        <v>0</v>
      </c>
      <c r="EO170" s="239">
        <v>-27887</v>
      </c>
      <c r="EP170" s="239">
        <v>7005</v>
      </c>
      <c r="EQ170" s="239">
        <v>778</v>
      </c>
      <c r="ER170" s="239">
        <v>14569</v>
      </c>
      <c r="ES170" s="239">
        <v>3278</v>
      </c>
      <c r="ET170" s="239">
        <v>364</v>
      </c>
      <c r="EU170" s="239">
        <v>32327</v>
      </c>
      <c r="EV170" s="239">
        <v>0</v>
      </c>
      <c r="EW170" s="239">
        <v>0</v>
      </c>
      <c r="EX170" s="239">
        <v>-17758</v>
      </c>
      <c r="EY170" s="239">
        <v>3278</v>
      </c>
      <c r="EZ170" s="239">
        <v>364</v>
      </c>
      <c r="FA170" s="239">
        <v>86062</v>
      </c>
      <c r="FB170" s="239">
        <v>19509</v>
      </c>
      <c r="FC170" s="239">
        <v>2119</v>
      </c>
      <c r="FD170" s="239">
        <v>90924</v>
      </c>
      <c r="FE170" s="239">
        <v>20034</v>
      </c>
      <c r="FF170" s="239">
        <v>2226</v>
      </c>
      <c r="FG170" s="239">
        <v>-4862</v>
      </c>
      <c r="FH170" s="239">
        <v>-525</v>
      </c>
      <c r="FI170" s="239">
        <v>-107</v>
      </c>
      <c r="FJ170" s="239">
        <v>0</v>
      </c>
      <c r="FK170" s="239">
        <v>0</v>
      </c>
      <c r="FL170" s="239">
        <v>0</v>
      </c>
      <c r="FM170" s="239">
        <v>0</v>
      </c>
      <c r="FN170" s="239">
        <v>0</v>
      </c>
      <c r="FO170" s="239">
        <v>0</v>
      </c>
      <c r="FP170" s="239">
        <v>0</v>
      </c>
      <c r="FQ170" s="239">
        <v>0</v>
      </c>
      <c r="FR170" s="239">
        <v>0</v>
      </c>
      <c r="FS170" s="239">
        <v>0</v>
      </c>
      <c r="FT170" s="239">
        <v>0</v>
      </c>
      <c r="FU170" s="239">
        <v>0</v>
      </c>
      <c r="FV170" s="239">
        <v>1136327</v>
      </c>
      <c r="FW170" s="239">
        <v>255818</v>
      </c>
      <c r="FX170" s="239">
        <v>28375</v>
      </c>
      <c r="FY170" s="834">
        <v>0.5</v>
      </c>
      <c r="FZ170" s="834">
        <v>0.4</v>
      </c>
      <c r="GA170" s="834">
        <v>0.09</v>
      </c>
      <c r="GB170" s="834">
        <v>0.01</v>
      </c>
      <c r="GC170" s="214" t="s">
        <v>1158</v>
      </c>
    </row>
    <row r="171" spans="1:185" s="214" customFormat="1" x14ac:dyDescent="0.2">
      <c r="B171" s="602" t="s">
        <v>425</v>
      </c>
      <c r="C171" s="602" t="s">
        <v>424</v>
      </c>
      <c r="D171" s="239">
        <v>139881</v>
      </c>
      <c r="E171" s="239">
        <v>0</v>
      </c>
      <c r="F171" s="239">
        <v>139881</v>
      </c>
      <c r="G171" s="239">
        <v>466977</v>
      </c>
      <c r="H171" s="239">
        <v>0</v>
      </c>
      <c r="I171" s="239">
        <v>466977</v>
      </c>
      <c r="J171" s="239">
        <v>-327096</v>
      </c>
      <c r="K171" s="239">
        <v>0</v>
      </c>
      <c r="L171" s="239">
        <v>-327096</v>
      </c>
      <c r="M171" s="239">
        <v>127118</v>
      </c>
      <c r="N171" s="239">
        <v>127118</v>
      </c>
      <c r="O171" s="239">
        <v>0</v>
      </c>
      <c r="P171" s="239">
        <v>0</v>
      </c>
      <c r="Q171" s="239">
        <v>0</v>
      </c>
      <c r="R171" s="239">
        <v>0</v>
      </c>
      <c r="S171" s="239">
        <v>152885</v>
      </c>
      <c r="T171" s="239">
        <v>181857</v>
      </c>
      <c r="U171" s="239">
        <v>136544</v>
      </c>
      <c r="V171" s="239">
        <v>160256</v>
      </c>
      <c r="W171" s="239">
        <v>16341</v>
      </c>
      <c r="X171" s="239">
        <v>21601</v>
      </c>
      <c r="Y171" s="239">
        <v>0</v>
      </c>
      <c r="Z171" s="239">
        <v>0</v>
      </c>
      <c r="AA171" s="239">
        <v>0</v>
      </c>
      <c r="AB171" s="239">
        <v>0</v>
      </c>
      <c r="AC171" s="239">
        <v>0</v>
      </c>
      <c r="AD171" s="239">
        <v>0</v>
      </c>
      <c r="AE171" s="239">
        <v>0</v>
      </c>
      <c r="AF171" s="239">
        <v>0</v>
      </c>
      <c r="AG171" s="239">
        <v>0</v>
      </c>
      <c r="AH171" s="239">
        <v>0</v>
      </c>
      <c r="AI171" s="239">
        <v>0</v>
      </c>
      <c r="AJ171" s="239">
        <v>0</v>
      </c>
      <c r="AK171" s="239">
        <v>0</v>
      </c>
      <c r="AL171" s="239">
        <v>0</v>
      </c>
      <c r="AM171" s="239">
        <v>0</v>
      </c>
      <c r="AN171" s="239">
        <v>0</v>
      </c>
      <c r="AO171" s="239">
        <v>0</v>
      </c>
      <c r="AP171" s="239">
        <v>0</v>
      </c>
      <c r="AQ171" s="239">
        <v>0</v>
      </c>
      <c r="AR171" s="239">
        <v>0</v>
      </c>
      <c r="AS171" s="239">
        <v>0</v>
      </c>
      <c r="AT171" s="239">
        <v>0</v>
      </c>
      <c r="AU171" s="239">
        <v>0</v>
      </c>
      <c r="AV171" s="239">
        <v>0</v>
      </c>
      <c r="AW171" s="239">
        <v>0</v>
      </c>
      <c r="AX171" s="239">
        <v>0</v>
      </c>
      <c r="AY171" s="239">
        <v>0</v>
      </c>
      <c r="AZ171" s="239">
        <v>0</v>
      </c>
      <c r="BA171" s="239">
        <v>0</v>
      </c>
      <c r="BB171" s="239">
        <v>0</v>
      </c>
      <c r="BC171" s="239">
        <v>852174</v>
      </c>
      <c r="BD171" s="239">
        <v>213044</v>
      </c>
      <c r="BE171" s="239">
        <v>0</v>
      </c>
      <c r="BF171" s="239">
        <v>835958.28974678111</v>
      </c>
      <c r="BG171" s="239">
        <v>208989.57243669528</v>
      </c>
      <c r="BH171" s="239">
        <v>0</v>
      </c>
      <c r="BI171" s="239">
        <v>56357.300386266092</v>
      </c>
      <c r="BJ171" s="239">
        <v>14089.325096566523</v>
      </c>
      <c r="BK171" s="239">
        <v>0</v>
      </c>
      <c r="BL171" s="239">
        <v>761538</v>
      </c>
      <c r="BM171" s="239">
        <v>134074</v>
      </c>
      <c r="BN171" s="239">
        <v>0</v>
      </c>
      <c r="BO171" s="239">
        <v>90636</v>
      </c>
      <c r="BP171" s="239">
        <v>78970</v>
      </c>
      <c r="BQ171" s="239">
        <v>0</v>
      </c>
      <c r="BR171" s="239">
        <v>5163</v>
      </c>
      <c r="BS171" s="239">
        <v>1291</v>
      </c>
      <c r="BT171" s="239">
        <v>0</v>
      </c>
      <c r="BU171" s="239">
        <v>7369</v>
      </c>
      <c r="BV171" s="239">
        <v>1842</v>
      </c>
      <c r="BW171" s="239">
        <v>0</v>
      </c>
      <c r="BX171" s="239">
        <v>-2206</v>
      </c>
      <c r="BY171" s="239">
        <v>-551</v>
      </c>
      <c r="BZ171" s="239">
        <v>0</v>
      </c>
      <c r="CA171" s="239">
        <v>0</v>
      </c>
      <c r="CB171" s="239">
        <v>0</v>
      </c>
      <c r="CC171" s="239">
        <v>0</v>
      </c>
      <c r="CD171" s="239">
        <v>0</v>
      </c>
      <c r="CE171" s="239">
        <v>0</v>
      </c>
      <c r="CF171" s="239">
        <v>0</v>
      </c>
      <c r="CG171" s="239">
        <v>0</v>
      </c>
      <c r="CH171" s="239">
        <v>0</v>
      </c>
      <c r="CI171" s="239">
        <v>0</v>
      </c>
      <c r="CJ171" s="239">
        <v>720</v>
      </c>
      <c r="CK171" s="239">
        <v>180</v>
      </c>
      <c r="CL171" s="239">
        <v>0</v>
      </c>
      <c r="CM171" s="239">
        <v>2602</v>
      </c>
      <c r="CN171" s="239">
        <v>650</v>
      </c>
      <c r="CO171" s="239">
        <v>0</v>
      </c>
      <c r="CP171" s="239">
        <v>-1882</v>
      </c>
      <c r="CQ171" s="239">
        <v>-470</v>
      </c>
      <c r="CR171" s="239">
        <v>0</v>
      </c>
      <c r="CS171" s="239">
        <v>0</v>
      </c>
      <c r="CT171" s="239">
        <v>0</v>
      </c>
      <c r="CU171" s="239">
        <v>0</v>
      </c>
      <c r="CV171" s="239">
        <v>0</v>
      </c>
      <c r="CW171" s="239">
        <v>0</v>
      </c>
      <c r="CX171" s="239">
        <v>0</v>
      </c>
      <c r="CY171" s="239">
        <v>0</v>
      </c>
      <c r="CZ171" s="239">
        <v>0</v>
      </c>
      <c r="DA171" s="239">
        <v>0</v>
      </c>
      <c r="DB171" s="239">
        <v>0</v>
      </c>
      <c r="DC171" s="239">
        <v>0</v>
      </c>
      <c r="DD171" s="239">
        <v>0</v>
      </c>
      <c r="DE171" s="239">
        <v>0</v>
      </c>
      <c r="DF171" s="239">
        <v>0</v>
      </c>
      <c r="DG171" s="239">
        <v>0</v>
      </c>
      <c r="DH171" s="239">
        <v>23381</v>
      </c>
      <c r="DI171" s="239">
        <v>5845</v>
      </c>
      <c r="DJ171" s="239">
        <v>0</v>
      </c>
      <c r="DK171" s="239">
        <v>30646</v>
      </c>
      <c r="DL171" s="239">
        <v>7662</v>
      </c>
      <c r="DM171" s="239">
        <v>0</v>
      </c>
      <c r="DN171" s="239">
        <v>-7265</v>
      </c>
      <c r="DO171" s="239">
        <v>-1817</v>
      </c>
      <c r="DP171" s="239">
        <v>0</v>
      </c>
      <c r="DQ171" s="239">
        <v>0</v>
      </c>
      <c r="DR171" s="239">
        <v>0</v>
      </c>
      <c r="DS171" s="239">
        <v>0</v>
      </c>
      <c r="DT171" s="239">
        <v>0</v>
      </c>
      <c r="DU171" s="239">
        <v>0</v>
      </c>
      <c r="DV171" s="239">
        <v>0</v>
      </c>
      <c r="DW171" s="239">
        <v>0</v>
      </c>
      <c r="DX171" s="239">
        <v>0</v>
      </c>
      <c r="DY171" s="239">
        <v>0</v>
      </c>
      <c r="DZ171" s="239">
        <v>23700</v>
      </c>
      <c r="EA171" s="239">
        <v>5925</v>
      </c>
      <c r="EB171" s="239">
        <v>0</v>
      </c>
      <c r="EC171" s="239">
        <v>30162</v>
      </c>
      <c r="ED171" s="239">
        <v>0</v>
      </c>
      <c r="EE171" s="239">
        <v>0</v>
      </c>
      <c r="EF171" s="239">
        <v>-6462</v>
      </c>
      <c r="EG171" s="239">
        <v>5925</v>
      </c>
      <c r="EH171" s="239">
        <v>0</v>
      </c>
      <c r="EI171" s="239">
        <v>82041</v>
      </c>
      <c r="EJ171" s="239">
        <v>20510</v>
      </c>
      <c r="EK171" s="239">
        <v>0</v>
      </c>
      <c r="EL171" s="239">
        <v>108413</v>
      </c>
      <c r="EM171" s="239">
        <v>0</v>
      </c>
      <c r="EN171" s="239">
        <v>0</v>
      </c>
      <c r="EO171" s="239">
        <v>-26372</v>
      </c>
      <c r="EP171" s="239">
        <v>20510</v>
      </c>
      <c r="EQ171" s="239">
        <v>0</v>
      </c>
      <c r="ER171" s="239">
        <v>16665</v>
      </c>
      <c r="ES171" s="239">
        <v>4166</v>
      </c>
      <c r="ET171" s="239">
        <v>0</v>
      </c>
      <c r="EU171" s="239">
        <v>20917</v>
      </c>
      <c r="EV171" s="239">
        <v>0</v>
      </c>
      <c r="EW171" s="239">
        <v>0</v>
      </c>
      <c r="EX171" s="239">
        <v>-4252</v>
      </c>
      <c r="EY171" s="239">
        <v>4166</v>
      </c>
      <c r="EZ171" s="239">
        <v>0</v>
      </c>
      <c r="FA171" s="239">
        <v>122974</v>
      </c>
      <c r="FB171" s="239">
        <v>32901</v>
      </c>
      <c r="FC171" s="239">
        <v>0</v>
      </c>
      <c r="FD171" s="239">
        <v>140127</v>
      </c>
      <c r="FE171" s="239">
        <v>36926</v>
      </c>
      <c r="FF171" s="239">
        <v>0</v>
      </c>
      <c r="FG171" s="239">
        <v>-17153</v>
      </c>
      <c r="FH171" s="239">
        <v>-4025</v>
      </c>
      <c r="FI171" s="239">
        <v>0</v>
      </c>
      <c r="FJ171" s="239">
        <v>0</v>
      </c>
      <c r="FK171" s="239">
        <v>0</v>
      </c>
      <c r="FL171" s="239">
        <v>0</v>
      </c>
      <c r="FM171" s="239">
        <v>0</v>
      </c>
      <c r="FN171" s="239">
        <v>0</v>
      </c>
      <c r="FO171" s="239">
        <v>0</v>
      </c>
      <c r="FP171" s="239">
        <v>0</v>
      </c>
      <c r="FQ171" s="239">
        <v>0</v>
      </c>
      <c r="FR171" s="239">
        <v>0</v>
      </c>
      <c r="FS171" s="239">
        <v>0</v>
      </c>
      <c r="FT171" s="239">
        <v>0</v>
      </c>
      <c r="FU171" s="239">
        <v>0</v>
      </c>
      <c r="FV171" s="239">
        <v>1126818</v>
      </c>
      <c r="FW171" s="239">
        <v>283862</v>
      </c>
      <c r="FX171" s="239">
        <v>0</v>
      </c>
      <c r="FY171" s="834">
        <v>0.5</v>
      </c>
      <c r="FZ171" s="834">
        <v>0.4</v>
      </c>
      <c r="GA171" s="834">
        <v>0.1</v>
      </c>
      <c r="GB171" s="834">
        <v>0</v>
      </c>
      <c r="GC171" s="214" t="s">
        <v>1158</v>
      </c>
    </row>
    <row r="172" spans="1:185" s="214" customFormat="1" x14ac:dyDescent="0.2">
      <c r="B172" s="602" t="s">
        <v>427</v>
      </c>
      <c r="C172" s="602" t="s">
        <v>426</v>
      </c>
      <c r="D172" s="239">
        <v>625576</v>
      </c>
      <c r="E172" s="239">
        <v>0</v>
      </c>
      <c r="F172" s="239">
        <v>625576</v>
      </c>
      <c r="G172" s="239">
        <v>578813</v>
      </c>
      <c r="H172" s="239">
        <v>0</v>
      </c>
      <c r="I172" s="239">
        <v>578813</v>
      </c>
      <c r="J172" s="239">
        <v>46763</v>
      </c>
      <c r="K172" s="239">
        <v>0</v>
      </c>
      <c r="L172" s="239">
        <v>46763</v>
      </c>
      <c r="M172" s="239">
        <v>172939</v>
      </c>
      <c r="N172" s="239">
        <v>172939</v>
      </c>
      <c r="O172" s="239">
        <v>0</v>
      </c>
      <c r="P172" s="239">
        <v>0</v>
      </c>
      <c r="Q172" s="239">
        <v>0</v>
      </c>
      <c r="R172" s="239">
        <v>0</v>
      </c>
      <c r="S172" s="239">
        <v>0</v>
      </c>
      <c r="T172" s="239">
        <v>0</v>
      </c>
      <c r="U172" s="239">
        <v>0</v>
      </c>
      <c r="V172" s="239">
        <v>0</v>
      </c>
      <c r="W172" s="239">
        <v>0</v>
      </c>
      <c r="X172" s="239">
        <v>0</v>
      </c>
      <c r="Y172" s="239">
        <v>0</v>
      </c>
      <c r="Z172" s="239">
        <v>0</v>
      </c>
      <c r="AA172" s="239">
        <v>0</v>
      </c>
      <c r="AB172" s="239">
        <v>0</v>
      </c>
      <c r="AC172" s="239">
        <v>0</v>
      </c>
      <c r="AD172" s="239">
        <v>0</v>
      </c>
      <c r="AE172" s="239">
        <v>0</v>
      </c>
      <c r="AF172" s="239">
        <v>0</v>
      </c>
      <c r="AG172" s="239">
        <v>0</v>
      </c>
      <c r="AH172" s="239">
        <v>0</v>
      </c>
      <c r="AI172" s="239">
        <v>0</v>
      </c>
      <c r="AJ172" s="239">
        <v>0</v>
      </c>
      <c r="AK172" s="239">
        <v>0</v>
      </c>
      <c r="AL172" s="239">
        <v>0</v>
      </c>
      <c r="AM172" s="239">
        <v>0</v>
      </c>
      <c r="AN172" s="239">
        <v>0</v>
      </c>
      <c r="AO172" s="239">
        <v>0</v>
      </c>
      <c r="AP172" s="239">
        <v>0</v>
      </c>
      <c r="AQ172" s="239">
        <v>0</v>
      </c>
      <c r="AR172" s="239">
        <v>0</v>
      </c>
      <c r="AS172" s="239">
        <v>0</v>
      </c>
      <c r="AT172" s="239">
        <v>0</v>
      </c>
      <c r="AU172" s="239">
        <v>0</v>
      </c>
      <c r="AV172" s="239">
        <v>0</v>
      </c>
      <c r="AW172" s="239">
        <v>0</v>
      </c>
      <c r="AX172" s="239">
        <v>0</v>
      </c>
      <c r="AY172" s="239">
        <v>0</v>
      </c>
      <c r="AZ172" s="239">
        <v>0</v>
      </c>
      <c r="BA172" s="239">
        <v>0</v>
      </c>
      <c r="BB172" s="239">
        <v>0</v>
      </c>
      <c r="BC172" s="239">
        <v>1191673</v>
      </c>
      <c r="BD172" s="239">
        <v>297918</v>
      </c>
      <c r="BE172" s="239">
        <v>0</v>
      </c>
      <c r="BF172" s="239">
        <v>1156887.5526386267</v>
      </c>
      <c r="BG172" s="239">
        <v>289221.88815965666</v>
      </c>
      <c r="BH172" s="239">
        <v>0</v>
      </c>
      <c r="BI172" s="239">
        <v>118843.54394849784</v>
      </c>
      <c r="BJ172" s="239">
        <v>29710.88598712446</v>
      </c>
      <c r="BK172" s="239">
        <v>0</v>
      </c>
      <c r="BL172" s="239">
        <v>1149975</v>
      </c>
      <c r="BM172" s="239">
        <v>179965</v>
      </c>
      <c r="BN172" s="239">
        <v>0</v>
      </c>
      <c r="BO172" s="239">
        <v>41698</v>
      </c>
      <c r="BP172" s="239">
        <v>117953</v>
      </c>
      <c r="BQ172" s="239">
        <v>0</v>
      </c>
      <c r="BR172" s="239">
        <v>0</v>
      </c>
      <c r="BS172" s="239">
        <v>0</v>
      </c>
      <c r="BT172" s="239">
        <v>0</v>
      </c>
      <c r="BU172" s="239">
        <v>0</v>
      </c>
      <c r="BV172" s="239">
        <v>0</v>
      </c>
      <c r="BW172" s="239">
        <v>0</v>
      </c>
      <c r="BX172" s="239">
        <v>0</v>
      </c>
      <c r="BY172" s="239">
        <v>0</v>
      </c>
      <c r="BZ172" s="239">
        <v>0</v>
      </c>
      <c r="CA172" s="239">
        <v>3548</v>
      </c>
      <c r="CB172" s="239">
        <v>887</v>
      </c>
      <c r="CC172" s="239">
        <v>0</v>
      </c>
      <c r="CD172" s="239">
        <v>15072</v>
      </c>
      <c r="CE172" s="239">
        <v>3768</v>
      </c>
      <c r="CF172" s="239">
        <v>0</v>
      </c>
      <c r="CG172" s="239">
        <v>-11524</v>
      </c>
      <c r="CH172" s="239">
        <v>-2881</v>
      </c>
      <c r="CI172" s="239">
        <v>0</v>
      </c>
      <c r="CJ172" s="239">
        <v>4769</v>
      </c>
      <c r="CK172" s="239">
        <v>1192</v>
      </c>
      <c r="CL172" s="239">
        <v>0</v>
      </c>
      <c r="CM172" s="239">
        <v>4831</v>
      </c>
      <c r="CN172" s="239">
        <v>1208</v>
      </c>
      <c r="CO172" s="239">
        <v>0</v>
      </c>
      <c r="CP172" s="239">
        <v>-62</v>
      </c>
      <c r="CQ172" s="239">
        <v>-16</v>
      </c>
      <c r="CR172" s="239">
        <v>0</v>
      </c>
      <c r="CS172" s="239">
        <v>-1903</v>
      </c>
      <c r="CT172" s="239">
        <v>-476</v>
      </c>
      <c r="CU172" s="239">
        <v>0</v>
      </c>
      <c r="CV172" s="239">
        <v>0</v>
      </c>
      <c r="CW172" s="239">
        <v>0</v>
      </c>
      <c r="CX172" s="239">
        <v>0</v>
      </c>
      <c r="CY172" s="239">
        <v>0</v>
      </c>
      <c r="CZ172" s="239">
        <v>0</v>
      </c>
      <c r="DA172" s="239">
        <v>0</v>
      </c>
      <c r="DB172" s="239">
        <v>0</v>
      </c>
      <c r="DC172" s="239">
        <v>0</v>
      </c>
      <c r="DD172" s="239">
        <v>0</v>
      </c>
      <c r="DE172" s="239">
        <v>-1372</v>
      </c>
      <c r="DF172" s="239">
        <v>-343</v>
      </c>
      <c r="DG172" s="239">
        <v>0</v>
      </c>
      <c r="DH172" s="239">
        <v>2397</v>
      </c>
      <c r="DI172" s="239">
        <v>599</v>
      </c>
      <c r="DJ172" s="239">
        <v>0</v>
      </c>
      <c r="DK172" s="239">
        <v>4406</v>
      </c>
      <c r="DL172" s="239">
        <v>1102</v>
      </c>
      <c r="DM172" s="239">
        <v>0</v>
      </c>
      <c r="DN172" s="239">
        <v>-2009</v>
      </c>
      <c r="DO172" s="239">
        <v>-503</v>
      </c>
      <c r="DP172" s="239">
        <v>0</v>
      </c>
      <c r="DQ172" s="239">
        <v>0</v>
      </c>
      <c r="DR172" s="239">
        <v>0</v>
      </c>
      <c r="DS172" s="239">
        <v>0</v>
      </c>
      <c r="DT172" s="239">
        <v>0</v>
      </c>
      <c r="DU172" s="239">
        <v>0</v>
      </c>
      <c r="DV172" s="239">
        <v>0</v>
      </c>
      <c r="DW172" s="239">
        <v>0</v>
      </c>
      <c r="DX172" s="239">
        <v>0</v>
      </c>
      <c r="DY172" s="239">
        <v>0</v>
      </c>
      <c r="DZ172" s="239">
        <v>23887</v>
      </c>
      <c r="EA172" s="239">
        <v>5972</v>
      </c>
      <c r="EB172" s="239">
        <v>0</v>
      </c>
      <c r="EC172" s="239">
        <v>29709</v>
      </c>
      <c r="ED172" s="239">
        <v>0</v>
      </c>
      <c r="EE172" s="239">
        <v>0</v>
      </c>
      <c r="EF172" s="239">
        <v>-5822</v>
      </c>
      <c r="EG172" s="239">
        <v>5972</v>
      </c>
      <c r="EH172" s="239">
        <v>0</v>
      </c>
      <c r="EI172" s="239">
        <v>118734</v>
      </c>
      <c r="EJ172" s="239">
        <v>29683</v>
      </c>
      <c r="EK172" s="239">
        <v>0</v>
      </c>
      <c r="EL172" s="239">
        <v>189374</v>
      </c>
      <c r="EM172" s="239">
        <v>0</v>
      </c>
      <c r="EN172" s="239">
        <v>0</v>
      </c>
      <c r="EO172" s="239">
        <v>-70640</v>
      </c>
      <c r="EP172" s="239">
        <v>29683</v>
      </c>
      <c r="EQ172" s="239">
        <v>0</v>
      </c>
      <c r="ER172" s="239">
        <v>16170</v>
      </c>
      <c r="ES172" s="239">
        <v>4043</v>
      </c>
      <c r="ET172" s="239">
        <v>0</v>
      </c>
      <c r="EU172" s="239">
        <v>34511</v>
      </c>
      <c r="EV172" s="239">
        <v>0</v>
      </c>
      <c r="EW172" s="239">
        <v>0</v>
      </c>
      <c r="EX172" s="239">
        <v>-18341</v>
      </c>
      <c r="EY172" s="239">
        <v>4043</v>
      </c>
      <c r="EZ172" s="239">
        <v>0</v>
      </c>
      <c r="FA172" s="239">
        <v>273553</v>
      </c>
      <c r="FB172" s="239">
        <v>68388</v>
      </c>
      <c r="FC172" s="239">
        <v>0</v>
      </c>
      <c r="FD172" s="239">
        <v>266525</v>
      </c>
      <c r="FE172" s="239">
        <v>66631</v>
      </c>
      <c r="FF172" s="239">
        <v>0</v>
      </c>
      <c r="FG172" s="239">
        <v>7028</v>
      </c>
      <c r="FH172" s="239">
        <v>1757</v>
      </c>
      <c r="FI172" s="239">
        <v>0</v>
      </c>
      <c r="FJ172" s="239">
        <v>0</v>
      </c>
      <c r="FK172" s="239">
        <v>0</v>
      </c>
      <c r="FL172" s="239">
        <v>0</v>
      </c>
      <c r="FM172" s="239">
        <v>0</v>
      </c>
      <c r="FN172" s="239">
        <v>0</v>
      </c>
      <c r="FO172" s="239">
        <v>0</v>
      </c>
      <c r="FP172" s="239">
        <v>0</v>
      </c>
      <c r="FQ172" s="239">
        <v>0</v>
      </c>
      <c r="FR172" s="239">
        <v>0</v>
      </c>
      <c r="FS172" s="239">
        <v>0</v>
      </c>
      <c r="FT172" s="239">
        <v>0</v>
      </c>
      <c r="FU172" s="239">
        <v>0</v>
      </c>
      <c r="FV172" s="239">
        <v>1631456</v>
      </c>
      <c r="FW172" s="239">
        <v>407863</v>
      </c>
      <c r="FX172" s="239">
        <v>0</v>
      </c>
      <c r="FY172" s="834">
        <v>0.5</v>
      </c>
      <c r="FZ172" s="834">
        <v>0.4</v>
      </c>
      <c r="GA172" s="834">
        <v>0.1</v>
      </c>
      <c r="GB172" s="834">
        <v>0</v>
      </c>
      <c r="GC172" s="214" t="s">
        <v>1158</v>
      </c>
    </row>
    <row r="173" spans="1:185" s="214" customFormat="1" x14ac:dyDescent="0.2">
      <c r="B173" s="602" t="s">
        <v>429</v>
      </c>
      <c r="C173" s="602" t="s">
        <v>428</v>
      </c>
      <c r="D173" s="239">
        <v>-4971596</v>
      </c>
      <c r="E173" s="239">
        <v>-536242</v>
      </c>
      <c r="F173" s="239">
        <v>-5507838</v>
      </c>
      <c r="G173" s="239">
        <v>-5023849</v>
      </c>
      <c r="H173" s="239">
        <v>-591685</v>
      </c>
      <c r="I173" s="239">
        <v>-5615534</v>
      </c>
      <c r="J173" s="239">
        <v>52253</v>
      </c>
      <c r="K173" s="239">
        <v>55443</v>
      </c>
      <c r="L173" s="239">
        <v>107696</v>
      </c>
      <c r="M173" s="239">
        <v>172412</v>
      </c>
      <c r="N173" s="239">
        <v>172412</v>
      </c>
      <c r="O173" s="239">
        <v>0</v>
      </c>
      <c r="P173" s="239">
        <v>10623</v>
      </c>
      <c r="Q173" s="239">
        <v>0</v>
      </c>
      <c r="R173" s="239">
        <v>10623</v>
      </c>
      <c r="S173" s="239">
        <v>0</v>
      </c>
      <c r="T173" s="239">
        <v>0</v>
      </c>
      <c r="U173" s="239">
        <v>0</v>
      </c>
      <c r="V173" s="239">
        <v>0</v>
      </c>
      <c r="W173" s="239">
        <v>0</v>
      </c>
      <c r="X173" s="239">
        <v>0</v>
      </c>
      <c r="Y173" s="239">
        <v>98786</v>
      </c>
      <c r="Z173" s="239">
        <v>98786</v>
      </c>
      <c r="AA173" s="239">
        <v>0</v>
      </c>
      <c r="AB173" s="239">
        <v>0</v>
      </c>
      <c r="AC173" s="239">
        <v>0</v>
      </c>
      <c r="AD173" s="239">
        <v>0</v>
      </c>
      <c r="AE173" s="239">
        <v>0</v>
      </c>
      <c r="AF173" s="239">
        <v>0</v>
      </c>
      <c r="AG173" s="239">
        <v>98786</v>
      </c>
      <c r="AH173" s="239">
        <v>98786</v>
      </c>
      <c r="AI173" s="239">
        <v>0</v>
      </c>
      <c r="AJ173" s="239">
        <v>0</v>
      </c>
      <c r="AK173" s="239">
        <v>0</v>
      </c>
      <c r="AL173" s="239">
        <v>0</v>
      </c>
      <c r="AM173" s="239">
        <v>0</v>
      </c>
      <c r="AN173" s="239">
        <v>0</v>
      </c>
      <c r="AO173" s="239">
        <v>0</v>
      </c>
      <c r="AP173" s="239">
        <v>0</v>
      </c>
      <c r="AQ173" s="239">
        <v>0</v>
      </c>
      <c r="AR173" s="239">
        <v>0</v>
      </c>
      <c r="AS173" s="239">
        <v>0</v>
      </c>
      <c r="AT173" s="239">
        <v>0</v>
      </c>
      <c r="AU173" s="239">
        <v>0</v>
      </c>
      <c r="AV173" s="239">
        <v>0</v>
      </c>
      <c r="AW173" s="239">
        <v>0</v>
      </c>
      <c r="AX173" s="239">
        <v>0</v>
      </c>
      <c r="AY173" s="239">
        <v>0</v>
      </c>
      <c r="AZ173" s="239">
        <v>0</v>
      </c>
      <c r="BA173" s="239">
        <v>0</v>
      </c>
      <c r="BB173" s="239">
        <v>0</v>
      </c>
      <c r="BC173" s="239">
        <v>1363319</v>
      </c>
      <c r="BD173" s="239">
        <v>0</v>
      </c>
      <c r="BE173" s="239">
        <v>24495</v>
      </c>
      <c r="BF173" s="239">
        <v>1329961.1220433908</v>
      </c>
      <c r="BG173" s="239">
        <v>0</v>
      </c>
      <c r="BH173" s="239">
        <v>23896.332370772532</v>
      </c>
      <c r="BI173" s="239">
        <v>108236.94779506436</v>
      </c>
      <c r="BJ173" s="239">
        <v>0</v>
      </c>
      <c r="BK173" s="239">
        <v>1869.4081598712446</v>
      </c>
      <c r="BL173" s="239">
        <v>973626</v>
      </c>
      <c r="BM173" s="239">
        <v>0</v>
      </c>
      <c r="BN173" s="239">
        <v>12687</v>
      </c>
      <c r="BO173" s="239">
        <v>389693</v>
      </c>
      <c r="BP173" s="239">
        <v>0</v>
      </c>
      <c r="BQ173" s="239">
        <v>11808</v>
      </c>
      <c r="BR173" s="239">
        <v>0</v>
      </c>
      <c r="BS173" s="239">
        <v>0</v>
      </c>
      <c r="BT173" s="239">
        <v>0</v>
      </c>
      <c r="BU173" s="239">
        <v>0</v>
      </c>
      <c r="BV173" s="239">
        <v>0</v>
      </c>
      <c r="BW173" s="239">
        <v>0</v>
      </c>
      <c r="BX173" s="239">
        <v>0</v>
      </c>
      <c r="BY173" s="239">
        <v>0</v>
      </c>
      <c r="BZ173" s="239">
        <v>0</v>
      </c>
      <c r="CA173" s="239">
        <v>0</v>
      </c>
      <c r="CB173" s="239">
        <v>0</v>
      </c>
      <c r="CC173" s="239">
        <v>0</v>
      </c>
      <c r="CD173" s="239">
        <v>0</v>
      </c>
      <c r="CE173" s="239">
        <v>0</v>
      </c>
      <c r="CF173" s="239">
        <v>0</v>
      </c>
      <c r="CG173" s="239">
        <v>0</v>
      </c>
      <c r="CH173" s="239">
        <v>0</v>
      </c>
      <c r="CI173" s="239">
        <v>0</v>
      </c>
      <c r="CJ173" s="239">
        <v>37225</v>
      </c>
      <c r="CK173" s="239">
        <v>0</v>
      </c>
      <c r="CL173" s="239">
        <v>706</v>
      </c>
      <c r="CM173" s="239">
        <v>18922</v>
      </c>
      <c r="CN173" s="239">
        <v>0</v>
      </c>
      <c r="CO173" s="239">
        <v>64</v>
      </c>
      <c r="CP173" s="239">
        <v>18303</v>
      </c>
      <c r="CQ173" s="239">
        <v>0</v>
      </c>
      <c r="CR173" s="239">
        <v>642</v>
      </c>
      <c r="CS173" s="239">
        <v>-483</v>
      </c>
      <c r="CT173" s="239">
        <v>0</v>
      </c>
      <c r="CU173" s="239">
        <v>-10</v>
      </c>
      <c r="CV173" s="239">
        <v>0</v>
      </c>
      <c r="CW173" s="239">
        <v>0</v>
      </c>
      <c r="CX173" s="239">
        <v>0</v>
      </c>
      <c r="CY173" s="239">
        <v>0</v>
      </c>
      <c r="CZ173" s="239">
        <v>0</v>
      </c>
      <c r="DA173" s="239">
        <v>0</v>
      </c>
      <c r="DB173" s="239">
        <v>0</v>
      </c>
      <c r="DC173" s="239">
        <v>0</v>
      </c>
      <c r="DD173" s="239">
        <v>0</v>
      </c>
      <c r="DE173" s="239">
        <v>0</v>
      </c>
      <c r="DF173" s="239">
        <v>0</v>
      </c>
      <c r="DG173" s="239">
        <v>0</v>
      </c>
      <c r="DH173" s="239">
        <v>0</v>
      </c>
      <c r="DI173" s="239">
        <v>0</v>
      </c>
      <c r="DJ173" s="239">
        <v>0</v>
      </c>
      <c r="DK173" s="239">
        <v>0</v>
      </c>
      <c r="DL173" s="239">
        <v>0</v>
      </c>
      <c r="DM173" s="239">
        <v>0</v>
      </c>
      <c r="DN173" s="239">
        <v>0</v>
      </c>
      <c r="DO173" s="239">
        <v>0</v>
      </c>
      <c r="DP173" s="239">
        <v>0</v>
      </c>
      <c r="DQ173" s="239">
        <v>746</v>
      </c>
      <c r="DR173" s="239">
        <v>0</v>
      </c>
      <c r="DS173" s="239">
        <v>15</v>
      </c>
      <c r="DT173" s="239">
        <v>746</v>
      </c>
      <c r="DU173" s="239">
        <v>0</v>
      </c>
      <c r="DV173" s="239">
        <v>15</v>
      </c>
      <c r="DW173" s="239">
        <v>0</v>
      </c>
      <c r="DX173" s="239">
        <v>0</v>
      </c>
      <c r="DY173" s="239">
        <v>0</v>
      </c>
      <c r="DZ173" s="239">
        <v>7409</v>
      </c>
      <c r="EA173" s="239">
        <v>0</v>
      </c>
      <c r="EB173" s="239">
        <v>130</v>
      </c>
      <c r="EC173" s="239">
        <v>7613</v>
      </c>
      <c r="ED173" s="239">
        <v>0</v>
      </c>
      <c r="EE173" s="239">
        <v>0</v>
      </c>
      <c r="EF173" s="239">
        <v>-204</v>
      </c>
      <c r="EG173" s="239">
        <v>0</v>
      </c>
      <c r="EH173" s="239">
        <v>130</v>
      </c>
      <c r="EI173" s="239">
        <v>116266</v>
      </c>
      <c r="EJ173" s="239">
        <v>0</v>
      </c>
      <c r="EK173" s="239">
        <v>1962</v>
      </c>
      <c r="EL173" s="239">
        <v>112737</v>
      </c>
      <c r="EM173" s="239">
        <v>0</v>
      </c>
      <c r="EN173" s="239">
        <v>0</v>
      </c>
      <c r="EO173" s="239">
        <v>3529</v>
      </c>
      <c r="EP173" s="239">
        <v>0</v>
      </c>
      <c r="EQ173" s="239">
        <v>1962</v>
      </c>
      <c r="ER173" s="239">
        <v>12752</v>
      </c>
      <c r="ES173" s="239">
        <v>0</v>
      </c>
      <c r="ET173" s="239">
        <v>129</v>
      </c>
      <c r="EU173" s="239">
        <v>22330</v>
      </c>
      <c r="EV173" s="239">
        <v>0</v>
      </c>
      <c r="EW173" s="239">
        <v>0</v>
      </c>
      <c r="EX173" s="239">
        <v>-9578</v>
      </c>
      <c r="EY173" s="239">
        <v>0</v>
      </c>
      <c r="EZ173" s="239">
        <v>129</v>
      </c>
      <c r="FA173" s="239">
        <v>232440</v>
      </c>
      <c r="FB173" s="239">
        <v>0</v>
      </c>
      <c r="FC173" s="239">
        <v>4740</v>
      </c>
      <c r="FD173" s="239">
        <v>253119</v>
      </c>
      <c r="FE173" s="239">
        <v>0</v>
      </c>
      <c r="FF173" s="239">
        <v>5166</v>
      </c>
      <c r="FG173" s="239">
        <v>-20679</v>
      </c>
      <c r="FH173" s="239">
        <v>0</v>
      </c>
      <c r="FI173" s="239">
        <v>-426</v>
      </c>
      <c r="FJ173" s="239">
        <v>0</v>
      </c>
      <c r="FK173" s="239">
        <v>0</v>
      </c>
      <c r="FL173" s="239">
        <v>0</v>
      </c>
      <c r="FM173" s="239">
        <v>0</v>
      </c>
      <c r="FN173" s="239">
        <v>0</v>
      </c>
      <c r="FO173" s="239">
        <v>0</v>
      </c>
      <c r="FP173" s="239">
        <v>0</v>
      </c>
      <c r="FQ173" s="239">
        <v>0</v>
      </c>
      <c r="FR173" s="239">
        <v>0</v>
      </c>
      <c r="FS173" s="239">
        <v>35904586</v>
      </c>
      <c r="FT173" s="239">
        <v>38083123</v>
      </c>
      <c r="FU173" s="239">
        <v>0</v>
      </c>
      <c r="FV173" s="239">
        <v>1769674</v>
      </c>
      <c r="FW173" s="239">
        <v>0</v>
      </c>
      <c r="FX173" s="239">
        <v>32167</v>
      </c>
      <c r="FY173" s="834">
        <v>0.5</v>
      </c>
      <c r="FZ173" s="834">
        <v>0.49</v>
      </c>
      <c r="GA173" s="834">
        <v>0</v>
      </c>
      <c r="GB173" s="834">
        <v>0.01</v>
      </c>
      <c r="GC173" s="214" t="s">
        <v>746</v>
      </c>
    </row>
    <row r="174" spans="1:185" s="214" customFormat="1" x14ac:dyDescent="0.2">
      <c r="B174" s="602" t="s">
        <v>431</v>
      </c>
      <c r="C174" s="602" t="s">
        <v>430</v>
      </c>
      <c r="D174" s="239">
        <v>-924422</v>
      </c>
      <c r="E174" s="239">
        <v>0</v>
      </c>
      <c r="F174" s="239">
        <v>-924422</v>
      </c>
      <c r="G174" s="239">
        <v>-911000</v>
      </c>
      <c r="H174" s="239">
        <v>0</v>
      </c>
      <c r="I174" s="239">
        <v>-911000</v>
      </c>
      <c r="J174" s="239">
        <v>-13422</v>
      </c>
      <c r="K174" s="239">
        <v>0</v>
      </c>
      <c r="L174" s="239">
        <v>-13422</v>
      </c>
      <c r="M174" s="239">
        <v>389838</v>
      </c>
      <c r="N174" s="239">
        <v>389838</v>
      </c>
      <c r="O174" s="239">
        <v>0</v>
      </c>
      <c r="P174" s="239">
        <v>0</v>
      </c>
      <c r="Q174" s="239">
        <v>0</v>
      </c>
      <c r="R174" s="239">
        <v>0</v>
      </c>
      <c r="S174" s="239">
        <v>160996</v>
      </c>
      <c r="T174" s="239">
        <v>0</v>
      </c>
      <c r="U174" s="239">
        <v>158400</v>
      </c>
      <c r="V174" s="239">
        <v>0</v>
      </c>
      <c r="W174" s="239">
        <v>2596</v>
      </c>
      <c r="X174" s="239">
        <v>0</v>
      </c>
      <c r="Y174" s="239">
        <v>0</v>
      </c>
      <c r="Z174" s="239">
        <v>0</v>
      </c>
      <c r="AA174" s="239">
        <v>0</v>
      </c>
      <c r="AB174" s="239">
        <v>0</v>
      </c>
      <c r="AC174" s="239">
        <v>0</v>
      </c>
      <c r="AD174" s="239">
        <v>0</v>
      </c>
      <c r="AE174" s="239">
        <v>0</v>
      </c>
      <c r="AF174" s="239">
        <v>0</v>
      </c>
      <c r="AG174" s="239">
        <v>0</v>
      </c>
      <c r="AH174" s="239">
        <v>0</v>
      </c>
      <c r="AI174" s="239">
        <v>0</v>
      </c>
      <c r="AJ174" s="239">
        <v>0</v>
      </c>
      <c r="AK174" s="239">
        <v>0</v>
      </c>
      <c r="AL174" s="239">
        <v>0</v>
      </c>
      <c r="AM174" s="239">
        <v>0</v>
      </c>
      <c r="AN174" s="239">
        <v>0</v>
      </c>
      <c r="AO174" s="239">
        <v>0</v>
      </c>
      <c r="AP174" s="239">
        <v>0</v>
      </c>
      <c r="AQ174" s="239">
        <v>0</v>
      </c>
      <c r="AR174" s="239">
        <v>0</v>
      </c>
      <c r="AS174" s="239">
        <v>0</v>
      </c>
      <c r="AT174" s="239">
        <v>0</v>
      </c>
      <c r="AU174" s="239">
        <v>0</v>
      </c>
      <c r="AV174" s="239">
        <v>0</v>
      </c>
      <c r="AW174" s="239">
        <v>0</v>
      </c>
      <c r="AX174" s="239">
        <v>0</v>
      </c>
      <c r="AY174" s="239">
        <v>0</v>
      </c>
      <c r="AZ174" s="239">
        <v>0</v>
      </c>
      <c r="BA174" s="239">
        <v>0</v>
      </c>
      <c r="BB174" s="239">
        <v>0</v>
      </c>
      <c r="BC174" s="239">
        <v>2255934</v>
      </c>
      <c r="BD174" s="239">
        <v>0</v>
      </c>
      <c r="BE174" s="239">
        <v>46039</v>
      </c>
      <c r="BF174" s="239">
        <v>2180513.1704975967</v>
      </c>
      <c r="BG174" s="239">
        <v>0</v>
      </c>
      <c r="BH174" s="239">
        <v>44500.268785665241</v>
      </c>
      <c r="BI174" s="239">
        <v>230498.98276984977</v>
      </c>
      <c r="BJ174" s="239">
        <v>0</v>
      </c>
      <c r="BK174" s="239">
        <v>4704.0608728540765</v>
      </c>
      <c r="BL174" s="239">
        <v>1545009</v>
      </c>
      <c r="BM174" s="239">
        <v>0</v>
      </c>
      <c r="BN174" s="239">
        <v>20963</v>
      </c>
      <c r="BO174" s="239">
        <v>710925</v>
      </c>
      <c r="BP174" s="239">
        <v>0</v>
      </c>
      <c r="BQ174" s="239">
        <v>25076</v>
      </c>
      <c r="BR174" s="239">
        <v>18443</v>
      </c>
      <c r="BS174" s="239">
        <v>0</v>
      </c>
      <c r="BT174" s="239">
        <v>376</v>
      </c>
      <c r="BU174" s="239">
        <v>0</v>
      </c>
      <c r="BV174" s="239">
        <v>0</v>
      </c>
      <c r="BW174" s="239">
        <v>0</v>
      </c>
      <c r="BX174" s="239">
        <v>18443</v>
      </c>
      <c r="BY174" s="239">
        <v>0</v>
      </c>
      <c r="BZ174" s="239">
        <v>376</v>
      </c>
      <c r="CA174" s="239">
        <v>3750</v>
      </c>
      <c r="CB174" s="239">
        <v>0</v>
      </c>
      <c r="CC174" s="239">
        <v>77</v>
      </c>
      <c r="CD174" s="239">
        <v>0</v>
      </c>
      <c r="CE174" s="239">
        <v>0</v>
      </c>
      <c r="CF174" s="239">
        <v>0</v>
      </c>
      <c r="CG174" s="239">
        <v>3750</v>
      </c>
      <c r="CH174" s="239">
        <v>0</v>
      </c>
      <c r="CI174" s="239">
        <v>77</v>
      </c>
      <c r="CJ174" s="239">
        <v>53259</v>
      </c>
      <c r="CK174" s="239">
        <v>0</v>
      </c>
      <c r="CL174" s="239">
        <v>1087</v>
      </c>
      <c r="CM174" s="239">
        <v>15593</v>
      </c>
      <c r="CN174" s="239">
        <v>0</v>
      </c>
      <c r="CO174" s="239">
        <v>318</v>
      </c>
      <c r="CP174" s="239">
        <v>37666</v>
      </c>
      <c r="CQ174" s="239">
        <v>0</v>
      </c>
      <c r="CR174" s="239">
        <v>769</v>
      </c>
      <c r="CS174" s="239">
        <v>-1495</v>
      </c>
      <c r="CT174" s="239">
        <v>0</v>
      </c>
      <c r="CU174" s="239">
        <v>-31</v>
      </c>
      <c r="CV174" s="239">
        <v>0</v>
      </c>
      <c r="CW174" s="239">
        <v>0</v>
      </c>
      <c r="CX174" s="239">
        <v>0</v>
      </c>
      <c r="CY174" s="239">
        <v>0</v>
      </c>
      <c r="CZ174" s="239">
        <v>0</v>
      </c>
      <c r="DA174" s="239">
        <v>0</v>
      </c>
      <c r="DB174" s="239">
        <v>0</v>
      </c>
      <c r="DC174" s="239">
        <v>0</v>
      </c>
      <c r="DD174" s="239">
        <v>0</v>
      </c>
      <c r="DE174" s="239">
        <v>0</v>
      </c>
      <c r="DF174" s="239">
        <v>0</v>
      </c>
      <c r="DG174" s="239">
        <v>0</v>
      </c>
      <c r="DH174" s="239">
        <v>6252</v>
      </c>
      <c r="DI174" s="239">
        <v>0</v>
      </c>
      <c r="DJ174" s="239">
        <v>128</v>
      </c>
      <c r="DK174" s="239">
        <v>7709</v>
      </c>
      <c r="DL174" s="239">
        <v>0</v>
      </c>
      <c r="DM174" s="239">
        <v>157</v>
      </c>
      <c r="DN174" s="239">
        <v>-1457</v>
      </c>
      <c r="DO174" s="239">
        <v>0</v>
      </c>
      <c r="DP174" s="239">
        <v>-29</v>
      </c>
      <c r="DQ174" s="239">
        <v>0</v>
      </c>
      <c r="DR174" s="239">
        <v>0</v>
      </c>
      <c r="DS174" s="239">
        <v>0</v>
      </c>
      <c r="DT174" s="239">
        <v>746</v>
      </c>
      <c r="DU174" s="239">
        <v>0</v>
      </c>
      <c r="DV174" s="239">
        <v>15</v>
      </c>
      <c r="DW174" s="239">
        <v>-746</v>
      </c>
      <c r="DX174" s="239">
        <v>0</v>
      </c>
      <c r="DY174" s="239">
        <v>-15</v>
      </c>
      <c r="DZ174" s="239">
        <v>21341</v>
      </c>
      <c r="EA174" s="239">
        <v>0</v>
      </c>
      <c r="EB174" s="239">
        <v>436</v>
      </c>
      <c r="EC174" s="239">
        <v>21315</v>
      </c>
      <c r="ED174" s="239">
        <v>0</v>
      </c>
      <c r="EE174" s="239">
        <v>0</v>
      </c>
      <c r="EF174" s="239">
        <v>26</v>
      </c>
      <c r="EG174" s="239">
        <v>0</v>
      </c>
      <c r="EH174" s="239">
        <v>436</v>
      </c>
      <c r="EI174" s="239">
        <v>334698</v>
      </c>
      <c r="EJ174" s="239">
        <v>0</v>
      </c>
      <c r="EK174" s="239">
        <v>6831</v>
      </c>
      <c r="EL174" s="239">
        <v>374959</v>
      </c>
      <c r="EM174" s="239">
        <v>0</v>
      </c>
      <c r="EN174" s="239">
        <v>0</v>
      </c>
      <c r="EO174" s="239">
        <v>-40261</v>
      </c>
      <c r="EP174" s="239">
        <v>0</v>
      </c>
      <c r="EQ174" s="239">
        <v>6831</v>
      </c>
      <c r="ER174" s="239">
        <v>22796</v>
      </c>
      <c r="ES174" s="239">
        <v>0</v>
      </c>
      <c r="ET174" s="239">
        <v>465</v>
      </c>
      <c r="EU174" s="239">
        <v>18270</v>
      </c>
      <c r="EV174" s="239">
        <v>0</v>
      </c>
      <c r="EW174" s="239">
        <v>0</v>
      </c>
      <c r="EX174" s="239">
        <v>4526</v>
      </c>
      <c r="EY174" s="239">
        <v>0</v>
      </c>
      <c r="EZ174" s="239">
        <v>465</v>
      </c>
      <c r="FA174" s="239">
        <v>1121707</v>
      </c>
      <c r="FB174" s="239">
        <v>0</v>
      </c>
      <c r="FC174" s="239">
        <v>22843</v>
      </c>
      <c r="FD174" s="239">
        <v>1154645</v>
      </c>
      <c r="FE174" s="239">
        <v>0</v>
      </c>
      <c r="FF174" s="239">
        <v>23516</v>
      </c>
      <c r="FG174" s="239">
        <v>-32938</v>
      </c>
      <c r="FH174" s="239">
        <v>0</v>
      </c>
      <c r="FI174" s="239">
        <v>-673</v>
      </c>
      <c r="FJ174" s="239">
        <v>0</v>
      </c>
      <c r="FK174" s="239">
        <v>0</v>
      </c>
      <c r="FL174" s="239">
        <v>0</v>
      </c>
      <c r="FM174" s="239">
        <v>0</v>
      </c>
      <c r="FN174" s="239">
        <v>0</v>
      </c>
      <c r="FO174" s="239">
        <v>0</v>
      </c>
      <c r="FP174" s="239">
        <v>0</v>
      </c>
      <c r="FQ174" s="239">
        <v>0</v>
      </c>
      <c r="FR174" s="239">
        <v>0</v>
      </c>
      <c r="FS174" s="239">
        <v>0</v>
      </c>
      <c r="FT174" s="239">
        <v>0</v>
      </c>
      <c r="FU174" s="239">
        <v>0</v>
      </c>
      <c r="FV174" s="239">
        <v>3836685</v>
      </c>
      <c r="FW174" s="239">
        <v>0</v>
      </c>
      <c r="FX174" s="239">
        <v>78251</v>
      </c>
      <c r="FY174" s="834">
        <v>0.5</v>
      </c>
      <c r="FZ174" s="834">
        <v>0.49</v>
      </c>
      <c r="GA174" s="834">
        <v>0</v>
      </c>
      <c r="GB174" s="834">
        <v>0.01</v>
      </c>
      <c r="GC174" s="214" t="s">
        <v>746</v>
      </c>
    </row>
    <row r="175" spans="1:185" s="214" customFormat="1" x14ac:dyDescent="0.2">
      <c r="B175" s="602" t="s">
        <v>433</v>
      </c>
      <c r="C175" s="602" t="s">
        <v>432</v>
      </c>
      <c r="D175" s="239">
        <v>2250781</v>
      </c>
      <c r="E175" s="239">
        <v>0</v>
      </c>
      <c r="F175" s="239">
        <v>2250781</v>
      </c>
      <c r="G175" s="239">
        <v>2715069</v>
      </c>
      <c r="H175" s="239">
        <v>0</v>
      </c>
      <c r="I175" s="239">
        <v>2715069</v>
      </c>
      <c r="J175" s="239">
        <v>-464288</v>
      </c>
      <c r="K175" s="239">
        <v>0</v>
      </c>
      <c r="L175" s="239">
        <v>-464288</v>
      </c>
      <c r="M175" s="239">
        <v>154884</v>
      </c>
      <c r="N175" s="239">
        <v>154884</v>
      </c>
      <c r="O175" s="239">
        <v>0</v>
      </c>
      <c r="P175" s="239">
        <v>0</v>
      </c>
      <c r="Q175" s="239">
        <v>0</v>
      </c>
      <c r="R175" s="239">
        <v>0</v>
      </c>
      <c r="S175" s="239">
        <v>0</v>
      </c>
      <c r="T175" s="239">
        <v>0</v>
      </c>
      <c r="U175" s="239">
        <v>0</v>
      </c>
      <c r="V175" s="239">
        <v>0</v>
      </c>
      <c r="W175" s="239">
        <v>0</v>
      </c>
      <c r="X175" s="239">
        <v>0</v>
      </c>
      <c r="Y175" s="239">
        <v>0</v>
      </c>
      <c r="Z175" s="239">
        <v>0</v>
      </c>
      <c r="AA175" s="239">
        <v>0</v>
      </c>
      <c r="AB175" s="239">
        <v>0</v>
      </c>
      <c r="AC175" s="239">
        <v>0</v>
      </c>
      <c r="AD175" s="239">
        <v>0</v>
      </c>
      <c r="AE175" s="239">
        <v>0</v>
      </c>
      <c r="AF175" s="239">
        <v>0</v>
      </c>
      <c r="AG175" s="239">
        <v>0</v>
      </c>
      <c r="AH175" s="239">
        <v>0</v>
      </c>
      <c r="AI175" s="239">
        <v>0</v>
      </c>
      <c r="AJ175" s="239">
        <v>0</v>
      </c>
      <c r="AK175" s="239">
        <v>0</v>
      </c>
      <c r="AL175" s="239">
        <v>0</v>
      </c>
      <c r="AM175" s="239">
        <v>0</v>
      </c>
      <c r="AN175" s="239">
        <v>0</v>
      </c>
      <c r="AO175" s="239">
        <v>0</v>
      </c>
      <c r="AP175" s="239">
        <v>0</v>
      </c>
      <c r="AQ175" s="239">
        <v>0</v>
      </c>
      <c r="AR175" s="239">
        <v>0</v>
      </c>
      <c r="AS175" s="239">
        <v>0</v>
      </c>
      <c r="AT175" s="239">
        <v>0</v>
      </c>
      <c r="AU175" s="239">
        <v>0</v>
      </c>
      <c r="AV175" s="239">
        <v>0</v>
      </c>
      <c r="AW175" s="239">
        <v>0</v>
      </c>
      <c r="AX175" s="239">
        <v>0</v>
      </c>
      <c r="AY175" s="239">
        <v>0</v>
      </c>
      <c r="AZ175" s="239">
        <v>0</v>
      </c>
      <c r="BA175" s="239">
        <v>0</v>
      </c>
      <c r="BB175" s="239">
        <v>0</v>
      </c>
      <c r="BC175" s="239">
        <v>878594</v>
      </c>
      <c r="BD175" s="239">
        <v>219649</v>
      </c>
      <c r="BE175" s="239">
        <v>0</v>
      </c>
      <c r="BF175" s="239">
        <v>857306.69732532185</v>
      </c>
      <c r="BG175" s="239">
        <v>214326.67433133046</v>
      </c>
      <c r="BH175" s="239">
        <v>0</v>
      </c>
      <c r="BI175" s="239">
        <v>73397.155836909878</v>
      </c>
      <c r="BJ175" s="239">
        <v>18349.28895922747</v>
      </c>
      <c r="BK175" s="239">
        <v>0</v>
      </c>
      <c r="BL175" s="239">
        <v>842386</v>
      </c>
      <c r="BM175" s="239">
        <v>134782</v>
      </c>
      <c r="BN175" s="239">
        <v>0</v>
      </c>
      <c r="BO175" s="239">
        <v>36208</v>
      </c>
      <c r="BP175" s="239">
        <v>84867</v>
      </c>
      <c r="BQ175" s="239">
        <v>0</v>
      </c>
      <c r="BR175" s="239">
        <v>12407</v>
      </c>
      <c r="BS175" s="239">
        <v>3102</v>
      </c>
      <c r="BT175" s="239">
        <v>0</v>
      </c>
      <c r="BU175" s="239">
        <v>9478</v>
      </c>
      <c r="BV175" s="239">
        <v>2369</v>
      </c>
      <c r="BW175" s="239">
        <v>0</v>
      </c>
      <c r="BX175" s="239">
        <v>2929</v>
      </c>
      <c r="BY175" s="239">
        <v>733</v>
      </c>
      <c r="BZ175" s="239">
        <v>0</v>
      </c>
      <c r="CA175" s="239">
        <v>0</v>
      </c>
      <c r="CB175" s="239">
        <v>0</v>
      </c>
      <c r="CC175" s="239">
        <v>0</v>
      </c>
      <c r="CD175" s="239">
        <v>0</v>
      </c>
      <c r="CE175" s="239">
        <v>0</v>
      </c>
      <c r="CF175" s="239">
        <v>0</v>
      </c>
      <c r="CG175" s="239">
        <v>0</v>
      </c>
      <c r="CH175" s="239">
        <v>0</v>
      </c>
      <c r="CI175" s="239">
        <v>0</v>
      </c>
      <c r="CJ175" s="239">
        <v>0</v>
      </c>
      <c r="CK175" s="239">
        <v>0</v>
      </c>
      <c r="CL175" s="239">
        <v>0</v>
      </c>
      <c r="CM175" s="239">
        <v>0</v>
      </c>
      <c r="CN175" s="239">
        <v>0</v>
      </c>
      <c r="CO175" s="239">
        <v>0</v>
      </c>
      <c r="CP175" s="239">
        <v>0</v>
      </c>
      <c r="CQ175" s="239">
        <v>0</v>
      </c>
      <c r="CR175" s="239">
        <v>0</v>
      </c>
      <c r="CS175" s="239">
        <v>0</v>
      </c>
      <c r="CT175" s="239">
        <v>0</v>
      </c>
      <c r="CU175" s="239">
        <v>0</v>
      </c>
      <c r="CV175" s="239">
        <v>0</v>
      </c>
      <c r="CW175" s="239">
        <v>0</v>
      </c>
      <c r="CX175" s="239">
        <v>0</v>
      </c>
      <c r="CY175" s="239">
        <v>0</v>
      </c>
      <c r="CZ175" s="239">
        <v>0</v>
      </c>
      <c r="DA175" s="239">
        <v>0</v>
      </c>
      <c r="DB175" s="239">
        <v>0</v>
      </c>
      <c r="DC175" s="239">
        <v>0</v>
      </c>
      <c r="DD175" s="239">
        <v>0</v>
      </c>
      <c r="DE175" s="239">
        <v>0</v>
      </c>
      <c r="DF175" s="239">
        <v>0</v>
      </c>
      <c r="DG175" s="239">
        <v>0</v>
      </c>
      <c r="DH175" s="239">
        <v>0</v>
      </c>
      <c r="DI175" s="239">
        <v>0</v>
      </c>
      <c r="DJ175" s="239">
        <v>0</v>
      </c>
      <c r="DK175" s="239">
        <v>0</v>
      </c>
      <c r="DL175" s="239">
        <v>0</v>
      </c>
      <c r="DM175" s="239">
        <v>0</v>
      </c>
      <c r="DN175" s="239">
        <v>0</v>
      </c>
      <c r="DO175" s="239">
        <v>0</v>
      </c>
      <c r="DP175" s="239">
        <v>0</v>
      </c>
      <c r="DQ175" s="239">
        <v>0</v>
      </c>
      <c r="DR175" s="239">
        <v>0</v>
      </c>
      <c r="DS175" s="239">
        <v>0</v>
      </c>
      <c r="DT175" s="239">
        <v>0</v>
      </c>
      <c r="DU175" s="239">
        <v>0</v>
      </c>
      <c r="DV175" s="239">
        <v>0</v>
      </c>
      <c r="DW175" s="239">
        <v>0</v>
      </c>
      <c r="DX175" s="239">
        <v>0</v>
      </c>
      <c r="DY175" s="239">
        <v>0</v>
      </c>
      <c r="DZ175" s="239">
        <v>20349</v>
      </c>
      <c r="EA175" s="239">
        <v>5087</v>
      </c>
      <c r="EB175" s="239">
        <v>0</v>
      </c>
      <c r="EC175" s="239">
        <v>25938</v>
      </c>
      <c r="ED175" s="239">
        <v>0</v>
      </c>
      <c r="EE175" s="239">
        <v>0</v>
      </c>
      <c r="EF175" s="239">
        <v>-5589</v>
      </c>
      <c r="EG175" s="239">
        <v>5087</v>
      </c>
      <c r="EH175" s="239">
        <v>0</v>
      </c>
      <c r="EI175" s="239">
        <v>143222</v>
      </c>
      <c r="EJ175" s="239">
        <v>35805</v>
      </c>
      <c r="EK175" s="239">
        <v>0</v>
      </c>
      <c r="EL175" s="239">
        <v>189426</v>
      </c>
      <c r="EM175" s="239">
        <v>0</v>
      </c>
      <c r="EN175" s="239">
        <v>0</v>
      </c>
      <c r="EO175" s="239">
        <v>-46204</v>
      </c>
      <c r="EP175" s="239">
        <v>35805</v>
      </c>
      <c r="EQ175" s="239">
        <v>0</v>
      </c>
      <c r="ER175" s="239">
        <v>15581</v>
      </c>
      <c r="ES175" s="239">
        <v>3895</v>
      </c>
      <c r="ET175" s="239">
        <v>0</v>
      </c>
      <c r="EU175" s="239">
        <v>19116</v>
      </c>
      <c r="EV175" s="239">
        <v>0</v>
      </c>
      <c r="EW175" s="239">
        <v>0</v>
      </c>
      <c r="EX175" s="239">
        <v>-3535</v>
      </c>
      <c r="EY175" s="239">
        <v>3895</v>
      </c>
      <c r="EZ175" s="239">
        <v>0</v>
      </c>
      <c r="FA175" s="239">
        <v>245542</v>
      </c>
      <c r="FB175" s="239">
        <v>61386</v>
      </c>
      <c r="FC175" s="239">
        <v>0</v>
      </c>
      <c r="FD175" s="239">
        <v>273677</v>
      </c>
      <c r="FE175" s="239">
        <v>68419</v>
      </c>
      <c r="FF175" s="239">
        <v>0</v>
      </c>
      <c r="FG175" s="239">
        <v>-28135</v>
      </c>
      <c r="FH175" s="239">
        <v>-7033</v>
      </c>
      <c r="FI175" s="239">
        <v>0</v>
      </c>
      <c r="FJ175" s="239">
        <v>0</v>
      </c>
      <c r="FK175" s="239">
        <v>0</v>
      </c>
      <c r="FL175" s="239">
        <v>0</v>
      </c>
      <c r="FM175" s="239">
        <v>0</v>
      </c>
      <c r="FN175" s="239">
        <v>0</v>
      </c>
      <c r="FO175" s="239">
        <v>0</v>
      </c>
      <c r="FP175" s="239">
        <v>0</v>
      </c>
      <c r="FQ175" s="239">
        <v>0</v>
      </c>
      <c r="FR175" s="239">
        <v>0</v>
      </c>
      <c r="FS175" s="239">
        <v>0</v>
      </c>
      <c r="FT175" s="239">
        <v>0</v>
      </c>
      <c r="FU175" s="239">
        <v>0</v>
      </c>
      <c r="FV175" s="239">
        <v>1315695</v>
      </c>
      <c r="FW175" s="239">
        <v>328924</v>
      </c>
      <c r="FX175" s="239">
        <v>0</v>
      </c>
      <c r="FY175" s="834">
        <v>0.5</v>
      </c>
      <c r="FZ175" s="834">
        <v>0.4</v>
      </c>
      <c r="GA175" s="834">
        <v>0.1</v>
      </c>
      <c r="GB175" s="834">
        <v>0</v>
      </c>
      <c r="GC175" s="214" t="s">
        <v>1158</v>
      </c>
    </row>
    <row r="176" spans="1:185" s="214" customFormat="1" x14ac:dyDescent="0.2">
      <c r="B176" s="602" t="s">
        <v>435</v>
      </c>
      <c r="C176" s="602" t="s">
        <v>434</v>
      </c>
      <c r="D176" s="239">
        <v>987061</v>
      </c>
      <c r="E176" s="239">
        <v>0</v>
      </c>
      <c r="F176" s="239">
        <v>987061</v>
      </c>
      <c r="G176" s="239">
        <v>929963</v>
      </c>
      <c r="H176" s="239">
        <v>0</v>
      </c>
      <c r="I176" s="239">
        <v>929963</v>
      </c>
      <c r="J176" s="239">
        <v>57098</v>
      </c>
      <c r="K176" s="239">
        <v>0</v>
      </c>
      <c r="L176" s="239">
        <v>57098</v>
      </c>
      <c r="M176" s="239">
        <v>278159</v>
      </c>
      <c r="N176" s="239">
        <v>278159</v>
      </c>
      <c r="O176" s="239">
        <v>0</v>
      </c>
      <c r="P176" s="239">
        <v>0</v>
      </c>
      <c r="Q176" s="239">
        <v>0</v>
      </c>
      <c r="R176" s="239">
        <v>0</v>
      </c>
      <c r="S176" s="239">
        <v>11909</v>
      </c>
      <c r="T176" s="239">
        <v>0</v>
      </c>
      <c r="U176" s="239">
        <v>19990</v>
      </c>
      <c r="V176" s="239">
        <v>0</v>
      </c>
      <c r="W176" s="239">
        <v>-8081</v>
      </c>
      <c r="X176" s="239">
        <v>0</v>
      </c>
      <c r="Y176" s="239">
        <v>0</v>
      </c>
      <c r="Z176" s="239">
        <v>0</v>
      </c>
      <c r="AA176" s="239">
        <v>0</v>
      </c>
      <c r="AB176" s="239">
        <v>0</v>
      </c>
      <c r="AC176" s="239">
        <v>0</v>
      </c>
      <c r="AD176" s="239">
        <v>0</v>
      </c>
      <c r="AE176" s="239">
        <v>0</v>
      </c>
      <c r="AF176" s="239">
        <v>0</v>
      </c>
      <c r="AG176" s="239">
        <v>0</v>
      </c>
      <c r="AH176" s="239">
        <v>0</v>
      </c>
      <c r="AI176" s="239">
        <v>0</v>
      </c>
      <c r="AJ176" s="239">
        <v>0</v>
      </c>
      <c r="AK176" s="239">
        <v>0</v>
      </c>
      <c r="AL176" s="239">
        <v>0</v>
      </c>
      <c r="AM176" s="239">
        <v>0</v>
      </c>
      <c r="AN176" s="239">
        <v>0</v>
      </c>
      <c r="AO176" s="239">
        <v>0</v>
      </c>
      <c r="AP176" s="239">
        <v>0</v>
      </c>
      <c r="AQ176" s="239">
        <v>0</v>
      </c>
      <c r="AR176" s="239">
        <v>0</v>
      </c>
      <c r="AS176" s="239">
        <v>0</v>
      </c>
      <c r="AT176" s="239">
        <v>0</v>
      </c>
      <c r="AU176" s="239">
        <v>0</v>
      </c>
      <c r="AV176" s="239">
        <v>0</v>
      </c>
      <c r="AW176" s="239">
        <v>0</v>
      </c>
      <c r="AX176" s="239">
        <v>0</v>
      </c>
      <c r="AY176" s="239">
        <v>0</v>
      </c>
      <c r="AZ176" s="239">
        <v>0</v>
      </c>
      <c r="BA176" s="239">
        <v>0</v>
      </c>
      <c r="BB176" s="239">
        <v>0</v>
      </c>
      <c r="BC176" s="239">
        <v>2053515</v>
      </c>
      <c r="BD176" s="239">
        <v>462041</v>
      </c>
      <c r="BE176" s="239">
        <v>51338</v>
      </c>
      <c r="BF176" s="239">
        <v>2005389.5953210301</v>
      </c>
      <c r="BG176" s="239">
        <v>451212.65894723171</v>
      </c>
      <c r="BH176" s="239">
        <v>50134.739883025744</v>
      </c>
      <c r="BI176" s="239">
        <v>145373.23290987124</v>
      </c>
      <c r="BJ176" s="239">
        <v>32708.977404721023</v>
      </c>
      <c r="BK176" s="239">
        <v>3634.330822746781</v>
      </c>
      <c r="BL176" s="239">
        <v>1959741</v>
      </c>
      <c r="BM176" s="239">
        <v>286326</v>
      </c>
      <c r="BN176" s="239">
        <v>31814</v>
      </c>
      <c r="BO176" s="239">
        <v>93774</v>
      </c>
      <c r="BP176" s="239">
        <v>175715</v>
      </c>
      <c r="BQ176" s="239">
        <v>19524</v>
      </c>
      <c r="BR176" s="239">
        <v>7967</v>
      </c>
      <c r="BS176" s="239">
        <v>1793</v>
      </c>
      <c r="BT176" s="239">
        <v>199</v>
      </c>
      <c r="BU176" s="239">
        <v>4059</v>
      </c>
      <c r="BV176" s="239">
        <v>914</v>
      </c>
      <c r="BW176" s="239">
        <v>102</v>
      </c>
      <c r="BX176" s="239">
        <v>3908</v>
      </c>
      <c r="BY176" s="239">
        <v>879</v>
      </c>
      <c r="BZ176" s="239">
        <v>97</v>
      </c>
      <c r="CA176" s="239">
        <v>5876</v>
      </c>
      <c r="CB176" s="239">
        <v>1322</v>
      </c>
      <c r="CC176" s="239">
        <v>147</v>
      </c>
      <c r="CD176" s="239">
        <v>3998</v>
      </c>
      <c r="CE176" s="239">
        <v>900</v>
      </c>
      <c r="CF176" s="239">
        <v>100</v>
      </c>
      <c r="CG176" s="239">
        <v>1878</v>
      </c>
      <c r="CH176" s="239">
        <v>422</v>
      </c>
      <c r="CI176" s="239">
        <v>47</v>
      </c>
      <c r="CJ176" s="239">
        <v>1662</v>
      </c>
      <c r="CK176" s="239">
        <v>374</v>
      </c>
      <c r="CL176" s="239">
        <v>42</v>
      </c>
      <c r="CM176" s="239">
        <v>2030</v>
      </c>
      <c r="CN176" s="239">
        <v>457</v>
      </c>
      <c r="CO176" s="239">
        <v>51</v>
      </c>
      <c r="CP176" s="239">
        <v>-368</v>
      </c>
      <c r="CQ176" s="239">
        <v>-83</v>
      </c>
      <c r="CR176" s="239">
        <v>-9</v>
      </c>
      <c r="CS176" s="239">
        <v>-1218</v>
      </c>
      <c r="CT176" s="239">
        <v>-274</v>
      </c>
      <c r="CU176" s="239">
        <v>-30</v>
      </c>
      <c r="CV176" s="239">
        <v>0</v>
      </c>
      <c r="CW176" s="239">
        <v>0</v>
      </c>
      <c r="CX176" s="239">
        <v>0</v>
      </c>
      <c r="CY176" s="239">
        <v>0</v>
      </c>
      <c r="CZ176" s="239">
        <v>0</v>
      </c>
      <c r="DA176" s="239">
        <v>0</v>
      </c>
      <c r="DB176" s="239">
        <v>0</v>
      </c>
      <c r="DC176" s="239">
        <v>0</v>
      </c>
      <c r="DD176" s="239">
        <v>0</v>
      </c>
      <c r="DE176" s="239">
        <v>0</v>
      </c>
      <c r="DF176" s="239">
        <v>0</v>
      </c>
      <c r="DG176" s="239">
        <v>0</v>
      </c>
      <c r="DH176" s="239">
        <v>4691</v>
      </c>
      <c r="DI176" s="239">
        <v>1056</v>
      </c>
      <c r="DJ176" s="239">
        <v>117</v>
      </c>
      <c r="DK176" s="239">
        <v>4163</v>
      </c>
      <c r="DL176" s="239">
        <v>937</v>
      </c>
      <c r="DM176" s="239">
        <v>104</v>
      </c>
      <c r="DN176" s="239">
        <v>528</v>
      </c>
      <c r="DO176" s="239">
        <v>119</v>
      </c>
      <c r="DP176" s="239">
        <v>13</v>
      </c>
      <c r="DQ176" s="239">
        <v>0</v>
      </c>
      <c r="DR176" s="239">
        <v>0</v>
      </c>
      <c r="DS176" s="239">
        <v>0</v>
      </c>
      <c r="DT176" s="239">
        <v>1219</v>
      </c>
      <c r="DU176" s="239">
        <v>274</v>
      </c>
      <c r="DV176" s="239">
        <v>30</v>
      </c>
      <c r="DW176" s="239">
        <v>-1219</v>
      </c>
      <c r="DX176" s="239">
        <v>-274</v>
      </c>
      <c r="DY176" s="239">
        <v>-30</v>
      </c>
      <c r="DZ176" s="239">
        <v>10135</v>
      </c>
      <c r="EA176" s="239">
        <v>2280</v>
      </c>
      <c r="EB176" s="239">
        <v>253</v>
      </c>
      <c r="EC176" s="239">
        <v>12688</v>
      </c>
      <c r="ED176" s="239">
        <v>0</v>
      </c>
      <c r="EE176" s="239">
        <v>0</v>
      </c>
      <c r="EF176" s="239">
        <v>-2553</v>
      </c>
      <c r="EG176" s="239">
        <v>2280</v>
      </c>
      <c r="EH176" s="239">
        <v>253</v>
      </c>
      <c r="EI176" s="239">
        <v>167756</v>
      </c>
      <c r="EJ176" s="239">
        <v>37745</v>
      </c>
      <c r="EK176" s="239">
        <v>4194</v>
      </c>
      <c r="EL176" s="239">
        <v>206956</v>
      </c>
      <c r="EM176" s="239">
        <v>0</v>
      </c>
      <c r="EN176" s="239">
        <v>0</v>
      </c>
      <c r="EO176" s="239">
        <v>-39200</v>
      </c>
      <c r="EP176" s="239">
        <v>37745</v>
      </c>
      <c r="EQ176" s="239">
        <v>4194</v>
      </c>
      <c r="ER176" s="239">
        <v>32454</v>
      </c>
      <c r="ES176" s="239">
        <v>7302</v>
      </c>
      <c r="ET176" s="239">
        <v>811</v>
      </c>
      <c r="EU176" s="239">
        <v>40601</v>
      </c>
      <c r="EV176" s="239">
        <v>0</v>
      </c>
      <c r="EW176" s="239">
        <v>0</v>
      </c>
      <c r="EX176" s="239">
        <v>-8147</v>
      </c>
      <c r="EY176" s="239">
        <v>7302</v>
      </c>
      <c r="EZ176" s="239">
        <v>811</v>
      </c>
      <c r="FA176" s="239">
        <v>384716</v>
      </c>
      <c r="FB176" s="239">
        <v>86521</v>
      </c>
      <c r="FC176" s="239">
        <v>9613</v>
      </c>
      <c r="FD176" s="239">
        <v>384834</v>
      </c>
      <c r="FE176" s="239">
        <v>86520</v>
      </c>
      <c r="FF176" s="239">
        <v>9613</v>
      </c>
      <c r="FG176" s="239">
        <v>-118</v>
      </c>
      <c r="FH176" s="239">
        <v>1</v>
      </c>
      <c r="FI176" s="239">
        <v>0</v>
      </c>
      <c r="FJ176" s="239">
        <v>0</v>
      </c>
      <c r="FK176" s="239">
        <v>0</v>
      </c>
      <c r="FL176" s="239">
        <v>0</v>
      </c>
      <c r="FM176" s="239">
        <v>0</v>
      </c>
      <c r="FN176" s="239">
        <v>0</v>
      </c>
      <c r="FO176" s="239">
        <v>0</v>
      </c>
      <c r="FP176" s="239">
        <v>0</v>
      </c>
      <c r="FQ176" s="239">
        <v>0</v>
      </c>
      <c r="FR176" s="239">
        <v>0</v>
      </c>
      <c r="FS176" s="239">
        <v>0</v>
      </c>
      <c r="FT176" s="239">
        <v>0</v>
      </c>
      <c r="FU176" s="239">
        <v>0</v>
      </c>
      <c r="FV176" s="239">
        <v>2667554</v>
      </c>
      <c r="FW176" s="239">
        <v>600160</v>
      </c>
      <c r="FX176" s="239">
        <v>66684</v>
      </c>
      <c r="FY176" s="834">
        <v>0.5</v>
      </c>
      <c r="FZ176" s="834">
        <v>0.4</v>
      </c>
      <c r="GA176" s="834">
        <v>0.09</v>
      </c>
      <c r="GB176" s="834">
        <v>0.01</v>
      </c>
      <c r="GC176" s="214" t="s">
        <v>1158</v>
      </c>
    </row>
    <row r="177" spans="2:185" s="214" customFormat="1" x14ac:dyDescent="0.2">
      <c r="B177" s="602" t="s">
        <v>437</v>
      </c>
      <c r="C177" s="602" t="s">
        <v>436</v>
      </c>
      <c r="D177" s="239">
        <v>1359744</v>
      </c>
      <c r="E177" s="239">
        <v>0</v>
      </c>
      <c r="F177" s="239">
        <v>1359744</v>
      </c>
      <c r="G177" s="239">
        <v>1241756</v>
      </c>
      <c r="H177" s="239">
        <v>0</v>
      </c>
      <c r="I177" s="239">
        <v>1241756</v>
      </c>
      <c r="J177" s="239">
        <v>117988</v>
      </c>
      <c r="K177" s="239">
        <v>0</v>
      </c>
      <c r="L177" s="239">
        <v>117988</v>
      </c>
      <c r="M177" s="239">
        <v>164307</v>
      </c>
      <c r="N177" s="239">
        <v>164307</v>
      </c>
      <c r="O177" s="239">
        <v>0</v>
      </c>
      <c r="P177" s="239">
        <v>0</v>
      </c>
      <c r="Q177" s="239">
        <v>0</v>
      </c>
      <c r="R177" s="239">
        <v>0</v>
      </c>
      <c r="S177" s="239">
        <v>597251</v>
      </c>
      <c r="T177" s="239">
        <v>116020</v>
      </c>
      <c r="U177" s="239">
        <v>170000</v>
      </c>
      <c r="V177" s="239">
        <v>0</v>
      </c>
      <c r="W177" s="239">
        <v>427251</v>
      </c>
      <c r="X177" s="239">
        <v>116020</v>
      </c>
      <c r="Y177" s="239">
        <v>0</v>
      </c>
      <c r="Z177" s="239">
        <v>0</v>
      </c>
      <c r="AA177" s="239">
        <v>0</v>
      </c>
      <c r="AB177" s="239">
        <v>0</v>
      </c>
      <c r="AC177" s="239">
        <v>0</v>
      </c>
      <c r="AD177" s="239">
        <v>0</v>
      </c>
      <c r="AE177" s="239">
        <v>0</v>
      </c>
      <c r="AF177" s="239">
        <v>0</v>
      </c>
      <c r="AG177" s="239">
        <v>0</v>
      </c>
      <c r="AH177" s="239">
        <v>0</v>
      </c>
      <c r="AI177" s="239">
        <v>0</v>
      </c>
      <c r="AJ177" s="239">
        <v>0</v>
      </c>
      <c r="AK177" s="239">
        <v>0</v>
      </c>
      <c r="AL177" s="239">
        <v>0</v>
      </c>
      <c r="AM177" s="239">
        <v>0</v>
      </c>
      <c r="AN177" s="239">
        <v>0</v>
      </c>
      <c r="AO177" s="239">
        <v>0</v>
      </c>
      <c r="AP177" s="239">
        <v>0</v>
      </c>
      <c r="AQ177" s="239">
        <v>0</v>
      </c>
      <c r="AR177" s="239">
        <v>0</v>
      </c>
      <c r="AS177" s="239">
        <v>0</v>
      </c>
      <c r="AT177" s="239">
        <v>0</v>
      </c>
      <c r="AU177" s="239">
        <v>0</v>
      </c>
      <c r="AV177" s="239">
        <v>0</v>
      </c>
      <c r="AW177" s="239">
        <v>0</v>
      </c>
      <c r="AX177" s="239">
        <v>0</v>
      </c>
      <c r="AY177" s="239">
        <v>0</v>
      </c>
      <c r="AZ177" s="239">
        <v>0</v>
      </c>
      <c r="BA177" s="239">
        <v>0</v>
      </c>
      <c r="BB177" s="239">
        <v>0</v>
      </c>
      <c r="BC177" s="239">
        <v>1148324</v>
      </c>
      <c r="BD177" s="239">
        <v>258373</v>
      </c>
      <c r="BE177" s="239">
        <v>28708</v>
      </c>
      <c r="BF177" s="239">
        <v>1123848.1798618026</v>
      </c>
      <c r="BG177" s="239">
        <v>252865.84046890558</v>
      </c>
      <c r="BH177" s="239">
        <v>28096.20449654507</v>
      </c>
      <c r="BI177" s="239">
        <v>69307.674978540759</v>
      </c>
      <c r="BJ177" s="239">
        <v>15594.226870171671</v>
      </c>
      <c r="BK177" s="239">
        <v>1732.6918744635191</v>
      </c>
      <c r="BL177" s="239">
        <v>997329</v>
      </c>
      <c r="BM177" s="239">
        <v>152653</v>
      </c>
      <c r="BN177" s="239">
        <v>16961</v>
      </c>
      <c r="BO177" s="239">
        <v>150995</v>
      </c>
      <c r="BP177" s="239">
        <v>105720</v>
      </c>
      <c r="BQ177" s="239">
        <v>11747</v>
      </c>
      <c r="BR177" s="239">
        <v>0</v>
      </c>
      <c r="BS177" s="239">
        <v>0</v>
      </c>
      <c r="BT177" s="239">
        <v>0</v>
      </c>
      <c r="BU177" s="239">
        <v>0</v>
      </c>
      <c r="BV177" s="239">
        <v>0</v>
      </c>
      <c r="BW177" s="239">
        <v>0</v>
      </c>
      <c r="BX177" s="239">
        <v>0</v>
      </c>
      <c r="BY177" s="239">
        <v>0</v>
      </c>
      <c r="BZ177" s="239">
        <v>0</v>
      </c>
      <c r="CA177" s="239">
        <v>0</v>
      </c>
      <c r="CB177" s="239">
        <v>0</v>
      </c>
      <c r="CC177" s="239">
        <v>0</v>
      </c>
      <c r="CD177" s="239">
        <v>0</v>
      </c>
      <c r="CE177" s="239">
        <v>0</v>
      </c>
      <c r="CF177" s="239">
        <v>0</v>
      </c>
      <c r="CG177" s="239">
        <v>0</v>
      </c>
      <c r="CH177" s="239">
        <v>0</v>
      </c>
      <c r="CI177" s="239">
        <v>0</v>
      </c>
      <c r="CJ177" s="239">
        <v>0</v>
      </c>
      <c r="CK177" s="239">
        <v>0</v>
      </c>
      <c r="CL177" s="239">
        <v>0</v>
      </c>
      <c r="CM177" s="239">
        <v>0</v>
      </c>
      <c r="CN177" s="239">
        <v>0</v>
      </c>
      <c r="CO177" s="239">
        <v>0</v>
      </c>
      <c r="CP177" s="239">
        <v>0</v>
      </c>
      <c r="CQ177" s="239">
        <v>0</v>
      </c>
      <c r="CR177" s="239">
        <v>0</v>
      </c>
      <c r="CS177" s="239">
        <v>148</v>
      </c>
      <c r="CT177" s="239">
        <v>33</v>
      </c>
      <c r="CU177" s="239">
        <v>4</v>
      </c>
      <c r="CV177" s="239">
        <v>0</v>
      </c>
      <c r="CW177" s="239">
        <v>0</v>
      </c>
      <c r="CX177" s="239">
        <v>0</v>
      </c>
      <c r="CY177" s="239">
        <v>0</v>
      </c>
      <c r="CZ177" s="239">
        <v>0</v>
      </c>
      <c r="DA177" s="239">
        <v>0</v>
      </c>
      <c r="DB177" s="239">
        <v>0</v>
      </c>
      <c r="DC177" s="239">
        <v>0</v>
      </c>
      <c r="DD177" s="239">
        <v>0</v>
      </c>
      <c r="DE177" s="239">
        <v>-1343</v>
      </c>
      <c r="DF177" s="239">
        <v>-302</v>
      </c>
      <c r="DG177" s="239">
        <v>-34</v>
      </c>
      <c r="DH177" s="239">
        <v>8149</v>
      </c>
      <c r="DI177" s="239">
        <v>1833</v>
      </c>
      <c r="DJ177" s="239">
        <v>204</v>
      </c>
      <c r="DK177" s="239">
        <v>12586</v>
      </c>
      <c r="DL177" s="239">
        <v>2832</v>
      </c>
      <c r="DM177" s="239">
        <v>315</v>
      </c>
      <c r="DN177" s="239">
        <v>-4437</v>
      </c>
      <c r="DO177" s="239">
        <v>-999</v>
      </c>
      <c r="DP177" s="239">
        <v>-111</v>
      </c>
      <c r="DQ177" s="239">
        <v>609</v>
      </c>
      <c r="DR177" s="239">
        <v>137</v>
      </c>
      <c r="DS177" s="239">
        <v>15</v>
      </c>
      <c r="DT177" s="239">
        <v>0</v>
      </c>
      <c r="DU177" s="239">
        <v>0</v>
      </c>
      <c r="DV177" s="239">
        <v>0</v>
      </c>
      <c r="DW177" s="239">
        <v>609</v>
      </c>
      <c r="DX177" s="239">
        <v>137</v>
      </c>
      <c r="DY177" s="239">
        <v>15</v>
      </c>
      <c r="DZ177" s="239">
        <v>10413</v>
      </c>
      <c r="EA177" s="239">
        <v>2343</v>
      </c>
      <c r="EB177" s="239">
        <v>260</v>
      </c>
      <c r="EC177" s="239">
        <v>13185</v>
      </c>
      <c r="ED177" s="239">
        <v>0</v>
      </c>
      <c r="EE177" s="239">
        <v>0</v>
      </c>
      <c r="EF177" s="239">
        <v>-2772</v>
      </c>
      <c r="EG177" s="239">
        <v>2343</v>
      </c>
      <c r="EH177" s="239">
        <v>260</v>
      </c>
      <c r="EI177" s="239">
        <v>34794</v>
      </c>
      <c r="EJ177" s="239">
        <v>7829</v>
      </c>
      <c r="EK177" s="239">
        <v>870</v>
      </c>
      <c r="EL177" s="239">
        <v>174652</v>
      </c>
      <c r="EM177" s="239">
        <v>0</v>
      </c>
      <c r="EN177" s="239">
        <v>0</v>
      </c>
      <c r="EO177" s="239">
        <v>-139858</v>
      </c>
      <c r="EP177" s="239">
        <v>7829</v>
      </c>
      <c r="EQ177" s="239">
        <v>870</v>
      </c>
      <c r="ER177" s="239">
        <v>18323</v>
      </c>
      <c r="ES177" s="239">
        <v>4123</v>
      </c>
      <c r="ET177" s="239">
        <v>458</v>
      </c>
      <c r="EU177" s="239">
        <v>19256</v>
      </c>
      <c r="EV177" s="239">
        <v>0</v>
      </c>
      <c r="EW177" s="239">
        <v>0</v>
      </c>
      <c r="EX177" s="239">
        <v>-933</v>
      </c>
      <c r="EY177" s="239">
        <v>4123</v>
      </c>
      <c r="EZ177" s="239">
        <v>458</v>
      </c>
      <c r="FA177" s="239">
        <v>257026</v>
      </c>
      <c r="FB177" s="239">
        <v>57555</v>
      </c>
      <c r="FC177" s="239">
        <v>6201</v>
      </c>
      <c r="FD177" s="239">
        <v>255082</v>
      </c>
      <c r="FE177" s="239">
        <v>56819</v>
      </c>
      <c r="FF177" s="239">
        <v>6313</v>
      </c>
      <c r="FG177" s="239">
        <v>1944</v>
      </c>
      <c r="FH177" s="239">
        <v>736</v>
      </c>
      <c r="FI177" s="239">
        <v>-112</v>
      </c>
      <c r="FJ177" s="239">
        <v>0</v>
      </c>
      <c r="FK177" s="239">
        <v>0</v>
      </c>
      <c r="FL177" s="239">
        <v>0</v>
      </c>
      <c r="FM177" s="239">
        <v>0</v>
      </c>
      <c r="FN177" s="239">
        <v>0</v>
      </c>
      <c r="FO177" s="239">
        <v>0</v>
      </c>
      <c r="FP177" s="239">
        <v>0</v>
      </c>
      <c r="FQ177" s="239">
        <v>0</v>
      </c>
      <c r="FR177" s="239">
        <v>0</v>
      </c>
      <c r="FS177" s="239">
        <v>0</v>
      </c>
      <c r="FT177" s="239">
        <v>0</v>
      </c>
      <c r="FU177" s="239">
        <v>0</v>
      </c>
      <c r="FV177" s="239">
        <v>1476443</v>
      </c>
      <c r="FW177" s="239">
        <v>331924</v>
      </c>
      <c r="FX177" s="239">
        <v>36686</v>
      </c>
      <c r="FY177" s="834">
        <v>0.5</v>
      </c>
      <c r="FZ177" s="834">
        <v>0.4</v>
      </c>
      <c r="GA177" s="834">
        <v>0.09</v>
      </c>
      <c r="GB177" s="834">
        <v>0.01</v>
      </c>
      <c r="GC177" s="214" t="s">
        <v>1158</v>
      </c>
    </row>
    <row r="178" spans="2:185" s="214" customFormat="1" x14ac:dyDescent="0.2">
      <c r="B178" s="602" t="s">
        <v>439</v>
      </c>
      <c r="C178" s="602" t="s">
        <v>1065</v>
      </c>
      <c r="D178" s="239">
        <v>-10147060</v>
      </c>
      <c r="E178" s="239">
        <v>-1021730</v>
      </c>
      <c r="F178" s="239">
        <v>-11168790</v>
      </c>
      <c r="G178" s="239">
        <v>-10833651</v>
      </c>
      <c r="H178" s="239">
        <v>-1040725</v>
      </c>
      <c r="I178" s="239">
        <v>-11874376</v>
      </c>
      <c r="J178" s="239">
        <v>686591</v>
      </c>
      <c r="K178" s="239">
        <v>18995</v>
      </c>
      <c r="L178" s="239">
        <v>705586</v>
      </c>
      <c r="M178" s="239">
        <v>463069</v>
      </c>
      <c r="N178" s="239">
        <v>463069</v>
      </c>
      <c r="O178" s="239">
        <v>0</v>
      </c>
      <c r="P178" s="239">
        <v>1966079</v>
      </c>
      <c r="Q178" s="239">
        <v>603613</v>
      </c>
      <c r="R178" s="239">
        <v>1362466</v>
      </c>
      <c r="S178" s="239">
        <v>0</v>
      </c>
      <c r="T178" s="239">
        <v>0</v>
      </c>
      <c r="U178" s="239">
        <v>0</v>
      </c>
      <c r="V178" s="239">
        <v>0</v>
      </c>
      <c r="W178" s="239">
        <v>0</v>
      </c>
      <c r="X178" s="239">
        <v>0</v>
      </c>
      <c r="Y178" s="239">
        <v>0</v>
      </c>
      <c r="Z178" s="239">
        <v>0</v>
      </c>
      <c r="AA178" s="239">
        <v>0</v>
      </c>
      <c r="AB178" s="239">
        <v>0</v>
      </c>
      <c r="AC178" s="239">
        <v>0</v>
      </c>
      <c r="AD178" s="239">
        <v>0</v>
      </c>
      <c r="AE178" s="239">
        <v>0</v>
      </c>
      <c r="AF178" s="239">
        <v>0</v>
      </c>
      <c r="AG178" s="239">
        <v>0</v>
      </c>
      <c r="AH178" s="239">
        <v>0</v>
      </c>
      <c r="AI178" s="239">
        <v>0</v>
      </c>
      <c r="AJ178" s="239">
        <v>0</v>
      </c>
      <c r="AK178" s="239">
        <v>0</v>
      </c>
      <c r="AL178" s="239">
        <v>0</v>
      </c>
      <c r="AM178" s="239">
        <v>0</v>
      </c>
      <c r="AN178" s="239">
        <v>0</v>
      </c>
      <c r="AO178" s="239">
        <v>0</v>
      </c>
      <c r="AP178" s="239">
        <v>0</v>
      </c>
      <c r="AQ178" s="239">
        <v>0</v>
      </c>
      <c r="AR178" s="239">
        <v>0</v>
      </c>
      <c r="AS178" s="239">
        <v>0</v>
      </c>
      <c r="AT178" s="239">
        <v>0</v>
      </c>
      <c r="AU178" s="239">
        <v>0</v>
      </c>
      <c r="AV178" s="239">
        <v>0</v>
      </c>
      <c r="AW178" s="239">
        <v>0</v>
      </c>
      <c r="AX178" s="239">
        <v>0</v>
      </c>
      <c r="AY178" s="239">
        <v>0</v>
      </c>
      <c r="AZ178" s="239">
        <v>0</v>
      </c>
      <c r="BA178" s="239">
        <v>0</v>
      </c>
      <c r="BB178" s="239">
        <v>0</v>
      </c>
      <c r="BC178" s="239">
        <v>2844943</v>
      </c>
      <c r="BD178" s="239">
        <v>0</v>
      </c>
      <c r="BE178" s="239">
        <v>57362</v>
      </c>
      <c r="BF178" s="239">
        <v>2766727.2973537333</v>
      </c>
      <c r="BG178" s="239">
        <v>0</v>
      </c>
      <c r="BH178" s="239">
        <v>55784.411028240334</v>
      </c>
      <c r="BI178" s="239">
        <v>235087.3870225322</v>
      </c>
      <c r="BJ178" s="239">
        <v>0</v>
      </c>
      <c r="BK178" s="239">
        <v>4431.6674302575111</v>
      </c>
      <c r="BL178" s="239">
        <v>2874613</v>
      </c>
      <c r="BM178" s="239">
        <v>0</v>
      </c>
      <c r="BN178" s="239">
        <v>40564</v>
      </c>
      <c r="BO178" s="239">
        <v>-29670</v>
      </c>
      <c r="BP178" s="239">
        <v>0</v>
      </c>
      <c r="BQ178" s="239">
        <v>16798</v>
      </c>
      <c r="BR178" s="239">
        <v>15017</v>
      </c>
      <c r="BS178" s="239">
        <v>0</v>
      </c>
      <c r="BT178" s="239">
        <v>299</v>
      </c>
      <c r="BU178" s="239">
        <v>12452</v>
      </c>
      <c r="BV178" s="239">
        <v>0</v>
      </c>
      <c r="BW178" s="239">
        <v>254</v>
      </c>
      <c r="BX178" s="239">
        <v>2565</v>
      </c>
      <c r="BY178" s="239">
        <v>0</v>
      </c>
      <c r="BZ178" s="239">
        <v>45</v>
      </c>
      <c r="CA178" s="239">
        <v>36190</v>
      </c>
      <c r="CB178" s="239">
        <v>0</v>
      </c>
      <c r="CC178" s="239">
        <v>739</v>
      </c>
      <c r="CD178" s="239">
        <v>0</v>
      </c>
      <c r="CE178" s="239">
        <v>0</v>
      </c>
      <c r="CF178" s="239">
        <v>0</v>
      </c>
      <c r="CG178" s="239">
        <v>36190</v>
      </c>
      <c r="CH178" s="239">
        <v>0</v>
      </c>
      <c r="CI178" s="239">
        <v>739</v>
      </c>
      <c r="CJ178" s="239">
        <v>0</v>
      </c>
      <c r="CK178" s="239">
        <v>0</v>
      </c>
      <c r="CL178" s="239">
        <v>0</v>
      </c>
      <c r="CM178" s="239">
        <v>47250</v>
      </c>
      <c r="CN178" s="239">
        <v>0</v>
      </c>
      <c r="CO178" s="239">
        <v>964</v>
      </c>
      <c r="CP178" s="239">
        <v>-47250</v>
      </c>
      <c r="CQ178" s="239">
        <v>0</v>
      </c>
      <c r="CR178" s="239">
        <v>-964</v>
      </c>
      <c r="CS178" s="239">
        <v>-2931</v>
      </c>
      <c r="CT178" s="239">
        <v>0</v>
      </c>
      <c r="CU178" s="239">
        <v>-60</v>
      </c>
      <c r="CV178" s="239">
        <v>0</v>
      </c>
      <c r="CW178" s="239">
        <v>0</v>
      </c>
      <c r="CX178" s="239">
        <v>0</v>
      </c>
      <c r="CY178" s="239">
        <v>0</v>
      </c>
      <c r="CZ178" s="239">
        <v>0</v>
      </c>
      <c r="DA178" s="239">
        <v>0</v>
      </c>
      <c r="DB178" s="239">
        <v>0</v>
      </c>
      <c r="DC178" s="239">
        <v>0</v>
      </c>
      <c r="DD178" s="239">
        <v>0</v>
      </c>
      <c r="DE178" s="239">
        <v>0</v>
      </c>
      <c r="DF178" s="239">
        <v>0</v>
      </c>
      <c r="DG178" s="239">
        <v>0</v>
      </c>
      <c r="DH178" s="239">
        <v>0</v>
      </c>
      <c r="DI178" s="239">
        <v>0</v>
      </c>
      <c r="DJ178" s="239">
        <v>0</v>
      </c>
      <c r="DK178" s="239">
        <v>0</v>
      </c>
      <c r="DL178" s="239">
        <v>0</v>
      </c>
      <c r="DM178" s="239">
        <v>0</v>
      </c>
      <c r="DN178" s="239">
        <v>0</v>
      </c>
      <c r="DO178" s="239">
        <v>0</v>
      </c>
      <c r="DP178" s="239">
        <v>0</v>
      </c>
      <c r="DQ178" s="239">
        <v>0</v>
      </c>
      <c r="DR178" s="239">
        <v>0</v>
      </c>
      <c r="DS178" s="239">
        <v>0</v>
      </c>
      <c r="DT178" s="239">
        <v>0</v>
      </c>
      <c r="DU178" s="239">
        <v>0</v>
      </c>
      <c r="DV178" s="239">
        <v>0</v>
      </c>
      <c r="DW178" s="239">
        <v>0</v>
      </c>
      <c r="DX178" s="239">
        <v>0</v>
      </c>
      <c r="DY178" s="239">
        <v>0</v>
      </c>
      <c r="DZ178" s="239">
        <v>28620</v>
      </c>
      <c r="EA178" s="239">
        <v>0</v>
      </c>
      <c r="EB178" s="239">
        <v>584</v>
      </c>
      <c r="EC178" s="239">
        <v>29563</v>
      </c>
      <c r="ED178" s="239">
        <v>0</v>
      </c>
      <c r="EE178" s="239">
        <v>0</v>
      </c>
      <c r="EF178" s="239">
        <v>-943</v>
      </c>
      <c r="EG178" s="239">
        <v>0</v>
      </c>
      <c r="EH178" s="239">
        <v>584</v>
      </c>
      <c r="EI178" s="239">
        <v>365154</v>
      </c>
      <c r="EJ178" s="239">
        <v>0</v>
      </c>
      <c r="EK178" s="239">
        <v>6061</v>
      </c>
      <c r="EL178" s="239">
        <v>333856</v>
      </c>
      <c r="EM178" s="239">
        <v>0</v>
      </c>
      <c r="EN178" s="239">
        <v>0</v>
      </c>
      <c r="EO178" s="239">
        <v>31298</v>
      </c>
      <c r="EP178" s="239">
        <v>0</v>
      </c>
      <c r="EQ178" s="239">
        <v>6061</v>
      </c>
      <c r="ER178" s="239">
        <v>52133</v>
      </c>
      <c r="ES178" s="239">
        <v>0</v>
      </c>
      <c r="ET178" s="239">
        <v>1002</v>
      </c>
      <c r="EU178" s="239">
        <v>53287</v>
      </c>
      <c r="EV178" s="239">
        <v>0</v>
      </c>
      <c r="EW178" s="239">
        <v>0</v>
      </c>
      <c r="EX178" s="239">
        <v>-1154</v>
      </c>
      <c r="EY178" s="239">
        <v>0</v>
      </c>
      <c r="EZ178" s="239">
        <v>1002</v>
      </c>
      <c r="FA178" s="239">
        <v>1016983</v>
      </c>
      <c r="FB178" s="239">
        <v>0</v>
      </c>
      <c r="FC178" s="239">
        <v>20152</v>
      </c>
      <c r="FD178" s="239">
        <v>1014118</v>
      </c>
      <c r="FE178" s="239">
        <v>0</v>
      </c>
      <c r="FF178" s="239">
        <v>20511</v>
      </c>
      <c r="FG178" s="239">
        <v>2865</v>
      </c>
      <c r="FH178" s="239">
        <v>0</v>
      </c>
      <c r="FI178" s="239">
        <v>-359</v>
      </c>
      <c r="FJ178" s="239">
        <v>0</v>
      </c>
      <c r="FK178" s="239">
        <v>0</v>
      </c>
      <c r="FL178" s="239">
        <v>0</v>
      </c>
      <c r="FM178" s="239">
        <v>0</v>
      </c>
      <c r="FN178" s="239">
        <v>0</v>
      </c>
      <c r="FO178" s="239">
        <v>0</v>
      </c>
      <c r="FP178" s="239">
        <v>0</v>
      </c>
      <c r="FQ178" s="239">
        <v>0</v>
      </c>
      <c r="FR178" s="239">
        <v>0</v>
      </c>
      <c r="FS178" s="239">
        <v>0</v>
      </c>
      <c r="FT178" s="239">
        <v>0</v>
      </c>
      <c r="FU178" s="239">
        <v>0</v>
      </c>
      <c r="FV178" s="239">
        <v>4356109</v>
      </c>
      <c r="FW178" s="239">
        <v>0</v>
      </c>
      <c r="FX178" s="239">
        <v>86139</v>
      </c>
      <c r="FY178" s="834">
        <v>0.5</v>
      </c>
      <c r="FZ178" s="834">
        <v>0.49</v>
      </c>
      <c r="GA178" s="834">
        <v>0</v>
      </c>
      <c r="GB178" s="834">
        <v>0.01</v>
      </c>
      <c r="GC178" s="214" t="s">
        <v>1160</v>
      </c>
    </row>
    <row r="179" spans="2:185" s="214" customFormat="1" x14ac:dyDescent="0.2">
      <c r="B179" s="602" t="s">
        <v>441</v>
      </c>
      <c r="C179" s="602" t="s">
        <v>440</v>
      </c>
      <c r="D179" s="239">
        <v>-907101</v>
      </c>
      <c r="E179" s="239">
        <v>0</v>
      </c>
      <c r="F179" s="239">
        <v>-907101</v>
      </c>
      <c r="G179" s="239">
        <v>-561947</v>
      </c>
      <c r="H179" s="239">
        <v>0</v>
      </c>
      <c r="I179" s="239">
        <v>-561947</v>
      </c>
      <c r="J179" s="239">
        <v>-345154</v>
      </c>
      <c r="K179" s="239">
        <v>0</v>
      </c>
      <c r="L179" s="239">
        <v>-345154</v>
      </c>
      <c r="M179" s="239">
        <v>137513</v>
      </c>
      <c r="N179" s="239">
        <v>137513</v>
      </c>
      <c r="O179" s="239">
        <v>0</v>
      </c>
      <c r="P179" s="239">
        <v>0</v>
      </c>
      <c r="Q179" s="239">
        <v>0</v>
      </c>
      <c r="R179" s="239">
        <v>0</v>
      </c>
      <c r="S179" s="239">
        <v>0</v>
      </c>
      <c r="T179" s="239">
        <v>0</v>
      </c>
      <c r="U179" s="239">
        <v>0</v>
      </c>
      <c r="V179" s="239">
        <v>0</v>
      </c>
      <c r="W179" s="239">
        <v>0</v>
      </c>
      <c r="X179" s="239">
        <v>0</v>
      </c>
      <c r="Y179" s="239">
        <v>0</v>
      </c>
      <c r="Z179" s="239">
        <v>0</v>
      </c>
      <c r="AA179" s="239">
        <v>0</v>
      </c>
      <c r="AB179" s="239">
        <v>0</v>
      </c>
      <c r="AC179" s="239">
        <v>0</v>
      </c>
      <c r="AD179" s="239">
        <v>0</v>
      </c>
      <c r="AE179" s="239">
        <v>0</v>
      </c>
      <c r="AF179" s="239">
        <v>0</v>
      </c>
      <c r="AG179" s="239">
        <v>0</v>
      </c>
      <c r="AH179" s="239">
        <v>0</v>
      </c>
      <c r="AI179" s="239">
        <v>0</v>
      </c>
      <c r="AJ179" s="239">
        <v>0</v>
      </c>
      <c r="AK179" s="239">
        <v>0</v>
      </c>
      <c r="AL179" s="239">
        <v>0</v>
      </c>
      <c r="AM179" s="239">
        <v>0</v>
      </c>
      <c r="AN179" s="239">
        <v>0</v>
      </c>
      <c r="AO179" s="239">
        <v>0</v>
      </c>
      <c r="AP179" s="239">
        <v>0</v>
      </c>
      <c r="AQ179" s="239">
        <v>0</v>
      </c>
      <c r="AR179" s="239">
        <v>0</v>
      </c>
      <c r="AS179" s="239">
        <v>0</v>
      </c>
      <c r="AT179" s="239">
        <v>0</v>
      </c>
      <c r="AU179" s="239">
        <v>0</v>
      </c>
      <c r="AV179" s="239">
        <v>0</v>
      </c>
      <c r="AW179" s="239">
        <v>0</v>
      </c>
      <c r="AX179" s="239">
        <v>0</v>
      </c>
      <c r="AY179" s="239">
        <v>0</v>
      </c>
      <c r="AZ179" s="239">
        <v>0</v>
      </c>
      <c r="BA179" s="239">
        <v>0</v>
      </c>
      <c r="BB179" s="239">
        <v>0</v>
      </c>
      <c r="BC179" s="239">
        <v>1013373</v>
      </c>
      <c r="BD179" s="239">
        <v>228009</v>
      </c>
      <c r="BE179" s="239">
        <v>25334</v>
      </c>
      <c r="BF179" s="239">
        <v>990376.85796995717</v>
      </c>
      <c r="BG179" s="239">
        <v>222834.79304324035</v>
      </c>
      <c r="BH179" s="239">
        <v>24759.42144924893</v>
      </c>
      <c r="BI179" s="239">
        <v>65887.986480686697</v>
      </c>
      <c r="BJ179" s="239">
        <v>14824.796958154506</v>
      </c>
      <c r="BK179" s="239">
        <v>1647.1996620171674</v>
      </c>
      <c r="BL179" s="239">
        <v>865578</v>
      </c>
      <c r="BM179" s="239">
        <v>134083</v>
      </c>
      <c r="BN179" s="239">
        <v>14898</v>
      </c>
      <c r="BO179" s="239">
        <v>147795</v>
      </c>
      <c r="BP179" s="239">
        <v>93926</v>
      </c>
      <c r="BQ179" s="239">
        <v>10436</v>
      </c>
      <c r="BR179" s="239">
        <v>0</v>
      </c>
      <c r="BS179" s="239">
        <v>0</v>
      </c>
      <c r="BT179" s="239">
        <v>0</v>
      </c>
      <c r="BU179" s="239">
        <v>0</v>
      </c>
      <c r="BV179" s="239">
        <v>0</v>
      </c>
      <c r="BW179" s="239">
        <v>0</v>
      </c>
      <c r="BX179" s="239">
        <v>0</v>
      </c>
      <c r="BY179" s="239">
        <v>0</v>
      </c>
      <c r="BZ179" s="239">
        <v>0</v>
      </c>
      <c r="CA179" s="239">
        <v>0</v>
      </c>
      <c r="CB179" s="239">
        <v>0</v>
      </c>
      <c r="CC179" s="239">
        <v>0</v>
      </c>
      <c r="CD179" s="239">
        <v>0</v>
      </c>
      <c r="CE179" s="239">
        <v>0</v>
      </c>
      <c r="CF179" s="239">
        <v>0</v>
      </c>
      <c r="CG179" s="239">
        <v>0</v>
      </c>
      <c r="CH179" s="239">
        <v>0</v>
      </c>
      <c r="CI179" s="239">
        <v>0</v>
      </c>
      <c r="CJ179" s="239">
        <v>0</v>
      </c>
      <c r="CK179" s="239">
        <v>0</v>
      </c>
      <c r="CL179" s="239">
        <v>0</v>
      </c>
      <c r="CM179" s="239">
        <v>28569</v>
      </c>
      <c r="CN179" s="239">
        <v>6428</v>
      </c>
      <c r="CO179" s="239">
        <v>714</v>
      </c>
      <c r="CP179" s="239">
        <v>-28569</v>
      </c>
      <c r="CQ179" s="239">
        <v>-6428</v>
      </c>
      <c r="CR179" s="239">
        <v>-714</v>
      </c>
      <c r="CS179" s="239">
        <v>-2456</v>
      </c>
      <c r="CT179" s="239">
        <v>-552</v>
      </c>
      <c r="CU179" s="239">
        <v>-61</v>
      </c>
      <c r="CV179" s="239">
        <v>0</v>
      </c>
      <c r="CW179" s="239">
        <v>0</v>
      </c>
      <c r="CX179" s="239">
        <v>0</v>
      </c>
      <c r="CY179" s="239">
        <v>0</v>
      </c>
      <c r="CZ179" s="239">
        <v>0</v>
      </c>
      <c r="DA179" s="239">
        <v>0</v>
      </c>
      <c r="DB179" s="239">
        <v>0</v>
      </c>
      <c r="DC179" s="239">
        <v>0</v>
      </c>
      <c r="DD179" s="239">
        <v>0</v>
      </c>
      <c r="DE179" s="239">
        <v>0</v>
      </c>
      <c r="DF179" s="239">
        <v>0</v>
      </c>
      <c r="DG179" s="239">
        <v>0</v>
      </c>
      <c r="DH179" s="239">
        <v>0</v>
      </c>
      <c r="DI179" s="239">
        <v>0</v>
      </c>
      <c r="DJ179" s="239">
        <v>0</v>
      </c>
      <c r="DK179" s="239">
        <v>5299</v>
      </c>
      <c r="DL179" s="239">
        <v>1193</v>
      </c>
      <c r="DM179" s="239">
        <v>133</v>
      </c>
      <c r="DN179" s="239">
        <v>-5299</v>
      </c>
      <c r="DO179" s="239">
        <v>-1193</v>
      </c>
      <c r="DP179" s="239">
        <v>-133</v>
      </c>
      <c r="DQ179" s="239">
        <v>0</v>
      </c>
      <c r="DR179" s="239">
        <v>0</v>
      </c>
      <c r="DS179" s="239">
        <v>0</v>
      </c>
      <c r="DT179" s="239">
        <v>0</v>
      </c>
      <c r="DU179" s="239">
        <v>0</v>
      </c>
      <c r="DV179" s="239">
        <v>0</v>
      </c>
      <c r="DW179" s="239">
        <v>0</v>
      </c>
      <c r="DX179" s="239">
        <v>0</v>
      </c>
      <c r="DY179" s="239">
        <v>0</v>
      </c>
      <c r="DZ179" s="239">
        <v>8546</v>
      </c>
      <c r="EA179" s="239">
        <v>1923</v>
      </c>
      <c r="EB179" s="239">
        <v>214</v>
      </c>
      <c r="EC179" s="239">
        <v>11726</v>
      </c>
      <c r="ED179" s="239">
        <v>0</v>
      </c>
      <c r="EE179" s="239">
        <v>0</v>
      </c>
      <c r="EF179" s="239">
        <v>-3180</v>
      </c>
      <c r="EG179" s="239">
        <v>1923</v>
      </c>
      <c r="EH179" s="239">
        <v>214</v>
      </c>
      <c r="EI179" s="239">
        <v>110667</v>
      </c>
      <c r="EJ179" s="239">
        <v>24900</v>
      </c>
      <c r="EK179" s="239">
        <v>2767</v>
      </c>
      <c r="EL179" s="239">
        <v>136286</v>
      </c>
      <c r="EM179" s="239">
        <v>0</v>
      </c>
      <c r="EN179" s="239">
        <v>0</v>
      </c>
      <c r="EO179" s="239">
        <v>-25619</v>
      </c>
      <c r="EP179" s="239">
        <v>24900</v>
      </c>
      <c r="EQ179" s="239">
        <v>2767</v>
      </c>
      <c r="ER179" s="239">
        <v>18200</v>
      </c>
      <c r="ES179" s="239">
        <v>4095</v>
      </c>
      <c r="ET179" s="239">
        <v>455</v>
      </c>
      <c r="EU179" s="239">
        <v>22390</v>
      </c>
      <c r="EV179" s="239">
        <v>0</v>
      </c>
      <c r="EW179" s="239">
        <v>0</v>
      </c>
      <c r="EX179" s="239">
        <v>-4190</v>
      </c>
      <c r="EY179" s="239">
        <v>4095</v>
      </c>
      <c r="EZ179" s="239">
        <v>455</v>
      </c>
      <c r="FA179" s="239">
        <v>183633</v>
      </c>
      <c r="FB179" s="239">
        <v>41317</v>
      </c>
      <c r="FC179" s="239">
        <v>4591</v>
      </c>
      <c r="FD179" s="239">
        <v>194467</v>
      </c>
      <c r="FE179" s="239">
        <v>43755</v>
      </c>
      <c r="FF179" s="239">
        <v>4862</v>
      </c>
      <c r="FG179" s="239">
        <v>-10834</v>
      </c>
      <c r="FH179" s="239">
        <v>-2438</v>
      </c>
      <c r="FI179" s="239">
        <v>-271</v>
      </c>
      <c r="FJ179" s="239">
        <v>0</v>
      </c>
      <c r="FK179" s="239">
        <v>0</v>
      </c>
      <c r="FL179" s="239">
        <v>0</v>
      </c>
      <c r="FM179" s="239">
        <v>0</v>
      </c>
      <c r="FN179" s="239">
        <v>0</v>
      </c>
      <c r="FO179" s="239">
        <v>0</v>
      </c>
      <c r="FP179" s="239">
        <v>0</v>
      </c>
      <c r="FQ179" s="239">
        <v>0</v>
      </c>
      <c r="FR179" s="239">
        <v>0</v>
      </c>
      <c r="FS179" s="239">
        <v>0</v>
      </c>
      <c r="FT179" s="239">
        <v>0</v>
      </c>
      <c r="FU179" s="239">
        <v>0</v>
      </c>
      <c r="FV179" s="239">
        <v>1331963</v>
      </c>
      <c r="FW179" s="239">
        <v>299692</v>
      </c>
      <c r="FX179" s="239">
        <v>33300</v>
      </c>
      <c r="FY179" s="834">
        <v>0.5</v>
      </c>
      <c r="FZ179" s="834">
        <v>0.4</v>
      </c>
      <c r="GA179" s="834">
        <v>0.09</v>
      </c>
      <c r="GB179" s="834">
        <v>0.01</v>
      </c>
      <c r="GC179" s="214" t="s">
        <v>1158</v>
      </c>
    </row>
    <row r="180" spans="2:185" s="214" customFormat="1" x14ac:dyDescent="0.2">
      <c r="B180" s="602" t="s">
        <v>443</v>
      </c>
      <c r="C180" s="602" t="s">
        <v>442</v>
      </c>
      <c r="D180" s="239">
        <v>4946539</v>
      </c>
      <c r="E180" s="239">
        <v>5492</v>
      </c>
      <c r="F180" s="239">
        <v>4952031</v>
      </c>
      <c r="G180" s="239">
        <v>6073151</v>
      </c>
      <c r="H180" s="239">
        <v>-27646</v>
      </c>
      <c r="I180" s="239">
        <v>6045505</v>
      </c>
      <c r="J180" s="239">
        <v>-1126612</v>
      </c>
      <c r="K180" s="239">
        <v>33138</v>
      </c>
      <c r="L180" s="239">
        <v>-1093474</v>
      </c>
      <c r="M180" s="239">
        <v>381427</v>
      </c>
      <c r="N180" s="239">
        <v>381427</v>
      </c>
      <c r="O180" s="239">
        <v>0</v>
      </c>
      <c r="P180" s="239">
        <v>576599</v>
      </c>
      <c r="Q180" s="239">
        <v>367341</v>
      </c>
      <c r="R180" s="239">
        <v>209258</v>
      </c>
      <c r="S180" s="239">
        <v>0</v>
      </c>
      <c r="T180" s="239">
        <v>0</v>
      </c>
      <c r="U180" s="239">
        <v>0</v>
      </c>
      <c r="V180" s="239">
        <v>0</v>
      </c>
      <c r="W180" s="239">
        <v>0</v>
      </c>
      <c r="X180" s="239">
        <v>0</v>
      </c>
      <c r="Y180" s="239">
        <v>0</v>
      </c>
      <c r="Z180" s="239">
        <v>0</v>
      </c>
      <c r="AA180" s="239">
        <v>0</v>
      </c>
      <c r="AB180" s="239">
        <v>0</v>
      </c>
      <c r="AC180" s="239">
        <v>76405</v>
      </c>
      <c r="AD180" s="239">
        <v>76405</v>
      </c>
      <c r="AE180" s="239">
        <v>0</v>
      </c>
      <c r="AF180" s="239">
        <v>0</v>
      </c>
      <c r="AG180" s="239">
        <v>-76405</v>
      </c>
      <c r="AH180" s="239">
        <v>-76405</v>
      </c>
      <c r="AI180" s="239">
        <v>0</v>
      </c>
      <c r="AJ180" s="239">
        <v>0</v>
      </c>
      <c r="AK180" s="239">
        <v>0</v>
      </c>
      <c r="AL180" s="239">
        <v>0</v>
      </c>
      <c r="AM180" s="239">
        <v>0</v>
      </c>
      <c r="AN180" s="239">
        <v>0</v>
      </c>
      <c r="AO180" s="239">
        <v>0</v>
      </c>
      <c r="AP180" s="239">
        <v>0</v>
      </c>
      <c r="AQ180" s="239">
        <v>0</v>
      </c>
      <c r="AR180" s="239">
        <v>0</v>
      </c>
      <c r="AS180" s="239">
        <v>0</v>
      </c>
      <c r="AT180" s="239">
        <v>0</v>
      </c>
      <c r="AU180" s="239">
        <v>0</v>
      </c>
      <c r="AV180" s="239">
        <v>0</v>
      </c>
      <c r="AW180" s="239">
        <v>0</v>
      </c>
      <c r="AX180" s="239">
        <v>0</v>
      </c>
      <c r="AY180" s="239">
        <v>0</v>
      </c>
      <c r="AZ180" s="239">
        <v>0</v>
      </c>
      <c r="BA180" s="239">
        <v>0</v>
      </c>
      <c r="BB180" s="239">
        <v>0</v>
      </c>
      <c r="BC180" s="239">
        <v>1781402</v>
      </c>
      <c r="BD180" s="239">
        <v>2186215</v>
      </c>
      <c r="BE180" s="239">
        <v>0</v>
      </c>
      <c r="BF180" s="239">
        <v>1743898.8587536481</v>
      </c>
      <c r="BG180" s="239">
        <v>2140188.9556181971</v>
      </c>
      <c r="BH180" s="239">
        <v>0</v>
      </c>
      <c r="BI180" s="239">
        <v>98190.22732832616</v>
      </c>
      <c r="BJ180" s="239">
        <v>118861.13985300426</v>
      </c>
      <c r="BK180" s="239">
        <v>0</v>
      </c>
      <c r="BL180" s="239">
        <v>2380100</v>
      </c>
      <c r="BM180" s="239">
        <v>1354914</v>
      </c>
      <c r="BN180" s="239">
        <v>0</v>
      </c>
      <c r="BO180" s="239">
        <v>-598698</v>
      </c>
      <c r="BP180" s="239">
        <v>831301</v>
      </c>
      <c r="BQ180" s="239">
        <v>0</v>
      </c>
      <c r="BR180" s="239">
        <v>0</v>
      </c>
      <c r="BS180" s="239">
        <v>0</v>
      </c>
      <c r="BT180" s="239">
        <v>0</v>
      </c>
      <c r="BU180" s="239">
        <v>0</v>
      </c>
      <c r="BV180" s="239">
        <v>0</v>
      </c>
      <c r="BW180" s="239">
        <v>0</v>
      </c>
      <c r="BX180" s="239">
        <v>0</v>
      </c>
      <c r="BY180" s="239">
        <v>0</v>
      </c>
      <c r="BZ180" s="239">
        <v>0</v>
      </c>
      <c r="CA180" s="239">
        <v>3750</v>
      </c>
      <c r="CB180" s="239">
        <v>4625</v>
      </c>
      <c r="CC180" s="239">
        <v>0</v>
      </c>
      <c r="CD180" s="239">
        <v>0</v>
      </c>
      <c r="CE180" s="239">
        <v>0</v>
      </c>
      <c r="CF180" s="239">
        <v>0</v>
      </c>
      <c r="CG180" s="239">
        <v>3750</v>
      </c>
      <c r="CH180" s="239">
        <v>4625</v>
      </c>
      <c r="CI180" s="239">
        <v>0</v>
      </c>
      <c r="CJ180" s="239">
        <v>-2172</v>
      </c>
      <c r="CK180" s="239">
        <v>-2679</v>
      </c>
      <c r="CL180" s="239">
        <v>0</v>
      </c>
      <c r="CM180" s="239">
        <v>0</v>
      </c>
      <c r="CN180" s="239">
        <v>0</v>
      </c>
      <c r="CO180" s="239">
        <v>0</v>
      </c>
      <c r="CP180" s="239">
        <v>-2172</v>
      </c>
      <c r="CQ180" s="239">
        <v>-2679</v>
      </c>
      <c r="CR180" s="239">
        <v>0</v>
      </c>
      <c r="CS180" s="239">
        <v>-1311</v>
      </c>
      <c r="CT180" s="239">
        <v>-1617</v>
      </c>
      <c r="CU180" s="239">
        <v>0</v>
      </c>
      <c r="CV180" s="239">
        <v>0</v>
      </c>
      <c r="CW180" s="239">
        <v>0</v>
      </c>
      <c r="CX180" s="239">
        <v>0</v>
      </c>
      <c r="CY180" s="239">
        <v>0</v>
      </c>
      <c r="CZ180" s="239">
        <v>0</v>
      </c>
      <c r="DA180" s="239">
        <v>0</v>
      </c>
      <c r="DB180" s="239">
        <v>0</v>
      </c>
      <c r="DC180" s="239">
        <v>0</v>
      </c>
      <c r="DD180" s="239">
        <v>0</v>
      </c>
      <c r="DE180" s="239">
        <v>-486</v>
      </c>
      <c r="DF180" s="239">
        <v>-600</v>
      </c>
      <c r="DG180" s="239">
        <v>0</v>
      </c>
      <c r="DH180" s="239">
        <v>0</v>
      </c>
      <c r="DI180" s="239">
        <v>0</v>
      </c>
      <c r="DJ180" s="239">
        <v>0</v>
      </c>
      <c r="DK180" s="239">
        <v>0</v>
      </c>
      <c r="DL180" s="239">
        <v>0</v>
      </c>
      <c r="DM180" s="239">
        <v>0</v>
      </c>
      <c r="DN180" s="239">
        <v>0</v>
      </c>
      <c r="DO180" s="239">
        <v>0</v>
      </c>
      <c r="DP180" s="239">
        <v>0</v>
      </c>
      <c r="DQ180" s="239">
        <v>0</v>
      </c>
      <c r="DR180" s="239">
        <v>0</v>
      </c>
      <c r="DS180" s="239">
        <v>0</v>
      </c>
      <c r="DT180" s="239">
        <v>0</v>
      </c>
      <c r="DU180" s="239">
        <v>0</v>
      </c>
      <c r="DV180" s="239">
        <v>0</v>
      </c>
      <c r="DW180" s="239">
        <v>0</v>
      </c>
      <c r="DX180" s="239">
        <v>0</v>
      </c>
      <c r="DY180" s="239">
        <v>0</v>
      </c>
      <c r="DZ180" s="239">
        <v>31683</v>
      </c>
      <c r="EA180" s="239">
        <v>39075</v>
      </c>
      <c r="EB180" s="239">
        <v>0</v>
      </c>
      <c r="EC180" s="239">
        <v>102010</v>
      </c>
      <c r="ED180" s="239">
        <v>0</v>
      </c>
      <c r="EE180" s="239">
        <v>0</v>
      </c>
      <c r="EF180" s="239">
        <v>-70327</v>
      </c>
      <c r="EG180" s="239">
        <v>39075</v>
      </c>
      <c r="EH180" s="239">
        <v>0</v>
      </c>
      <c r="EI180" s="239">
        <v>466725</v>
      </c>
      <c r="EJ180" s="239">
        <v>573231</v>
      </c>
      <c r="EK180" s="239">
        <v>0</v>
      </c>
      <c r="EL180" s="239">
        <v>1023934</v>
      </c>
      <c r="EM180" s="239">
        <v>0</v>
      </c>
      <c r="EN180" s="239">
        <v>0</v>
      </c>
      <c r="EO180" s="239">
        <v>-557209</v>
      </c>
      <c r="EP180" s="239">
        <v>573231</v>
      </c>
      <c r="EQ180" s="239">
        <v>0</v>
      </c>
      <c r="ER180" s="239">
        <v>4893</v>
      </c>
      <c r="ES180" s="239">
        <v>6035</v>
      </c>
      <c r="ET180" s="239">
        <v>0</v>
      </c>
      <c r="EU180" s="239">
        <v>23802</v>
      </c>
      <c r="EV180" s="239">
        <v>0</v>
      </c>
      <c r="EW180" s="239">
        <v>0</v>
      </c>
      <c r="EX180" s="239">
        <v>-18909</v>
      </c>
      <c r="EY180" s="239">
        <v>6035</v>
      </c>
      <c r="EZ180" s="239">
        <v>0</v>
      </c>
      <c r="FA180" s="239">
        <v>670226</v>
      </c>
      <c r="FB180" s="239">
        <v>815929</v>
      </c>
      <c r="FC180" s="239">
        <v>0</v>
      </c>
      <c r="FD180" s="239">
        <v>670839</v>
      </c>
      <c r="FE180" s="239">
        <v>819147</v>
      </c>
      <c r="FF180" s="239">
        <v>0</v>
      </c>
      <c r="FG180" s="239">
        <v>-613</v>
      </c>
      <c r="FH180" s="239">
        <v>-3218</v>
      </c>
      <c r="FI180" s="239">
        <v>0</v>
      </c>
      <c r="FJ180" s="239">
        <v>0</v>
      </c>
      <c r="FK180" s="239">
        <v>0</v>
      </c>
      <c r="FL180" s="239">
        <v>0</v>
      </c>
      <c r="FM180" s="239">
        <v>0</v>
      </c>
      <c r="FN180" s="239">
        <v>0</v>
      </c>
      <c r="FO180" s="239">
        <v>0</v>
      </c>
      <c r="FP180" s="239">
        <v>0</v>
      </c>
      <c r="FQ180" s="239">
        <v>0</v>
      </c>
      <c r="FR180" s="239">
        <v>0</v>
      </c>
      <c r="FS180" s="239">
        <v>0</v>
      </c>
      <c r="FT180" s="239">
        <v>0</v>
      </c>
      <c r="FU180" s="239">
        <v>0</v>
      </c>
      <c r="FV180" s="239">
        <v>2954710</v>
      </c>
      <c r="FW180" s="239">
        <v>3620214</v>
      </c>
      <c r="FX180" s="239">
        <v>0</v>
      </c>
      <c r="FY180" s="834">
        <v>0.33000000000000007</v>
      </c>
      <c r="FZ180" s="834">
        <v>0.3</v>
      </c>
      <c r="GA180" s="834">
        <v>0.37</v>
      </c>
      <c r="GB180" s="834">
        <v>0</v>
      </c>
      <c r="GC180" s="214" t="s">
        <v>1159</v>
      </c>
    </row>
    <row r="181" spans="2:185" s="214" customFormat="1" x14ac:dyDescent="0.2">
      <c r="B181" s="602" t="s">
        <v>445</v>
      </c>
      <c r="C181" s="602" t="s">
        <v>444</v>
      </c>
      <c r="D181" s="239">
        <v>-1139241</v>
      </c>
      <c r="E181" s="239">
        <v>0</v>
      </c>
      <c r="F181" s="239">
        <v>-1139241</v>
      </c>
      <c r="G181" s="239">
        <v>-1118949</v>
      </c>
      <c r="H181" s="239">
        <v>0</v>
      </c>
      <c r="I181" s="239">
        <v>-1118949</v>
      </c>
      <c r="J181" s="239">
        <v>-20292</v>
      </c>
      <c r="K181" s="239">
        <v>0</v>
      </c>
      <c r="L181" s="239">
        <v>-20292</v>
      </c>
      <c r="M181" s="239">
        <v>201008</v>
      </c>
      <c r="N181" s="239">
        <v>201008</v>
      </c>
      <c r="O181" s="239">
        <v>0</v>
      </c>
      <c r="P181" s="239">
        <v>0</v>
      </c>
      <c r="Q181" s="239">
        <v>0</v>
      </c>
      <c r="R181" s="239">
        <v>0</v>
      </c>
      <c r="S181" s="239">
        <v>358395</v>
      </c>
      <c r="T181" s="239">
        <v>0</v>
      </c>
      <c r="U181" s="239">
        <v>311000</v>
      </c>
      <c r="V181" s="239">
        <v>0</v>
      </c>
      <c r="W181" s="239">
        <v>47395</v>
      </c>
      <c r="X181" s="239">
        <v>0</v>
      </c>
      <c r="Y181" s="239">
        <v>0</v>
      </c>
      <c r="Z181" s="239">
        <v>0</v>
      </c>
      <c r="AA181" s="239">
        <v>0</v>
      </c>
      <c r="AB181" s="239">
        <v>0</v>
      </c>
      <c r="AC181" s="239">
        <v>0</v>
      </c>
      <c r="AD181" s="239">
        <v>0</v>
      </c>
      <c r="AE181" s="239">
        <v>0</v>
      </c>
      <c r="AF181" s="239">
        <v>0</v>
      </c>
      <c r="AG181" s="239">
        <v>0</v>
      </c>
      <c r="AH181" s="239">
        <v>0</v>
      </c>
      <c r="AI181" s="239">
        <v>0</v>
      </c>
      <c r="AJ181" s="239">
        <v>0</v>
      </c>
      <c r="AK181" s="239">
        <v>0</v>
      </c>
      <c r="AL181" s="239">
        <v>0</v>
      </c>
      <c r="AM181" s="239">
        <v>0</v>
      </c>
      <c r="AN181" s="239">
        <v>0</v>
      </c>
      <c r="AO181" s="239">
        <v>0</v>
      </c>
      <c r="AP181" s="239">
        <v>0</v>
      </c>
      <c r="AQ181" s="239">
        <v>0</v>
      </c>
      <c r="AR181" s="239">
        <v>0</v>
      </c>
      <c r="AS181" s="239">
        <v>0</v>
      </c>
      <c r="AT181" s="239">
        <v>0</v>
      </c>
      <c r="AU181" s="239">
        <v>0</v>
      </c>
      <c r="AV181" s="239">
        <v>0</v>
      </c>
      <c r="AW181" s="239">
        <v>0</v>
      </c>
      <c r="AX181" s="239">
        <v>0</v>
      </c>
      <c r="AY181" s="239">
        <v>0</v>
      </c>
      <c r="AZ181" s="239">
        <v>0</v>
      </c>
      <c r="BA181" s="239">
        <v>0</v>
      </c>
      <c r="BB181" s="239">
        <v>0</v>
      </c>
      <c r="BC181" s="239">
        <v>1816297</v>
      </c>
      <c r="BD181" s="239">
        <v>408667</v>
      </c>
      <c r="BE181" s="239">
        <v>45407</v>
      </c>
      <c r="BF181" s="239">
        <v>1789587.9884351932</v>
      </c>
      <c r="BG181" s="239">
        <v>402657.29739791853</v>
      </c>
      <c r="BH181" s="239">
        <v>44739.699710879824</v>
      </c>
      <c r="BI181" s="239">
        <v>78392.888454935615</v>
      </c>
      <c r="BJ181" s="239">
        <v>17638.39990236051</v>
      </c>
      <c r="BK181" s="239">
        <v>1959.8222113733902</v>
      </c>
      <c r="BL181" s="239">
        <v>1636495</v>
      </c>
      <c r="BM181" s="239">
        <v>264425</v>
      </c>
      <c r="BN181" s="239">
        <v>29381</v>
      </c>
      <c r="BO181" s="239">
        <v>179802</v>
      </c>
      <c r="BP181" s="239">
        <v>144242</v>
      </c>
      <c r="BQ181" s="239">
        <v>16026</v>
      </c>
      <c r="BR181" s="239">
        <v>8295</v>
      </c>
      <c r="BS181" s="239">
        <v>1866</v>
      </c>
      <c r="BT181" s="239">
        <v>207</v>
      </c>
      <c r="BU181" s="239">
        <v>2075</v>
      </c>
      <c r="BV181" s="239">
        <v>467</v>
      </c>
      <c r="BW181" s="239">
        <v>52</v>
      </c>
      <c r="BX181" s="239">
        <v>6220</v>
      </c>
      <c r="BY181" s="239">
        <v>1399</v>
      </c>
      <c r="BZ181" s="239">
        <v>155</v>
      </c>
      <c r="CA181" s="239">
        <v>0</v>
      </c>
      <c r="CB181" s="239">
        <v>0</v>
      </c>
      <c r="CC181" s="239">
        <v>0</v>
      </c>
      <c r="CD181" s="239">
        <v>0</v>
      </c>
      <c r="CE181" s="239">
        <v>0</v>
      </c>
      <c r="CF181" s="239">
        <v>0</v>
      </c>
      <c r="CG181" s="239">
        <v>0</v>
      </c>
      <c r="CH181" s="239">
        <v>0</v>
      </c>
      <c r="CI181" s="239">
        <v>0</v>
      </c>
      <c r="CJ181" s="239">
        <v>927</v>
      </c>
      <c r="CK181" s="239">
        <v>209</v>
      </c>
      <c r="CL181" s="239">
        <v>23</v>
      </c>
      <c r="CM181" s="239">
        <v>670</v>
      </c>
      <c r="CN181" s="239">
        <v>151</v>
      </c>
      <c r="CO181" s="239">
        <v>17</v>
      </c>
      <c r="CP181" s="239">
        <v>257</v>
      </c>
      <c r="CQ181" s="239">
        <v>58</v>
      </c>
      <c r="CR181" s="239">
        <v>6</v>
      </c>
      <c r="CS181" s="239">
        <v>-3313</v>
      </c>
      <c r="CT181" s="239">
        <v>-746</v>
      </c>
      <c r="CU181" s="239">
        <v>-83</v>
      </c>
      <c r="CV181" s="239">
        <v>0</v>
      </c>
      <c r="CW181" s="239">
        <v>0</v>
      </c>
      <c r="CX181" s="239">
        <v>0</v>
      </c>
      <c r="CY181" s="239">
        <v>0</v>
      </c>
      <c r="CZ181" s="239">
        <v>0</v>
      </c>
      <c r="DA181" s="239">
        <v>0</v>
      </c>
      <c r="DB181" s="239">
        <v>0</v>
      </c>
      <c r="DC181" s="239">
        <v>0</v>
      </c>
      <c r="DD181" s="239">
        <v>0</v>
      </c>
      <c r="DE181" s="239">
        <v>144</v>
      </c>
      <c r="DF181" s="239">
        <v>32</v>
      </c>
      <c r="DG181" s="239">
        <v>4</v>
      </c>
      <c r="DH181" s="239">
        <v>11595</v>
      </c>
      <c r="DI181" s="239">
        <v>2609</v>
      </c>
      <c r="DJ181" s="239">
        <v>290</v>
      </c>
      <c r="DK181" s="239">
        <v>14140</v>
      </c>
      <c r="DL181" s="239">
        <v>3182</v>
      </c>
      <c r="DM181" s="239">
        <v>354</v>
      </c>
      <c r="DN181" s="239">
        <v>-2545</v>
      </c>
      <c r="DO181" s="239">
        <v>-573</v>
      </c>
      <c r="DP181" s="239">
        <v>-64</v>
      </c>
      <c r="DQ181" s="239">
        <v>1218</v>
      </c>
      <c r="DR181" s="239">
        <v>274</v>
      </c>
      <c r="DS181" s="239">
        <v>30</v>
      </c>
      <c r="DT181" s="239">
        <v>1219</v>
      </c>
      <c r="DU181" s="239">
        <v>274</v>
      </c>
      <c r="DV181" s="239">
        <v>30</v>
      </c>
      <c r="DW181" s="239">
        <v>-1</v>
      </c>
      <c r="DX181" s="239">
        <v>0</v>
      </c>
      <c r="DY181" s="239">
        <v>0</v>
      </c>
      <c r="DZ181" s="239">
        <v>10518</v>
      </c>
      <c r="EA181" s="239">
        <v>2366</v>
      </c>
      <c r="EB181" s="239">
        <v>263</v>
      </c>
      <c r="EC181" s="239">
        <v>12110</v>
      </c>
      <c r="ED181" s="239">
        <v>0</v>
      </c>
      <c r="EE181" s="239">
        <v>0</v>
      </c>
      <c r="EF181" s="239">
        <v>-1592</v>
      </c>
      <c r="EG181" s="239">
        <v>2366</v>
      </c>
      <c r="EH181" s="239">
        <v>263</v>
      </c>
      <c r="EI181" s="239">
        <v>87709</v>
      </c>
      <c r="EJ181" s="239">
        <v>19734</v>
      </c>
      <c r="EK181" s="239">
        <v>2193</v>
      </c>
      <c r="EL181" s="239">
        <v>125615</v>
      </c>
      <c r="EM181" s="239">
        <v>0</v>
      </c>
      <c r="EN181" s="239">
        <v>0</v>
      </c>
      <c r="EO181" s="239">
        <v>-37906</v>
      </c>
      <c r="EP181" s="239">
        <v>19734</v>
      </c>
      <c r="EQ181" s="239">
        <v>2193</v>
      </c>
      <c r="ER181" s="239">
        <v>31212</v>
      </c>
      <c r="ES181" s="239">
        <v>7023</v>
      </c>
      <c r="ET181" s="239">
        <v>780</v>
      </c>
      <c r="EU181" s="239">
        <v>38063</v>
      </c>
      <c r="EV181" s="239">
        <v>0</v>
      </c>
      <c r="EW181" s="239">
        <v>0</v>
      </c>
      <c r="EX181" s="239">
        <v>-6851</v>
      </c>
      <c r="EY181" s="239">
        <v>7023</v>
      </c>
      <c r="EZ181" s="239">
        <v>780</v>
      </c>
      <c r="FA181" s="239">
        <v>184030</v>
      </c>
      <c r="FB181" s="239">
        <v>40195</v>
      </c>
      <c r="FC181" s="239">
        <v>4466</v>
      </c>
      <c r="FD181" s="239">
        <v>191025</v>
      </c>
      <c r="FE181" s="239">
        <v>41930</v>
      </c>
      <c r="FF181" s="239">
        <v>4659</v>
      </c>
      <c r="FG181" s="239">
        <v>-6995</v>
      </c>
      <c r="FH181" s="239">
        <v>-1735</v>
      </c>
      <c r="FI181" s="239">
        <v>-193</v>
      </c>
      <c r="FJ181" s="239">
        <v>0</v>
      </c>
      <c r="FK181" s="239">
        <v>0</v>
      </c>
      <c r="FL181" s="239">
        <v>0</v>
      </c>
      <c r="FM181" s="239">
        <v>0</v>
      </c>
      <c r="FN181" s="239">
        <v>0</v>
      </c>
      <c r="FO181" s="239">
        <v>0</v>
      </c>
      <c r="FP181" s="239">
        <v>0</v>
      </c>
      <c r="FQ181" s="239">
        <v>0</v>
      </c>
      <c r="FR181" s="239">
        <v>0</v>
      </c>
      <c r="FS181" s="239">
        <v>0</v>
      </c>
      <c r="FT181" s="239">
        <v>0</v>
      </c>
      <c r="FU181" s="239">
        <v>0</v>
      </c>
      <c r="FV181" s="239">
        <v>2148632</v>
      </c>
      <c r="FW181" s="239">
        <v>482229</v>
      </c>
      <c r="FX181" s="239">
        <v>53580</v>
      </c>
      <c r="FY181" s="834">
        <v>0.5</v>
      </c>
      <c r="FZ181" s="834">
        <v>0.4</v>
      </c>
      <c r="GA181" s="834">
        <v>0.09</v>
      </c>
      <c r="GB181" s="834">
        <v>0.01</v>
      </c>
      <c r="GC181" s="214" t="s">
        <v>1158</v>
      </c>
    </row>
    <row r="182" spans="2:185" s="214" customFormat="1" x14ac:dyDescent="0.2">
      <c r="B182" s="602" t="s">
        <v>447</v>
      </c>
      <c r="C182" s="602" t="s">
        <v>446</v>
      </c>
      <c r="D182" s="239">
        <v>153719</v>
      </c>
      <c r="E182" s="239">
        <v>0</v>
      </c>
      <c r="F182" s="239">
        <v>153719</v>
      </c>
      <c r="G182" s="239">
        <v>87854</v>
      </c>
      <c r="H182" s="239">
        <v>0</v>
      </c>
      <c r="I182" s="239">
        <v>87854</v>
      </c>
      <c r="J182" s="239">
        <v>65865</v>
      </c>
      <c r="K182" s="239">
        <v>0</v>
      </c>
      <c r="L182" s="239">
        <v>65865</v>
      </c>
      <c r="M182" s="239">
        <v>92680</v>
      </c>
      <c r="N182" s="239">
        <v>92680</v>
      </c>
      <c r="O182" s="239">
        <v>0</v>
      </c>
      <c r="P182" s="239">
        <v>0</v>
      </c>
      <c r="Q182" s="239">
        <v>0</v>
      </c>
      <c r="R182" s="239">
        <v>0</v>
      </c>
      <c r="S182" s="239">
        <v>167952</v>
      </c>
      <c r="T182" s="239">
        <v>0</v>
      </c>
      <c r="U182" s="239">
        <v>124121</v>
      </c>
      <c r="V182" s="239">
        <v>0</v>
      </c>
      <c r="W182" s="239">
        <v>43831</v>
      </c>
      <c r="X182" s="239">
        <v>0</v>
      </c>
      <c r="Y182" s="239">
        <v>0</v>
      </c>
      <c r="Z182" s="239">
        <v>0</v>
      </c>
      <c r="AA182" s="239">
        <v>0</v>
      </c>
      <c r="AB182" s="239">
        <v>0</v>
      </c>
      <c r="AC182" s="239">
        <v>0</v>
      </c>
      <c r="AD182" s="239">
        <v>0</v>
      </c>
      <c r="AE182" s="239">
        <v>0</v>
      </c>
      <c r="AF182" s="239">
        <v>0</v>
      </c>
      <c r="AG182" s="239">
        <v>0</v>
      </c>
      <c r="AH182" s="239">
        <v>0</v>
      </c>
      <c r="AI182" s="239">
        <v>0</v>
      </c>
      <c r="AJ182" s="239">
        <v>0</v>
      </c>
      <c r="AK182" s="239">
        <v>0</v>
      </c>
      <c r="AL182" s="239">
        <v>0</v>
      </c>
      <c r="AM182" s="239">
        <v>0</v>
      </c>
      <c r="AN182" s="239">
        <v>0</v>
      </c>
      <c r="AO182" s="239">
        <v>0</v>
      </c>
      <c r="AP182" s="239">
        <v>0</v>
      </c>
      <c r="AQ182" s="239">
        <v>0</v>
      </c>
      <c r="AR182" s="239">
        <v>0</v>
      </c>
      <c r="AS182" s="239">
        <v>0</v>
      </c>
      <c r="AT182" s="239">
        <v>0</v>
      </c>
      <c r="AU182" s="239">
        <v>0</v>
      </c>
      <c r="AV182" s="239">
        <v>0</v>
      </c>
      <c r="AW182" s="239">
        <v>0</v>
      </c>
      <c r="AX182" s="239">
        <v>0</v>
      </c>
      <c r="AY182" s="239">
        <v>0</v>
      </c>
      <c r="AZ182" s="239">
        <v>0</v>
      </c>
      <c r="BA182" s="239">
        <v>0</v>
      </c>
      <c r="BB182" s="239">
        <v>0</v>
      </c>
      <c r="BC182" s="239">
        <v>802366</v>
      </c>
      <c r="BD182" s="239">
        <v>180532</v>
      </c>
      <c r="BE182" s="239">
        <v>20059</v>
      </c>
      <c r="BF182" s="239">
        <v>787695.62918454944</v>
      </c>
      <c r="BG182" s="239">
        <v>177231.51656652361</v>
      </c>
      <c r="BH182" s="239">
        <v>19692.390729613737</v>
      </c>
      <c r="BI182" s="239">
        <v>43865.329785407725</v>
      </c>
      <c r="BJ182" s="239">
        <v>9869.6992017167358</v>
      </c>
      <c r="BK182" s="239">
        <v>1096.633244635193</v>
      </c>
      <c r="BL182" s="239">
        <v>730694</v>
      </c>
      <c r="BM182" s="239">
        <v>111841</v>
      </c>
      <c r="BN182" s="239">
        <v>12427</v>
      </c>
      <c r="BO182" s="239">
        <v>71672</v>
      </c>
      <c r="BP182" s="239">
        <v>68691</v>
      </c>
      <c r="BQ182" s="239">
        <v>7632</v>
      </c>
      <c r="BR182" s="239">
        <v>1375</v>
      </c>
      <c r="BS182" s="239">
        <v>309</v>
      </c>
      <c r="BT182" s="239">
        <v>34</v>
      </c>
      <c r="BU182" s="239">
        <v>4545</v>
      </c>
      <c r="BV182" s="239">
        <v>1023</v>
      </c>
      <c r="BW182" s="239">
        <v>114</v>
      </c>
      <c r="BX182" s="239">
        <v>-3170</v>
      </c>
      <c r="BY182" s="239">
        <v>-714</v>
      </c>
      <c r="BZ182" s="239">
        <v>-80</v>
      </c>
      <c r="CA182" s="239">
        <v>-1656</v>
      </c>
      <c r="CB182" s="239">
        <v>-373</v>
      </c>
      <c r="CC182" s="239">
        <v>-41</v>
      </c>
      <c r="CD182" s="239">
        <v>0</v>
      </c>
      <c r="CE182" s="239">
        <v>0</v>
      </c>
      <c r="CF182" s="239">
        <v>0</v>
      </c>
      <c r="CG182" s="239">
        <v>-1656</v>
      </c>
      <c r="CH182" s="239">
        <v>-373</v>
      </c>
      <c r="CI182" s="239">
        <v>-41</v>
      </c>
      <c r="CJ182" s="239">
        <v>0</v>
      </c>
      <c r="CK182" s="239">
        <v>0</v>
      </c>
      <c r="CL182" s="239">
        <v>0</v>
      </c>
      <c r="CM182" s="239">
        <v>6064</v>
      </c>
      <c r="CN182" s="239">
        <v>1365</v>
      </c>
      <c r="CO182" s="239">
        <v>152</v>
      </c>
      <c r="CP182" s="239">
        <v>-6064</v>
      </c>
      <c r="CQ182" s="239">
        <v>-1365</v>
      </c>
      <c r="CR182" s="239">
        <v>-152</v>
      </c>
      <c r="CS182" s="239">
        <v>-1931</v>
      </c>
      <c r="CT182" s="239">
        <v>-435</v>
      </c>
      <c r="CU182" s="239">
        <v>-48</v>
      </c>
      <c r="CV182" s="239">
        <v>0</v>
      </c>
      <c r="CW182" s="239">
        <v>0</v>
      </c>
      <c r="CX182" s="239">
        <v>0</v>
      </c>
      <c r="CY182" s="239">
        <v>0</v>
      </c>
      <c r="CZ182" s="239">
        <v>0</v>
      </c>
      <c r="DA182" s="239">
        <v>0</v>
      </c>
      <c r="DB182" s="239">
        <v>0</v>
      </c>
      <c r="DC182" s="239">
        <v>0</v>
      </c>
      <c r="DD182" s="239">
        <v>0</v>
      </c>
      <c r="DE182" s="239">
        <v>0</v>
      </c>
      <c r="DF182" s="239">
        <v>0</v>
      </c>
      <c r="DG182" s="239">
        <v>0</v>
      </c>
      <c r="DH182" s="239">
        <v>10004</v>
      </c>
      <c r="DI182" s="239">
        <v>2251</v>
      </c>
      <c r="DJ182" s="239">
        <v>250</v>
      </c>
      <c r="DK182" s="239">
        <v>10975</v>
      </c>
      <c r="DL182" s="239">
        <v>2469</v>
      </c>
      <c r="DM182" s="239">
        <v>274</v>
      </c>
      <c r="DN182" s="239">
        <v>-971</v>
      </c>
      <c r="DO182" s="239">
        <v>-218</v>
      </c>
      <c r="DP182" s="239">
        <v>-24</v>
      </c>
      <c r="DQ182" s="239">
        <v>0</v>
      </c>
      <c r="DR182" s="239">
        <v>0</v>
      </c>
      <c r="DS182" s="239">
        <v>0</v>
      </c>
      <c r="DT182" s="239">
        <v>0</v>
      </c>
      <c r="DU182" s="239">
        <v>0</v>
      </c>
      <c r="DV182" s="239">
        <v>0</v>
      </c>
      <c r="DW182" s="239">
        <v>0</v>
      </c>
      <c r="DX182" s="239">
        <v>0</v>
      </c>
      <c r="DY182" s="239">
        <v>0</v>
      </c>
      <c r="DZ182" s="239">
        <v>6983</v>
      </c>
      <c r="EA182" s="239">
        <v>1571</v>
      </c>
      <c r="EB182" s="239">
        <v>175</v>
      </c>
      <c r="EC182" s="239">
        <v>9560</v>
      </c>
      <c r="ED182" s="239">
        <v>0</v>
      </c>
      <c r="EE182" s="239">
        <v>0</v>
      </c>
      <c r="EF182" s="239">
        <v>-2577</v>
      </c>
      <c r="EG182" s="239">
        <v>1571</v>
      </c>
      <c r="EH182" s="239">
        <v>175</v>
      </c>
      <c r="EI182" s="239">
        <v>59391</v>
      </c>
      <c r="EJ182" s="239">
        <v>13363</v>
      </c>
      <c r="EK182" s="239">
        <v>1485</v>
      </c>
      <c r="EL182" s="239">
        <v>79110</v>
      </c>
      <c r="EM182" s="239">
        <v>0</v>
      </c>
      <c r="EN182" s="239">
        <v>0</v>
      </c>
      <c r="EO182" s="239">
        <v>-19719</v>
      </c>
      <c r="EP182" s="239">
        <v>13363</v>
      </c>
      <c r="EQ182" s="239">
        <v>1485</v>
      </c>
      <c r="ER182" s="239">
        <v>16504</v>
      </c>
      <c r="ES182" s="239">
        <v>3713</v>
      </c>
      <c r="ET182" s="239">
        <v>413</v>
      </c>
      <c r="EU182" s="239">
        <v>20769</v>
      </c>
      <c r="EV182" s="239">
        <v>0</v>
      </c>
      <c r="EW182" s="239">
        <v>0</v>
      </c>
      <c r="EX182" s="239">
        <v>-4265</v>
      </c>
      <c r="EY182" s="239">
        <v>3713</v>
      </c>
      <c r="EZ182" s="239">
        <v>413</v>
      </c>
      <c r="FA182" s="239">
        <v>72177</v>
      </c>
      <c r="FB182" s="239">
        <v>15672</v>
      </c>
      <c r="FC182" s="239">
        <v>1741</v>
      </c>
      <c r="FD182" s="239">
        <v>75461</v>
      </c>
      <c r="FE182" s="239">
        <v>16559</v>
      </c>
      <c r="FF182" s="239">
        <v>1840</v>
      </c>
      <c r="FG182" s="239">
        <v>-3284</v>
      </c>
      <c r="FH182" s="239">
        <v>-887</v>
      </c>
      <c r="FI182" s="239">
        <v>-99</v>
      </c>
      <c r="FJ182" s="239">
        <v>0</v>
      </c>
      <c r="FK182" s="239">
        <v>0</v>
      </c>
      <c r="FL182" s="239">
        <v>0</v>
      </c>
      <c r="FM182" s="239">
        <v>0</v>
      </c>
      <c r="FN182" s="239">
        <v>0</v>
      </c>
      <c r="FO182" s="239">
        <v>0</v>
      </c>
      <c r="FP182" s="239">
        <v>0</v>
      </c>
      <c r="FQ182" s="239">
        <v>0</v>
      </c>
      <c r="FR182" s="239">
        <v>0</v>
      </c>
      <c r="FS182" s="239">
        <v>0</v>
      </c>
      <c r="FT182" s="239">
        <v>0</v>
      </c>
      <c r="FU182" s="239">
        <v>0</v>
      </c>
      <c r="FV182" s="239">
        <v>965213</v>
      </c>
      <c r="FW182" s="239">
        <v>216603</v>
      </c>
      <c r="FX182" s="239">
        <v>24068</v>
      </c>
      <c r="FY182" s="834">
        <v>0.5</v>
      </c>
      <c r="FZ182" s="834">
        <v>0.4</v>
      </c>
      <c r="GA182" s="834">
        <v>0.09</v>
      </c>
      <c r="GB182" s="834">
        <v>0.01</v>
      </c>
      <c r="GC182" s="214" t="s">
        <v>1158</v>
      </c>
    </row>
    <row r="183" spans="2:185" s="214" customFormat="1" x14ac:dyDescent="0.2">
      <c r="B183" s="602" t="s">
        <v>449</v>
      </c>
      <c r="C183" s="602" t="s">
        <v>448</v>
      </c>
      <c r="D183" s="239">
        <v>766281</v>
      </c>
      <c r="E183" s="239">
        <v>0</v>
      </c>
      <c r="F183" s="239">
        <v>766281</v>
      </c>
      <c r="G183" s="239">
        <v>751948</v>
      </c>
      <c r="H183" s="239">
        <v>0</v>
      </c>
      <c r="I183" s="239">
        <v>751948</v>
      </c>
      <c r="J183" s="239">
        <v>14333</v>
      </c>
      <c r="K183" s="239">
        <v>0</v>
      </c>
      <c r="L183" s="239">
        <v>14333</v>
      </c>
      <c r="M183" s="239">
        <v>98640</v>
      </c>
      <c r="N183" s="239">
        <v>98640</v>
      </c>
      <c r="O183" s="239">
        <v>0</v>
      </c>
      <c r="P183" s="239">
        <v>0</v>
      </c>
      <c r="Q183" s="239">
        <v>0</v>
      </c>
      <c r="R183" s="239">
        <v>0</v>
      </c>
      <c r="S183" s="239">
        <v>0</v>
      </c>
      <c r="T183" s="239">
        <v>0</v>
      </c>
      <c r="U183" s="239">
        <v>0</v>
      </c>
      <c r="V183" s="239">
        <v>0</v>
      </c>
      <c r="W183" s="239">
        <v>0</v>
      </c>
      <c r="X183" s="239">
        <v>0</v>
      </c>
      <c r="Y183" s="239">
        <v>0</v>
      </c>
      <c r="Z183" s="239">
        <v>0</v>
      </c>
      <c r="AA183" s="239">
        <v>0</v>
      </c>
      <c r="AB183" s="239">
        <v>0</v>
      </c>
      <c r="AC183" s="239">
        <v>0</v>
      </c>
      <c r="AD183" s="239">
        <v>0</v>
      </c>
      <c r="AE183" s="239">
        <v>0</v>
      </c>
      <c r="AF183" s="239">
        <v>0</v>
      </c>
      <c r="AG183" s="239">
        <v>0</v>
      </c>
      <c r="AH183" s="239">
        <v>0</v>
      </c>
      <c r="AI183" s="239">
        <v>0</v>
      </c>
      <c r="AJ183" s="239">
        <v>0</v>
      </c>
      <c r="AK183" s="239">
        <v>0</v>
      </c>
      <c r="AL183" s="239">
        <v>0</v>
      </c>
      <c r="AM183" s="239">
        <v>0</v>
      </c>
      <c r="AN183" s="239">
        <v>0</v>
      </c>
      <c r="AO183" s="239">
        <v>0</v>
      </c>
      <c r="AP183" s="239">
        <v>0</v>
      </c>
      <c r="AQ183" s="239">
        <v>0</v>
      </c>
      <c r="AR183" s="239">
        <v>0</v>
      </c>
      <c r="AS183" s="239">
        <v>0</v>
      </c>
      <c r="AT183" s="239">
        <v>0</v>
      </c>
      <c r="AU183" s="239">
        <v>0</v>
      </c>
      <c r="AV183" s="239">
        <v>0</v>
      </c>
      <c r="AW183" s="239">
        <v>0</v>
      </c>
      <c r="AX183" s="239">
        <v>0</v>
      </c>
      <c r="AY183" s="239">
        <v>0</v>
      </c>
      <c r="AZ183" s="239">
        <v>0</v>
      </c>
      <c r="BA183" s="239">
        <v>0</v>
      </c>
      <c r="BB183" s="239">
        <v>0</v>
      </c>
      <c r="BC183" s="239">
        <v>742182</v>
      </c>
      <c r="BD183" s="239">
        <v>166991</v>
      </c>
      <c r="BE183" s="239">
        <v>18555</v>
      </c>
      <c r="BF183" s="239">
        <v>726164.08151416306</v>
      </c>
      <c r="BG183" s="239">
        <v>163386.91834068668</v>
      </c>
      <c r="BH183" s="239">
        <v>18154.102037854078</v>
      </c>
      <c r="BI183" s="239">
        <v>47906.77982832618</v>
      </c>
      <c r="BJ183" s="239">
        <v>10779.025461373389</v>
      </c>
      <c r="BK183" s="239">
        <v>1197.6694957081545</v>
      </c>
      <c r="BL183" s="239">
        <v>690776</v>
      </c>
      <c r="BM183" s="239">
        <v>108879</v>
      </c>
      <c r="BN183" s="239">
        <v>12098</v>
      </c>
      <c r="BO183" s="239">
        <v>51406</v>
      </c>
      <c r="BP183" s="239">
        <v>58112</v>
      </c>
      <c r="BQ183" s="239">
        <v>6457</v>
      </c>
      <c r="BR183" s="239">
        <v>511</v>
      </c>
      <c r="BS183" s="239">
        <v>115</v>
      </c>
      <c r="BT183" s="239">
        <v>13</v>
      </c>
      <c r="BU183" s="239">
        <v>0</v>
      </c>
      <c r="BV183" s="239">
        <v>0</v>
      </c>
      <c r="BW183" s="239">
        <v>0</v>
      </c>
      <c r="BX183" s="239">
        <v>511</v>
      </c>
      <c r="BY183" s="239">
        <v>115</v>
      </c>
      <c r="BZ183" s="239">
        <v>13</v>
      </c>
      <c r="CA183" s="239">
        <v>0</v>
      </c>
      <c r="CB183" s="239">
        <v>0</v>
      </c>
      <c r="CC183" s="239">
        <v>0</v>
      </c>
      <c r="CD183" s="239">
        <v>0</v>
      </c>
      <c r="CE183" s="239">
        <v>0</v>
      </c>
      <c r="CF183" s="239">
        <v>0</v>
      </c>
      <c r="CG183" s="239">
        <v>0</v>
      </c>
      <c r="CH183" s="239">
        <v>0</v>
      </c>
      <c r="CI183" s="239">
        <v>0</v>
      </c>
      <c r="CJ183" s="239">
        <v>0</v>
      </c>
      <c r="CK183" s="239">
        <v>0</v>
      </c>
      <c r="CL183" s="239">
        <v>0</v>
      </c>
      <c r="CM183" s="239">
        <v>0</v>
      </c>
      <c r="CN183" s="239">
        <v>0</v>
      </c>
      <c r="CO183" s="239">
        <v>0</v>
      </c>
      <c r="CP183" s="239">
        <v>0</v>
      </c>
      <c r="CQ183" s="239">
        <v>0</v>
      </c>
      <c r="CR183" s="239">
        <v>0</v>
      </c>
      <c r="CS183" s="239">
        <v>-2180</v>
      </c>
      <c r="CT183" s="239">
        <v>-490</v>
      </c>
      <c r="CU183" s="239">
        <v>-54</v>
      </c>
      <c r="CV183" s="239">
        <v>0</v>
      </c>
      <c r="CW183" s="239">
        <v>0</v>
      </c>
      <c r="CX183" s="239">
        <v>0</v>
      </c>
      <c r="CY183" s="239">
        <v>0</v>
      </c>
      <c r="CZ183" s="239">
        <v>0</v>
      </c>
      <c r="DA183" s="239">
        <v>0</v>
      </c>
      <c r="DB183" s="239">
        <v>0</v>
      </c>
      <c r="DC183" s="239">
        <v>0</v>
      </c>
      <c r="DD183" s="239">
        <v>0</v>
      </c>
      <c r="DE183" s="239">
        <v>0</v>
      </c>
      <c r="DF183" s="239">
        <v>0</v>
      </c>
      <c r="DG183" s="239">
        <v>0</v>
      </c>
      <c r="DH183" s="239">
        <v>536</v>
      </c>
      <c r="DI183" s="239">
        <v>120</v>
      </c>
      <c r="DJ183" s="239">
        <v>13</v>
      </c>
      <c r="DK183" s="239">
        <v>1735</v>
      </c>
      <c r="DL183" s="239">
        <v>390</v>
      </c>
      <c r="DM183" s="239">
        <v>43</v>
      </c>
      <c r="DN183" s="239">
        <v>-1199</v>
      </c>
      <c r="DO183" s="239">
        <v>-270</v>
      </c>
      <c r="DP183" s="239">
        <v>-30</v>
      </c>
      <c r="DQ183" s="239">
        <v>0</v>
      </c>
      <c r="DR183" s="239">
        <v>0</v>
      </c>
      <c r="DS183" s="239">
        <v>0</v>
      </c>
      <c r="DT183" s="239">
        <v>0</v>
      </c>
      <c r="DU183" s="239">
        <v>0</v>
      </c>
      <c r="DV183" s="239">
        <v>0</v>
      </c>
      <c r="DW183" s="239">
        <v>0</v>
      </c>
      <c r="DX183" s="239">
        <v>0</v>
      </c>
      <c r="DY183" s="239">
        <v>0</v>
      </c>
      <c r="DZ183" s="239">
        <v>11743</v>
      </c>
      <c r="EA183" s="239">
        <v>2642</v>
      </c>
      <c r="EB183" s="239">
        <v>294</v>
      </c>
      <c r="EC183" s="239">
        <v>14801</v>
      </c>
      <c r="ED183" s="239">
        <v>0</v>
      </c>
      <c r="EE183" s="239">
        <v>0</v>
      </c>
      <c r="EF183" s="239">
        <v>-3058</v>
      </c>
      <c r="EG183" s="239">
        <v>2642</v>
      </c>
      <c r="EH183" s="239">
        <v>294</v>
      </c>
      <c r="EI183" s="239">
        <v>66561</v>
      </c>
      <c r="EJ183" s="239">
        <v>14976</v>
      </c>
      <c r="EK183" s="239">
        <v>1664</v>
      </c>
      <c r="EL183" s="239">
        <v>104775</v>
      </c>
      <c r="EM183" s="239">
        <v>0</v>
      </c>
      <c r="EN183" s="239">
        <v>0</v>
      </c>
      <c r="EO183" s="239">
        <v>-38214</v>
      </c>
      <c r="EP183" s="239">
        <v>14976</v>
      </c>
      <c r="EQ183" s="239">
        <v>1664</v>
      </c>
      <c r="ER183" s="239">
        <v>20388</v>
      </c>
      <c r="ES183" s="239">
        <v>4587</v>
      </c>
      <c r="ET183" s="239">
        <v>510</v>
      </c>
      <c r="EU183" s="239">
        <v>25299</v>
      </c>
      <c r="EV183" s="239">
        <v>0</v>
      </c>
      <c r="EW183" s="239">
        <v>0</v>
      </c>
      <c r="EX183" s="239">
        <v>-4911</v>
      </c>
      <c r="EY183" s="239">
        <v>4587</v>
      </c>
      <c r="EZ183" s="239">
        <v>510</v>
      </c>
      <c r="FA183" s="239">
        <v>90517</v>
      </c>
      <c r="FB183" s="239">
        <v>20366</v>
      </c>
      <c r="FC183" s="239">
        <v>2263</v>
      </c>
      <c r="FD183" s="239">
        <v>100595</v>
      </c>
      <c r="FE183" s="239">
        <v>22634</v>
      </c>
      <c r="FF183" s="239">
        <v>2515</v>
      </c>
      <c r="FG183" s="239">
        <v>-10078</v>
      </c>
      <c r="FH183" s="239">
        <v>-2268</v>
      </c>
      <c r="FI183" s="239">
        <v>-252</v>
      </c>
      <c r="FJ183" s="239">
        <v>0</v>
      </c>
      <c r="FK183" s="239">
        <v>0</v>
      </c>
      <c r="FL183" s="239">
        <v>0</v>
      </c>
      <c r="FM183" s="239">
        <v>0</v>
      </c>
      <c r="FN183" s="239">
        <v>0</v>
      </c>
      <c r="FO183" s="239">
        <v>0</v>
      </c>
      <c r="FP183" s="239">
        <v>0</v>
      </c>
      <c r="FQ183" s="239">
        <v>0</v>
      </c>
      <c r="FR183" s="239">
        <v>0</v>
      </c>
      <c r="FS183" s="239">
        <v>0</v>
      </c>
      <c r="FT183" s="239">
        <v>0</v>
      </c>
      <c r="FU183" s="239">
        <v>0</v>
      </c>
      <c r="FV183" s="239">
        <v>930258</v>
      </c>
      <c r="FW183" s="239">
        <v>209307</v>
      </c>
      <c r="FX183" s="239">
        <v>23258</v>
      </c>
      <c r="FY183" s="834">
        <v>0.5</v>
      </c>
      <c r="FZ183" s="834">
        <v>0.4</v>
      </c>
      <c r="GA183" s="834">
        <v>0.09</v>
      </c>
      <c r="GB183" s="834">
        <v>0.01</v>
      </c>
      <c r="GC183" s="214" t="s">
        <v>1158</v>
      </c>
    </row>
    <row r="184" spans="2:185" s="214" customFormat="1" x14ac:dyDescent="0.2">
      <c r="B184" s="602" t="s">
        <v>451</v>
      </c>
      <c r="C184" s="602" t="s">
        <v>450</v>
      </c>
      <c r="D184" s="239">
        <v>-8854634</v>
      </c>
      <c r="E184" s="239">
        <v>-1737</v>
      </c>
      <c r="F184" s="239">
        <v>-8856371</v>
      </c>
      <c r="G184" s="239">
        <v>-6647850</v>
      </c>
      <c r="H184" s="239">
        <v>0</v>
      </c>
      <c r="I184" s="239">
        <v>-6647850</v>
      </c>
      <c r="J184" s="239">
        <v>-2206784</v>
      </c>
      <c r="K184" s="239">
        <v>-1737</v>
      </c>
      <c r="L184" s="239">
        <v>-2208521</v>
      </c>
      <c r="M184" s="239">
        <v>226742</v>
      </c>
      <c r="N184" s="239">
        <v>226742</v>
      </c>
      <c r="O184" s="239">
        <v>0</v>
      </c>
      <c r="P184" s="239">
        <v>0</v>
      </c>
      <c r="Q184" s="239">
        <v>0</v>
      </c>
      <c r="R184" s="239">
        <v>0</v>
      </c>
      <c r="S184" s="239">
        <v>112883</v>
      </c>
      <c r="T184" s="239">
        <v>0</v>
      </c>
      <c r="U184" s="239">
        <v>122241</v>
      </c>
      <c r="V184" s="239">
        <v>0</v>
      </c>
      <c r="W184" s="239">
        <v>-9358</v>
      </c>
      <c r="X184" s="239">
        <v>0</v>
      </c>
      <c r="Y184" s="239">
        <v>203595</v>
      </c>
      <c r="Z184" s="239">
        <v>203595</v>
      </c>
      <c r="AA184" s="239">
        <v>0</v>
      </c>
      <c r="AB184" s="239">
        <v>0</v>
      </c>
      <c r="AC184" s="239">
        <v>65115</v>
      </c>
      <c r="AD184" s="239">
        <v>65115</v>
      </c>
      <c r="AE184" s="239">
        <v>0</v>
      </c>
      <c r="AF184" s="239">
        <v>0</v>
      </c>
      <c r="AG184" s="239">
        <v>138480</v>
      </c>
      <c r="AH184" s="239">
        <v>138480</v>
      </c>
      <c r="AI184" s="239">
        <v>0</v>
      </c>
      <c r="AJ184" s="239">
        <v>0</v>
      </c>
      <c r="AK184" s="239">
        <v>0</v>
      </c>
      <c r="AL184" s="239">
        <v>0</v>
      </c>
      <c r="AM184" s="239">
        <v>0</v>
      </c>
      <c r="AN184" s="239">
        <v>0</v>
      </c>
      <c r="AO184" s="239">
        <v>0</v>
      </c>
      <c r="AP184" s="239">
        <v>0</v>
      </c>
      <c r="AQ184" s="239">
        <v>0</v>
      </c>
      <c r="AR184" s="239">
        <v>0</v>
      </c>
      <c r="AS184" s="239">
        <v>0</v>
      </c>
      <c r="AT184" s="239">
        <v>0</v>
      </c>
      <c r="AU184" s="239">
        <v>0</v>
      </c>
      <c r="AV184" s="239">
        <v>0</v>
      </c>
      <c r="AW184" s="239">
        <v>0</v>
      </c>
      <c r="AX184" s="239">
        <v>0</v>
      </c>
      <c r="AY184" s="239">
        <v>0</v>
      </c>
      <c r="AZ184" s="239">
        <v>0</v>
      </c>
      <c r="BA184" s="239">
        <v>0</v>
      </c>
      <c r="BB184" s="239">
        <v>0</v>
      </c>
      <c r="BC184" s="239">
        <v>1539450</v>
      </c>
      <c r="BD184" s="239">
        <v>0</v>
      </c>
      <c r="BE184" s="239">
        <v>31417</v>
      </c>
      <c r="BF184" s="239">
        <v>1503308.5773681547</v>
      </c>
      <c r="BG184" s="239">
        <v>0</v>
      </c>
      <c r="BH184" s="239">
        <v>30679.766885064375</v>
      </c>
      <c r="BI184" s="239">
        <v>29489.027164163086</v>
      </c>
      <c r="BJ184" s="239">
        <v>0</v>
      </c>
      <c r="BK184" s="239">
        <v>601.8168809012875</v>
      </c>
      <c r="BL184" s="239">
        <v>1385254</v>
      </c>
      <c r="BM184" s="239">
        <v>0</v>
      </c>
      <c r="BN184" s="239">
        <v>20925</v>
      </c>
      <c r="BO184" s="239">
        <v>154196</v>
      </c>
      <c r="BP184" s="239">
        <v>0</v>
      </c>
      <c r="BQ184" s="239">
        <v>10492</v>
      </c>
      <c r="BR184" s="239">
        <v>22407</v>
      </c>
      <c r="BS184" s="239">
        <v>0</v>
      </c>
      <c r="BT184" s="239">
        <v>457</v>
      </c>
      <c r="BU184" s="239">
        <v>28409</v>
      </c>
      <c r="BV184" s="239">
        <v>0</v>
      </c>
      <c r="BW184" s="239">
        <v>580</v>
      </c>
      <c r="BX184" s="239">
        <v>-6002</v>
      </c>
      <c r="BY184" s="239">
        <v>0</v>
      </c>
      <c r="BZ184" s="239">
        <v>-123</v>
      </c>
      <c r="CA184" s="239">
        <v>-10077</v>
      </c>
      <c r="CB184" s="239">
        <v>0</v>
      </c>
      <c r="CC184" s="239">
        <v>-206</v>
      </c>
      <c r="CD184" s="239">
        <v>17033</v>
      </c>
      <c r="CE184" s="239">
        <v>0</v>
      </c>
      <c r="CF184" s="239">
        <v>348</v>
      </c>
      <c r="CG184" s="239">
        <v>-27110</v>
      </c>
      <c r="CH184" s="239">
        <v>0</v>
      </c>
      <c r="CI184" s="239">
        <v>-554</v>
      </c>
      <c r="CJ184" s="239">
        <v>-84</v>
      </c>
      <c r="CK184" s="239">
        <v>0</v>
      </c>
      <c r="CL184" s="239">
        <v>-2</v>
      </c>
      <c r="CM184" s="239">
        <v>16976</v>
      </c>
      <c r="CN184" s="239">
        <v>0</v>
      </c>
      <c r="CO184" s="239">
        <v>346</v>
      </c>
      <c r="CP184" s="239">
        <v>-17060</v>
      </c>
      <c r="CQ184" s="239">
        <v>0</v>
      </c>
      <c r="CR184" s="239">
        <v>-348</v>
      </c>
      <c r="CS184" s="239">
        <v>-2964</v>
      </c>
      <c r="CT184" s="239">
        <v>0</v>
      </c>
      <c r="CU184" s="239">
        <v>-60</v>
      </c>
      <c r="CV184" s="239">
        <v>0</v>
      </c>
      <c r="CW184" s="239">
        <v>0</v>
      </c>
      <c r="CX184" s="239">
        <v>0</v>
      </c>
      <c r="CY184" s="239">
        <v>0</v>
      </c>
      <c r="CZ184" s="239">
        <v>0</v>
      </c>
      <c r="DA184" s="239">
        <v>0</v>
      </c>
      <c r="DB184" s="239">
        <v>0</v>
      </c>
      <c r="DC184" s="239">
        <v>0</v>
      </c>
      <c r="DD184" s="239">
        <v>0</v>
      </c>
      <c r="DE184" s="239">
        <v>-2519</v>
      </c>
      <c r="DF184" s="239">
        <v>0</v>
      </c>
      <c r="DG184" s="239">
        <v>-51</v>
      </c>
      <c r="DH184" s="239">
        <v>276</v>
      </c>
      <c r="DI184" s="239">
        <v>0</v>
      </c>
      <c r="DJ184" s="239">
        <v>6</v>
      </c>
      <c r="DK184" s="239">
        <v>302</v>
      </c>
      <c r="DL184" s="239">
        <v>0</v>
      </c>
      <c r="DM184" s="239">
        <v>6</v>
      </c>
      <c r="DN184" s="239">
        <v>-26</v>
      </c>
      <c r="DO184" s="239">
        <v>0</v>
      </c>
      <c r="DP184" s="239">
        <v>0</v>
      </c>
      <c r="DQ184" s="239">
        <v>746</v>
      </c>
      <c r="DR184" s="239">
        <v>0</v>
      </c>
      <c r="DS184" s="239">
        <v>15</v>
      </c>
      <c r="DT184" s="239">
        <v>1493</v>
      </c>
      <c r="DU184" s="239">
        <v>0</v>
      </c>
      <c r="DV184" s="239">
        <v>30</v>
      </c>
      <c r="DW184" s="239">
        <v>-747</v>
      </c>
      <c r="DX184" s="239">
        <v>0</v>
      </c>
      <c r="DY184" s="239">
        <v>-15</v>
      </c>
      <c r="DZ184" s="239">
        <v>12699</v>
      </c>
      <c r="EA184" s="239">
        <v>0</v>
      </c>
      <c r="EB184" s="239">
        <v>259</v>
      </c>
      <c r="EC184" s="239">
        <v>14125</v>
      </c>
      <c r="ED184" s="239">
        <v>0</v>
      </c>
      <c r="EE184" s="239">
        <v>0</v>
      </c>
      <c r="EF184" s="239">
        <v>-1426</v>
      </c>
      <c r="EG184" s="239">
        <v>0</v>
      </c>
      <c r="EH184" s="239">
        <v>259</v>
      </c>
      <c r="EI184" s="239">
        <v>104769</v>
      </c>
      <c r="EJ184" s="239">
        <v>0</v>
      </c>
      <c r="EK184" s="239">
        <v>2138</v>
      </c>
      <c r="EL184" s="239">
        <v>139637</v>
      </c>
      <c r="EM184" s="239">
        <v>0</v>
      </c>
      <c r="EN184" s="239">
        <v>0</v>
      </c>
      <c r="EO184" s="239">
        <v>-34868</v>
      </c>
      <c r="EP184" s="239">
        <v>0</v>
      </c>
      <c r="EQ184" s="239">
        <v>2138</v>
      </c>
      <c r="ER184" s="239">
        <v>21884</v>
      </c>
      <c r="ES184" s="239">
        <v>0</v>
      </c>
      <c r="ET184" s="239">
        <v>447</v>
      </c>
      <c r="EU184" s="239">
        <v>24028</v>
      </c>
      <c r="EV184" s="239">
        <v>0</v>
      </c>
      <c r="EW184" s="239">
        <v>0</v>
      </c>
      <c r="EX184" s="239">
        <v>-2144</v>
      </c>
      <c r="EY184" s="239">
        <v>0</v>
      </c>
      <c r="EZ184" s="239">
        <v>447</v>
      </c>
      <c r="FA184" s="239">
        <v>437273</v>
      </c>
      <c r="FB184" s="239">
        <v>0</v>
      </c>
      <c r="FC184" s="239">
        <v>8889</v>
      </c>
      <c r="FD184" s="239">
        <v>421680</v>
      </c>
      <c r="FE184" s="239">
        <v>0</v>
      </c>
      <c r="FF184" s="239">
        <v>8548</v>
      </c>
      <c r="FG184" s="239">
        <v>15593</v>
      </c>
      <c r="FH184" s="239">
        <v>0</v>
      </c>
      <c r="FI184" s="239">
        <v>341</v>
      </c>
      <c r="FJ184" s="239">
        <v>0</v>
      </c>
      <c r="FK184" s="239">
        <v>0</v>
      </c>
      <c r="FL184" s="239">
        <v>0</v>
      </c>
      <c r="FM184" s="239">
        <v>0</v>
      </c>
      <c r="FN184" s="239">
        <v>0</v>
      </c>
      <c r="FO184" s="239">
        <v>0</v>
      </c>
      <c r="FP184" s="239">
        <v>0</v>
      </c>
      <c r="FQ184" s="239">
        <v>0</v>
      </c>
      <c r="FR184" s="239">
        <v>0</v>
      </c>
      <c r="FS184" s="239">
        <v>0</v>
      </c>
      <c r="FT184" s="239">
        <v>0</v>
      </c>
      <c r="FU184" s="239">
        <v>0</v>
      </c>
      <c r="FV184" s="239">
        <v>2123860</v>
      </c>
      <c r="FW184" s="239">
        <v>0</v>
      </c>
      <c r="FX184" s="239">
        <v>43309</v>
      </c>
      <c r="FY184" s="834">
        <v>0.5</v>
      </c>
      <c r="FZ184" s="834">
        <v>0.49</v>
      </c>
      <c r="GA184" s="834">
        <v>0</v>
      </c>
      <c r="GB184" s="834">
        <v>0.01</v>
      </c>
      <c r="GC184" s="214" t="s">
        <v>746</v>
      </c>
    </row>
    <row r="185" spans="2:185" s="214" customFormat="1" x14ac:dyDescent="0.2">
      <c r="B185" s="602" t="s">
        <v>453</v>
      </c>
      <c r="C185" s="602" t="s">
        <v>452</v>
      </c>
      <c r="D185" s="239">
        <v>-379336</v>
      </c>
      <c r="E185" s="239">
        <v>0</v>
      </c>
      <c r="F185" s="239">
        <v>-379336</v>
      </c>
      <c r="G185" s="239">
        <v>-171960</v>
      </c>
      <c r="H185" s="239">
        <v>0</v>
      </c>
      <c r="I185" s="239">
        <v>-171960</v>
      </c>
      <c r="J185" s="239">
        <v>-207376</v>
      </c>
      <c r="K185" s="239">
        <v>0</v>
      </c>
      <c r="L185" s="239">
        <v>-207376</v>
      </c>
      <c r="M185" s="239">
        <v>179886</v>
      </c>
      <c r="N185" s="239">
        <v>179886</v>
      </c>
      <c r="O185" s="239">
        <v>0</v>
      </c>
      <c r="P185" s="239">
        <v>0</v>
      </c>
      <c r="Q185" s="239">
        <v>0</v>
      </c>
      <c r="R185" s="239">
        <v>0</v>
      </c>
      <c r="S185" s="239">
        <v>30587</v>
      </c>
      <c r="T185" s="239">
        <v>0</v>
      </c>
      <c r="U185" s="239">
        <v>30587</v>
      </c>
      <c r="V185" s="239">
        <v>0</v>
      </c>
      <c r="W185" s="239">
        <v>0</v>
      </c>
      <c r="X185" s="239">
        <v>0</v>
      </c>
      <c r="Y185" s="239">
        <v>0</v>
      </c>
      <c r="Z185" s="239">
        <v>0</v>
      </c>
      <c r="AA185" s="239">
        <v>0</v>
      </c>
      <c r="AB185" s="239">
        <v>0</v>
      </c>
      <c r="AC185" s="239">
        <v>0</v>
      </c>
      <c r="AD185" s="239">
        <v>0</v>
      </c>
      <c r="AE185" s="239">
        <v>0</v>
      </c>
      <c r="AF185" s="239">
        <v>0</v>
      </c>
      <c r="AG185" s="239">
        <v>0</v>
      </c>
      <c r="AH185" s="239">
        <v>0</v>
      </c>
      <c r="AI185" s="239">
        <v>0</v>
      </c>
      <c r="AJ185" s="239">
        <v>0</v>
      </c>
      <c r="AK185" s="239">
        <v>0</v>
      </c>
      <c r="AL185" s="239">
        <v>0</v>
      </c>
      <c r="AM185" s="239">
        <v>0</v>
      </c>
      <c r="AN185" s="239">
        <v>0</v>
      </c>
      <c r="AO185" s="239">
        <v>0</v>
      </c>
      <c r="AP185" s="239">
        <v>0</v>
      </c>
      <c r="AQ185" s="239">
        <v>0</v>
      </c>
      <c r="AR185" s="239">
        <v>0</v>
      </c>
      <c r="AS185" s="239">
        <v>0</v>
      </c>
      <c r="AT185" s="239">
        <v>0</v>
      </c>
      <c r="AU185" s="239">
        <v>0</v>
      </c>
      <c r="AV185" s="239">
        <v>0</v>
      </c>
      <c r="AW185" s="239">
        <v>0</v>
      </c>
      <c r="AX185" s="239">
        <v>0</v>
      </c>
      <c r="AY185" s="239">
        <v>0</v>
      </c>
      <c r="AZ185" s="239">
        <v>0</v>
      </c>
      <c r="BA185" s="239">
        <v>0</v>
      </c>
      <c r="BB185" s="239">
        <v>0</v>
      </c>
      <c r="BC185" s="239">
        <v>1338469</v>
      </c>
      <c r="BD185" s="239">
        <v>334617</v>
      </c>
      <c r="BE185" s="239">
        <v>0</v>
      </c>
      <c r="BF185" s="239">
        <v>1299306.858323605</v>
      </c>
      <c r="BG185" s="239">
        <v>324826.71458090126</v>
      </c>
      <c r="BH185" s="239">
        <v>0</v>
      </c>
      <c r="BI185" s="239">
        <v>112505.32364806866</v>
      </c>
      <c r="BJ185" s="239">
        <v>28126.330912017165</v>
      </c>
      <c r="BK185" s="239">
        <v>0</v>
      </c>
      <c r="BL185" s="239">
        <v>1194778</v>
      </c>
      <c r="BM185" s="239">
        <v>189949</v>
      </c>
      <c r="BN185" s="239">
        <v>0</v>
      </c>
      <c r="BO185" s="239">
        <v>143691</v>
      </c>
      <c r="BP185" s="239">
        <v>144668</v>
      </c>
      <c r="BQ185" s="239">
        <v>0</v>
      </c>
      <c r="BR185" s="239">
        <v>0</v>
      </c>
      <c r="BS185" s="239">
        <v>0</v>
      </c>
      <c r="BT185" s="239">
        <v>0</v>
      </c>
      <c r="BU185" s="239">
        <v>0</v>
      </c>
      <c r="BV185" s="239">
        <v>0</v>
      </c>
      <c r="BW185" s="239">
        <v>0</v>
      </c>
      <c r="BX185" s="239">
        <v>0</v>
      </c>
      <c r="BY185" s="239">
        <v>0</v>
      </c>
      <c r="BZ185" s="239">
        <v>0</v>
      </c>
      <c r="CA185" s="239">
        <v>0</v>
      </c>
      <c r="CB185" s="239">
        <v>0</v>
      </c>
      <c r="CC185" s="239">
        <v>0</v>
      </c>
      <c r="CD185" s="239">
        <v>0</v>
      </c>
      <c r="CE185" s="239">
        <v>0</v>
      </c>
      <c r="CF185" s="239">
        <v>0</v>
      </c>
      <c r="CG185" s="239">
        <v>0</v>
      </c>
      <c r="CH185" s="239">
        <v>0</v>
      </c>
      <c r="CI185" s="239">
        <v>0</v>
      </c>
      <c r="CJ185" s="239">
        <v>3569</v>
      </c>
      <c r="CK185" s="239">
        <v>892</v>
      </c>
      <c r="CL185" s="239">
        <v>0</v>
      </c>
      <c r="CM185" s="239">
        <v>4466</v>
      </c>
      <c r="CN185" s="239">
        <v>1117</v>
      </c>
      <c r="CO185" s="239">
        <v>0</v>
      </c>
      <c r="CP185" s="239">
        <v>-897</v>
      </c>
      <c r="CQ185" s="239">
        <v>-225</v>
      </c>
      <c r="CR185" s="239">
        <v>0</v>
      </c>
      <c r="CS185" s="239">
        <v>-2113</v>
      </c>
      <c r="CT185" s="239">
        <v>-528</v>
      </c>
      <c r="CU185" s="239">
        <v>0</v>
      </c>
      <c r="CV185" s="239">
        <v>0</v>
      </c>
      <c r="CW185" s="239">
        <v>0</v>
      </c>
      <c r="CX185" s="239">
        <v>0</v>
      </c>
      <c r="CY185" s="239">
        <v>0</v>
      </c>
      <c r="CZ185" s="239">
        <v>0</v>
      </c>
      <c r="DA185" s="239">
        <v>0</v>
      </c>
      <c r="DB185" s="239">
        <v>0</v>
      </c>
      <c r="DC185" s="239">
        <v>0</v>
      </c>
      <c r="DD185" s="239">
        <v>0</v>
      </c>
      <c r="DE185" s="239">
        <v>0</v>
      </c>
      <c r="DF185" s="239">
        <v>0</v>
      </c>
      <c r="DG185" s="239">
        <v>0</v>
      </c>
      <c r="DH185" s="239">
        <v>3877</v>
      </c>
      <c r="DI185" s="239">
        <v>969</v>
      </c>
      <c r="DJ185" s="239">
        <v>0</v>
      </c>
      <c r="DK185" s="239">
        <v>1624</v>
      </c>
      <c r="DL185" s="239">
        <v>406</v>
      </c>
      <c r="DM185" s="239">
        <v>0</v>
      </c>
      <c r="DN185" s="239">
        <v>2253</v>
      </c>
      <c r="DO185" s="239">
        <v>563</v>
      </c>
      <c r="DP185" s="239">
        <v>0</v>
      </c>
      <c r="DQ185" s="239">
        <v>0</v>
      </c>
      <c r="DR185" s="239">
        <v>0</v>
      </c>
      <c r="DS185" s="239">
        <v>0</v>
      </c>
      <c r="DT185" s="239">
        <v>609</v>
      </c>
      <c r="DU185" s="239">
        <v>152</v>
      </c>
      <c r="DV185" s="239">
        <v>0</v>
      </c>
      <c r="DW185" s="239">
        <v>-609</v>
      </c>
      <c r="DX185" s="239">
        <v>-152</v>
      </c>
      <c r="DY185" s="239">
        <v>0</v>
      </c>
      <c r="DZ185" s="239">
        <v>11006</v>
      </c>
      <c r="EA185" s="239">
        <v>2752</v>
      </c>
      <c r="EB185" s="239">
        <v>0</v>
      </c>
      <c r="EC185" s="239">
        <v>15939</v>
      </c>
      <c r="ED185" s="239">
        <v>0</v>
      </c>
      <c r="EE185" s="239">
        <v>0</v>
      </c>
      <c r="EF185" s="239">
        <v>-4933</v>
      </c>
      <c r="EG185" s="239">
        <v>2752</v>
      </c>
      <c r="EH185" s="239">
        <v>0</v>
      </c>
      <c r="EI185" s="239">
        <v>125669</v>
      </c>
      <c r="EJ185" s="239">
        <v>31417</v>
      </c>
      <c r="EK185" s="239">
        <v>0</v>
      </c>
      <c r="EL185" s="239">
        <v>160023</v>
      </c>
      <c r="EM185" s="239">
        <v>0</v>
      </c>
      <c r="EN185" s="239">
        <v>0</v>
      </c>
      <c r="EO185" s="239">
        <v>-34354</v>
      </c>
      <c r="EP185" s="239">
        <v>31417</v>
      </c>
      <c r="EQ185" s="239">
        <v>0</v>
      </c>
      <c r="ER185" s="239">
        <v>17461</v>
      </c>
      <c r="ES185" s="239">
        <v>4365</v>
      </c>
      <c r="ET185" s="239">
        <v>0</v>
      </c>
      <c r="EU185" s="239">
        <v>22634</v>
      </c>
      <c r="EV185" s="239">
        <v>0</v>
      </c>
      <c r="EW185" s="239">
        <v>0</v>
      </c>
      <c r="EX185" s="239">
        <v>-5173</v>
      </c>
      <c r="EY185" s="239">
        <v>4365</v>
      </c>
      <c r="EZ185" s="239">
        <v>0</v>
      </c>
      <c r="FA185" s="239">
        <v>217734</v>
      </c>
      <c r="FB185" s="239">
        <v>54319</v>
      </c>
      <c r="FC185" s="239">
        <v>0</v>
      </c>
      <c r="FD185" s="239">
        <v>225925</v>
      </c>
      <c r="FE185" s="239">
        <v>56366</v>
      </c>
      <c r="FF185" s="239">
        <v>0</v>
      </c>
      <c r="FG185" s="239">
        <v>-8191</v>
      </c>
      <c r="FH185" s="239">
        <v>-2047</v>
      </c>
      <c r="FI185" s="239">
        <v>0</v>
      </c>
      <c r="FJ185" s="239">
        <v>0</v>
      </c>
      <c r="FK185" s="239">
        <v>0</v>
      </c>
      <c r="FL185" s="239">
        <v>0</v>
      </c>
      <c r="FM185" s="239">
        <v>0</v>
      </c>
      <c r="FN185" s="239">
        <v>0</v>
      </c>
      <c r="FO185" s="239">
        <v>0</v>
      </c>
      <c r="FP185" s="239">
        <v>0</v>
      </c>
      <c r="FQ185" s="239">
        <v>0</v>
      </c>
      <c r="FR185" s="239">
        <v>0</v>
      </c>
      <c r="FS185" s="239">
        <v>0</v>
      </c>
      <c r="FT185" s="239">
        <v>0</v>
      </c>
      <c r="FU185" s="239">
        <v>0</v>
      </c>
      <c r="FV185" s="239">
        <v>1715672</v>
      </c>
      <c r="FW185" s="239">
        <v>428803</v>
      </c>
      <c r="FX185" s="239">
        <v>0</v>
      </c>
      <c r="FY185" s="834">
        <v>0.5</v>
      </c>
      <c r="FZ185" s="834">
        <v>0.4</v>
      </c>
      <c r="GA185" s="834">
        <v>0.1</v>
      </c>
      <c r="GB185" s="834">
        <v>0</v>
      </c>
      <c r="GC185" s="214" t="s">
        <v>1158</v>
      </c>
    </row>
    <row r="186" spans="2:185" s="214" customFormat="1" x14ac:dyDescent="0.2">
      <c r="B186" s="602" t="s">
        <v>455</v>
      </c>
      <c r="C186" s="602" t="s">
        <v>454</v>
      </c>
      <c r="D186" s="239">
        <v>723996</v>
      </c>
      <c r="E186" s="239">
        <v>0</v>
      </c>
      <c r="F186" s="239">
        <v>723996</v>
      </c>
      <c r="G186" s="239">
        <v>980617</v>
      </c>
      <c r="H186" s="239">
        <v>0</v>
      </c>
      <c r="I186" s="239">
        <v>980617</v>
      </c>
      <c r="J186" s="239">
        <v>-256621</v>
      </c>
      <c r="K186" s="239">
        <v>0</v>
      </c>
      <c r="L186" s="239">
        <v>-256621</v>
      </c>
      <c r="M186" s="239">
        <v>124359</v>
      </c>
      <c r="N186" s="239">
        <v>124359</v>
      </c>
      <c r="O186" s="239">
        <v>0</v>
      </c>
      <c r="P186" s="239">
        <v>0</v>
      </c>
      <c r="Q186" s="239">
        <v>0</v>
      </c>
      <c r="R186" s="239">
        <v>0</v>
      </c>
      <c r="S186" s="239">
        <v>1544314</v>
      </c>
      <c r="T186" s="239">
        <v>133587</v>
      </c>
      <c r="U186" s="239">
        <v>1343536</v>
      </c>
      <c r="V186" s="239">
        <v>123490</v>
      </c>
      <c r="W186" s="239">
        <v>200778</v>
      </c>
      <c r="X186" s="239">
        <v>10097</v>
      </c>
      <c r="Y186" s="239">
        <v>0</v>
      </c>
      <c r="Z186" s="239">
        <v>0</v>
      </c>
      <c r="AA186" s="239">
        <v>0</v>
      </c>
      <c r="AB186" s="239">
        <v>0</v>
      </c>
      <c r="AC186" s="239">
        <v>0</v>
      </c>
      <c r="AD186" s="239">
        <v>0</v>
      </c>
      <c r="AE186" s="239">
        <v>0</v>
      </c>
      <c r="AF186" s="239">
        <v>0</v>
      </c>
      <c r="AG186" s="239">
        <v>0</v>
      </c>
      <c r="AH186" s="239">
        <v>0</v>
      </c>
      <c r="AI186" s="239">
        <v>0</v>
      </c>
      <c r="AJ186" s="239">
        <v>0</v>
      </c>
      <c r="AK186" s="239">
        <v>0</v>
      </c>
      <c r="AL186" s="239">
        <v>0</v>
      </c>
      <c r="AM186" s="239">
        <v>0</v>
      </c>
      <c r="AN186" s="239">
        <v>0</v>
      </c>
      <c r="AO186" s="239">
        <v>0</v>
      </c>
      <c r="AP186" s="239">
        <v>0</v>
      </c>
      <c r="AQ186" s="239">
        <v>0</v>
      </c>
      <c r="AR186" s="239">
        <v>0</v>
      </c>
      <c r="AS186" s="239">
        <v>0</v>
      </c>
      <c r="AT186" s="239">
        <v>0</v>
      </c>
      <c r="AU186" s="239">
        <v>0</v>
      </c>
      <c r="AV186" s="239">
        <v>0</v>
      </c>
      <c r="AW186" s="239">
        <v>0</v>
      </c>
      <c r="AX186" s="239">
        <v>0</v>
      </c>
      <c r="AY186" s="239">
        <v>0</v>
      </c>
      <c r="AZ186" s="239">
        <v>0</v>
      </c>
      <c r="BA186" s="239">
        <v>0</v>
      </c>
      <c r="BB186" s="239">
        <v>0</v>
      </c>
      <c r="BC186" s="239">
        <v>963972</v>
      </c>
      <c r="BD186" s="239">
        <v>240993</v>
      </c>
      <c r="BE186" s="239">
        <v>0</v>
      </c>
      <c r="BF186" s="239">
        <v>947403.50996051508</v>
      </c>
      <c r="BG186" s="239">
        <v>236850.87749012877</v>
      </c>
      <c r="BH186" s="239">
        <v>0</v>
      </c>
      <c r="BI186" s="239">
        <v>48815.934549356221</v>
      </c>
      <c r="BJ186" s="239">
        <v>12203.983637339055</v>
      </c>
      <c r="BK186" s="239">
        <v>0</v>
      </c>
      <c r="BL186" s="239">
        <v>862697</v>
      </c>
      <c r="BM186" s="239">
        <v>150296</v>
      </c>
      <c r="BN186" s="239">
        <v>0</v>
      </c>
      <c r="BO186" s="239">
        <v>101275</v>
      </c>
      <c r="BP186" s="239">
        <v>90697</v>
      </c>
      <c r="BQ186" s="239">
        <v>0</v>
      </c>
      <c r="BR186" s="239">
        <v>9638</v>
      </c>
      <c r="BS186" s="239">
        <v>2410</v>
      </c>
      <c r="BT186" s="239">
        <v>0</v>
      </c>
      <c r="BU186" s="239">
        <v>2957</v>
      </c>
      <c r="BV186" s="239">
        <v>739</v>
      </c>
      <c r="BW186" s="239">
        <v>0</v>
      </c>
      <c r="BX186" s="239">
        <v>6681</v>
      </c>
      <c r="BY186" s="239">
        <v>1671</v>
      </c>
      <c r="BZ186" s="239">
        <v>0</v>
      </c>
      <c r="CA186" s="239">
        <v>-6801</v>
      </c>
      <c r="CB186" s="239">
        <v>-1700</v>
      </c>
      <c r="CC186" s="239">
        <v>0</v>
      </c>
      <c r="CD186" s="239">
        <v>31218</v>
      </c>
      <c r="CE186" s="239">
        <v>7805</v>
      </c>
      <c r="CF186" s="239">
        <v>0</v>
      </c>
      <c r="CG186" s="239">
        <v>-38019</v>
      </c>
      <c r="CH186" s="239">
        <v>-9505</v>
      </c>
      <c r="CI186" s="239">
        <v>0</v>
      </c>
      <c r="CJ186" s="239">
        <v>0</v>
      </c>
      <c r="CK186" s="239">
        <v>0</v>
      </c>
      <c r="CL186" s="239">
        <v>0</v>
      </c>
      <c r="CM186" s="239">
        <v>493</v>
      </c>
      <c r="CN186" s="239">
        <v>123</v>
      </c>
      <c r="CO186" s="239">
        <v>0</v>
      </c>
      <c r="CP186" s="239">
        <v>-493</v>
      </c>
      <c r="CQ186" s="239">
        <v>-123</v>
      </c>
      <c r="CR186" s="239">
        <v>0</v>
      </c>
      <c r="CS186" s="239">
        <v>609</v>
      </c>
      <c r="CT186" s="239">
        <v>152</v>
      </c>
      <c r="CU186" s="239">
        <v>0</v>
      </c>
      <c r="CV186" s="239">
        <v>0</v>
      </c>
      <c r="CW186" s="239">
        <v>0</v>
      </c>
      <c r="CX186" s="239">
        <v>0</v>
      </c>
      <c r="CY186" s="239">
        <v>0</v>
      </c>
      <c r="CZ186" s="239">
        <v>0</v>
      </c>
      <c r="DA186" s="239">
        <v>0</v>
      </c>
      <c r="DB186" s="239">
        <v>0</v>
      </c>
      <c r="DC186" s="239">
        <v>0</v>
      </c>
      <c r="DD186" s="239">
        <v>0</v>
      </c>
      <c r="DE186" s="239">
        <v>0</v>
      </c>
      <c r="DF186" s="239">
        <v>0</v>
      </c>
      <c r="DG186" s="239">
        <v>0</v>
      </c>
      <c r="DH186" s="239">
        <v>0</v>
      </c>
      <c r="DI186" s="239">
        <v>0</v>
      </c>
      <c r="DJ186" s="239">
        <v>0</v>
      </c>
      <c r="DK186" s="239">
        <v>13813</v>
      </c>
      <c r="DL186" s="239">
        <v>3453</v>
      </c>
      <c r="DM186" s="239">
        <v>0</v>
      </c>
      <c r="DN186" s="239">
        <v>-13813</v>
      </c>
      <c r="DO186" s="239">
        <v>-3453</v>
      </c>
      <c r="DP186" s="239">
        <v>0</v>
      </c>
      <c r="DQ186" s="239">
        <v>609</v>
      </c>
      <c r="DR186" s="239">
        <v>152</v>
      </c>
      <c r="DS186" s="239">
        <v>0</v>
      </c>
      <c r="DT186" s="239">
        <v>609</v>
      </c>
      <c r="DU186" s="239">
        <v>152</v>
      </c>
      <c r="DV186" s="239">
        <v>0</v>
      </c>
      <c r="DW186" s="239">
        <v>0</v>
      </c>
      <c r="DX186" s="239">
        <v>0</v>
      </c>
      <c r="DY186" s="239">
        <v>0</v>
      </c>
      <c r="DZ186" s="239">
        <v>12021</v>
      </c>
      <c r="EA186" s="239">
        <v>3005</v>
      </c>
      <c r="EB186" s="239">
        <v>0</v>
      </c>
      <c r="EC186" s="239">
        <v>13612</v>
      </c>
      <c r="ED186" s="239">
        <v>0</v>
      </c>
      <c r="EE186" s="239">
        <v>0</v>
      </c>
      <c r="EF186" s="239">
        <v>-1591</v>
      </c>
      <c r="EG186" s="239">
        <v>3005</v>
      </c>
      <c r="EH186" s="239">
        <v>0</v>
      </c>
      <c r="EI186" s="239">
        <v>48426</v>
      </c>
      <c r="EJ186" s="239">
        <v>12106</v>
      </c>
      <c r="EK186" s="239">
        <v>0</v>
      </c>
      <c r="EL186" s="239">
        <v>93167</v>
      </c>
      <c r="EM186" s="239">
        <v>0</v>
      </c>
      <c r="EN186" s="239">
        <v>0</v>
      </c>
      <c r="EO186" s="239">
        <v>-44741</v>
      </c>
      <c r="EP186" s="239">
        <v>12106</v>
      </c>
      <c r="EQ186" s="239">
        <v>0</v>
      </c>
      <c r="ER186" s="239">
        <v>12866</v>
      </c>
      <c r="ES186" s="239">
        <v>3217</v>
      </c>
      <c r="ET186" s="239">
        <v>0</v>
      </c>
      <c r="EU186" s="239">
        <v>23853</v>
      </c>
      <c r="EV186" s="239">
        <v>0</v>
      </c>
      <c r="EW186" s="239">
        <v>0</v>
      </c>
      <c r="EX186" s="239">
        <v>-10987</v>
      </c>
      <c r="EY186" s="239">
        <v>3217</v>
      </c>
      <c r="EZ186" s="239">
        <v>0</v>
      </c>
      <c r="FA186" s="239">
        <v>165362</v>
      </c>
      <c r="FB186" s="239">
        <v>37548</v>
      </c>
      <c r="FC186" s="239">
        <v>0</v>
      </c>
      <c r="FD186" s="239">
        <v>166896</v>
      </c>
      <c r="FE186" s="239">
        <v>38533</v>
      </c>
      <c r="FF186" s="239">
        <v>0</v>
      </c>
      <c r="FG186" s="239">
        <v>-1534</v>
      </c>
      <c r="FH186" s="239">
        <v>-985</v>
      </c>
      <c r="FI186" s="239">
        <v>0</v>
      </c>
      <c r="FJ186" s="239">
        <v>0</v>
      </c>
      <c r="FK186" s="239">
        <v>0</v>
      </c>
      <c r="FL186" s="239">
        <v>0</v>
      </c>
      <c r="FM186" s="239">
        <v>0</v>
      </c>
      <c r="FN186" s="239">
        <v>0</v>
      </c>
      <c r="FO186" s="239">
        <v>0</v>
      </c>
      <c r="FP186" s="239">
        <v>0</v>
      </c>
      <c r="FQ186" s="239">
        <v>0</v>
      </c>
      <c r="FR186" s="239">
        <v>0</v>
      </c>
      <c r="FS186" s="239">
        <v>0</v>
      </c>
      <c r="FT186" s="239">
        <v>0</v>
      </c>
      <c r="FU186" s="239">
        <v>0</v>
      </c>
      <c r="FV186" s="239">
        <v>1206702</v>
      </c>
      <c r="FW186" s="239">
        <v>297883</v>
      </c>
      <c r="FX186" s="239">
        <v>0</v>
      </c>
      <c r="FY186" s="834">
        <v>0.5</v>
      </c>
      <c r="FZ186" s="834">
        <v>0.4</v>
      </c>
      <c r="GA186" s="834">
        <v>0.1</v>
      </c>
      <c r="GB186" s="834">
        <v>0</v>
      </c>
      <c r="GC186" s="214" t="s">
        <v>1158</v>
      </c>
    </row>
    <row r="187" spans="2:185" s="214" customFormat="1" x14ac:dyDescent="0.2">
      <c r="B187" s="602" t="s">
        <v>457</v>
      </c>
      <c r="C187" s="602" t="s">
        <v>456</v>
      </c>
      <c r="D187" s="239">
        <v>-12724855</v>
      </c>
      <c r="E187" s="239">
        <v>-22924</v>
      </c>
      <c r="F187" s="239">
        <v>-12747779</v>
      </c>
      <c r="G187" s="239">
        <v>-9453163</v>
      </c>
      <c r="H187" s="239">
        <v>-56618</v>
      </c>
      <c r="I187" s="239">
        <v>-9509781</v>
      </c>
      <c r="J187" s="239">
        <v>-3271692</v>
      </c>
      <c r="K187" s="239">
        <v>33694</v>
      </c>
      <c r="L187" s="239">
        <v>-3237998</v>
      </c>
      <c r="M187" s="239">
        <v>238111</v>
      </c>
      <c r="N187" s="239">
        <v>238111</v>
      </c>
      <c r="O187" s="239">
        <v>0</v>
      </c>
      <c r="P187" s="239">
        <v>1116229</v>
      </c>
      <c r="Q187" s="239">
        <v>192429</v>
      </c>
      <c r="R187" s="239">
        <v>923800</v>
      </c>
      <c r="S187" s="239">
        <v>2531277</v>
      </c>
      <c r="T187" s="239">
        <v>0</v>
      </c>
      <c r="U187" s="239">
        <v>2477234</v>
      </c>
      <c r="V187" s="239">
        <v>0</v>
      </c>
      <c r="W187" s="239">
        <v>54043</v>
      </c>
      <c r="X187" s="239">
        <v>0</v>
      </c>
      <c r="Y187" s="239">
        <v>14690</v>
      </c>
      <c r="Z187" s="239">
        <v>14690</v>
      </c>
      <c r="AA187" s="239">
        <v>0</v>
      </c>
      <c r="AB187" s="239">
        <v>0</v>
      </c>
      <c r="AC187" s="239">
        <v>0</v>
      </c>
      <c r="AD187" s="239">
        <v>0</v>
      </c>
      <c r="AE187" s="239">
        <v>0</v>
      </c>
      <c r="AF187" s="239">
        <v>0</v>
      </c>
      <c r="AG187" s="239">
        <v>14690</v>
      </c>
      <c r="AH187" s="239">
        <v>14690</v>
      </c>
      <c r="AI187" s="239">
        <v>0</v>
      </c>
      <c r="AJ187" s="239">
        <v>0</v>
      </c>
      <c r="AK187" s="239">
        <v>0</v>
      </c>
      <c r="AL187" s="239">
        <v>0</v>
      </c>
      <c r="AM187" s="239">
        <v>0</v>
      </c>
      <c r="AN187" s="239">
        <v>0</v>
      </c>
      <c r="AO187" s="239">
        <v>0</v>
      </c>
      <c r="AP187" s="239">
        <v>0</v>
      </c>
      <c r="AQ187" s="239">
        <v>0</v>
      </c>
      <c r="AR187" s="239">
        <v>0</v>
      </c>
      <c r="AS187" s="239">
        <v>0</v>
      </c>
      <c r="AT187" s="239">
        <v>0</v>
      </c>
      <c r="AU187" s="239">
        <v>0</v>
      </c>
      <c r="AV187" s="239">
        <v>0</v>
      </c>
      <c r="AW187" s="239">
        <v>0</v>
      </c>
      <c r="AX187" s="239">
        <v>0</v>
      </c>
      <c r="AY187" s="239">
        <v>0</v>
      </c>
      <c r="AZ187" s="239">
        <v>0</v>
      </c>
      <c r="BA187" s="239">
        <v>0</v>
      </c>
      <c r="BB187" s="239">
        <v>0</v>
      </c>
      <c r="BC187" s="239">
        <v>1782273</v>
      </c>
      <c r="BD187" s="239">
        <v>0</v>
      </c>
      <c r="BE187" s="239">
        <v>36243</v>
      </c>
      <c r="BF187" s="239">
        <v>1743642.501604635</v>
      </c>
      <c r="BG187" s="239">
        <v>0</v>
      </c>
      <c r="BH187" s="239">
        <v>35457.233957596574</v>
      </c>
      <c r="BI187" s="239">
        <v>18226.638841201719</v>
      </c>
      <c r="BJ187" s="239">
        <v>0</v>
      </c>
      <c r="BK187" s="239">
        <v>362.21040772532189</v>
      </c>
      <c r="BL187" s="239">
        <v>1535907</v>
      </c>
      <c r="BM187" s="239">
        <v>0</v>
      </c>
      <c r="BN187" s="239">
        <v>22872</v>
      </c>
      <c r="BO187" s="239">
        <v>246366</v>
      </c>
      <c r="BP187" s="239">
        <v>0</v>
      </c>
      <c r="BQ187" s="239">
        <v>13371</v>
      </c>
      <c r="BR187" s="239">
        <v>8827</v>
      </c>
      <c r="BS187" s="239">
        <v>0</v>
      </c>
      <c r="BT187" s="239">
        <v>180</v>
      </c>
      <c r="BU187" s="239">
        <v>14168</v>
      </c>
      <c r="BV187" s="239">
        <v>0</v>
      </c>
      <c r="BW187" s="239">
        <v>289</v>
      </c>
      <c r="BX187" s="239">
        <v>-5341</v>
      </c>
      <c r="BY187" s="239">
        <v>0</v>
      </c>
      <c r="BZ187" s="239">
        <v>-109</v>
      </c>
      <c r="CA187" s="239">
        <v>19522</v>
      </c>
      <c r="CB187" s="239">
        <v>0</v>
      </c>
      <c r="CC187" s="239">
        <v>398</v>
      </c>
      <c r="CD187" s="239">
        <v>8710</v>
      </c>
      <c r="CE187" s="239">
        <v>0</v>
      </c>
      <c r="CF187" s="239">
        <v>178</v>
      </c>
      <c r="CG187" s="239">
        <v>10812</v>
      </c>
      <c r="CH187" s="239">
        <v>0</v>
      </c>
      <c r="CI187" s="239">
        <v>220</v>
      </c>
      <c r="CJ187" s="239">
        <v>3905</v>
      </c>
      <c r="CK187" s="239">
        <v>0</v>
      </c>
      <c r="CL187" s="239">
        <v>80</v>
      </c>
      <c r="CM187" s="239">
        <v>43787</v>
      </c>
      <c r="CN187" s="239">
        <v>0</v>
      </c>
      <c r="CO187" s="239">
        <v>894</v>
      </c>
      <c r="CP187" s="239">
        <v>-39882</v>
      </c>
      <c r="CQ187" s="239">
        <v>0</v>
      </c>
      <c r="CR187" s="239">
        <v>-814</v>
      </c>
      <c r="CS187" s="239">
        <v>-3006</v>
      </c>
      <c r="CT187" s="239">
        <v>0</v>
      </c>
      <c r="CU187" s="239">
        <v>-61</v>
      </c>
      <c r="CV187" s="239">
        <v>0</v>
      </c>
      <c r="CW187" s="239">
        <v>0</v>
      </c>
      <c r="CX187" s="239">
        <v>0</v>
      </c>
      <c r="CY187" s="239">
        <v>0</v>
      </c>
      <c r="CZ187" s="239">
        <v>0</v>
      </c>
      <c r="DA187" s="239">
        <v>0</v>
      </c>
      <c r="DB187" s="239">
        <v>0</v>
      </c>
      <c r="DC187" s="239">
        <v>0</v>
      </c>
      <c r="DD187" s="239">
        <v>0</v>
      </c>
      <c r="DE187" s="239">
        <v>0</v>
      </c>
      <c r="DF187" s="239">
        <v>0</v>
      </c>
      <c r="DG187" s="239">
        <v>0</v>
      </c>
      <c r="DH187" s="239">
        <v>7325</v>
      </c>
      <c r="DI187" s="239">
        <v>0</v>
      </c>
      <c r="DJ187" s="239">
        <v>149</v>
      </c>
      <c r="DK187" s="239">
        <v>11183</v>
      </c>
      <c r="DL187" s="239">
        <v>0</v>
      </c>
      <c r="DM187" s="239">
        <v>228</v>
      </c>
      <c r="DN187" s="239">
        <v>-3858</v>
      </c>
      <c r="DO187" s="239">
        <v>0</v>
      </c>
      <c r="DP187" s="239">
        <v>-79</v>
      </c>
      <c r="DQ187" s="239">
        <v>746</v>
      </c>
      <c r="DR187" s="239">
        <v>0</v>
      </c>
      <c r="DS187" s="239">
        <v>15</v>
      </c>
      <c r="DT187" s="239">
        <v>746</v>
      </c>
      <c r="DU187" s="239">
        <v>0</v>
      </c>
      <c r="DV187" s="239">
        <v>15</v>
      </c>
      <c r="DW187" s="239">
        <v>0</v>
      </c>
      <c r="DX187" s="239">
        <v>0</v>
      </c>
      <c r="DY187" s="239">
        <v>0</v>
      </c>
      <c r="DZ187" s="239">
        <v>16029</v>
      </c>
      <c r="EA187" s="239">
        <v>0</v>
      </c>
      <c r="EB187" s="239">
        <v>327</v>
      </c>
      <c r="EC187" s="239">
        <v>16356</v>
      </c>
      <c r="ED187" s="239">
        <v>0</v>
      </c>
      <c r="EE187" s="239">
        <v>0</v>
      </c>
      <c r="EF187" s="239">
        <v>-327</v>
      </c>
      <c r="EG187" s="239">
        <v>0</v>
      </c>
      <c r="EH187" s="239">
        <v>327</v>
      </c>
      <c r="EI187" s="239">
        <v>120969</v>
      </c>
      <c r="EJ187" s="239">
        <v>0</v>
      </c>
      <c r="EK187" s="239">
        <v>2469</v>
      </c>
      <c r="EL187" s="239">
        <v>140177</v>
      </c>
      <c r="EM187" s="239">
        <v>0</v>
      </c>
      <c r="EN187" s="239">
        <v>0</v>
      </c>
      <c r="EO187" s="239">
        <v>-19208</v>
      </c>
      <c r="EP187" s="239">
        <v>0</v>
      </c>
      <c r="EQ187" s="239">
        <v>2469</v>
      </c>
      <c r="ER187" s="239">
        <v>30489</v>
      </c>
      <c r="ES187" s="239">
        <v>0</v>
      </c>
      <c r="ET187" s="239">
        <v>622</v>
      </c>
      <c r="EU187" s="239">
        <v>31118</v>
      </c>
      <c r="EV187" s="239">
        <v>0</v>
      </c>
      <c r="EW187" s="239">
        <v>0</v>
      </c>
      <c r="EX187" s="239">
        <v>-629</v>
      </c>
      <c r="EY187" s="239">
        <v>0</v>
      </c>
      <c r="EZ187" s="239">
        <v>622</v>
      </c>
      <c r="FA187" s="239">
        <v>472775</v>
      </c>
      <c r="FB187" s="239">
        <v>0</v>
      </c>
      <c r="FC187" s="239">
        <v>8530</v>
      </c>
      <c r="FD187" s="239">
        <v>602851</v>
      </c>
      <c r="FE187" s="239">
        <v>0</v>
      </c>
      <c r="FF187" s="239">
        <v>11485</v>
      </c>
      <c r="FG187" s="239">
        <v>-130076</v>
      </c>
      <c r="FH187" s="239">
        <v>0</v>
      </c>
      <c r="FI187" s="239">
        <v>-2955</v>
      </c>
      <c r="FJ187" s="239">
        <v>0</v>
      </c>
      <c r="FK187" s="239">
        <v>0</v>
      </c>
      <c r="FL187" s="239">
        <v>0</v>
      </c>
      <c r="FM187" s="239">
        <v>0</v>
      </c>
      <c r="FN187" s="239">
        <v>0</v>
      </c>
      <c r="FO187" s="239">
        <v>0</v>
      </c>
      <c r="FP187" s="239">
        <v>0</v>
      </c>
      <c r="FQ187" s="239">
        <v>0</v>
      </c>
      <c r="FR187" s="239">
        <v>0</v>
      </c>
      <c r="FS187" s="239">
        <v>0</v>
      </c>
      <c r="FT187" s="239">
        <v>0</v>
      </c>
      <c r="FU187" s="239">
        <v>0</v>
      </c>
      <c r="FV187" s="239">
        <v>2459854</v>
      </c>
      <c r="FW187" s="239">
        <v>0</v>
      </c>
      <c r="FX187" s="239">
        <v>48952</v>
      </c>
      <c r="FY187" s="834">
        <v>0.5</v>
      </c>
      <c r="FZ187" s="834">
        <v>0.49</v>
      </c>
      <c r="GA187" s="834">
        <v>0</v>
      </c>
      <c r="GB187" s="834">
        <v>0.01</v>
      </c>
      <c r="GC187" s="214" t="s">
        <v>746</v>
      </c>
    </row>
    <row r="188" spans="2:185" s="214" customFormat="1" x14ac:dyDescent="0.2">
      <c r="B188" s="602" t="s">
        <v>459</v>
      </c>
      <c r="C188" s="602" t="s">
        <v>458</v>
      </c>
      <c r="D188" s="239">
        <v>2391671</v>
      </c>
      <c r="E188" s="239">
        <v>75030</v>
      </c>
      <c r="F188" s="239">
        <v>2466701</v>
      </c>
      <c r="G188" s="239">
        <v>2489097</v>
      </c>
      <c r="H188" s="239">
        <v>17091</v>
      </c>
      <c r="I188" s="239">
        <v>2506188</v>
      </c>
      <c r="J188" s="239">
        <v>-97426</v>
      </c>
      <c r="K188" s="239">
        <v>57939</v>
      </c>
      <c r="L188" s="239">
        <v>-39487</v>
      </c>
      <c r="M188" s="239">
        <v>247838</v>
      </c>
      <c r="N188" s="239">
        <v>247838</v>
      </c>
      <c r="O188" s="239">
        <v>0</v>
      </c>
      <c r="P188" s="239">
        <v>121565</v>
      </c>
      <c r="Q188" s="239">
        <v>17091</v>
      </c>
      <c r="R188" s="239">
        <v>104474</v>
      </c>
      <c r="S188" s="239">
        <v>672679</v>
      </c>
      <c r="T188" s="239">
        <v>0</v>
      </c>
      <c r="U188" s="239">
        <v>592645</v>
      </c>
      <c r="V188" s="239">
        <v>0</v>
      </c>
      <c r="W188" s="239">
        <v>80034</v>
      </c>
      <c r="X188" s="239">
        <v>0</v>
      </c>
      <c r="Y188" s="239">
        <v>209299</v>
      </c>
      <c r="Z188" s="239">
        <v>209299</v>
      </c>
      <c r="AA188" s="239">
        <v>0</v>
      </c>
      <c r="AB188" s="239">
        <v>0</v>
      </c>
      <c r="AC188" s="239">
        <v>26737</v>
      </c>
      <c r="AD188" s="239">
        <v>26737</v>
      </c>
      <c r="AE188" s="239">
        <v>0</v>
      </c>
      <c r="AF188" s="239">
        <v>0</v>
      </c>
      <c r="AG188" s="239">
        <v>182562</v>
      </c>
      <c r="AH188" s="239">
        <v>182562</v>
      </c>
      <c r="AI188" s="239">
        <v>0</v>
      </c>
      <c r="AJ188" s="239">
        <v>0</v>
      </c>
      <c r="AK188" s="239">
        <v>0</v>
      </c>
      <c r="AL188" s="239">
        <v>0</v>
      </c>
      <c r="AM188" s="239">
        <v>0</v>
      </c>
      <c r="AN188" s="239">
        <v>0</v>
      </c>
      <c r="AO188" s="239">
        <v>0</v>
      </c>
      <c r="AP188" s="239">
        <v>0</v>
      </c>
      <c r="AQ188" s="239">
        <v>0</v>
      </c>
      <c r="AR188" s="239">
        <v>0</v>
      </c>
      <c r="AS188" s="239">
        <v>0</v>
      </c>
      <c r="AT188" s="239">
        <v>0</v>
      </c>
      <c r="AU188" s="239">
        <v>0</v>
      </c>
      <c r="AV188" s="239">
        <v>0</v>
      </c>
      <c r="AW188" s="239">
        <v>0</v>
      </c>
      <c r="AX188" s="239">
        <v>0</v>
      </c>
      <c r="AY188" s="239">
        <v>0</v>
      </c>
      <c r="AZ188" s="239">
        <v>0</v>
      </c>
      <c r="BA188" s="239">
        <v>0</v>
      </c>
      <c r="BB188" s="239">
        <v>0</v>
      </c>
      <c r="BC188" s="239">
        <v>1721079</v>
      </c>
      <c r="BD188" s="239">
        <v>423504</v>
      </c>
      <c r="BE188" s="239">
        <v>0</v>
      </c>
      <c r="BF188" s="239">
        <v>1700710.4301330475</v>
      </c>
      <c r="BG188" s="239">
        <v>418497.29201287561</v>
      </c>
      <c r="BH188" s="239">
        <v>0</v>
      </c>
      <c r="BI188" s="239">
        <v>70064.286996566516</v>
      </c>
      <c r="BJ188" s="239">
        <v>16869.503079613733</v>
      </c>
      <c r="BK188" s="239">
        <v>0</v>
      </c>
      <c r="BL188" s="239">
        <v>1525104</v>
      </c>
      <c r="BM188" s="239">
        <v>283477</v>
      </c>
      <c r="BN188" s="239">
        <v>0</v>
      </c>
      <c r="BO188" s="239">
        <v>195975</v>
      </c>
      <c r="BP188" s="239">
        <v>140027</v>
      </c>
      <c r="BQ188" s="239">
        <v>0</v>
      </c>
      <c r="BR188" s="239">
        <v>803</v>
      </c>
      <c r="BS188" s="239">
        <v>201</v>
      </c>
      <c r="BT188" s="239">
        <v>0</v>
      </c>
      <c r="BU188" s="239">
        <v>317</v>
      </c>
      <c r="BV188" s="239">
        <v>79</v>
      </c>
      <c r="BW188" s="239">
        <v>0</v>
      </c>
      <c r="BX188" s="239">
        <v>486</v>
      </c>
      <c r="BY188" s="239">
        <v>122</v>
      </c>
      <c r="BZ188" s="239">
        <v>0</v>
      </c>
      <c r="CA188" s="239">
        <v>-3496</v>
      </c>
      <c r="CB188" s="239">
        <v>-874</v>
      </c>
      <c r="CC188" s="239">
        <v>0</v>
      </c>
      <c r="CD188" s="239">
        <v>0</v>
      </c>
      <c r="CE188" s="239">
        <v>0</v>
      </c>
      <c r="CF188" s="239">
        <v>0</v>
      </c>
      <c r="CG188" s="239">
        <v>-3496</v>
      </c>
      <c r="CH188" s="239">
        <v>-874</v>
      </c>
      <c r="CI188" s="239">
        <v>0</v>
      </c>
      <c r="CJ188" s="239">
        <v>0</v>
      </c>
      <c r="CK188" s="239">
        <v>0</v>
      </c>
      <c r="CL188" s="239">
        <v>0</v>
      </c>
      <c r="CM188" s="239">
        <v>0</v>
      </c>
      <c r="CN188" s="239">
        <v>0</v>
      </c>
      <c r="CO188" s="239">
        <v>0</v>
      </c>
      <c r="CP188" s="239">
        <v>0</v>
      </c>
      <c r="CQ188" s="239">
        <v>0</v>
      </c>
      <c r="CR188" s="239">
        <v>0</v>
      </c>
      <c r="CS188" s="239">
        <v>-6771</v>
      </c>
      <c r="CT188" s="239">
        <v>-1693</v>
      </c>
      <c r="CU188" s="239">
        <v>0</v>
      </c>
      <c r="CV188" s="239">
        <v>-103</v>
      </c>
      <c r="CW188" s="239">
        <v>-26</v>
      </c>
      <c r="CX188" s="239">
        <v>0</v>
      </c>
      <c r="CY188" s="239">
        <v>0</v>
      </c>
      <c r="CZ188" s="239">
        <v>0</v>
      </c>
      <c r="DA188" s="239">
        <v>0</v>
      </c>
      <c r="DB188" s="239">
        <v>-103</v>
      </c>
      <c r="DC188" s="239">
        <v>-26</v>
      </c>
      <c r="DD188" s="239">
        <v>0</v>
      </c>
      <c r="DE188" s="239">
        <v>-1277</v>
      </c>
      <c r="DF188" s="239">
        <v>-319</v>
      </c>
      <c r="DG188" s="239">
        <v>0</v>
      </c>
      <c r="DH188" s="239">
        <v>33119</v>
      </c>
      <c r="DI188" s="239">
        <v>8280</v>
      </c>
      <c r="DJ188" s="239">
        <v>0</v>
      </c>
      <c r="DK188" s="239">
        <v>28517</v>
      </c>
      <c r="DL188" s="239">
        <v>7129</v>
      </c>
      <c r="DM188" s="239">
        <v>0</v>
      </c>
      <c r="DN188" s="239">
        <v>4602</v>
      </c>
      <c r="DO188" s="239">
        <v>1151</v>
      </c>
      <c r="DP188" s="239">
        <v>0</v>
      </c>
      <c r="DQ188" s="239">
        <v>609</v>
      </c>
      <c r="DR188" s="239">
        <v>152</v>
      </c>
      <c r="DS188" s="239">
        <v>0</v>
      </c>
      <c r="DT188" s="239">
        <v>0</v>
      </c>
      <c r="DU188" s="239">
        <v>0</v>
      </c>
      <c r="DV188" s="239">
        <v>0</v>
      </c>
      <c r="DW188" s="239">
        <v>609</v>
      </c>
      <c r="DX188" s="239">
        <v>152</v>
      </c>
      <c r="DY188" s="239">
        <v>0</v>
      </c>
      <c r="DZ188" s="239">
        <v>47695</v>
      </c>
      <c r="EA188" s="239">
        <v>11924</v>
      </c>
      <c r="EB188" s="239">
        <v>0</v>
      </c>
      <c r="EC188" s="239">
        <v>56840</v>
      </c>
      <c r="ED188" s="239">
        <v>0</v>
      </c>
      <c r="EE188" s="239">
        <v>0</v>
      </c>
      <c r="EF188" s="239">
        <v>-9145</v>
      </c>
      <c r="EG188" s="239">
        <v>11924</v>
      </c>
      <c r="EH188" s="239">
        <v>0</v>
      </c>
      <c r="EI188" s="239">
        <v>203686</v>
      </c>
      <c r="EJ188" s="239">
        <v>50921</v>
      </c>
      <c r="EK188" s="239">
        <v>0</v>
      </c>
      <c r="EL188" s="239">
        <v>263734</v>
      </c>
      <c r="EM188" s="239">
        <v>0</v>
      </c>
      <c r="EN188" s="239">
        <v>0</v>
      </c>
      <c r="EO188" s="239">
        <v>-60048</v>
      </c>
      <c r="EP188" s="239">
        <v>50921</v>
      </c>
      <c r="EQ188" s="239">
        <v>0</v>
      </c>
      <c r="ER188" s="239">
        <v>25461</v>
      </c>
      <c r="ES188" s="239">
        <v>6365</v>
      </c>
      <c r="ET188" s="239">
        <v>0</v>
      </c>
      <c r="EU188" s="239">
        <v>33892</v>
      </c>
      <c r="EV188" s="239">
        <v>0</v>
      </c>
      <c r="EW188" s="239">
        <v>0</v>
      </c>
      <c r="EX188" s="239">
        <v>-8431</v>
      </c>
      <c r="EY188" s="239">
        <v>6365</v>
      </c>
      <c r="EZ188" s="239">
        <v>0</v>
      </c>
      <c r="FA188" s="239">
        <v>158511</v>
      </c>
      <c r="FB188" s="239">
        <v>36645</v>
      </c>
      <c r="FC188" s="239">
        <v>0</v>
      </c>
      <c r="FD188" s="239">
        <v>161173</v>
      </c>
      <c r="FE188" s="239">
        <v>37903</v>
      </c>
      <c r="FF188" s="239">
        <v>0</v>
      </c>
      <c r="FG188" s="239">
        <v>-2662</v>
      </c>
      <c r="FH188" s="239">
        <v>-1258</v>
      </c>
      <c r="FI188" s="239">
        <v>0</v>
      </c>
      <c r="FJ188" s="239">
        <v>0</v>
      </c>
      <c r="FK188" s="239">
        <v>0</v>
      </c>
      <c r="FL188" s="239">
        <v>0</v>
      </c>
      <c r="FM188" s="239">
        <v>0</v>
      </c>
      <c r="FN188" s="239">
        <v>0</v>
      </c>
      <c r="FO188" s="239">
        <v>0</v>
      </c>
      <c r="FP188" s="239">
        <v>0</v>
      </c>
      <c r="FQ188" s="239">
        <v>0</v>
      </c>
      <c r="FR188" s="239">
        <v>0</v>
      </c>
      <c r="FS188" s="239">
        <v>0</v>
      </c>
      <c r="FT188" s="239">
        <v>0</v>
      </c>
      <c r="FU188" s="239">
        <v>0</v>
      </c>
      <c r="FV188" s="239">
        <v>2179316</v>
      </c>
      <c r="FW188" s="239">
        <v>535080</v>
      </c>
      <c r="FX188" s="239">
        <v>0</v>
      </c>
      <c r="FY188" s="834">
        <v>0.5</v>
      </c>
      <c r="FZ188" s="834">
        <v>0.4</v>
      </c>
      <c r="GA188" s="834">
        <v>0.1</v>
      </c>
      <c r="GB188" s="834">
        <v>0</v>
      </c>
      <c r="GC188" s="214" t="s">
        <v>1158</v>
      </c>
    </row>
    <row r="189" spans="2:185" s="214" customFormat="1" x14ac:dyDescent="0.2">
      <c r="B189" s="602" t="s">
        <v>461</v>
      </c>
      <c r="C189" s="602" t="s">
        <v>460</v>
      </c>
      <c r="D189" s="239">
        <v>-1230031</v>
      </c>
      <c r="E189" s="239">
        <v>-92571</v>
      </c>
      <c r="F189" s="239">
        <v>-1322602</v>
      </c>
      <c r="G189" s="239">
        <v>-1597119</v>
      </c>
      <c r="H189" s="239">
        <v>-95317</v>
      </c>
      <c r="I189" s="239">
        <v>-1692436</v>
      </c>
      <c r="J189" s="239">
        <v>367088</v>
      </c>
      <c r="K189" s="239">
        <v>2746</v>
      </c>
      <c r="L189" s="239">
        <v>369834</v>
      </c>
      <c r="M189" s="239">
        <v>261366</v>
      </c>
      <c r="N189" s="239">
        <v>261366</v>
      </c>
      <c r="O189" s="239">
        <v>0</v>
      </c>
      <c r="P189" s="239">
        <v>361783</v>
      </c>
      <c r="Q189" s="239">
        <v>490850</v>
      </c>
      <c r="R189" s="239">
        <v>-129067</v>
      </c>
      <c r="S189" s="239">
        <v>165376</v>
      </c>
      <c r="T189" s="239">
        <v>0</v>
      </c>
      <c r="U189" s="239">
        <v>91443</v>
      </c>
      <c r="V189" s="239">
        <v>0</v>
      </c>
      <c r="W189" s="239">
        <v>73933</v>
      </c>
      <c r="X189" s="239">
        <v>0</v>
      </c>
      <c r="Y189" s="239">
        <v>0</v>
      </c>
      <c r="Z189" s="239">
        <v>0</v>
      </c>
      <c r="AA189" s="239">
        <v>0</v>
      </c>
      <c r="AB189" s="239">
        <v>0</v>
      </c>
      <c r="AC189" s="239">
        <v>0</v>
      </c>
      <c r="AD189" s="239">
        <v>0</v>
      </c>
      <c r="AE189" s="239">
        <v>0</v>
      </c>
      <c r="AF189" s="239">
        <v>0</v>
      </c>
      <c r="AG189" s="239">
        <v>0</v>
      </c>
      <c r="AH189" s="239">
        <v>0</v>
      </c>
      <c r="AI189" s="239">
        <v>0</v>
      </c>
      <c r="AJ189" s="239">
        <v>0</v>
      </c>
      <c r="AK189" s="239">
        <v>0</v>
      </c>
      <c r="AL189" s="239">
        <v>0</v>
      </c>
      <c r="AM189" s="239">
        <v>0</v>
      </c>
      <c r="AN189" s="239">
        <v>0</v>
      </c>
      <c r="AO189" s="239">
        <v>0</v>
      </c>
      <c r="AP189" s="239">
        <v>0</v>
      </c>
      <c r="AQ189" s="239">
        <v>0</v>
      </c>
      <c r="AR189" s="239">
        <v>0</v>
      </c>
      <c r="AS189" s="239">
        <v>0</v>
      </c>
      <c r="AT189" s="239">
        <v>0</v>
      </c>
      <c r="AU189" s="239">
        <v>0</v>
      </c>
      <c r="AV189" s="239">
        <v>0</v>
      </c>
      <c r="AW189" s="239">
        <v>850129</v>
      </c>
      <c r="AX189" s="239">
        <v>850129</v>
      </c>
      <c r="AY189" s="239">
        <v>816661.47</v>
      </c>
      <c r="AZ189" s="239">
        <v>816661.47</v>
      </c>
      <c r="BA189" s="239">
        <v>33468</v>
      </c>
      <c r="BB189" s="239">
        <v>33468</v>
      </c>
      <c r="BC189" s="239">
        <v>2258494</v>
      </c>
      <c r="BD189" s="239">
        <v>0</v>
      </c>
      <c r="BE189" s="239">
        <v>45141</v>
      </c>
      <c r="BF189" s="239">
        <v>2211538.1739519308</v>
      </c>
      <c r="BG189" s="239">
        <v>0</v>
      </c>
      <c r="BH189" s="239">
        <v>44203.499206866945</v>
      </c>
      <c r="BI189" s="239">
        <v>146294.95613412015</v>
      </c>
      <c r="BJ189" s="239">
        <v>0</v>
      </c>
      <c r="BK189" s="239">
        <v>2929.4640912017162</v>
      </c>
      <c r="BL189" s="239">
        <v>2268012</v>
      </c>
      <c r="BM189" s="239">
        <v>0</v>
      </c>
      <c r="BN189" s="239">
        <v>31620</v>
      </c>
      <c r="BO189" s="239">
        <v>-9518</v>
      </c>
      <c r="BP189" s="239">
        <v>0</v>
      </c>
      <c r="BQ189" s="239">
        <v>13521</v>
      </c>
      <c r="BR189" s="239">
        <v>6231</v>
      </c>
      <c r="BS189" s="239">
        <v>0</v>
      </c>
      <c r="BT189" s="239">
        <v>127</v>
      </c>
      <c r="BU189" s="239">
        <v>9929</v>
      </c>
      <c r="BV189" s="239">
        <v>0</v>
      </c>
      <c r="BW189" s="239">
        <v>203</v>
      </c>
      <c r="BX189" s="239">
        <v>-3698</v>
      </c>
      <c r="BY189" s="239">
        <v>0</v>
      </c>
      <c r="BZ189" s="239">
        <v>-76</v>
      </c>
      <c r="CA189" s="239">
        <v>0</v>
      </c>
      <c r="CB189" s="239">
        <v>0</v>
      </c>
      <c r="CC189" s="239">
        <v>0</v>
      </c>
      <c r="CD189" s="239">
        <v>0</v>
      </c>
      <c r="CE189" s="239">
        <v>0</v>
      </c>
      <c r="CF189" s="239">
        <v>0</v>
      </c>
      <c r="CG189" s="239">
        <v>0</v>
      </c>
      <c r="CH189" s="239">
        <v>0</v>
      </c>
      <c r="CI189" s="239">
        <v>0</v>
      </c>
      <c r="CJ189" s="239">
        <v>0</v>
      </c>
      <c r="CK189" s="239">
        <v>0</v>
      </c>
      <c r="CL189" s="239">
        <v>0</v>
      </c>
      <c r="CM189" s="239">
        <v>0</v>
      </c>
      <c r="CN189" s="239">
        <v>0</v>
      </c>
      <c r="CO189" s="239">
        <v>0</v>
      </c>
      <c r="CP189" s="239">
        <v>0</v>
      </c>
      <c r="CQ189" s="239">
        <v>0</v>
      </c>
      <c r="CR189" s="239">
        <v>0</v>
      </c>
      <c r="CS189" s="239">
        <v>472</v>
      </c>
      <c r="CT189" s="239">
        <v>0</v>
      </c>
      <c r="CU189" s="239">
        <v>10</v>
      </c>
      <c r="CV189" s="239">
        <v>0</v>
      </c>
      <c r="CW189" s="239">
        <v>0</v>
      </c>
      <c r="CX189" s="239">
        <v>0</v>
      </c>
      <c r="CY189" s="239">
        <v>0</v>
      </c>
      <c r="CZ189" s="239">
        <v>0</v>
      </c>
      <c r="DA189" s="239">
        <v>0</v>
      </c>
      <c r="DB189" s="239">
        <v>0</v>
      </c>
      <c r="DC189" s="239">
        <v>0</v>
      </c>
      <c r="DD189" s="239">
        <v>0</v>
      </c>
      <c r="DE189" s="239">
        <v>0</v>
      </c>
      <c r="DF189" s="239">
        <v>0</v>
      </c>
      <c r="DG189" s="239">
        <v>0</v>
      </c>
      <c r="DH189" s="239">
        <v>5020</v>
      </c>
      <c r="DI189" s="239">
        <v>0</v>
      </c>
      <c r="DJ189" s="239">
        <v>102</v>
      </c>
      <c r="DK189" s="239">
        <v>6014</v>
      </c>
      <c r="DL189" s="239">
        <v>0</v>
      </c>
      <c r="DM189" s="239">
        <v>123</v>
      </c>
      <c r="DN189" s="239">
        <v>-994</v>
      </c>
      <c r="DO189" s="239">
        <v>0</v>
      </c>
      <c r="DP189" s="239">
        <v>-21</v>
      </c>
      <c r="DQ189" s="239">
        <v>746</v>
      </c>
      <c r="DR189" s="239">
        <v>0</v>
      </c>
      <c r="DS189" s="239">
        <v>15</v>
      </c>
      <c r="DT189" s="239">
        <v>746</v>
      </c>
      <c r="DU189" s="239">
        <v>0</v>
      </c>
      <c r="DV189" s="239">
        <v>15</v>
      </c>
      <c r="DW189" s="239">
        <v>0</v>
      </c>
      <c r="DX189" s="239">
        <v>0</v>
      </c>
      <c r="DY189" s="239">
        <v>0</v>
      </c>
      <c r="DZ189" s="239">
        <v>15780</v>
      </c>
      <c r="EA189" s="239">
        <v>0</v>
      </c>
      <c r="EB189" s="239">
        <v>322</v>
      </c>
      <c r="EC189" s="239">
        <v>15315</v>
      </c>
      <c r="ED189" s="239">
        <v>0</v>
      </c>
      <c r="EE189" s="239">
        <v>0</v>
      </c>
      <c r="EF189" s="239">
        <v>465</v>
      </c>
      <c r="EG189" s="239">
        <v>0</v>
      </c>
      <c r="EH189" s="239">
        <v>322</v>
      </c>
      <c r="EI189" s="239">
        <v>145614</v>
      </c>
      <c r="EJ189" s="239">
        <v>0</v>
      </c>
      <c r="EK189" s="239">
        <v>2935</v>
      </c>
      <c r="EL189" s="239">
        <v>145907</v>
      </c>
      <c r="EM189" s="239">
        <v>0</v>
      </c>
      <c r="EN189" s="239">
        <v>0</v>
      </c>
      <c r="EO189" s="239">
        <v>-293</v>
      </c>
      <c r="EP189" s="239">
        <v>0</v>
      </c>
      <c r="EQ189" s="239">
        <v>2935</v>
      </c>
      <c r="ER189" s="239">
        <v>32851</v>
      </c>
      <c r="ES189" s="239">
        <v>0</v>
      </c>
      <c r="ET189" s="239">
        <v>670</v>
      </c>
      <c r="EU189" s="239">
        <v>31820</v>
      </c>
      <c r="EV189" s="239">
        <v>0</v>
      </c>
      <c r="EW189" s="239">
        <v>0</v>
      </c>
      <c r="EX189" s="239">
        <v>1031</v>
      </c>
      <c r="EY189" s="239">
        <v>0</v>
      </c>
      <c r="EZ189" s="239">
        <v>670</v>
      </c>
      <c r="FA189" s="239">
        <v>431578</v>
      </c>
      <c r="FB189" s="239">
        <v>0</v>
      </c>
      <c r="FC189" s="239">
        <v>8646</v>
      </c>
      <c r="FD189" s="239">
        <v>444562</v>
      </c>
      <c r="FE189" s="239">
        <v>0</v>
      </c>
      <c r="FF189" s="239">
        <v>8644</v>
      </c>
      <c r="FG189" s="239">
        <v>-12984</v>
      </c>
      <c r="FH189" s="239">
        <v>0</v>
      </c>
      <c r="FI189" s="239">
        <v>2</v>
      </c>
      <c r="FJ189" s="239">
        <v>0</v>
      </c>
      <c r="FK189" s="239">
        <v>0</v>
      </c>
      <c r="FL189" s="239">
        <v>0</v>
      </c>
      <c r="FM189" s="239">
        <v>0</v>
      </c>
      <c r="FN189" s="239">
        <v>0</v>
      </c>
      <c r="FO189" s="239">
        <v>0</v>
      </c>
      <c r="FP189" s="239">
        <v>0</v>
      </c>
      <c r="FQ189" s="239">
        <v>0</v>
      </c>
      <c r="FR189" s="239">
        <v>0</v>
      </c>
      <c r="FS189" s="239">
        <v>0</v>
      </c>
      <c r="FT189" s="239">
        <v>0</v>
      </c>
      <c r="FU189" s="239">
        <v>0</v>
      </c>
      <c r="FV189" s="239">
        <v>2896786</v>
      </c>
      <c r="FW189" s="239">
        <v>0</v>
      </c>
      <c r="FX189" s="239">
        <v>57968</v>
      </c>
      <c r="FY189" s="834">
        <v>0.5</v>
      </c>
      <c r="FZ189" s="834">
        <v>0.49</v>
      </c>
      <c r="GA189" s="834">
        <v>0</v>
      </c>
      <c r="GB189" s="834">
        <v>0.01</v>
      </c>
      <c r="GC189" s="214" t="s">
        <v>746</v>
      </c>
    </row>
    <row r="190" spans="2:185" s="214" customFormat="1" x14ac:dyDescent="0.2">
      <c r="B190" s="602" t="s">
        <v>463</v>
      </c>
      <c r="C190" s="602" t="s">
        <v>462</v>
      </c>
      <c r="D190" s="239">
        <v>-2864821</v>
      </c>
      <c r="E190" s="239">
        <v>13872</v>
      </c>
      <c r="F190" s="239">
        <v>-2850949</v>
      </c>
      <c r="G190" s="239">
        <v>-2568893</v>
      </c>
      <c r="H190" s="239">
        <v>13872</v>
      </c>
      <c r="I190" s="239">
        <v>-2555021</v>
      </c>
      <c r="J190" s="239">
        <v>-295928</v>
      </c>
      <c r="K190" s="239">
        <v>0</v>
      </c>
      <c r="L190" s="239">
        <v>-295928</v>
      </c>
      <c r="M190" s="239">
        <v>226812</v>
      </c>
      <c r="N190" s="239">
        <v>226812</v>
      </c>
      <c r="O190" s="239">
        <v>0</v>
      </c>
      <c r="P190" s="239">
        <v>137545</v>
      </c>
      <c r="Q190" s="239">
        <v>163744</v>
      </c>
      <c r="R190" s="239">
        <v>-26199</v>
      </c>
      <c r="S190" s="239">
        <v>0</v>
      </c>
      <c r="T190" s="239">
        <v>0</v>
      </c>
      <c r="U190" s="239">
        <v>0</v>
      </c>
      <c r="V190" s="239">
        <v>0</v>
      </c>
      <c r="W190" s="239">
        <v>0</v>
      </c>
      <c r="X190" s="239">
        <v>0</v>
      </c>
      <c r="Y190" s="239">
        <v>15385</v>
      </c>
      <c r="Z190" s="239">
        <v>15385</v>
      </c>
      <c r="AA190" s="239">
        <v>0</v>
      </c>
      <c r="AB190" s="239">
        <v>0</v>
      </c>
      <c r="AC190" s="239">
        <v>10109</v>
      </c>
      <c r="AD190" s="239">
        <v>10109</v>
      </c>
      <c r="AE190" s="239">
        <v>0</v>
      </c>
      <c r="AF190" s="239">
        <v>0</v>
      </c>
      <c r="AG190" s="239">
        <v>5276</v>
      </c>
      <c r="AH190" s="239">
        <v>5276</v>
      </c>
      <c r="AI190" s="239">
        <v>0</v>
      </c>
      <c r="AJ190" s="239">
        <v>0</v>
      </c>
      <c r="AK190" s="239">
        <v>0</v>
      </c>
      <c r="AL190" s="239">
        <v>0</v>
      </c>
      <c r="AM190" s="239">
        <v>0</v>
      </c>
      <c r="AN190" s="239">
        <v>0</v>
      </c>
      <c r="AO190" s="239">
        <v>0</v>
      </c>
      <c r="AP190" s="239">
        <v>0</v>
      </c>
      <c r="AQ190" s="239">
        <v>0</v>
      </c>
      <c r="AR190" s="239">
        <v>0</v>
      </c>
      <c r="AS190" s="239">
        <v>0</v>
      </c>
      <c r="AT190" s="239">
        <v>0</v>
      </c>
      <c r="AU190" s="239">
        <v>0</v>
      </c>
      <c r="AV190" s="239">
        <v>0</v>
      </c>
      <c r="AW190" s="239">
        <v>0</v>
      </c>
      <c r="AX190" s="239">
        <v>0</v>
      </c>
      <c r="AY190" s="239">
        <v>0</v>
      </c>
      <c r="AZ190" s="239">
        <v>0</v>
      </c>
      <c r="BA190" s="239">
        <v>0</v>
      </c>
      <c r="BB190" s="239">
        <v>0</v>
      </c>
      <c r="BC190" s="239">
        <v>1921675</v>
      </c>
      <c r="BD190" s="239">
        <v>0</v>
      </c>
      <c r="BE190" s="239">
        <v>39006</v>
      </c>
      <c r="BF190" s="239">
        <v>1886320.7283320816</v>
      </c>
      <c r="BG190" s="239">
        <v>0</v>
      </c>
      <c r="BH190" s="239">
        <v>38287.995707618029</v>
      </c>
      <c r="BI190" s="239">
        <v>111094.30298551502</v>
      </c>
      <c r="BJ190" s="239">
        <v>0</v>
      </c>
      <c r="BK190" s="239">
        <v>2253.968071351931</v>
      </c>
      <c r="BL190" s="239">
        <v>1773821</v>
      </c>
      <c r="BM190" s="239">
        <v>0</v>
      </c>
      <c r="BN190" s="239">
        <v>25654</v>
      </c>
      <c r="BO190" s="239">
        <v>147854</v>
      </c>
      <c r="BP190" s="239">
        <v>0</v>
      </c>
      <c r="BQ190" s="239">
        <v>13352</v>
      </c>
      <c r="BR190" s="239">
        <v>2617</v>
      </c>
      <c r="BS190" s="239">
        <v>0</v>
      </c>
      <c r="BT190" s="239">
        <v>53</v>
      </c>
      <c r="BU190" s="239">
        <v>3441</v>
      </c>
      <c r="BV190" s="239">
        <v>0</v>
      </c>
      <c r="BW190" s="239">
        <v>70</v>
      </c>
      <c r="BX190" s="239">
        <v>-824</v>
      </c>
      <c r="BY190" s="239">
        <v>0</v>
      </c>
      <c r="BZ190" s="239">
        <v>-17</v>
      </c>
      <c r="CA190" s="239">
        <v>0</v>
      </c>
      <c r="CB190" s="239">
        <v>0</v>
      </c>
      <c r="CC190" s="239">
        <v>0</v>
      </c>
      <c r="CD190" s="239">
        <v>0</v>
      </c>
      <c r="CE190" s="239">
        <v>0</v>
      </c>
      <c r="CF190" s="239">
        <v>0</v>
      </c>
      <c r="CG190" s="239">
        <v>0</v>
      </c>
      <c r="CH190" s="239">
        <v>0</v>
      </c>
      <c r="CI190" s="239">
        <v>0</v>
      </c>
      <c r="CJ190" s="239">
        <v>483</v>
      </c>
      <c r="CK190" s="239">
        <v>0</v>
      </c>
      <c r="CL190" s="239">
        <v>10</v>
      </c>
      <c r="CM190" s="239">
        <v>1017</v>
      </c>
      <c r="CN190" s="239">
        <v>0</v>
      </c>
      <c r="CO190" s="239">
        <v>21</v>
      </c>
      <c r="CP190" s="239">
        <v>-534</v>
      </c>
      <c r="CQ190" s="239">
        <v>0</v>
      </c>
      <c r="CR190" s="239">
        <v>-11</v>
      </c>
      <c r="CS190" s="239">
        <v>-352</v>
      </c>
      <c r="CT190" s="239">
        <v>0</v>
      </c>
      <c r="CU190" s="239">
        <v>-7</v>
      </c>
      <c r="CV190" s="239">
        <v>0</v>
      </c>
      <c r="CW190" s="239">
        <v>0</v>
      </c>
      <c r="CX190" s="239">
        <v>0</v>
      </c>
      <c r="CY190" s="239">
        <v>0</v>
      </c>
      <c r="CZ190" s="239">
        <v>0</v>
      </c>
      <c r="DA190" s="239">
        <v>0</v>
      </c>
      <c r="DB190" s="239">
        <v>0</v>
      </c>
      <c r="DC190" s="239">
        <v>0</v>
      </c>
      <c r="DD190" s="239">
        <v>0</v>
      </c>
      <c r="DE190" s="239">
        <v>-89</v>
      </c>
      <c r="DF190" s="239">
        <v>0</v>
      </c>
      <c r="DG190" s="239">
        <v>-2</v>
      </c>
      <c r="DH190" s="239">
        <v>0</v>
      </c>
      <c r="DI190" s="239">
        <v>0</v>
      </c>
      <c r="DJ190" s="239">
        <v>0</v>
      </c>
      <c r="DK190" s="239">
        <v>0</v>
      </c>
      <c r="DL190" s="239">
        <v>0</v>
      </c>
      <c r="DM190" s="239">
        <v>0</v>
      </c>
      <c r="DN190" s="239">
        <v>0</v>
      </c>
      <c r="DO190" s="239">
        <v>0</v>
      </c>
      <c r="DP190" s="239">
        <v>0</v>
      </c>
      <c r="DQ190" s="239">
        <v>0</v>
      </c>
      <c r="DR190" s="239">
        <v>0</v>
      </c>
      <c r="DS190" s="239">
        <v>0</v>
      </c>
      <c r="DT190" s="239">
        <v>0</v>
      </c>
      <c r="DU190" s="239">
        <v>0</v>
      </c>
      <c r="DV190" s="239">
        <v>0</v>
      </c>
      <c r="DW190" s="239">
        <v>0</v>
      </c>
      <c r="DX190" s="239">
        <v>0</v>
      </c>
      <c r="DY190" s="239">
        <v>0</v>
      </c>
      <c r="DZ190" s="239">
        <v>16813</v>
      </c>
      <c r="EA190" s="239">
        <v>0</v>
      </c>
      <c r="EB190" s="239">
        <v>343</v>
      </c>
      <c r="EC190" s="239">
        <v>17156</v>
      </c>
      <c r="ED190" s="239">
        <v>0</v>
      </c>
      <c r="EE190" s="239">
        <v>0</v>
      </c>
      <c r="EF190" s="239">
        <v>-343</v>
      </c>
      <c r="EG190" s="239">
        <v>0</v>
      </c>
      <c r="EH190" s="239">
        <v>343</v>
      </c>
      <c r="EI190" s="239">
        <v>118621</v>
      </c>
      <c r="EJ190" s="239">
        <v>0</v>
      </c>
      <c r="EK190" s="239">
        <v>2421</v>
      </c>
      <c r="EL190" s="239">
        <v>154954</v>
      </c>
      <c r="EM190" s="239">
        <v>0</v>
      </c>
      <c r="EN190" s="239">
        <v>0</v>
      </c>
      <c r="EO190" s="239">
        <v>-36333</v>
      </c>
      <c r="EP190" s="239">
        <v>0</v>
      </c>
      <c r="EQ190" s="239">
        <v>2421</v>
      </c>
      <c r="ER190" s="239">
        <v>34174</v>
      </c>
      <c r="ES190" s="239">
        <v>0</v>
      </c>
      <c r="ET190" s="239">
        <v>697</v>
      </c>
      <c r="EU190" s="239">
        <v>35667</v>
      </c>
      <c r="EV190" s="239">
        <v>0</v>
      </c>
      <c r="EW190" s="239">
        <v>0</v>
      </c>
      <c r="EX190" s="239">
        <v>-1493</v>
      </c>
      <c r="EY190" s="239">
        <v>0</v>
      </c>
      <c r="EZ190" s="239">
        <v>697</v>
      </c>
      <c r="FA190" s="239">
        <v>402577</v>
      </c>
      <c r="FB190" s="239">
        <v>0</v>
      </c>
      <c r="FC190" s="239">
        <v>8174</v>
      </c>
      <c r="FD190" s="239">
        <v>397920</v>
      </c>
      <c r="FE190" s="239">
        <v>0</v>
      </c>
      <c r="FF190" s="239">
        <v>8068</v>
      </c>
      <c r="FG190" s="239">
        <v>4657</v>
      </c>
      <c r="FH190" s="239">
        <v>0</v>
      </c>
      <c r="FI190" s="239">
        <v>106</v>
      </c>
      <c r="FJ190" s="239">
        <v>0</v>
      </c>
      <c r="FK190" s="239">
        <v>0</v>
      </c>
      <c r="FL190" s="239">
        <v>0</v>
      </c>
      <c r="FM190" s="239">
        <v>0</v>
      </c>
      <c r="FN190" s="239">
        <v>0</v>
      </c>
      <c r="FO190" s="239">
        <v>0</v>
      </c>
      <c r="FP190" s="239">
        <v>0</v>
      </c>
      <c r="FQ190" s="239">
        <v>0</v>
      </c>
      <c r="FR190" s="239">
        <v>0</v>
      </c>
      <c r="FS190" s="239">
        <v>0</v>
      </c>
      <c r="FT190" s="239">
        <v>0</v>
      </c>
      <c r="FU190" s="239">
        <v>0</v>
      </c>
      <c r="FV190" s="239">
        <v>2496519</v>
      </c>
      <c r="FW190" s="239">
        <v>0</v>
      </c>
      <c r="FX190" s="239">
        <v>50695</v>
      </c>
      <c r="FY190" s="834">
        <v>0.5</v>
      </c>
      <c r="FZ190" s="834">
        <v>0.49</v>
      </c>
      <c r="GA190" s="834">
        <v>0</v>
      </c>
      <c r="GB190" s="834">
        <v>0.01</v>
      </c>
      <c r="GC190" s="214" t="s">
        <v>1160</v>
      </c>
    </row>
    <row r="191" spans="2:185" s="214" customFormat="1" x14ac:dyDescent="0.2">
      <c r="B191" s="602" t="s">
        <v>465</v>
      </c>
      <c r="C191" s="602" t="s">
        <v>464</v>
      </c>
      <c r="D191" s="239">
        <v>-170051</v>
      </c>
      <c r="E191" s="239">
        <v>0</v>
      </c>
      <c r="F191" s="239">
        <v>-170051</v>
      </c>
      <c r="G191" s="239">
        <v>-201874</v>
      </c>
      <c r="H191" s="239">
        <v>0</v>
      </c>
      <c r="I191" s="239">
        <v>-201874</v>
      </c>
      <c r="J191" s="239">
        <v>31823</v>
      </c>
      <c r="K191" s="239">
        <v>0</v>
      </c>
      <c r="L191" s="239">
        <v>31823</v>
      </c>
      <c r="M191" s="239">
        <v>107553</v>
      </c>
      <c r="N191" s="239">
        <v>107553</v>
      </c>
      <c r="O191" s="239">
        <v>0</v>
      </c>
      <c r="P191" s="239">
        <v>0</v>
      </c>
      <c r="Q191" s="239">
        <v>0</v>
      </c>
      <c r="R191" s="239">
        <v>0</v>
      </c>
      <c r="S191" s="239">
        <v>0</v>
      </c>
      <c r="T191" s="239">
        <v>0</v>
      </c>
      <c r="U191" s="239">
        <v>0</v>
      </c>
      <c r="V191" s="239">
        <v>0</v>
      </c>
      <c r="W191" s="239">
        <v>0</v>
      </c>
      <c r="X191" s="239">
        <v>0</v>
      </c>
      <c r="Y191" s="239">
        <v>0</v>
      </c>
      <c r="Z191" s="239">
        <v>0</v>
      </c>
      <c r="AA191" s="239">
        <v>0</v>
      </c>
      <c r="AB191" s="239">
        <v>0</v>
      </c>
      <c r="AC191" s="239">
        <v>0</v>
      </c>
      <c r="AD191" s="239">
        <v>0</v>
      </c>
      <c r="AE191" s="239">
        <v>0</v>
      </c>
      <c r="AF191" s="239">
        <v>0</v>
      </c>
      <c r="AG191" s="239">
        <v>0</v>
      </c>
      <c r="AH191" s="239">
        <v>0</v>
      </c>
      <c r="AI191" s="239">
        <v>0</v>
      </c>
      <c r="AJ191" s="239">
        <v>0</v>
      </c>
      <c r="AK191" s="239">
        <v>0</v>
      </c>
      <c r="AL191" s="239">
        <v>0</v>
      </c>
      <c r="AM191" s="239">
        <v>0</v>
      </c>
      <c r="AN191" s="239">
        <v>0</v>
      </c>
      <c r="AO191" s="239">
        <v>0</v>
      </c>
      <c r="AP191" s="239">
        <v>0</v>
      </c>
      <c r="AQ191" s="239">
        <v>0</v>
      </c>
      <c r="AR191" s="239">
        <v>0</v>
      </c>
      <c r="AS191" s="239">
        <v>0</v>
      </c>
      <c r="AT191" s="239">
        <v>0</v>
      </c>
      <c r="AU191" s="239">
        <v>0</v>
      </c>
      <c r="AV191" s="239">
        <v>0</v>
      </c>
      <c r="AW191" s="239">
        <v>0</v>
      </c>
      <c r="AX191" s="239">
        <v>0</v>
      </c>
      <c r="AY191" s="239">
        <v>0</v>
      </c>
      <c r="AZ191" s="239">
        <v>0</v>
      </c>
      <c r="BA191" s="239">
        <v>0</v>
      </c>
      <c r="BB191" s="239">
        <v>0</v>
      </c>
      <c r="BC191" s="239">
        <v>642304</v>
      </c>
      <c r="BD191" s="239">
        <v>160576</v>
      </c>
      <c r="BE191" s="239">
        <v>0</v>
      </c>
      <c r="BF191" s="239">
        <v>628192.8671931331</v>
      </c>
      <c r="BG191" s="239">
        <v>157048.21679828328</v>
      </c>
      <c r="BH191" s="239">
        <v>0</v>
      </c>
      <c r="BI191" s="239">
        <v>45907.563111587981</v>
      </c>
      <c r="BJ191" s="239">
        <v>11476.890777896995</v>
      </c>
      <c r="BK191" s="239">
        <v>0</v>
      </c>
      <c r="BL191" s="239">
        <v>571162</v>
      </c>
      <c r="BM191" s="239">
        <v>95833</v>
      </c>
      <c r="BN191" s="239">
        <v>0</v>
      </c>
      <c r="BO191" s="239">
        <v>71142</v>
      </c>
      <c r="BP191" s="239">
        <v>64743</v>
      </c>
      <c r="BQ191" s="239">
        <v>0</v>
      </c>
      <c r="BR191" s="239">
        <v>3727</v>
      </c>
      <c r="BS191" s="239">
        <v>932</v>
      </c>
      <c r="BT191" s="239">
        <v>0</v>
      </c>
      <c r="BU191" s="239">
        <v>5059</v>
      </c>
      <c r="BV191" s="239">
        <v>1265</v>
      </c>
      <c r="BW191" s="239">
        <v>0</v>
      </c>
      <c r="BX191" s="239">
        <v>-1332</v>
      </c>
      <c r="BY191" s="239">
        <v>-333</v>
      </c>
      <c r="BZ191" s="239">
        <v>0</v>
      </c>
      <c r="CA191" s="239">
        <v>0</v>
      </c>
      <c r="CB191" s="239">
        <v>0</v>
      </c>
      <c r="CC191" s="239">
        <v>0</v>
      </c>
      <c r="CD191" s="239">
        <v>0</v>
      </c>
      <c r="CE191" s="239">
        <v>0</v>
      </c>
      <c r="CF191" s="239">
        <v>0</v>
      </c>
      <c r="CG191" s="239">
        <v>0</v>
      </c>
      <c r="CH191" s="239">
        <v>0</v>
      </c>
      <c r="CI191" s="239">
        <v>0</v>
      </c>
      <c r="CJ191" s="239">
        <v>0</v>
      </c>
      <c r="CK191" s="239">
        <v>0</v>
      </c>
      <c r="CL191" s="239">
        <v>0</v>
      </c>
      <c r="CM191" s="239">
        <v>0</v>
      </c>
      <c r="CN191" s="239">
        <v>0</v>
      </c>
      <c r="CO191" s="239">
        <v>0</v>
      </c>
      <c r="CP191" s="239">
        <v>0</v>
      </c>
      <c r="CQ191" s="239">
        <v>0</v>
      </c>
      <c r="CR191" s="239">
        <v>0</v>
      </c>
      <c r="CS191" s="239">
        <v>0</v>
      </c>
      <c r="CT191" s="239">
        <v>0</v>
      </c>
      <c r="CU191" s="239">
        <v>0</v>
      </c>
      <c r="CV191" s="239">
        <v>0</v>
      </c>
      <c r="CW191" s="239">
        <v>0</v>
      </c>
      <c r="CX191" s="239">
        <v>0</v>
      </c>
      <c r="CY191" s="239">
        <v>0</v>
      </c>
      <c r="CZ191" s="239">
        <v>0</v>
      </c>
      <c r="DA191" s="239">
        <v>0</v>
      </c>
      <c r="DB191" s="239">
        <v>0</v>
      </c>
      <c r="DC191" s="239">
        <v>0</v>
      </c>
      <c r="DD191" s="239">
        <v>0</v>
      </c>
      <c r="DE191" s="239">
        <v>0</v>
      </c>
      <c r="DF191" s="239">
        <v>0</v>
      </c>
      <c r="DG191" s="239">
        <v>0</v>
      </c>
      <c r="DH191" s="239">
        <v>3939</v>
      </c>
      <c r="DI191" s="239">
        <v>985</v>
      </c>
      <c r="DJ191" s="239">
        <v>0</v>
      </c>
      <c r="DK191" s="239">
        <v>4474</v>
      </c>
      <c r="DL191" s="239">
        <v>1119</v>
      </c>
      <c r="DM191" s="239">
        <v>0</v>
      </c>
      <c r="DN191" s="239">
        <v>-535</v>
      </c>
      <c r="DO191" s="239">
        <v>-134</v>
      </c>
      <c r="DP191" s="239">
        <v>0</v>
      </c>
      <c r="DQ191" s="239">
        <v>69</v>
      </c>
      <c r="DR191" s="239">
        <v>17</v>
      </c>
      <c r="DS191" s="239">
        <v>0</v>
      </c>
      <c r="DT191" s="239">
        <v>0</v>
      </c>
      <c r="DU191" s="239">
        <v>0</v>
      </c>
      <c r="DV191" s="239">
        <v>0</v>
      </c>
      <c r="DW191" s="239">
        <v>69</v>
      </c>
      <c r="DX191" s="239">
        <v>17</v>
      </c>
      <c r="DY191" s="239">
        <v>0</v>
      </c>
      <c r="DZ191" s="239">
        <v>2847</v>
      </c>
      <c r="EA191" s="239">
        <v>712</v>
      </c>
      <c r="EB191" s="239">
        <v>0</v>
      </c>
      <c r="EC191" s="239">
        <v>3559</v>
      </c>
      <c r="ED191" s="239">
        <v>0</v>
      </c>
      <c r="EE191" s="239">
        <v>0</v>
      </c>
      <c r="EF191" s="239">
        <v>-712</v>
      </c>
      <c r="EG191" s="239">
        <v>712</v>
      </c>
      <c r="EH191" s="239">
        <v>0</v>
      </c>
      <c r="EI191" s="239">
        <v>61808</v>
      </c>
      <c r="EJ191" s="239">
        <v>15452</v>
      </c>
      <c r="EK191" s="239">
        <v>0</v>
      </c>
      <c r="EL191" s="239">
        <v>76259</v>
      </c>
      <c r="EM191" s="239">
        <v>0</v>
      </c>
      <c r="EN191" s="239">
        <v>0</v>
      </c>
      <c r="EO191" s="239">
        <v>-14451</v>
      </c>
      <c r="EP191" s="239">
        <v>15452</v>
      </c>
      <c r="EQ191" s="239">
        <v>0</v>
      </c>
      <c r="ER191" s="239">
        <v>19254</v>
      </c>
      <c r="ES191" s="239">
        <v>4813</v>
      </c>
      <c r="ET191" s="239">
        <v>0</v>
      </c>
      <c r="EU191" s="239">
        <v>24169</v>
      </c>
      <c r="EV191" s="239">
        <v>0</v>
      </c>
      <c r="EW191" s="239">
        <v>0</v>
      </c>
      <c r="EX191" s="239">
        <v>-4915</v>
      </c>
      <c r="EY191" s="239">
        <v>4813</v>
      </c>
      <c r="EZ191" s="239">
        <v>0</v>
      </c>
      <c r="FA191" s="239">
        <v>276660</v>
      </c>
      <c r="FB191" s="239">
        <v>69165</v>
      </c>
      <c r="FC191" s="239">
        <v>0</v>
      </c>
      <c r="FD191" s="239">
        <v>258967</v>
      </c>
      <c r="FE191" s="239">
        <v>64742</v>
      </c>
      <c r="FF191" s="239">
        <v>0</v>
      </c>
      <c r="FG191" s="239">
        <v>17693</v>
      </c>
      <c r="FH191" s="239">
        <v>4423</v>
      </c>
      <c r="FI191" s="239">
        <v>0</v>
      </c>
      <c r="FJ191" s="239">
        <v>0</v>
      </c>
      <c r="FK191" s="239">
        <v>0</v>
      </c>
      <c r="FL191" s="239">
        <v>0</v>
      </c>
      <c r="FM191" s="239">
        <v>0</v>
      </c>
      <c r="FN191" s="239">
        <v>0</v>
      </c>
      <c r="FO191" s="239">
        <v>0</v>
      </c>
      <c r="FP191" s="239">
        <v>0</v>
      </c>
      <c r="FQ191" s="239">
        <v>0</v>
      </c>
      <c r="FR191" s="239">
        <v>0</v>
      </c>
      <c r="FS191" s="239">
        <v>0</v>
      </c>
      <c r="FT191" s="239">
        <v>0</v>
      </c>
      <c r="FU191" s="239">
        <v>0</v>
      </c>
      <c r="FV191" s="239">
        <v>1010608</v>
      </c>
      <c r="FW191" s="239">
        <v>252652</v>
      </c>
      <c r="FX191" s="239">
        <v>0</v>
      </c>
      <c r="FY191" s="834">
        <v>0.5</v>
      </c>
      <c r="FZ191" s="834">
        <v>0.4</v>
      </c>
      <c r="GA191" s="834">
        <v>0.1</v>
      </c>
      <c r="GB191" s="834">
        <v>0</v>
      </c>
      <c r="GC191" s="214" t="s">
        <v>1158</v>
      </c>
    </row>
    <row r="192" spans="2:185" s="214" customFormat="1" x14ac:dyDescent="0.2">
      <c r="B192" s="602" t="s">
        <v>467</v>
      </c>
      <c r="C192" s="602" t="s">
        <v>466</v>
      </c>
      <c r="D192" s="239">
        <v>343651</v>
      </c>
      <c r="E192" s="239">
        <v>0</v>
      </c>
      <c r="F192" s="239">
        <v>343651</v>
      </c>
      <c r="G192" s="239">
        <v>569088</v>
      </c>
      <c r="H192" s="239">
        <v>0</v>
      </c>
      <c r="I192" s="239">
        <v>569088</v>
      </c>
      <c r="J192" s="239">
        <v>-225437</v>
      </c>
      <c r="K192" s="239">
        <v>0</v>
      </c>
      <c r="L192" s="239">
        <v>-225437</v>
      </c>
      <c r="M192" s="239">
        <v>145430</v>
      </c>
      <c r="N192" s="239">
        <v>145430</v>
      </c>
      <c r="O192" s="239">
        <v>0</v>
      </c>
      <c r="P192" s="239">
        <v>0</v>
      </c>
      <c r="Q192" s="239">
        <v>0</v>
      </c>
      <c r="R192" s="239">
        <v>0</v>
      </c>
      <c r="S192" s="239">
        <v>204059</v>
      </c>
      <c r="T192" s="239">
        <v>0</v>
      </c>
      <c r="U192" s="239">
        <v>172754</v>
      </c>
      <c r="V192" s="239">
        <v>0</v>
      </c>
      <c r="W192" s="239">
        <v>31305</v>
      </c>
      <c r="X192" s="239">
        <v>0</v>
      </c>
      <c r="Y192" s="239">
        <v>0</v>
      </c>
      <c r="Z192" s="239">
        <v>0</v>
      </c>
      <c r="AA192" s="239">
        <v>0</v>
      </c>
      <c r="AB192" s="239">
        <v>0</v>
      </c>
      <c r="AC192" s="239">
        <v>0</v>
      </c>
      <c r="AD192" s="239">
        <v>0</v>
      </c>
      <c r="AE192" s="239">
        <v>0</v>
      </c>
      <c r="AF192" s="239">
        <v>0</v>
      </c>
      <c r="AG192" s="239">
        <v>0</v>
      </c>
      <c r="AH192" s="239">
        <v>0</v>
      </c>
      <c r="AI192" s="239">
        <v>0</v>
      </c>
      <c r="AJ192" s="239">
        <v>0</v>
      </c>
      <c r="AK192" s="239">
        <v>0</v>
      </c>
      <c r="AL192" s="239">
        <v>0</v>
      </c>
      <c r="AM192" s="239">
        <v>0</v>
      </c>
      <c r="AN192" s="239">
        <v>0</v>
      </c>
      <c r="AO192" s="239">
        <v>0</v>
      </c>
      <c r="AP192" s="239">
        <v>0</v>
      </c>
      <c r="AQ192" s="239">
        <v>0</v>
      </c>
      <c r="AR192" s="239">
        <v>0</v>
      </c>
      <c r="AS192" s="239">
        <v>0</v>
      </c>
      <c r="AT192" s="239">
        <v>0</v>
      </c>
      <c r="AU192" s="239">
        <v>0</v>
      </c>
      <c r="AV192" s="239">
        <v>0</v>
      </c>
      <c r="AW192" s="239">
        <v>0</v>
      </c>
      <c r="AX192" s="239">
        <v>0</v>
      </c>
      <c r="AY192" s="239">
        <v>0</v>
      </c>
      <c r="AZ192" s="239">
        <v>0</v>
      </c>
      <c r="BA192" s="239">
        <v>0</v>
      </c>
      <c r="BB192" s="239">
        <v>0</v>
      </c>
      <c r="BC192" s="239">
        <v>838494</v>
      </c>
      <c r="BD192" s="239">
        <v>188661</v>
      </c>
      <c r="BE192" s="239">
        <v>20962</v>
      </c>
      <c r="BF192" s="239">
        <v>814175.04535107303</v>
      </c>
      <c r="BG192" s="239">
        <v>183189.38520399141</v>
      </c>
      <c r="BH192" s="239">
        <v>20354.376133776826</v>
      </c>
      <c r="BI192" s="239">
        <v>82977.983991416302</v>
      </c>
      <c r="BJ192" s="239">
        <v>18670.046398068665</v>
      </c>
      <c r="BK192" s="239">
        <v>2074.4495997854074</v>
      </c>
      <c r="BL192" s="239">
        <v>733026</v>
      </c>
      <c r="BM192" s="239">
        <v>112966</v>
      </c>
      <c r="BN192" s="239">
        <v>12552</v>
      </c>
      <c r="BO192" s="239">
        <v>105468</v>
      </c>
      <c r="BP192" s="239">
        <v>75695</v>
      </c>
      <c r="BQ192" s="239">
        <v>8410</v>
      </c>
      <c r="BR192" s="239">
        <v>3032</v>
      </c>
      <c r="BS192" s="239">
        <v>682</v>
      </c>
      <c r="BT192" s="239">
        <v>76</v>
      </c>
      <c r="BU192" s="239">
        <v>4007</v>
      </c>
      <c r="BV192" s="239">
        <v>901</v>
      </c>
      <c r="BW192" s="239">
        <v>100</v>
      </c>
      <c r="BX192" s="239">
        <v>-975</v>
      </c>
      <c r="BY192" s="239">
        <v>-219</v>
      </c>
      <c r="BZ192" s="239">
        <v>-24</v>
      </c>
      <c r="CA192" s="239">
        <v>21259</v>
      </c>
      <c r="CB192" s="239">
        <v>4783</v>
      </c>
      <c r="CC192" s="239">
        <v>531</v>
      </c>
      <c r="CD192" s="239">
        <v>30451</v>
      </c>
      <c r="CE192" s="239">
        <v>6851</v>
      </c>
      <c r="CF192" s="239">
        <v>761</v>
      </c>
      <c r="CG192" s="239">
        <v>-9192</v>
      </c>
      <c r="CH192" s="239">
        <v>-2068</v>
      </c>
      <c r="CI192" s="239">
        <v>-230</v>
      </c>
      <c r="CJ192" s="239">
        <v>11447</v>
      </c>
      <c r="CK192" s="239">
        <v>2576</v>
      </c>
      <c r="CL192" s="239">
        <v>286</v>
      </c>
      <c r="CM192" s="239">
        <v>0</v>
      </c>
      <c r="CN192" s="239">
        <v>0</v>
      </c>
      <c r="CO192" s="239">
        <v>0</v>
      </c>
      <c r="CP192" s="239">
        <v>11447</v>
      </c>
      <c r="CQ192" s="239">
        <v>2576</v>
      </c>
      <c r="CR192" s="239">
        <v>286</v>
      </c>
      <c r="CS192" s="239">
        <v>-2158</v>
      </c>
      <c r="CT192" s="239">
        <v>-486</v>
      </c>
      <c r="CU192" s="239">
        <v>-54</v>
      </c>
      <c r="CV192" s="239">
        <v>0</v>
      </c>
      <c r="CW192" s="239">
        <v>0</v>
      </c>
      <c r="CX192" s="239">
        <v>0</v>
      </c>
      <c r="CY192" s="239">
        <v>0</v>
      </c>
      <c r="CZ192" s="239">
        <v>0</v>
      </c>
      <c r="DA192" s="239">
        <v>0</v>
      </c>
      <c r="DB192" s="239">
        <v>0</v>
      </c>
      <c r="DC192" s="239">
        <v>0</v>
      </c>
      <c r="DD192" s="239">
        <v>0</v>
      </c>
      <c r="DE192" s="239">
        <v>-810</v>
      </c>
      <c r="DF192" s="239">
        <v>-182</v>
      </c>
      <c r="DG192" s="239">
        <v>-20</v>
      </c>
      <c r="DH192" s="239">
        <v>2990</v>
      </c>
      <c r="DI192" s="239">
        <v>673</v>
      </c>
      <c r="DJ192" s="239">
        <v>75</v>
      </c>
      <c r="DK192" s="239">
        <v>3726</v>
      </c>
      <c r="DL192" s="239">
        <v>838</v>
      </c>
      <c r="DM192" s="239">
        <v>93</v>
      </c>
      <c r="DN192" s="239">
        <v>-736</v>
      </c>
      <c r="DO192" s="239">
        <v>-165</v>
      </c>
      <c r="DP192" s="239">
        <v>-18</v>
      </c>
      <c r="DQ192" s="239">
        <v>609</v>
      </c>
      <c r="DR192" s="239">
        <v>137</v>
      </c>
      <c r="DS192" s="239">
        <v>15</v>
      </c>
      <c r="DT192" s="239">
        <v>609</v>
      </c>
      <c r="DU192" s="239">
        <v>137</v>
      </c>
      <c r="DV192" s="239">
        <v>15</v>
      </c>
      <c r="DW192" s="239">
        <v>0</v>
      </c>
      <c r="DX192" s="239">
        <v>0</v>
      </c>
      <c r="DY192" s="239">
        <v>0</v>
      </c>
      <c r="DZ192" s="239">
        <v>8730</v>
      </c>
      <c r="EA192" s="239">
        <v>1964</v>
      </c>
      <c r="EB192" s="239">
        <v>218</v>
      </c>
      <c r="EC192" s="239">
        <v>23206</v>
      </c>
      <c r="ED192" s="239">
        <v>0</v>
      </c>
      <c r="EE192" s="239">
        <v>0</v>
      </c>
      <c r="EF192" s="239">
        <v>-14476</v>
      </c>
      <c r="EG192" s="239">
        <v>1964</v>
      </c>
      <c r="EH192" s="239">
        <v>218</v>
      </c>
      <c r="EI192" s="239">
        <v>109211</v>
      </c>
      <c r="EJ192" s="239">
        <v>24573</v>
      </c>
      <c r="EK192" s="239">
        <v>2730</v>
      </c>
      <c r="EL192" s="239">
        <v>146688</v>
      </c>
      <c r="EM192" s="239">
        <v>0</v>
      </c>
      <c r="EN192" s="239">
        <v>0</v>
      </c>
      <c r="EO192" s="239">
        <v>-37477</v>
      </c>
      <c r="EP192" s="239">
        <v>24573</v>
      </c>
      <c r="EQ192" s="239">
        <v>2730</v>
      </c>
      <c r="ER192" s="239">
        <v>11994</v>
      </c>
      <c r="ES192" s="239">
        <v>2699</v>
      </c>
      <c r="ET192" s="239">
        <v>300</v>
      </c>
      <c r="EU192" s="239">
        <v>22838</v>
      </c>
      <c r="EV192" s="239">
        <v>0</v>
      </c>
      <c r="EW192" s="239">
        <v>0</v>
      </c>
      <c r="EX192" s="239">
        <v>-10844</v>
      </c>
      <c r="EY192" s="239">
        <v>2699</v>
      </c>
      <c r="EZ192" s="239">
        <v>300</v>
      </c>
      <c r="FA192" s="239">
        <v>353070</v>
      </c>
      <c r="FB192" s="239">
        <v>78751</v>
      </c>
      <c r="FC192" s="239">
        <v>8750</v>
      </c>
      <c r="FD192" s="239">
        <v>348113</v>
      </c>
      <c r="FE192" s="239">
        <v>77742</v>
      </c>
      <c r="FF192" s="239">
        <v>8638</v>
      </c>
      <c r="FG192" s="239">
        <v>4957</v>
      </c>
      <c r="FH192" s="239">
        <v>1009</v>
      </c>
      <c r="FI192" s="239">
        <v>112</v>
      </c>
      <c r="FJ192" s="239">
        <v>0</v>
      </c>
      <c r="FK192" s="239">
        <v>0</v>
      </c>
      <c r="FL192" s="239">
        <v>0</v>
      </c>
      <c r="FM192" s="239">
        <v>0</v>
      </c>
      <c r="FN192" s="239">
        <v>0</v>
      </c>
      <c r="FO192" s="239">
        <v>0</v>
      </c>
      <c r="FP192" s="239">
        <v>0</v>
      </c>
      <c r="FQ192" s="239">
        <v>0</v>
      </c>
      <c r="FR192" s="239">
        <v>0</v>
      </c>
      <c r="FS192" s="239">
        <v>0</v>
      </c>
      <c r="FT192" s="239">
        <v>0</v>
      </c>
      <c r="FU192" s="239">
        <v>0</v>
      </c>
      <c r="FV192" s="239">
        <v>1357868</v>
      </c>
      <c r="FW192" s="239">
        <v>304831</v>
      </c>
      <c r="FX192" s="239">
        <v>33869</v>
      </c>
      <c r="FY192" s="834">
        <v>0.5</v>
      </c>
      <c r="FZ192" s="834">
        <v>0.4</v>
      </c>
      <c r="GA192" s="834">
        <v>0.09</v>
      </c>
      <c r="GB192" s="834">
        <v>0.01</v>
      </c>
      <c r="GC192" s="214" t="s">
        <v>1158</v>
      </c>
    </row>
    <row r="193" spans="1:185" s="214" customFormat="1" x14ac:dyDescent="0.2">
      <c r="A193" s="215"/>
      <c r="B193" s="602" t="s">
        <v>469</v>
      </c>
      <c r="C193" s="602" t="s">
        <v>468</v>
      </c>
      <c r="D193" s="239">
        <v>-4904341</v>
      </c>
      <c r="E193" s="239">
        <v>-327095</v>
      </c>
      <c r="F193" s="239">
        <v>-5231436</v>
      </c>
      <c r="G193" s="239">
        <v>-4345399</v>
      </c>
      <c r="H193" s="239">
        <v>-340892</v>
      </c>
      <c r="I193" s="239">
        <v>-4686291</v>
      </c>
      <c r="J193" s="239">
        <v>-558942</v>
      </c>
      <c r="K193" s="239">
        <v>13797</v>
      </c>
      <c r="L193" s="239">
        <v>-545145</v>
      </c>
      <c r="M193" s="239">
        <v>282973</v>
      </c>
      <c r="N193" s="239">
        <v>282973</v>
      </c>
      <c r="O193" s="239">
        <v>0</v>
      </c>
      <c r="P193" s="239">
        <v>1260524</v>
      </c>
      <c r="Q193" s="239">
        <v>0</v>
      </c>
      <c r="R193" s="239">
        <v>1260524</v>
      </c>
      <c r="S193" s="239">
        <v>0</v>
      </c>
      <c r="T193" s="239">
        <v>0</v>
      </c>
      <c r="U193" s="239">
        <v>0</v>
      </c>
      <c r="V193" s="239">
        <v>0</v>
      </c>
      <c r="W193" s="239">
        <v>0</v>
      </c>
      <c r="X193" s="239">
        <v>0</v>
      </c>
      <c r="Y193" s="239">
        <v>1081902</v>
      </c>
      <c r="Z193" s="239">
        <v>1081902</v>
      </c>
      <c r="AA193" s="239">
        <v>0</v>
      </c>
      <c r="AB193" s="239">
        <v>0</v>
      </c>
      <c r="AC193" s="239">
        <v>1197743</v>
      </c>
      <c r="AD193" s="239">
        <v>1197743</v>
      </c>
      <c r="AE193" s="239">
        <v>0</v>
      </c>
      <c r="AF193" s="239">
        <v>0</v>
      </c>
      <c r="AG193" s="239">
        <v>-115841</v>
      </c>
      <c r="AH193" s="239">
        <v>-115841</v>
      </c>
      <c r="AI193" s="239">
        <v>0</v>
      </c>
      <c r="AJ193" s="239">
        <v>0</v>
      </c>
      <c r="AK193" s="239">
        <v>0</v>
      </c>
      <c r="AL193" s="239">
        <v>0</v>
      </c>
      <c r="AM193" s="239">
        <v>0</v>
      </c>
      <c r="AN193" s="239">
        <v>0</v>
      </c>
      <c r="AO193" s="239">
        <v>0</v>
      </c>
      <c r="AP193" s="239">
        <v>0</v>
      </c>
      <c r="AQ193" s="239">
        <v>0</v>
      </c>
      <c r="AR193" s="239">
        <v>0</v>
      </c>
      <c r="AS193" s="239">
        <v>0</v>
      </c>
      <c r="AT193" s="239">
        <v>0</v>
      </c>
      <c r="AU193" s="239">
        <v>0</v>
      </c>
      <c r="AV193" s="239">
        <v>0</v>
      </c>
      <c r="AW193" s="239">
        <v>0</v>
      </c>
      <c r="AX193" s="239">
        <v>0</v>
      </c>
      <c r="AY193" s="239">
        <v>0</v>
      </c>
      <c r="AZ193" s="239">
        <v>0</v>
      </c>
      <c r="BA193" s="239">
        <v>0</v>
      </c>
      <c r="BB193" s="239">
        <v>0</v>
      </c>
      <c r="BC193" s="239">
        <v>1633749</v>
      </c>
      <c r="BD193" s="239">
        <v>389704</v>
      </c>
      <c r="BE193" s="239">
        <v>0</v>
      </c>
      <c r="BF193" s="239">
        <v>1583409.4122660942</v>
      </c>
      <c r="BG193" s="239">
        <v>377696.32419313298</v>
      </c>
      <c r="BH193" s="239">
        <v>0</v>
      </c>
      <c r="BI193" s="239">
        <v>169184.06103004291</v>
      </c>
      <c r="BJ193" s="239">
        <v>36946.979045064378</v>
      </c>
      <c r="BK193" s="239">
        <v>0</v>
      </c>
      <c r="BL193" s="239">
        <v>1566008</v>
      </c>
      <c r="BM193" s="239">
        <v>243112</v>
      </c>
      <c r="BN193" s="239">
        <v>0</v>
      </c>
      <c r="BO193" s="239">
        <v>67741</v>
      </c>
      <c r="BP193" s="239">
        <v>146592</v>
      </c>
      <c r="BQ193" s="239">
        <v>0</v>
      </c>
      <c r="BR193" s="239">
        <v>0</v>
      </c>
      <c r="BS193" s="239">
        <v>0</v>
      </c>
      <c r="BT193" s="239">
        <v>0</v>
      </c>
      <c r="BU193" s="239">
        <v>0</v>
      </c>
      <c r="BV193" s="239">
        <v>0</v>
      </c>
      <c r="BW193" s="239">
        <v>0</v>
      </c>
      <c r="BX193" s="239">
        <v>0</v>
      </c>
      <c r="BY193" s="239">
        <v>0</v>
      </c>
      <c r="BZ193" s="239">
        <v>0</v>
      </c>
      <c r="CA193" s="239">
        <v>10063</v>
      </c>
      <c r="CB193" s="239">
        <v>2516</v>
      </c>
      <c r="CC193" s="239">
        <v>0</v>
      </c>
      <c r="CD193" s="239">
        <v>0</v>
      </c>
      <c r="CE193" s="239">
        <v>0</v>
      </c>
      <c r="CF193" s="239">
        <v>0</v>
      </c>
      <c r="CG193" s="239">
        <v>10063</v>
      </c>
      <c r="CH193" s="239">
        <v>2516</v>
      </c>
      <c r="CI193" s="239">
        <v>0</v>
      </c>
      <c r="CJ193" s="239">
        <v>-3243</v>
      </c>
      <c r="CK193" s="239">
        <v>-811</v>
      </c>
      <c r="CL193" s="239">
        <v>0</v>
      </c>
      <c r="CM193" s="239">
        <v>18670</v>
      </c>
      <c r="CN193" s="239">
        <v>4667</v>
      </c>
      <c r="CO193" s="239">
        <v>0</v>
      </c>
      <c r="CP193" s="239">
        <v>-21913</v>
      </c>
      <c r="CQ193" s="239">
        <v>-5478</v>
      </c>
      <c r="CR193" s="239">
        <v>0</v>
      </c>
      <c r="CS193" s="239">
        <v>0</v>
      </c>
      <c r="CT193" s="239">
        <v>0</v>
      </c>
      <c r="CU193" s="239">
        <v>0</v>
      </c>
      <c r="CV193" s="239">
        <v>0</v>
      </c>
      <c r="CW193" s="239">
        <v>0</v>
      </c>
      <c r="CX193" s="239">
        <v>0</v>
      </c>
      <c r="CY193" s="239">
        <v>0</v>
      </c>
      <c r="CZ193" s="239">
        <v>0</v>
      </c>
      <c r="DA193" s="239">
        <v>0</v>
      </c>
      <c r="DB193" s="239">
        <v>0</v>
      </c>
      <c r="DC193" s="239">
        <v>0</v>
      </c>
      <c r="DD193" s="239">
        <v>0</v>
      </c>
      <c r="DE193" s="239">
        <v>0</v>
      </c>
      <c r="DF193" s="239">
        <v>0</v>
      </c>
      <c r="DG193" s="239">
        <v>0</v>
      </c>
      <c r="DH193" s="239">
        <v>0</v>
      </c>
      <c r="DI193" s="239">
        <v>0</v>
      </c>
      <c r="DJ193" s="239">
        <v>0</v>
      </c>
      <c r="DK193" s="239">
        <v>0</v>
      </c>
      <c r="DL193" s="239">
        <v>0</v>
      </c>
      <c r="DM193" s="239">
        <v>0</v>
      </c>
      <c r="DN193" s="239">
        <v>0</v>
      </c>
      <c r="DO193" s="239">
        <v>0</v>
      </c>
      <c r="DP193" s="239">
        <v>0</v>
      </c>
      <c r="DQ193" s="239">
        <v>609</v>
      </c>
      <c r="DR193" s="239">
        <v>152</v>
      </c>
      <c r="DS193" s="239">
        <v>0</v>
      </c>
      <c r="DT193" s="239">
        <v>0</v>
      </c>
      <c r="DU193" s="239">
        <v>0</v>
      </c>
      <c r="DV193" s="239">
        <v>0</v>
      </c>
      <c r="DW193" s="239">
        <v>609</v>
      </c>
      <c r="DX193" s="239">
        <v>152</v>
      </c>
      <c r="DY193" s="239">
        <v>0</v>
      </c>
      <c r="DZ193" s="239">
        <v>4991</v>
      </c>
      <c r="EA193" s="239">
        <v>888</v>
      </c>
      <c r="EB193" s="239">
        <v>0</v>
      </c>
      <c r="EC193" s="239">
        <v>127</v>
      </c>
      <c r="ED193" s="239">
        <v>0</v>
      </c>
      <c r="EE193" s="239">
        <v>0</v>
      </c>
      <c r="EF193" s="239">
        <v>4864</v>
      </c>
      <c r="EG193" s="239">
        <v>888</v>
      </c>
      <c r="EH193" s="239">
        <v>0</v>
      </c>
      <c r="EI193" s="239">
        <v>27702</v>
      </c>
      <c r="EJ193" s="239">
        <v>5605</v>
      </c>
      <c r="EK193" s="239">
        <v>0</v>
      </c>
      <c r="EL193" s="239">
        <v>94935</v>
      </c>
      <c r="EM193" s="239">
        <v>0</v>
      </c>
      <c r="EN193" s="239">
        <v>0</v>
      </c>
      <c r="EO193" s="239">
        <v>-67233</v>
      </c>
      <c r="EP193" s="239">
        <v>5605</v>
      </c>
      <c r="EQ193" s="239">
        <v>0</v>
      </c>
      <c r="ER193" s="239">
        <v>18001</v>
      </c>
      <c r="ES193" s="239">
        <v>4500</v>
      </c>
      <c r="ET193" s="239">
        <v>0</v>
      </c>
      <c r="EU193" s="239">
        <v>35526</v>
      </c>
      <c r="EV193" s="239">
        <v>0</v>
      </c>
      <c r="EW193" s="239">
        <v>0</v>
      </c>
      <c r="EX193" s="239">
        <v>-17525</v>
      </c>
      <c r="EY193" s="239">
        <v>4500</v>
      </c>
      <c r="EZ193" s="239">
        <v>0</v>
      </c>
      <c r="FA193" s="239">
        <v>577324</v>
      </c>
      <c r="FB193" s="239">
        <v>139597</v>
      </c>
      <c r="FC193" s="239">
        <v>0</v>
      </c>
      <c r="FD193" s="239">
        <v>571959</v>
      </c>
      <c r="FE193" s="239">
        <v>138492</v>
      </c>
      <c r="FF193" s="239">
        <v>0</v>
      </c>
      <c r="FG193" s="239">
        <v>5365</v>
      </c>
      <c r="FH193" s="239">
        <v>1105</v>
      </c>
      <c r="FI193" s="239">
        <v>0</v>
      </c>
      <c r="FJ193" s="239">
        <v>0</v>
      </c>
      <c r="FK193" s="239">
        <v>0</v>
      </c>
      <c r="FL193" s="239">
        <v>0</v>
      </c>
      <c r="FM193" s="239">
        <v>0</v>
      </c>
      <c r="FN193" s="239">
        <v>0</v>
      </c>
      <c r="FO193" s="239">
        <v>0</v>
      </c>
      <c r="FP193" s="239">
        <v>0</v>
      </c>
      <c r="FQ193" s="239">
        <v>0</v>
      </c>
      <c r="FR193" s="239">
        <v>0</v>
      </c>
      <c r="FS193" s="239">
        <v>0</v>
      </c>
      <c r="FT193" s="239">
        <v>0</v>
      </c>
      <c r="FU193" s="239">
        <v>0</v>
      </c>
      <c r="FV193" s="239">
        <v>2269196</v>
      </c>
      <c r="FW193" s="239">
        <v>542151</v>
      </c>
      <c r="FX193" s="239">
        <v>0</v>
      </c>
      <c r="FY193" s="834">
        <v>0.5</v>
      </c>
      <c r="FZ193" s="834">
        <v>0.4</v>
      </c>
      <c r="GA193" s="834">
        <v>0.1</v>
      </c>
      <c r="GB193" s="834">
        <v>0</v>
      </c>
      <c r="GC193" s="214" t="s">
        <v>1158</v>
      </c>
    </row>
    <row r="194" spans="1:185" s="214" customFormat="1" x14ac:dyDescent="0.2">
      <c r="B194" s="602" t="s">
        <v>471</v>
      </c>
      <c r="C194" s="602" t="s">
        <v>470</v>
      </c>
      <c r="D194" s="239">
        <v>1555702</v>
      </c>
      <c r="E194" s="239">
        <v>29303</v>
      </c>
      <c r="F194" s="239">
        <v>1585005</v>
      </c>
      <c r="G194" s="239">
        <v>1883856</v>
      </c>
      <c r="H194" s="239">
        <v>29189</v>
      </c>
      <c r="I194" s="239">
        <v>1913045</v>
      </c>
      <c r="J194" s="239">
        <v>-328154</v>
      </c>
      <c r="K194" s="239">
        <v>114</v>
      </c>
      <c r="L194" s="239">
        <v>-328040</v>
      </c>
      <c r="M194" s="239">
        <v>479269</v>
      </c>
      <c r="N194" s="239">
        <v>479269</v>
      </c>
      <c r="O194" s="239">
        <v>0</v>
      </c>
      <c r="P194" s="239">
        <v>132378</v>
      </c>
      <c r="Q194" s="239">
        <v>184394</v>
      </c>
      <c r="R194" s="239">
        <v>-52016</v>
      </c>
      <c r="S194" s="239">
        <v>2981307</v>
      </c>
      <c r="T194" s="239">
        <v>0</v>
      </c>
      <c r="U194" s="239">
        <v>1860077</v>
      </c>
      <c r="V194" s="239">
        <v>0</v>
      </c>
      <c r="W194" s="239">
        <v>1121230</v>
      </c>
      <c r="X194" s="239">
        <v>0</v>
      </c>
      <c r="Y194" s="239">
        <v>182075</v>
      </c>
      <c r="Z194" s="239">
        <v>182075</v>
      </c>
      <c r="AA194" s="239">
        <v>0</v>
      </c>
      <c r="AB194" s="239">
        <v>0</v>
      </c>
      <c r="AC194" s="239">
        <v>127854</v>
      </c>
      <c r="AD194" s="239">
        <v>127854</v>
      </c>
      <c r="AE194" s="239">
        <v>0</v>
      </c>
      <c r="AF194" s="239">
        <v>0</v>
      </c>
      <c r="AG194" s="239">
        <v>54221</v>
      </c>
      <c r="AH194" s="239">
        <v>54221</v>
      </c>
      <c r="AI194" s="239">
        <v>0</v>
      </c>
      <c r="AJ194" s="239">
        <v>0</v>
      </c>
      <c r="AK194" s="239">
        <v>0</v>
      </c>
      <c r="AL194" s="239">
        <v>0</v>
      </c>
      <c r="AM194" s="239">
        <v>0</v>
      </c>
      <c r="AN194" s="239">
        <v>0</v>
      </c>
      <c r="AO194" s="239">
        <v>0</v>
      </c>
      <c r="AP194" s="239">
        <v>0</v>
      </c>
      <c r="AQ194" s="239">
        <v>0</v>
      </c>
      <c r="AR194" s="239">
        <v>0</v>
      </c>
      <c r="AS194" s="239">
        <v>0</v>
      </c>
      <c r="AT194" s="239">
        <v>0</v>
      </c>
      <c r="AU194" s="239">
        <v>0</v>
      </c>
      <c r="AV194" s="239">
        <v>0</v>
      </c>
      <c r="AW194" s="239">
        <v>0</v>
      </c>
      <c r="AX194" s="239">
        <v>0</v>
      </c>
      <c r="AY194" s="239">
        <v>0</v>
      </c>
      <c r="AZ194" s="239">
        <v>0</v>
      </c>
      <c r="BA194" s="239">
        <v>0</v>
      </c>
      <c r="BB194" s="239">
        <v>0</v>
      </c>
      <c r="BC194" s="239">
        <v>4031984</v>
      </c>
      <c r="BD194" s="239">
        <v>0</v>
      </c>
      <c r="BE194" s="239">
        <v>0</v>
      </c>
      <c r="BF194" s="239">
        <v>3955820.9619334764</v>
      </c>
      <c r="BG194" s="239">
        <v>0</v>
      </c>
      <c r="BH194" s="239">
        <v>0</v>
      </c>
      <c r="BI194" s="239">
        <v>239599.54565450642</v>
      </c>
      <c r="BJ194" s="239">
        <v>0</v>
      </c>
      <c r="BK194" s="239">
        <v>0</v>
      </c>
      <c r="BL194" s="239">
        <v>3536985</v>
      </c>
      <c r="BM194" s="239">
        <v>0</v>
      </c>
      <c r="BN194" s="239">
        <v>0</v>
      </c>
      <c r="BO194" s="239">
        <v>494999</v>
      </c>
      <c r="BP194" s="239">
        <v>0</v>
      </c>
      <c r="BQ194" s="239">
        <v>0</v>
      </c>
      <c r="BR194" s="239">
        <v>43068</v>
      </c>
      <c r="BS194" s="239">
        <v>0</v>
      </c>
      <c r="BT194" s="239">
        <v>0</v>
      </c>
      <c r="BU194" s="239">
        <v>21825</v>
      </c>
      <c r="BV194" s="239">
        <v>0</v>
      </c>
      <c r="BW194" s="239">
        <v>0</v>
      </c>
      <c r="BX194" s="239">
        <v>21243</v>
      </c>
      <c r="BY194" s="239">
        <v>0</v>
      </c>
      <c r="BZ194" s="239">
        <v>0</v>
      </c>
      <c r="CA194" s="239">
        <v>134</v>
      </c>
      <c r="CB194" s="239">
        <v>0</v>
      </c>
      <c r="CC194" s="239">
        <v>0</v>
      </c>
      <c r="CD194" s="239">
        <v>2538</v>
      </c>
      <c r="CE194" s="239">
        <v>0</v>
      </c>
      <c r="CF194" s="239">
        <v>0</v>
      </c>
      <c r="CG194" s="239">
        <v>-2404</v>
      </c>
      <c r="CH194" s="239">
        <v>0</v>
      </c>
      <c r="CI194" s="239">
        <v>0</v>
      </c>
      <c r="CJ194" s="239">
        <v>-705</v>
      </c>
      <c r="CK194" s="239">
        <v>0</v>
      </c>
      <c r="CL194" s="239">
        <v>0</v>
      </c>
      <c r="CM194" s="239">
        <v>10959</v>
      </c>
      <c r="CN194" s="239">
        <v>0</v>
      </c>
      <c r="CO194" s="239">
        <v>0</v>
      </c>
      <c r="CP194" s="239">
        <v>-11664</v>
      </c>
      <c r="CQ194" s="239">
        <v>0</v>
      </c>
      <c r="CR194" s="239">
        <v>0</v>
      </c>
      <c r="CS194" s="239">
        <v>-2483</v>
      </c>
      <c r="CT194" s="239">
        <v>0</v>
      </c>
      <c r="CU194" s="239">
        <v>0</v>
      </c>
      <c r="CV194" s="239">
        <v>9284</v>
      </c>
      <c r="CW194" s="239">
        <v>0</v>
      </c>
      <c r="CX194" s="239">
        <v>0</v>
      </c>
      <c r="CY194" s="239">
        <v>0</v>
      </c>
      <c r="CZ194" s="239">
        <v>0</v>
      </c>
      <c r="DA194" s="239">
        <v>0</v>
      </c>
      <c r="DB194" s="239">
        <v>9284</v>
      </c>
      <c r="DC194" s="239">
        <v>0</v>
      </c>
      <c r="DD194" s="239">
        <v>0</v>
      </c>
      <c r="DE194" s="239">
        <v>0</v>
      </c>
      <c r="DF194" s="239">
        <v>0</v>
      </c>
      <c r="DG194" s="239">
        <v>0</v>
      </c>
      <c r="DH194" s="239">
        <v>41030</v>
      </c>
      <c r="DI194" s="239">
        <v>0</v>
      </c>
      <c r="DJ194" s="239">
        <v>0</v>
      </c>
      <c r="DK194" s="239">
        <v>41151</v>
      </c>
      <c r="DL194" s="239">
        <v>0</v>
      </c>
      <c r="DM194" s="239">
        <v>0</v>
      </c>
      <c r="DN194" s="239">
        <v>-121</v>
      </c>
      <c r="DO194" s="239">
        <v>0</v>
      </c>
      <c r="DP194" s="239">
        <v>0</v>
      </c>
      <c r="DQ194" s="239">
        <v>761</v>
      </c>
      <c r="DR194" s="239">
        <v>0</v>
      </c>
      <c r="DS194" s="239">
        <v>0</v>
      </c>
      <c r="DT194" s="239">
        <v>0</v>
      </c>
      <c r="DU194" s="239">
        <v>0</v>
      </c>
      <c r="DV194" s="239">
        <v>0</v>
      </c>
      <c r="DW194" s="239">
        <v>761</v>
      </c>
      <c r="DX194" s="239">
        <v>0</v>
      </c>
      <c r="DY194" s="239">
        <v>0</v>
      </c>
      <c r="DZ194" s="239">
        <v>74534</v>
      </c>
      <c r="EA194" s="239">
        <v>0</v>
      </c>
      <c r="EB194" s="239">
        <v>0</v>
      </c>
      <c r="EC194" s="239">
        <v>75503</v>
      </c>
      <c r="ED194" s="239">
        <v>0</v>
      </c>
      <c r="EE194" s="239">
        <v>0</v>
      </c>
      <c r="EF194" s="239">
        <v>-969</v>
      </c>
      <c r="EG194" s="239">
        <v>0</v>
      </c>
      <c r="EH194" s="239">
        <v>0</v>
      </c>
      <c r="EI194" s="239">
        <v>472207</v>
      </c>
      <c r="EJ194" s="239">
        <v>0</v>
      </c>
      <c r="EK194" s="239">
        <v>0</v>
      </c>
      <c r="EL194" s="239">
        <v>481436</v>
      </c>
      <c r="EM194" s="239">
        <v>0</v>
      </c>
      <c r="EN194" s="239">
        <v>0</v>
      </c>
      <c r="EO194" s="239">
        <v>-9229</v>
      </c>
      <c r="EP194" s="239">
        <v>0</v>
      </c>
      <c r="EQ194" s="239">
        <v>0</v>
      </c>
      <c r="ER194" s="239">
        <v>95082</v>
      </c>
      <c r="ES194" s="239">
        <v>0</v>
      </c>
      <c r="ET194" s="239">
        <v>0</v>
      </c>
      <c r="EU194" s="239">
        <v>96840</v>
      </c>
      <c r="EV194" s="239">
        <v>0</v>
      </c>
      <c r="EW194" s="239">
        <v>0</v>
      </c>
      <c r="EX194" s="239">
        <v>-1758</v>
      </c>
      <c r="EY194" s="239">
        <v>0</v>
      </c>
      <c r="EZ194" s="239">
        <v>0</v>
      </c>
      <c r="FA194" s="239">
        <v>611359</v>
      </c>
      <c r="FB194" s="239">
        <v>0</v>
      </c>
      <c r="FC194" s="239">
        <v>0</v>
      </c>
      <c r="FD194" s="239">
        <v>599065</v>
      </c>
      <c r="FE194" s="239">
        <v>0</v>
      </c>
      <c r="FF194" s="239">
        <v>0</v>
      </c>
      <c r="FG194" s="239">
        <v>12294</v>
      </c>
      <c r="FH194" s="239">
        <v>0</v>
      </c>
      <c r="FI194" s="239">
        <v>0</v>
      </c>
      <c r="FJ194" s="239">
        <v>0</v>
      </c>
      <c r="FK194" s="239">
        <v>0</v>
      </c>
      <c r="FL194" s="239">
        <v>0</v>
      </c>
      <c r="FM194" s="239">
        <v>0</v>
      </c>
      <c r="FN194" s="239">
        <v>0</v>
      </c>
      <c r="FO194" s="239">
        <v>0</v>
      </c>
      <c r="FP194" s="239">
        <v>0</v>
      </c>
      <c r="FQ194" s="239">
        <v>0</v>
      </c>
      <c r="FR194" s="239">
        <v>0</v>
      </c>
      <c r="FS194" s="239">
        <v>0</v>
      </c>
      <c r="FT194" s="239">
        <v>0</v>
      </c>
      <c r="FU194" s="239">
        <v>0</v>
      </c>
      <c r="FV194" s="239">
        <v>5376255</v>
      </c>
      <c r="FW194" s="239">
        <v>0</v>
      </c>
      <c r="FX194" s="239">
        <v>0</v>
      </c>
      <c r="FY194" s="834">
        <v>0.5</v>
      </c>
      <c r="FZ194" s="834">
        <v>0.5</v>
      </c>
      <c r="GA194" s="834">
        <v>0</v>
      </c>
      <c r="GB194" s="834">
        <v>0</v>
      </c>
      <c r="GC194" s="214" t="s">
        <v>746</v>
      </c>
    </row>
    <row r="195" spans="1:185" s="214" customFormat="1" x14ac:dyDescent="0.2">
      <c r="B195" s="602" t="s">
        <v>473</v>
      </c>
      <c r="C195" s="602" t="s">
        <v>472</v>
      </c>
      <c r="D195" s="239">
        <v>-1569830</v>
      </c>
      <c r="E195" s="239">
        <v>0</v>
      </c>
      <c r="F195" s="239">
        <v>-1569830</v>
      </c>
      <c r="G195" s="239">
        <v>-1056118</v>
      </c>
      <c r="H195" s="239">
        <v>0</v>
      </c>
      <c r="I195" s="239">
        <v>-1056118</v>
      </c>
      <c r="J195" s="239">
        <v>-513712</v>
      </c>
      <c r="K195" s="239">
        <v>0</v>
      </c>
      <c r="L195" s="239">
        <v>-513712</v>
      </c>
      <c r="M195" s="239">
        <v>270765</v>
      </c>
      <c r="N195" s="239">
        <v>270765</v>
      </c>
      <c r="O195" s="239">
        <v>0</v>
      </c>
      <c r="P195" s="239">
        <v>0</v>
      </c>
      <c r="Q195" s="239">
        <v>0</v>
      </c>
      <c r="R195" s="239">
        <v>0</v>
      </c>
      <c r="S195" s="239">
        <v>0</v>
      </c>
      <c r="T195" s="239">
        <v>0</v>
      </c>
      <c r="U195" s="239">
        <v>0</v>
      </c>
      <c r="V195" s="239">
        <v>0</v>
      </c>
      <c r="W195" s="239">
        <v>0</v>
      </c>
      <c r="X195" s="239">
        <v>0</v>
      </c>
      <c r="Y195" s="239">
        <v>0</v>
      </c>
      <c r="Z195" s="239">
        <v>0</v>
      </c>
      <c r="AA195" s="239">
        <v>0</v>
      </c>
      <c r="AB195" s="239">
        <v>0</v>
      </c>
      <c r="AC195" s="239">
        <v>0</v>
      </c>
      <c r="AD195" s="239">
        <v>0</v>
      </c>
      <c r="AE195" s="239">
        <v>0</v>
      </c>
      <c r="AF195" s="239">
        <v>0</v>
      </c>
      <c r="AG195" s="239">
        <v>0</v>
      </c>
      <c r="AH195" s="239">
        <v>0</v>
      </c>
      <c r="AI195" s="239">
        <v>0</v>
      </c>
      <c r="AJ195" s="239">
        <v>0</v>
      </c>
      <c r="AK195" s="239">
        <v>0</v>
      </c>
      <c r="AL195" s="239">
        <v>0</v>
      </c>
      <c r="AM195" s="239">
        <v>0</v>
      </c>
      <c r="AN195" s="239">
        <v>0</v>
      </c>
      <c r="AO195" s="239">
        <v>0</v>
      </c>
      <c r="AP195" s="239">
        <v>0</v>
      </c>
      <c r="AQ195" s="239">
        <v>0</v>
      </c>
      <c r="AR195" s="239">
        <v>0</v>
      </c>
      <c r="AS195" s="239">
        <v>0</v>
      </c>
      <c r="AT195" s="239">
        <v>0</v>
      </c>
      <c r="AU195" s="239">
        <v>0</v>
      </c>
      <c r="AV195" s="239">
        <v>0</v>
      </c>
      <c r="AW195" s="239">
        <v>0</v>
      </c>
      <c r="AX195" s="239">
        <v>0</v>
      </c>
      <c r="AY195" s="239">
        <v>0</v>
      </c>
      <c r="AZ195" s="239">
        <v>0</v>
      </c>
      <c r="BA195" s="239">
        <v>0</v>
      </c>
      <c r="BB195" s="239">
        <v>0</v>
      </c>
      <c r="BC195" s="239">
        <v>1590484</v>
      </c>
      <c r="BD195" s="239">
        <v>397621</v>
      </c>
      <c r="BE195" s="239">
        <v>0</v>
      </c>
      <c r="BF195" s="239">
        <v>1540583.8655914164</v>
      </c>
      <c r="BG195" s="239">
        <v>385145.96639785409</v>
      </c>
      <c r="BH195" s="239">
        <v>0</v>
      </c>
      <c r="BI195" s="239">
        <v>149540.64508583691</v>
      </c>
      <c r="BJ195" s="239">
        <v>37385.161271459227</v>
      </c>
      <c r="BK195" s="239">
        <v>0</v>
      </c>
      <c r="BL195" s="239">
        <v>1510772</v>
      </c>
      <c r="BM195" s="239">
        <v>243280</v>
      </c>
      <c r="BN195" s="239">
        <v>0</v>
      </c>
      <c r="BO195" s="239">
        <v>79712</v>
      </c>
      <c r="BP195" s="239">
        <v>154341</v>
      </c>
      <c r="BQ195" s="239">
        <v>0</v>
      </c>
      <c r="BR195" s="239">
        <v>8422</v>
      </c>
      <c r="BS195" s="239">
        <v>2105</v>
      </c>
      <c r="BT195" s="239">
        <v>0</v>
      </c>
      <c r="BU195" s="239">
        <v>2839</v>
      </c>
      <c r="BV195" s="239">
        <v>710</v>
      </c>
      <c r="BW195" s="239">
        <v>0</v>
      </c>
      <c r="BX195" s="239">
        <v>5583</v>
      </c>
      <c r="BY195" s="239">
        <v>1395</v>
      </c>
      <c r="BZ195" s="239">
        <v>0</v>
      </c>
      <c r="CA195" s="239">
        <v>0</v>
      </c>
      <c r="CB195" s="239">
        <v>0</v>
      </c>
      <c r="CC195" s="239">
        <v>0</v>
      </c>
      <c r="CD195" s="239">
        <v>0</v>
      </c>
      <c r="CE195" s="239">
        <v>0</v>
      </c>
      <c r="CF195" s="239">
        <v>0</v>
      </c>
      <c r="CG195" s="239">
        <v>0</v>
      </c>
      <c r="CH195" s="239">
        <v>0</v>
      </c>
      <c r="CI195" s="239">
        <v>0</v>
      </c>
      <c r="CJ195" s="239">
        <v>2010</v>
      </c>
      <c r="CK195" s="239">
        <v>502</v>
      </c>
      <c r="CL195" s="239">
        <v>0</v>
      </c>
      <c r="CM195" s="239">
        <v>24256</v>
      </c>
      <c r="CN195" s="239">
        <v>6064</v>
      </c>
      <c r="CO195" s="239">
        <v>0</v>
      </c>
      <c r="CP195" s="239">
        <v>-22246</v>
      </c>
      <c r="CQ195" s="239">
        <v>-5562</v>
      </c>
      <c r="CR195" s="239">
        <v>0</v>
      </c>
      <c r="CS195" s="239">
        <v>-2112</v>
      </c>
      <c r="CT195" s="239">
        <v>-528</v>
      </c>
      <c r="CU195" s="239">
        <v>0</v>
      </c>
      <c r="CV195" s="239">
        <v>0</v>
      </c>
      <c r="CW195" s="239">
        <v>0</v>
      </c>
      <c r="CX195" s="239">
        <v>0</v>
      </c>
      <c r="CY195" s="239">
        <v>0</v>
      </c>
      <c r="CZ195" s="239">
        <v>0</v>
      </c>
      <c r="DA195" s="239">
        <v>0</v>
      </c>
      <c r="DB195" s="239">
        <v>0</v>
      </c>
      <c r="DC195" s="239">
        <v>0</v>
      </c>
      <c r="DD195" s="239">
        <v>0</v>
      </c>
      <c r="DE195" s="239">
        <v>-6</v>
      </c>
      <c r="DF195" s="239">
        <v>-1</v>
      </c>
      <c r="DG195" s="239">
        <v>0</v>
      </c>
      <c r="DH195" s="239">
        <v>0</v>
      </c>
      <c r="DI195" s="239">
        <v>0</v>
      </c>
      <c r="DJ195" s="239">
        <v>0</v>
      </c>
      <c r="DK195" s="239">
        <v>0</v>
      </c>
      <c r="DL195" s="239">
        <v>0</v>
      </c>
      <c r="DM195" s="239">
        <v>0</v>
      </c>
      <c r="DN195" s="239">
        <v>0</v>
      </c>
      <c r="DO195" s="239">
        <v>0</v>
      </c>
      <c r="DP195" s="239">
        <v>0</v>
      </c>
      <c r="DQ195" s="239">
        <v>0</v>
      </c>
      <c r="DR195" s="239">
        <v>0</v>
      </c>
      <c r="DS195" s="239">
        <v>0</v>
      </c>
      <c r="DT195" s="239">
        <v>609</v>
      </c>
      <c r="DU195" s="239">
        <v>152</v>
      </c>
      <c r="DV195" s="239">
        <v>0</v>
      </c>
      <c r="DW195" s="239">
        <v>-609</v>
      </c>
      <c r="DX195" s="239">
        <v>-152</v>
      </c>
      <c r="DY195" s="239">
        <v>0</v>
      </c>
      <c r="DZ195" s="239">
        <v>11129</v>
      </c>
      <c r="EA195" s="239">
        <v>2782</v>
      </c>
      <c r="EB195" s="239">
        <v>0</v>
      </c>
      <c r="EC195" s="239">
        <v>14606</v>
      </c>
      <c r="ED195" s="239">
        <v>0</v>
      </c>
      <c r="EE195" s="239">
        <v>0</v>
      </c>
      <c r="EF195" s="239">
        <v>-3477</v>
      </c>
      <c r="EG195" s="239">
        <v>2782</v>
      </c>
      <c r="EH195" s="239">
        <v>0</v>
      </c>
      <c r="EI195" s="239">
        <v>193879</v>
      </c>
      <c r="EJ195" s="239">
        <v>48470</v>
      </c>
      <c r="EK195" s="239">
        <v>0</v>
      </c>
      <c r="EL195" s="239">
        <v>241993</v>
      </c>
      <c r="EM195" s="239">
        <v>0</v>
      </c>
      <c r="EN195" s="239">
        <v>0</v>
      </c>
      <c r="EO195" s="239">
        <v>-48114</v>
      </c>
      <c r="EP195" s="239">
        <v>48470</v>
      </c>
      <c r="EQ195" s="239">
        <v>0</v>
      </c>
      <c r="ER195" s="239">
        <v>33284</v>
      </c>
      <c r="ES195" s="239">
        <v>8321</v>
      </c>
      <c r="ET195" s="239">
        <v>0</v>
      </c>
      <c r="EU195" s="239">
        <v>45864</v>
      </c>
      <c r="EV195" s="239">
        <v>0</v>
      </c>
      <c r="EW195" s="239">
        <v>0</v>
      </c>
      <c r="EX195" s="239">
        <v>-12580</v>
      </c>
      <c r="EY195" s="239">
        <v>8321</v>
      </c>
      <c r="EZ195" s="239">
        <v>0</v>
      </c>
      <c r="FA195" s="239">
        <v>436656</v>
      </c>
      <c r="FB195" s="239">
        <v>109164</v>
      </c>
      <c r="FC195" s="239">
        <v>0</v>
      </c>
      <c r="FD195" s="239">
        <v>453196</v>
      </c>
      <c r="FE195" s="239">
        <v>113299</v>
      </c>
      <c r="FF195" s="239">
        <v>0</v>
      </c>
      <c r="FG195" s="239">
        <v>-16540</v>
      </c>
      <c r="FH195" s="239">
        <v>-4135</v>
      </c>
      <c r="FI195" s="239">
        <v>0</v>
      </c>
      <c r="FJ195" s="239">
        <v>0</v>
      </c>
      <c r="FK195" s="239">
        <v>0</v>
      </c>
      <c r="FL195" s="239">
        <v>0</v>
      </c>
      <c r="FM195" s="239">
        <v>0</v>
      </c>
      <c r="FN195" s="239">
        <v>0</v>
      </c>
      <c r="FO195" s="239">
        <v>0</v>
      </c>
      <c r="FP195" s="239">
        <v>0</v>
      </c>
      <c r="FQ195" s="239">
        <v>0</v>
      </c>
      <c r="FR195" s="239">
        <v>0</v>
      </c>
      <c r="FS195" s="239">
        <v>0</v>
      </c>
      <c r="FT195" s="239">
        <v>0</v>
      </c>
      <c r="FU195" s="239">
        <v>0</v>
      </c>
      <c r="FV195" s="239">
        <v>2273746</v>
      </c>
      <c r="FW195" s="239">
        <v>568436</v>
      </c>
      <c r="FX195" s="239">
        <v>0</v>
      </c>
      <c r="FY195" s="834">
        <v>0.5</v>
      </c>
      <c r="FZ195" s="834">
        <v>0.4</v>
      </c>
      <c r="GA195" s="834">
        <v>0.1</v>
      </c>
      <c r="GB195" s="834">
        <v>0</v>
      </c>
      <c r="GC195" s="214" t="s">
        <v>1158</v>
      </c>
    </row>
    <row r="196" spans="1:185" s="214" customFormat="1" x14ac:dyDescent="0.2">
      <c r="B196" s="602" t="s">
        <v>475</v>
      </c>
      <c r="C196" s="602" t="s">
        <v>474</v>
      </c>
      <c r="D196" s="239">
        <v>3755065</v>
      </c>
      <c r="E196" s="239">
        <v>442209</v>
      </c>
      <c r="F196" s="239">
        <v>4197274</v>
      </c>
      <c r="G196" s="239">
        <v>7340042</v>
      </c>
      <c r="H196" s="239">
        <v>472695</v>
      </c>
      <c r="I196" s="239">
        <v>7812737</v>
      </c>
      <c r="J196" s="239">
        <v>-3584977</v>
      </c>
      <c r="K196" s="239">
        <v>-30486</v>
      </c>
      <c r="L196" s="239">
        <v>-3615463</v>
      </c>
      <c r="M196" s="239">
        <v>493121</v>
      </c>
      <c r="N196" s="239">
        <v>498121</v>
      </c>
      <c r="O196" s="239">
        <v>-5000</v>
      </c>
      <c r="P196" s="239">
        <v>0</v>
      </c>
      <c r="Q196" s="239">
        <v>0</v>
      </c>
      <c r="R196" s="239">
        <v>0</v>
      </c>
      <c r="S196" s="239">
        <v>0</v>
      </c>
      <c r="T196" s="239">
        <v>0</v>
      </c>
      <c r="U196" s="239">
        <v>0</v>
      </c>
      <c r="V196" s="239">
        <v>0</v>
      </c>
      <c r="W196" s="239">
        <v>0</v>
      </c>
      <c r="X196" s="239">
        <v>0</v>
      </c>
      <c r="Y196" s="239">
        <v>0</v>
      </c>
      <c r="Z196" s="239">
        <v>0</v>
      </c>
      <c r="AA196" s="239">
        <v>0</v>
      </c>
      <c r="AB196" s="239">
        <v>0</v>
      </c>
      <c r="AC196" s="239">
        <v>0</v>
      </c>
      <c r="AD196" s="239">
        <v>0</v>
      </c>
      <c r="AE196" s="239">
        <v>0</v>
      </c>
      <c r="AF196" s="239">
        <v>0</v>
      </c>
      <c r="AG196" s="239">
        <v>0</v>
      </c>
      <c r="AH196" s="239">
        <v>0</v>
      </c>
      <c r="AI196" s="239">
        <v>0</v>
      </c>
      <c r="AJ196" s="239">
        <v>0</v>
      </c>
      <c r="AK196" s="239">
        <v>0</v>
      </c>
      <c r="AL196" s="239">
        <v>0</v>
      </c>
      <c r="AM196" s="239">
        <v>0</v>
      </c>
      <c r="AN196" s="239">
        <v>0</v>
      </c>
      <c r="AO196" s="239">
        <v>0</v>
      </c>
      <c r="AP196" s="239">
        <v>0</v>
      </c>
      <c r="AQ196" s="239">
        <v>0</v>
      </c>
      <c r="AR196" s="239">
        <v>0</v>
      </c>
      <c r="AS196" s="239">
        <v>0</v>
      </c>
      <c r="AT196" s="239">
        <v>0</v>
      </c>
      <c r="AU196" s="239">
        <v>0</v>
      </c>
      <c r="AV196" s="239">
        <v>0</v>
      </c>
      <c r="AW196" s="239">
        <v>0</v>
      </c>
      <c r="AX196" s="239">
        <v>0</v>
      </c>
      <c r="AY196" s="239">
        <v>0</v>
      </c>
      <c r="AZ196" s="239">
        <v>0</v>
      </c>
      <c r="BA196" s="239">
        <v>0</v>
      </c>
      <c r="BB196" s="239">
        <v>0</v>
      </c>
      <c r="BC196" s="239">
        <v>3123515</v>
      </c>
      <c r="BD196" s="239">
        <v>0</v>
      </c>
      <c r="BE196" s="239">
        <v>55450</v>
      </c>
      <c r="BF196" s="239">
        <v>3041270.4483060297</v>
      </c>
      <c r="BG196" s="239">
        <v>0</v>
      </c>
      <c r="BH196" s="239">
        <v>53993.055491180261</v>
      </c>
      <c r="BI196" s="239">
        <v>285236.28886051493</v>
      </c>
      <c r="BJ196" s="239">
        <v>0</v>
      </c>
      <c r="BK196" s="239">
        <v>4976.7182210300425</v>
      </c>
      <c r="BL196" s="239">
        <v>2719547</v>
      </c>
      <c r="BM196" s="239">
        <v>0</v>
      </c>
      <c r="BN196" s="239">
        <v>35419</v>
      </c>
      <c r="BO196" s="239">
        <v>403968</v>
      </c>
      <c r="BP196" s="239">
        <v>0</v>
      </c>
      <c r="BQ196" s="239">
        <v>20031</v>
      </c>
      <c r="BR196" s="239">
        <v>29</v>
      </c>
      <c r="BS196" s="239">
        <v>0</v>
      </c>
      <c r="BT196" s="239">
        <v>53</v>
      </c>
      <c r="BU196" s="239">
        <v>16433</v>
      </c>
      <c r="BV196" s="239">
        <v>0</v>
      </c>
      <c r="BW196" s="239">
        <v>273</v>
      </c>
      <c r="BX196" s="239">
        <v>-16404</v>
      </c>
      <c r="BY196" s="239">
        <v>0</v>
      </c>
      <c r="BZ196" s="239">
        <v>-220</v>
      </c>
      <c r="CA196" s="239">
        <v>0</v>
      </c>
      <c r="CB196" s="239">
        <v>0</v>
      </c>
      <c r="CC196" s="239">
        <v>0</v>
      </c>
      <c r="CD196" s="239">
        <v>0</v>
      </c>
      <c r="CE196" s="239">
        <v>0</v>
      </c>
      <c r="CF196" s="239">
        <v>0</v>
      </c>
      <c r="CG196" s="239">
        <v>0</v>
      </c>
      <c r="CH196" s="239">
        <v>0</v>
      </c>
      <c r="CI196" s="239">
        <v>0</v>
      </c>
      <c r="CJ196" s="239">
        <v>-6837</v>
      </c>
      <c r="CK196" s="239">
        <v>0</v>
      </c>
      <c r="CL196" s="239">
        <v>-52</v>
      </c>
      <c r="CM196" s="239">
        <v>6527</v>
      </c>
      <c r="CN196" s="239">
        <v>0</v>
      </c>
      <c r="CO196" s="239">
        <v>71</v>
      </c>
      <c r="CP196" s="239">
        <v>-13364</v>
      </c>
      <c r="CQ196" s="239">
        <v>0</v>
      </c>
      <c r="CR196" s="239">
        <v>-123</v>
      </c>
      <c r="CS196" s="239">
        <v>-3745</v>
      </c>
      <c r="CT196" s="239">
        <v>0</v>
      </c>
      <c r="CU196" s="239">
        <v>-86</v>
      </c>
      <c r="CV196" s="239">
        <v>0</v>
      </c>
      <c r="CW196" s="239">
        <v>0</v>
      </c>
      <c r="CX196" s="239">
        <v>0</v>
      </c>
      <c r="CY196" s="239">
        <v>0</v>
      </c>
      <c r="CZ196" s="239">
        <v>0</v>
      </c>
      <c r="DA196" s="239">
        <v>0</v>
      </c>
      <c r="DB196" s="239">
        <v>0</v>
      </c>
      <c r="DC196" s="239">
        <v>0</v>
      </c>
      <c r="DD196" s="239">
        <v>0</v>
      </c>
      <c r="DE196" s="239">
        <v>0</v>
      </c>
      <c r="DF196" s="239">
        <v>0</v>
      </c>
      <c r="DG196" s="239">
        <v>0</v>
      </c>
      <c r="DH196" s="239">
        <v>0</v>
      </c>
      <c r="DI196" s="239">
        <v>0</v>
      </c>
      <c r="DJ196" s="239">
        <v>0</v>
      </c>
      <c r="DK196" s="239">
        <v>0</v>
      </c>
      <c r="DL196" s="239">
        <v>0</v>
      </c>
      <c r="DM196" s="239">
        <v>0</v>
      </c>
      <c r="DN196" s="239">
        <v>0</v>
      </c>
      <c r="DO196" s="239">
        <v>0</v>
      </c>
      <c r="DP196" s="239">
        <v>0</v>
      </c>
      <c r="DQ196" s="239">
        <v>746</v>
      </c>
      <c r="DR196" s="239">
        <v>0</v>
      </c>
      <c r="DS196" s="239">
        <v>15</v>
      </c>
      <c r="DT196" s="239">
        <v>746</v>
      </c>
      <c r="DU196" s="239">
        <v>0</v>
      </c>
      <c r="DV196" s="239">
        <v>15</v>
      </c>
      <c r="DW196" s="239">
        <v>0</v>
      </c>
      <c r="DX196" s="239">
        <v>0</v>
      </c>
      <c r="DY196" s="239">
        <v>0</v>
      </c>
      <c r="DZ196" s="239">
        <v>64603</v>
      </c>
      <c r="EA196" s="239">
        <v>0</v>
      </c>
      <c r="EB196" s="239">
        <v>1176</v>
      </c>
      <c r="EC196" s="239">
        <v>62783</v>
      </c>
      <c r="ED196" s="239">
        <v>0</v>
      </c>
      <c r="EE196" s="239">
        <v>0</v>
      </c>
      <c r="EF196" s="239">
        <v>1820</v>
      </c>
      <c r="EG196" s="239">
        <v>0</v>
      </c>
      <c r="EH196" s="239">
        <v>1176</v>
      </c>
      <c r="EI196" s="239">
        <v>544639</v>
      </c>
      <c r="EJ196" s="239">
        <v>0</v>
      </c>
      <c r="EK196" s="239">
        <v>9088</v>
      </c>
      <c r="EL196" s="239">
        <v>548646</v>
      </c>
      <c r="EM196" s="239">
        <v>0</v>
      </c>
      <c r="EN196" s="239">
        <v>0</v>
      </c>
      <c r="EO196" s="239">
        <v>-4007</v>
      </c>
      <c r="EP196" s="239">
        <v>0</v>
      </c>
      <c r="EQ196" s="239">
        <v>9088</v>
      </c>
      <c r="ER196" s="239">
        <v>66278</v>
      </c>
      <c r="ES196" s="239">
        <v>0</v>
      </c>
      <c r="ET196" s="239">
        <v>981</v>
      </c>
      <c r="EU196" s="239">
        <v>57514</v>
      </c>
      <c r="EV196" s="239">
        <v>0</v>
      </c>
      <c r="EW196" s="239">
        <v>0</v>
      </c>
      <c r="EX196" s="239">
        <v>8764</v>
      </c>
      <c r="EY196" s="239">
        <v>0</v>
      </c>
      <c r="EZ196" s="239">
        <v>981</v>
      </c>
      <c r="FA196" s="239">
        <v>999477</v>
      </c>
      <c r="FB196" s="239">
        <v>0</v>
      </c>
      <c r="FC196" s="239">
        <v>20397</v>
      </c>
      <c r="FD196" s="239">
        <v>1013783</v>
      </c>
      <c r="FE196" s="239">
        <v>0</v>
      </c>
      <c r="FF196" s="239">
        <v>20689</v>
      </c>
      <c r="FG196" s="239">
        <v>-14306</v>
      </c>
      <c r="FH196" s="239">
        <v>0</v>
      </c>
      <c r="FI196" s="239">
        <v>-292</v>
      </c>
      <c r="FJ196" s="239">
        <v>0</v>
      </c>
      <c r="FK196" s="239">
        <v>0</v>
      </c>
      <c r="FL196" s="239">
        <v>0</v>
      </c>
      <c r="FM196" s="239">
        <v>0</v>
      </c>
      <c r="FN196" s="239">
        <v>0</v>
      </c>
      <c r="FO196" s="239">
        <v>0</v>
      </c>
      <c r="FP196" s="239">
        <v>0</v>
      </c>
      <c r="FQ196" s="239">
        <v>0</v>
      </c>
      <c r="FR196" s="239">
        <v>0</v>
      </c>
      <c r="FS196" s="239">
        <v>0</v>
      </c>
      <c r="FT196" s="239">
        <v>0</v>
      </c>
      <c r="FU196" s="239">
        <v>0</v>
      </c>
      <c r="FV196" s="239">
        <v>4788705</v>
      </c>
      <c r="FW196" s="239">
        <v>0</v>
      </c>
      <c r="FX196" s="239">
        <v>87022</v>
      </c>
      <c r="FY196" s="834">
        <v>0.5</v>
      </c>
      <c r="FZ196" s="834">
        <v>0.49</v>
      </c>
      <c r="GA196" s="834">
        <v>0</v>
      </c>
      <c r="GB196" s="834">
        <v>0.01</v>
      </c>
      <c r="GC196" s="214" t="s">
        <v>746</v>
      </c>
    </row>
    <row r="197" spans="1:185" s="214" customFormat="1" x14ac:dyDescent="0.2">
      <c r="B197" s="602" t="s">
        <v>477</v>
      </c>
      <c r="C197" s="602" t="s">
        <v>476</v>
      </c>
      <c r="D197" s="239">
        <v>-1282062</v>
      </c>
      <c r="E197" s="239">
        <v>0</v>
      </c>
      <c r="F197" s="239">
        <v>-1282062</v>
      </c>
      <c r="G197" s="239">
        <v>-1150933.27</v>
      </c>
      <c r="H197" s="239">
        <v>0</v>
      </c>
      <c r="I197" s="239">
        <v>-1150933.27</v>
      </c>
      <c r="J197" s="239">
        <v>-131128.72999999998</v>
      </c>
      <c r="K197" s="239">
        <v>0</v>
      </c>
      <c r="L197" s="239">
        <v>-131128.72999999998</v>
      </c>
      <c r="M197" s="239">
        <v>130142</v>
      </c>
      <c r="N197" s="239">
        <v>130142</v>
      </c>
      <c r="O197" s="239">
        <v>0</v>
      </c>
      <c r="P197" s="239">
        <v>0</v>
      </c>
      <c r="Q197" s="239">
        <v>0</v>
      </c>
      <c r="R197" s="239">
        <v>0</v>
      </c>
      <c r="S197" s="239">
        <v>0</v>
      </c>
      <c r="T197" s="239">
        <v>0</v>
      </c>
      <c r="U197" s="239">
        <v>0</v>
      </c>
      <c r="V197" s="239">
        <v>0</v>
      </c>
      <c r="W197" s="239">
        <v>0</v>
      </c>
      <c r="X197" s="239">
        <v>0</v>
      </c>
      <c r="Y197" s="239">
        <v>0</v>
      </c>
      <c r="Z197" s="239">
        <v>0</v>
      </c>
      <c r="AA197" s="239">
        <v>0</v>
      </c>
      <c r="AB197" s="239">
        <v>0</v>
      </c>
      <c r="AC197" s="239">
        <v>0</v>
      </c>
      <c r="AD197" s="239">
        <v>0</v>
      </c>
      <c r="AE197" s="239">
        <v>0</v>
      </c>
      <c r="AF197" s="239">
        <v>0</v>
      </c>
      <c r="AG197" s="239">
        <v>0</v>
      </c>
      <c r="AH197" s="239">
        <v>0</v>
      </c>
      <c r="AI197" s="239">
        <v>0</v>
      </c>
      <c r="AJ197" s="239">
        <v>0</v>
      </c>
      <c r="AK197" s="239">
        <v>0</v>
      </c>
      <c r="AL197" s="239">
        <v>0</v>
      </c>
      <c r="AM197" s="239">
        <v>0</v>
      </c>
      <c r="AN197" s="239">
        <v>0</v>
      </c>
      <c r="AO197" s="239">
        <v>0</v>
      </c>
      <c r="AP197" s="239">
        <v>0</v>
      </c>
      <c r="AQ197" s="239">
        <v>0</v>
      </c>
      <c r="AR197" s="239">
        <v>0</v>
      </c>
      <c r="AS197" s="239">
        <v>0</v>
      </c>
      <c r="AT197" s="239">
        <v>0</v>
      </c>
      <c r="AU197" s="239">
        <v>0</v>
      </c>
      <c r="AV197" s="239">
        <v>0</v>
      </c>
      <c r="AW197" s="239">
        <v>0</v>
      </c>
      <c r="AX197" s="239">
        <v>0</v>
      </c>
      <c r="AY197" s="239">
        <v>0</v>
      </c>
      <c r="AZ197" s="239">
        <v>0</v>
      </c>
      <c r="BA197" s="239">
        <v>0</v>
      </c>
      <c r="BB197" s="239">
        <v>0</v>
      </c>
      <c r="BC197" s="239">
        <v>972771</v>
      </c>
      <c r="BD197" s="239">
        <v>243193</v>
      </c>
      <c r="BE197" s="239">
        <v>0</v>
      </c>
      <c r="BF197" s="239">
        <v>943047.91808412003</v>
      </c>
      <c r="BG197" s="239">
        <v>235761.97952103001</v>
      </c>
      <c r="BH197" s="239">
        <v>0</v>
      </c>
      <c r="BI197" s="239">
        <v>83402.481393991417</v>
      </c>
      <c r="BJ197" s="239">
        <v>20850.620348497854</v>
      </c>
      <c r="BK197" s="239">
        <v>0</v>
      </c>
      <c r="BL197" s="239">
        <v>918807</v>
      </c>
      <c r="BM197" s="239">
        <v>148195</v>
      </c>
      <c r="BN197" s="239">
        <v>0</v>
      </c>
      <c r="BO197" s="239">
        <v>53964</v>
      </c>
      <c r="BP197" s="239">
        <v>94998</v>
      </c>
      <c r="BQ197" s="239">
        <v>0</v>
      </c>
      <c r="BR197" s="239">
        <v>0</v>
      </c>
      <c r="BS197" s="239">
        <v>0</v>
      </c>
      <c r="BT197" s="239">
        <v>0</v>
      </c>
      <c r="BU197" s="239">
        <v>0</v>
      </c>
      <c r="BV197" s="239">
        <v>0</v>
      </c>
      <c r="BW197" s="239">
        <v>0</v>
      </c>
      <c r="BX197" s="239">
        <v>0</v>
      </c>
      <c r="BY197" s="239">
        <v>0</v>
      </c>
      <c r="BZ197" s="239">
        <v>0</v>
      </c>
      <c r="CA197" s="239">
        <v>0</v>
      </c>
      <c r="CB197" s="239">
        <v>0</v>
      </c>
      <c r="CC197" s="239">
        <v>0</v>
      </c>
      <c r="CD197" s="239">
        <v>75</v>
      </c>
      <c r="CE197" s="239">
        <v>19</v>
      </c>
      <c r="CF197" s="239">
        <v>0</v>
      </c>
      <c r="CG197" s="239">
        <v>-75</v>
      </c>
      <c r="CH197" s="239">
        <v>-19</v>
      </c>
      <c r="CI197" s="239">
        <v>0</v>
      </c>
      <c r="CJ197" s="239">
        <v>7376</v>
      </c>
      <c r="CK197" s="239">
        <v>1844</v>
      </c>
      <c r="CL197" s="239">
        <v>0</v>
      </c>
      <c r="CM197" s="239">
        <v>2187</v>
      </c>
      <c r="CN197" s="239">
        <v>547</v>
      </c>
      <c r="CO197" s="239">
        <v>0</v>
      </c>
      <c r="CP197" s="239">
        <v>5189</v>
      </c>
      <c r="CQ197" s="239">
        <v>1297</v>
      </c>
      <c r="CR197" s="239">
        <v>0</v>
      </c>
      <c r="CS197" s="239">
        <v>-1724</v>
      </c>
      <c r="CT197" s="239">
        <v>-431</v>
      </c>
      <c r="CU197" s="239">
        <v>0</v>
      </c>
      <c r="CV197" s="239">
        <v>0</v>
      </c>
      <c r="CW197" s="239">
        <v>0</v>
      </c>
      <c r="CX197" s="239">
        <v>0</v>
      </c>
      <c r="CY197" s="239">
        <v>0</v>
      </c>
      <c r="CZ197" s="239">
        <v>0</v>
      </c>
      <c r="DA197" s="239">
        <v>0</v>
      </c>
      <c r="DB197" s="239">
        <v>0</v>
      </c>
      <c r="DC197" s="239">
        <v>0</v>
      </c>
      <c r="DD197" s="239">
        <v>0</v>
      </c>
      <c r="DE197" s="239">
        <v>0</v>
      </c>
      <c r="DF197" s="239">
        <v>0</v>
      </c>
      <c r="DG197" s="239">
        <v>0</v>
      </c>
      <c r="DH197" s="239">
        <v>0</v>
      </c>
      <c r="DI197" s="239">
        <v>0</v>
      </c>
      <c r="DJ197" s="239">
        <v>0</v>
      </c>
      <c r="DK197" s="239">
        <v>0</v>
      </c>
      <c r="DL197" s="239">
        <v>0</v>
      </c>
      <c r="DM197" s="239">
        <v>0</v>
      </c>
      <c r="DN197" s="239">
        <v>0</v>
      </c>
      <c r="DO197" s="239">
        <v>0</v>
      </c>
      <c r="DP197" s="239">
        <v>0</v>
      </c>
      <c r="DQ197" s="239">
        <v>0</v>
      </c>
      <c r="DR197" s="239">
        <v>0</v>
      </c>
      <c r="DS197" s="239">
        <v>0</v>
      </c>
      <c r="DT197" s="239">
        <v>0</v>
      </c>
      <c r="DU197" s="239">
        <v>0</v>
      </c>
      <c r="DV197" s="239">
        <v>0</v>
      </c>
      <c r="DW197" s="239">
        <v>0</v>
      </c>
      <c r="DX197" s="239">
        <v>0</v>
      </c>
      <c r="DY197" s="239">
        <v>0</v>
      </c>
      <c r="DZ197" s="239">
        <v>4565</v>
      </c>
      <c r="EA197" s="239">
        <v>1141</v>
      </c>
      <c r="EB197" s="239">
        <v>0</v>
      </c>
      <c r="EC197" s="239">
        <v>53780</v>
      </c>
      <c r="ED197" s="239">
        <v>0</v>
      </c>
      <c r="EE197" s="239">
        <v>0</v>
      </c>
      <c r="EF197" s="239">
        <v>-49215</v>
      </c>
      <c r="EG197" s="239">
        <v>1141</v>
      </c>
      <c r="EH197" s="239">
        <v>0</v>
      </c>
      <c r="EI197" s="239">
        <v>57916</v>
      </c>
      <c r="EJ197" s="239">
        <v>14479</v>
      </c>
      <c r="EK197" s="239">
        <v>0</v>
      </c>
      <c r="EL197" s="239">
        <v>71324</v>
      </c>
      <c r="EM197" s="239">
        <v>0</v>
      </c>
      <c r="EN197" s="239">
        <v>0</v>
      </c>
      <c r="EO197" s="239">
        <v>-13408</v>
      </c>
      <c r="EP197" s="239">
        <v>14479</v>
      </c>
      <c r="EQ197" s="239">
        <v>0</v>
      </c>
      <c r="ER197" s="239">
        <v>10723</v>
      </c>
      <c r="ES197" s="239">
        <v>2681</v>
      </c>
      <c r="ET197" s="239">
        <v>0</v>
      </c>
      <c r="EU197" s="239">
        <v>13115</v>
      </c>
      <c r="EV197" s="239">
        <v>0</v>
      </c>
      <c r="EW197" s="239">
        <v>0</v>
      </c>
      <c r="EX197" s="239">
        <v>-2392</v>
      </c>
      <c r="EY197" s="239">
        <v>2681</v>
      </c>
      <c r="EZ197" s="239">
        <v>0</v>
      </c>
      <c r="FA197" s="239">
        <v>198232</v>
      </c>
      <c r="FB197" s="239">
        <v>49558</v>
      </c>
      <c r="FC197" s="239">
        <v>0</v>
      </c>
      <c r="FD197" s="239">
        <v>200937</v>
      </c>
      <c r="FE197" s="239">
        <v>50234</v>
      </c>
      <c r="FF197" s="239">
        <v>0</v>
      </c>
      <c r="FG197" s="239">
        <v>-2705</v>
      </c>
      <c r="FH197" s="239">
        <v>-676</v>
      </c>
      <c r="FI197" s="239">
        <v>0</v>
      </c>
      <c r="FJ197" s="239">
        <v>0</v>
      </c>
      <c r="FK197" s="239">
        <v>0</v>
      </c>
      <c r="FL197" s="239">
        <v>0</v>
      </c>
      <c r="FM197" s="239">
        <v>0</v>
      </c>
      <c r="FN197" s="239">
        <v>0</v>
      </c>
      <c r="FO197" s="239">
        <v>0</v>
      </c>
      <c r="FP197" s="239">
        <v>0</v>
      </c>
      <c r="FQ197" s="239">
        <v>0</v>
      </c>
      <c r="FR197" s="239">
        <v>0</v>
      </c>
      <c r="FS197" s="239">
        <v>0</v>
      </c>
      <c r="FT197" s="239">
        <v>0</v>
      </c>
      <c r="FU197" s="239">
        <v>0</v>
      </c>
      <c r="FV197" s="239">
        <v>1249859</v>
      </c>
      <c r="FW197" s="239">
        <v>312465</v>
      </c>
      <c r="FX197" s="239">
        <v>0</v>
      </c>
      <c r="FY197" s="834">
        <v>0.5</v>
      </c>
      <c r="FZ197" s="834">
        <v>0.4</v>
      </c>
      <c r="GA197" s="834">
        <v>0.1</v>
      </c>
      <c r="GB197" s="834">
        <v>0</v>
      </c>
      <c r="GC197" s="214" t="s">
        <v>1158</v>
      </c>
    </row>
    <row r="198" spans="1:185" s="214" customFormat="1" x14ac:dyDescent="0.2">
      <c r="B198" s="602" t="s">
        <v>479</v>
      </c>
      <c r="C198" s="602" t="s">
        <v>478</v>
      </c>
      <c r="D198" s="239">
        <v>420004</v>
      </c>
      <c r="E198" s="239">
        <v>0</v>
      </c>
      <c r="F198" s="239">
        <v>420004</v>
      </c>
      <c r="G198" s="239">
        <v>426264</v>
      </c>
      <c r="H198" s="239">
        <v>0</v>
      </c>
      <c r="I198" s="239">
        <v>426264</v>
      </c>
      <c r="J198" s="239">
        <v>-6260</v>
      </c>
      <c r="K198" s="239">
        <v>0</v>
      </c>
      <c r="L198" s="239">
        <v>-6260</v>
      </c>
      <c r="M198" s="239">
        <v>55691</v>
      </c>
      <c r="N198" s="239">
        <v>55691</v>
      </c>
      <c r="O198" s="239">
        <v>0</v>
      </c>
      <c r="P198" s="239">
        <v>0</v>
      </c>
      <c r="Q198" s="239">
        <v>0</v>
      </c>
      <c r="R198" s="239">
        <v>0</v>
      </c>
      <c r="S198" s="239">
        <v>8039</v>
      </c>
      <c r="T198" s="239">
        <v>0</v>
      </c>
      <c r="U198" s="239">
        <v>0</v>
      </c>
      <c r="V198" s="239">
        <v>0</v>
      </c>
      <c r="W198" s="239">
        <v>8039</v>
      </c>
      <c r="X198" s="239">
        <v>0</v>
      </c>
      <c r="Y198" s="239">
        <v>0</v>
      </c>
      <c r="Z198" s="239">
        <v>0</v>
      </c>
      <c r="AA198" s="239">
        <v>0</v>
      </c>
      <c r="AB198" s="239">
        <v>0</v>
      </c>
      <c r="AC198" s="239">
        <v>0</v>
      </c>
      <c r="AD198" s="239">
        <v>0</v>
      </c>
      <c r="AE198" s="239">
        <v>0</v>
      </c>
      <c r="AF198" s="239">
        <v>0</v>
      </c>
      <c r="AG198" s="239">
        <v>0</v>
      </c>
      <c r="AH198" s="239">
        <v>0</v>
      </c>
      <c r="AI198" s="239">
        <v>0</v>
      </c>
      <c r="AJ198" s="239">
        <v>0</v>
      </c>
      <c r="AK198" s="239">
        <v>0</v>
      </c>
      <c r="AL198" s="239">
        <v>0</v>
      </c>
      <c r="AM198" s="239">
        <v>0</v>
      </c>
      <c r="AN198" s="239">
        <v>0</v>
      </c>
      <c r="AO198" s="239">
        <v>0</v>
      </c>
      <c r="AP198" s="239">
        <v>0</v>
      </c>
      <c r="AQ198" s="239">
        <v>0</v>
      </c>
      <c r="AR198" s="239">
        <v>0</v>
      </c>
      <c r="AS198" s="239">
        <v>0</v>
      </c>
      <c r="AT198" s="239">
        <v>0</v>
      </c>
      <c r="AU198" s="239">
        <v>0</v>
      </c>
      <c r="AV198" s="239">
        <v>0</v>
      </c>
      <c r="AW198" s="239">
        <v>0</v>
      </c>
      <c r="AX198" s="239">
        <v>0</v>
      </c>
      <c r="AY198" s="239">
        <v>0</v>
      </c>
      <c r="AZ198" s="239">
        <v>0</v>
      </c>
      <c r="BA198" s="239">
        <v>0</v>
      </c>
      <c r="BB198" s="239">
        <v>0</v>
      </c>
      <c r="BC198" s="239">
        <v>492248</v>
      </c>
      <c r="BD198" s="239">
        <v>110756</v>
      </c>
      <c r="BE198" s="239">
        <v>12306</v>
      </c>
      <c r="BF198" s="239">
        <v>481851.5153416309</v>
      </c>
      <c r="BG198" s="239">
        <v>108416.59095186694</v>
      </c>
      <c r="BH198" s="239">
        <v>12046.287883540772</v>
      </c>
      <c r="BI198" s="239">
        <v>29261.58673819742</v>
      </c>
      <c r="BJ198" s="239">
        <v>6583.8570160944191</v>
      </c>
      <c r="BK198" s="239">
        <v>731.53966845493551</v>
      </c>
      <c r="BL198" s="239">
        <v>500583</v>
      </c>
      <c r="BM198" s="239">
        <v>71173</v>
      </c>
      <c r="BN198" s="239">
        <v>7908</v>
      </c>
      <c r="BO198" s="239">
        <v>-8335</v>
      </c>
      <c r="BP198" s="239">
        <v>39583</v>
      </c>
      <c r="BQ198" s="239">
        <v>4398</v>
      </c>
      <c r="BR198" s="239">
        <v>4494</v>
      </c>
      <c r="BS198" s="239">
        <v>1011</v>
      </c>
      <c r="BT198" s="239">
        <v>112</v>
      </c>
      <c r="BU198" s="239">
        <v>4059</v>
      </c>
      <c r="BV198" s="239">
        <v>914</v>
      </c>
      <c r="BW198" s="239">
        <v>102</v>
      </c>
      <c r="BX198" s="239">
        <v>435</v>
      </c>
      <c r="BY198" s="239">
        <v>97</v>
      </c>
      <c r="BZ198" s="239">
        <v>10</v>
      </c>
      <c r="CA198" s="239">
        <v>0</v>
      </c>
      <c r="CB198" s="239">
        <v>0</v>
      </c>
      <c r="CC198" s="239">
        <v>0</v>
      </c>
      <c r="CD198" s="239">
        <v>0</v>
      </c>
      <c r="CE198" s="239">
        <v>0</v>
      </c>
      <c r="CF198" s="239">
        <v>0</v>
      </c>
      <c r="CG198" s="239">
        <v>0</v>
      </c>
      <c r="CH198" s="239">
        <v>0</v>
      </c>
      <c r="CI198" s="239">
        <v>0</v>
      </c>
      <c r="CJ198" s="239">
        <v>-18</v>
      </c>
      <c r="CK198" s="239">
        <v>-4</v>
      </c>
      <c r="CL198" s="239">
        <v>0</v>
      </c>
      <c r="CM198" s="239">
        <v>0</v>
      </c>
      <c r="CN198" s="239">
        <v>0</v>
      </c>
      <c r="CO198" s="239">
        <v>0</v>
      </c>
      <c r="CP198" s="239">
        <v>-18</v>
      </c>
      <c r="CQ198" s="239">
        <v>-4</v>
      </c>
      <c r="CR198" s="239">
        <v>0</v>
      </c>
      <c r="CS198" s="239">
        <v>-589</v>
      </c>
      <c r="CT198" s="239">
        <v>-132</v>
      </c>
      <c r="CU198" s="239">
        <v>-15</v>
      </c>
      <c r="CV198" s="239">
        <v>0</v>
      </c>
      <c r="CW198" s="239">
        <v>0</v>
      </c>
      <c r="CX198" s="239">
        <v>0</v>
      </c>
      <c r="CY198" s="239">
        <v>0</v>
      </c>
      <c r="CZ198" s="239">
        <v>0</v>
      </c>
      <c r="DA198" s="239">
        <v>0</v>
      </c>
      <c r="DB198" s="239">
        <v>0</v>
      </c>
      <c r="DC198" s="239">
        <v>0</v>
      </c>
      <c r="DD198" s="239">
        <v>0</v>
      </c>
      <c r="DE198" s="239">
        <v>0</v>
      </c>
      <c r="DF198" s="239">
        <v>0</v>
      </c>
      <c r="DG198" s="239">
        <v>0</v>
      </c>
      <c r="DH198" s="239">
        <v>0</v>
      </c>
      <c r="DI198" s="239">
        <v>0</v>
      </c>
      <c r="DJ198" s="239">
        <v>0</v>
      </c>
      <c r="DK198" s="239">
        <v>0</v>
      </c>
      <c r="DL198" s="239">
        <v>0</v>
      </c>
      <c r="DM198" s="239">
        <v>0</v>
      </c>
      <c r="DN198" s="239">
        <v>0</v>
      </c>
      <c r="DO198" s="239">
        <v>0</v>
      </c>
      <c r="DP198" s="239">
        <v>0</v>
      </c>
      <c r="DQ198" s="239">
        <v>0</v>
      </c>
      <c r="DR198" s="239">
        <v>0</v>
      </c>
      <c r="DS198" s="239">
        <v>0</v>
      </c>
      <c r="DT198" s="239">
        <v>0</v>
      </c>
      <c r="DU198" s="239">
        <v>0</v>
      </c>
      <c r="DV198" s="239">
        <v>0</v>
      </c>
      <c r="DW198" s="239">
        <v>0</v>
      </c>
      <c r="DX198" s="239">
        <v>0</v>
      </c>
      <c r="DY198" s="239">
        <v>0</v>
      </c>
      <c r="DZ198" s="239">
        <v>1512</v>
      </c>
      <c r="EA198" s="239">
        <v>340</v>
      </c>
      <c r="EB198" s="239">
        <v>38</v>
      </c>
      <c r="EC198" s="239">
        <v>1889</v>
      </c>
      <c r="ED198" s="239">
        <v>0</v>
      </c>
      <c r="EE198" s="239">
        <v>0</v>
      </c>
      <c r="EF198" s="239">
        <v>-377</v>
      </c>
      <c r="EG198" s="239">
        <v>340</v>
      </c>
      <c r="EH198" s="239">
        <v>38</v>
      </c>
      <c r="EI198" s="239">
        <v>42715</v>
      </c>
      <c r="EJ198" s="239">
        <v>9611</v>
      </c>
      <c r="EK198" s="239">
        <v>1068</v>
      </c>
      <c r="EL198" s="239">
        <v>59833</v>
      </c>
      <c r="EM198" s="239">
        <v>0</v>
      </c>
      <c r="EN198" s="239">
        <v>0</v>
      </c>
      <c r="EO198" s="239">
        <v>-17118</v>
      </c>
      <c r="EP198" s="239">
        <v>9611</v>
      </c>
      <c r="EQ198" s="239">
        <v>1068</v>
      </c>
      <c r="ER198" s="239">
        <v>3838</v>
      </c>
      <c r="ES198" s="239">
        <v>864</v>
      </c>
      <c r="ET198" s="239">
        <v>96</v>
      </c>
      <c r="EU198" s="239">
        <v>4290</v>
      </c>
      <c r="EV198" s="239">
        <v>0</v>
      </c>
      <c r="EW198" s="239">
        <v>0</v>
      </c>
      <c r="EX198" s="239">
        <v>-452</v>
      </c>
      <c r="EY198" s="239">
        <v>864</v>
      </c>
      <c r="EZ198" s="239">
        <v>96</v>
      </c>
      <c r="FA198" s="239">
        <v>70995</v>
      </c>
      <c r="FB198" s="239">
        <v>15947</v>
      </c>
      <c r="FC198" s="239">
        <v>1772</v>
      </c>
      <c r="FD198" s="239">
        <v>72339</v>
      </c>
      <c r="FE198" s="239">
        <v>16276</v>
      </c>
      <c r="FF198" s="239">
        <v>1808</v>
      </c>
      <c r="FG198" s="239">
        <v>-1344</v>
      </c>
      <c r="FH198" s="239">
        <v>-329</v>
      </c>
      <c r="FI198" s="239">
        <v>-36</v>
      </c>
      <c r="FJ198" s="239">
        <v>0</v>
      </c>
      <c r="FK198" s="239">
        <v>0</v>
      </c>
      <c r="FL198" s="239">
        <v>0</v>
      </c>
      <c r="FM198" s="239">
        <v>0</v>
      </c>
      <c r="FN198" s="239">
        <v>0</v>
      </c>
      <c r="FO198" s="239">
        <v>0</v>
      </c>
      <c r="FP198" s="239">
        <v>0</v>
      </c>
      <c r="FQ198" s="239">
        <v>0</v>
      </c>
      <c r="FR198" s="239">
        <v>0</v>
      </c>
      <c r="FS198" s="239">
        <v>0</v>
      </c>
      <c r="FT198" s="239">
        <v>0</v>
      </c>
      <c r="FU198" s="239">
        <v>0</v>
      </c>
      <c r="FV198" s="239">
        <v>615195</v>
      </c>
      <c r="FW198" s="239">
        <v>138393</v>
      </c>
      <c r="FX198" s="239">
        <v>15377</v>
      </c>
      <c r="FY198" s="834">
        <v>0.5</v>
      </c>
      <c r="FZ198" s="834">
        <v>0.4</v>
      </c>
      <c r="GA198" s="834">
        <v>0.09</v>
      </c>
      <c r="GB198" s="834">
        <v>0.01</v>
      </c>
      <c r="GC198" s="214" t="s">
        <v>1158</v>
      </c>
    </row>
    <row r="199" spans="1:185" s="214" customFormat="1" x14ac:dyDescent="0.2">
      <c r="B199" s="602" t="s">
        <v>481</v>
      </c>
      <c r="C199" s="602" t="s">
        <v>480</v>
      </c>
      <c r="D199" s="239">
        <v>-3213985</v>
      </c>
      <c r="E199" s="239">
        <v>0</v>
      </c>
      <c r="F199" s="239">
        <v>-3213985</v>
      </c>
      <c r="G199" s="239">
        <v>-3113266</v>
      </c>
      <c r="H199" s="239">
        <v>0</v>
      </c>
      <c r="I199" s="239">
        <v>-3113266</v>
      </c>
      <c r="J199" s="239">
        <v>-100719</v>
      </c>
      <c r="K199" s="239">
        <v>0</v>
      </c>
      <c r="L199" s="239">
        <v>-100719</v>
      </c>
      <c r="M199" s="239">
        <v>307642</v>
      </c>
      <c r="N199" s="239">
        <v>307642</v>
      </c>
      <c r="O199" s="239">
        <v>0</v>
      </c>
      <c r="P199" s="239">
        <v>0</v>
      </c>
      <c r="Q199" s="239">
        <v>0</v>
      </c>
      <c r="R199" s="239">
        <v>0</v>
      </c>
      <c r="S199" s="239">
        <v>0</v>
      </c>
      <c r="T199" s="239">
        <v>0</v>
      </c>
      <c r="U199" s="239">
        <v>2048</v>
      </c>
      <c r="V199" s="239">
        <v>0</v>
      </c>
      <c r="W199" s="239">
        <v>-2048</v>
      </c>
      <c r="X199" s="239">
        <v>0</v>
      </c>
      <c r="Y199" s="239">
        <v>0</v>
      </c>
      <c r="Z199" s="239">
        <v>0</v>
      </c>
      <c r="AA199" s="239">
        <v>0</v>
      </c>
      <c r="AB199" s="239">
        <v>0</v>
      </c>
      <c r="AC199" s="239">
        <v>0</v>
      </c>
      <c r="AD199" s="239">
        <v>0</v>
      </c>
      <c r="AE199" s="239">
        <v>0</v>
      </c>
      <c r="AF199" s="239">
        <v>0</v>
      </c>
      <c r="AG199" s="239">
        <v>0</v>
      </c>
      <c r="AH199" s="239">
        <v>0</v>
      </c>
      <c r="AI199" s="239">
        <v>0</v>
      </c>
      <c r="AJ199" s="239">
        <v>0</v>
      </c>
      <c r="AK199" s="239">
        <v>0</v>
      </c>
      <c r="AL199" s="239">
        <v>0</v>
      </c>
      <c r="AM199" s="239">
        <v>0</v>
      </c>
      <c r="AN199" s="239">
        <v>0</v>
      </c>
      <c r="AO199" s="239">
        <v>0</v>
      </c>
      <c r="AP199" s="239">
        <v>0</v>
      </c>
      <c r="AQ199" s="239">
        <v>0</v>
      </c>
      <c r="AR199" s="239">
        <v>0</v>
      </c>
      <c r="AS199" s="239">
        <v>0</v>
      </c>
      <c r="AT199" s="239">
        <v>0</v>
      </c>
      <c r="AU199" s="239">
        <v>0</v>
      </c>
      <c r="AV199" s="239">
        <v>0</v>
      </c>
      <c r="AW199" s="239">
        <v>0</v>
      </c>
      <c r="AX199" s="239">
        <v>0</v>
      </c>
      <c r="AY199" s="239">
        <v>0</v>
      </c>
      <c r="AZ199" s="239">
        <v>0</v>
      </c>
      <c r="BA199" s="239">
        <v>0</v>
      </c>
      <c r="BB199" s="239">
        <v>0</v>
      </c>
      <c r="BC199" s="239">
        <v>6103995</v>
      </c>
      <c r="BD199" s="239">
        <v>0</v>
      </c>
      <c r="BE199" s="239">
        <v>61657</v>
      </c>
      <c r="BF199" s="239">
        <v>5988815.2040832611</v>
      </c>
      <c r="BG199" s="239">
        <v>0</v>
      </c>
      <c r="BH199" s="239">
        <v>60493.082869527905</v>
      </c>
      <c r="BI199" s="239">
        <v>289800.09381437767</v>
      </c>
      <c r="BJ199" s="239">
        <v>0</v>
      </c>
      <c r="BK199" s="239">
        <v>2927.2736748927036</v>
      </c>
      <c r="BL199" s="239">
        <v>5288915</v>
      </c>
      <c r="BM199" s="239">
        <v>0</v>
      </c>
      <c r="BN199" s="239">
        <v>39588</v>
      </c>
      <c r="BO199" s="239">
        <v>815080</v>
      </c>
      <c r="BP199" s="239">
        <v>0</v>
      </c>
      <c r="BQ199" s="239">
        <v>22069</v>
      </c>
      <c r="BR199" s="239">
        <v>0</v>
      </c>
      <c r="BS199" s="239">
        <v>0</v>
      </c>
      <c r="BT199" s="239">
        <v>0</v>
      </c>
      <c r="BU199" s="239">
        <v>201</v>
      </c>
      <c r="BV199" s="239">
        <v>0</v>
      </c>
      <c r="BW199" s="239">
        <v>2</v>
      </c>
      <c r="BX199" s="239">
        <v>-201</v>
      </c>
      <c r="BY199" s="239">
        <v>0</v>
      </c>
      <c r="BZ199" s="239">
        <v>-2</v>
      </c>
      <c r="CA199" s="239">
        <v>73008</v>
      </c>
      <c r="CB199" s="239">
        <v>0</v>
      </c>
      <c r="CC199" s="239">
        <v>737</v>
      </c>
      <c r="CD199" s="239">
        <v>93238</v>
      </c>
      <c r="CE199" s="239">
        <v>0</v>
      </c>
      <c r="CF199" s="239">
        <v>942</v>
      </c>
      <c r="CG199" s="239">
        <v>-20230</v>
      </c>
      <c r="CH199" s="239">
        <v>0</v>
      </c>
      <c r="CI199" s="239">
        <v>-205</v>
      </c>
      <c r="CJ199" s="239">
        <v>32167</v>
      </c>
      <c r="CK199" s="239">
        <v>0</v>
      </c>
      <c r="CL199" s="239">
        <v>325</v>
      </c>
      <c r="CM199" s="239">
        <v>10557</v>
      </c>
      <c r="CN199" s="239">
        <v>0</v>
      </c>
      <c r="CO199" s="239">
        <v>107</v>
      </c>
      <c r="CP199" s="239">
        <v>21610</v>
      </c>
      <c r="CQ199" s="239">
        <v>0</v>
      </c>
      <c r="CR199" s="239">
        <v>218</v>
      </c>
      <c r="CS199" s="239">
        <v>8164</v>
      </c>
      <c r="CT199" s="239">
        <v>0</v>
      </c>
      <c r="CU199" s="239">
        <v>82</v>
      </c>
      <c r="CV199" s="239">
        <v>0</v>
      </c>
      <c r="CW199" s="239">
        <v>0</v>
      </c>
      <c r="CX199" s="239">
        <v>0</v>
      </c>
      <c r="CY199" s="239">
        <v>0</v>
      </c>
      <c r="CZ199" s="239">
        <v>0</v>
      </c>
      <c r="DA199" s="239">
        <v>0</v>
      </c>
      <c r="DB199" s="239">
        <v>0</v>
      </c>
      <c r="DC199" s="239">
        <v>0</v>
      </c>
      <c r="DD199" s="239">
        <v>0</v>
      </c>
      <c r="DE199" s="239">
        <v>0</v>
      </c>
      <c r="DF199" s="239">
        <v>0</v>
      </c>
      <c r="DG199" s="239">
        <v>0</v>
      </c>
      <c r="DH199" s="239">
        <v>0</v>
      </c>
      <c r="DI199" s="239">
        <v>0</v>
      </c>
      <c r="DJ199" s="239">
        <v>0</v>
      </c>
      <c r="DK199" s="239">
        <v>9219</v>
      </c>
      <c r="DL199" s="239">
        <v>0</v>
      </c>
      <c r="DM199" s="239">
        <v>93</v>
      </c>
      <c r="DN199" s="239">
        <v>-9219</v>
      </c>
      <c r="DO199" s="239">
        <v>0</v>
      </c>
      <c r="DP199" s="239">
        <v>-93</v>
      </c>
      <c r="DQ199" s="239">
        <v>0</v>
      </c>
      <c r="DR199" s="239">
        <v>0</v>
      </c>
      <c r="DS199" s="239">
        <v>0</v>
      </c>
      <c r="DT199" s="239">
        <v>1508</v>
      </c>
      <c r="DU199" s="239">
        <v>0</v>
      </c>
      <c r="DV199" s="239">
        <v>15</v>
      </c>
      <c r="DW199" s="239">
        <v>-1508</v>
      </c>
      <c r="DX199" s="239">
        <v>0</v>
      </c>
      <c r="DY199" s="239">
        <v>-15</v>
      </c>
      <c r="DZ199" s="239">
        <v>13825</v>
      </c>
      <c r="EA199" s="239">
        <v>0</v>
      </c>
      <c r="EB199" s="239">
        <v>140</v>
      </c>
      <c r="EC199" s="239">
        <v>14194</v>
      </c>
      <c r="ED199" s="239">
        <v>0</v>
      </c>
      <c r="EE199" s="239">
        <v>0</v>
      </c>
      <c r="EF199" s="239">
        <v>-369</v>
      </c>
      <c r="EG199" s="239">
        <v>0</v>
      </c>
      <c r="EH199" s="239">
        <v>140</v>
      </c>
      <c r="EI199" s="239">
        <v>302293</v>
      </c>
      <c r="EJ199" s="239">
        <v>0</v>
      </c>
      <c r="EK199" s="239">
        <v>3053</v>
      </c>
      <c r="EL199" s="239">
        <v>300828</v>
      </c>
      <c r="EM199" s="239">
        <v>0</v>
      </c>
      <c r="EN199" s="239">
        <v>0</v>
      </c>
      <c r="EO199" s="239">
        <v>1465</v>
      </c>
      <c r="EP199" s="239">
        <v>0</v>
      </c>
      <c r="EQ199" s="239">
        <v>3053</v>
      </c>
      <c r="ER199" s="239">
        <v>93740</v>
      </c>
      <c r="ES199" s="239">
        <v>0</v>
      </c>
      <c r="ET199" s="239">
        <v>947</v>
      </c>
      <c r="EU199" s="239">
        <v>78119</v>
      </c>
      <c r="EV199" s="239">
        <v>0</v>
      </c>
      <c r="EW199" s="239">
        <v>0</v>
      </c>
      <c r="EX199" s="239">
        <v>15621</v>
      </c>
      <c r="EY199" s="239">
        <v>0</v>
      </c>
      <c r="EZ199" s="239">
        <v>947</v>
      </c>
      <c r="FA199" s="239">
        <v>823451</v>
      </c>
      <c r="FB199" s="239">
        <v>0</v>
      </c>
      <c r="FC199" s="239">
        <v>8318</v>
      </c>
      <c r="FD199" s="239">
        <v>804066</v>
      </c>
      <c r="FE199" s="239">
        <v>0</v>
      </c>
      <c r="FF199" s="239">
        <v>8122</v>
      </c>
      <c r="FG199" s="239">
        <v>19385</v>
      </c>
      <c r="FH199" s="239">
        <v>0</v>
      </c>
      <c r="FI199" s="239">
        <v>196</v>
      </c>
      <c r="FJ199" s="239">
        <v>0</v>
      </c>
      <c r="FK199" s="239">
        <v>0</v>
      </c>
      <c r="FL199" s="239">
        <v>0</v>
      </c>
      <c r="FM199" s="239">
        <v>0</v>
      </c>
      <c r="FN199" s="239">
        <v>0</v>
      </c>
      <c r="FO199" s="239">
        <v>0</v>
      </c>
      <c r="FP199" s="239">
        <v>0</v>
      </c>
      <c r="FQ199" s="239">
        <v>0</v>
      </c>
      <c r="FR199" s="239">
        <v>0</v>
      </c>
      <c r="FS199" s="239">
        <v>0</v>
      </c>
      <c r="FT199" s="239">
        <v>0</v>
      </c>
      <c r="FU199" s="239">
        <v>0</v>
      </c>
      <c r="FV199" s="239">
        <v>7450643</v>
      </c>
      <c r="FW199" s="239">
        <v>0</v>
      </c>
      <c r="FX199" s="239">
        <v>75259</v>
      </c>
      <c r="FY199" s="834">
        <v>0</v>
      </c>
      <c r="FZ199" s="834">
        <v>0.99</v>
      </c>
      <c r="GA199" s="834">
        <v>0</v>
      </c>
      <c r="GB199" s="834">
        <v>0.01</v>
      </c>
      <c r="GC199" s="214" t="s">
        <v>1160</v>
      </c>
    </row>
    <row r="200" spans="1:185" s="214" customFormat="1" x14ac:dyDescent="0.2">
      <c r="B200" s="602" t="s">
        <v>483</v>
      </c>
      <c r="C200" s="602" t="s">
        <v>482</v>
      </c>
      <c r="D200" s="239">
        <v>-977289</v>
      </c>
      <c r="E200" s="239">
        <v>0</v>
      </c>
      <c r="F200" s="239">
        <v>-977289</v>
      </c>
      <c r="G200" s="239">
        <v>613046</v>
      </c>
      <c r="H200" s="239">
        <v>0</v>
      </c>
      <c r="I200" s="239">
        <v>613046</v>
      </c>
      <c r="J200" s="239">
        <v>-1590335</v>
      </c>
      <c r="K200" s="239">
        <v>0</v>
      </c>
      <c r="L200" s="239">
        <v>-1590335</v>
      </c>
      <c r="M200" s="239">
        <v>218144</v>
      </c>
      <c r="N200" s="239">
        <v>218144</v>
      </c>
      <c r="O200" s="239">
        <v>0</v>
      </c>
      <c r="P200" s="239">
        <v>0</v>
      </c>
      <c r="Q200" s="239">
        <v>0</v>
      </c>
      <c r="R200" s="239">
        <v>0</v>
      </c>
      <c r="S200" s="239">
        <v>11078</v>
      </c>
      <c r="T200" s="239">
        <v>1509</v>
      </c>
      <c r="U200" s="239">
        <v>7456</v>
      </c>
      <c r="V200" s="239">
        <v>0</v>
      </c>
      <c r="W200" s="239">
        <v>3622</v>
      </c>
      <c r="X200" s="239">
        <v>1509</v>
      </c>
      <c r="Y200" s="239">
        <v>0</v>
      </c>
      <c r="Z200" s="239">
        <v>0</v>
      </c>
      <c r="AA200" s="239">
        <v>0</v>
      </c>
      <c r="AB200" s="239">
        <v>0</v>
      </c>
      <c r="AC200" s="239">
        <v>0</v>
      </c>
      <c r="AD200" s="239">
        <v>0</v>
      </c>
      <c r="AE200" s="239">
        <v>0</v>
      </c>
      <c r="AF200" s="239">
        <v>0</v>
      </c>
      <c r="AG200" s="239">
        <v>0</v>
      </c>
      <c r="AH200" s="239">
        <v>0</v>
      </c>
      <c r="AI200" s="239">
        <v>0</v>
      </c>
      <c r="AJ200" s="239">
        <v>0</v>
      </c>
      <c r="AK200" s="239">
        <v>0</v>
      </c>
      <c r="AL200" s="239">
        <v>0</v>
      </c>
      <c r="AM200" s="239">
        <v>0</v>
      </c>
      <c r="AN200" s="239">
        <v>0</v>
      </c>
      <c r="AO200" s="239">
        <v>0</v>
      </c>
      <c r="AP200" s="239">
        <v>0</v>
      </c>
      <c r="AQ200" s="239">
        <v>0</v>
      </c>
      <c r="AR200" s="239">
        <v>0</v>
      </c>
      <c r="AS200" s="239">
        <v>0</v>
      </c>
      <c r="AT200" s="239">
        <v>0</v>
      </c>
      <c r="AU200" s="239">
        <v>0</v>
      </c>
      <c r="AV200" s="239">
        <v>0</v>
      </c>
      <c r="AW200" s="239">
        <v>0</v>
      </c>
      <c r="AX200" s="239">
        <v>0</v>
      </c>
      <c r="AY200" s="239">
        <v>0</v>
      </c>
      <c r="AZ200" s="239">
        <v>0</v>
      </c>
      <c r="BA200" s="239">
        <v>0</v>
      </c>
      <c r="BB200" s="239">
        <v>0</v>
      </c>
      <c r="BC200" s="239">
        <v>684157</v>
      </c>
      <c r="BD200" s="239">
        <v>171039</v>
      </c>
      <c r="BE200" s="239">
        <v>0</v>
      </c>
      <c r="BF200" s="239">
        <v>645158.42388497852</v>
      </c>
      <c r="BG200" s="239">
        <v>161289.60597124463</v>
      </c>
      <c r="BH200" s="239">
        <v>0</v>
      </c>
      <c r="BI200" s="239">
        <v>145884.2332832618</v>
      </c>
      <c r="BJ200" s="239">
        <v>36471.058320815449</v>
      </c>
      <c r="BK200" s="239">
        <v>0</v>
      </c>
      <c r="BL200" s="239">
        <v>610031</v>
      </c>
      <c r="BM200" s="239">
        <v>90644</v>
      </c>
      <c r="BN200" s="239">
        <v>0</v>
      </c>
      <c r="BO200" s="239">
        <v>74126</v>
      </c>
      <c r="BP200" s="239">
        <v>80395</v>
      </c>
      <c r="BQ200" s="239">
        <v>0</v>
      </c>
      <c r="BR200" s="239">
        <v>-136</v>
      </c>
      <c r="BS200" s="239">
        <v>-34</v>
      </c>
      <c r="BT200" s="239">
        <v>0</v>
      </c>
      <c r="BU200" s="239">
        <v>1665</v>
      </c>
      <c r="BV200" s="239">
        <v>416</v>
      </c>
      <c r="BW200" s="239">
        <v>0</v>
      </c>
      <c r="BX200" s="239">
        <v>-1801</v>
      </c>
      <c r="BY200" s="239">
        <v>-450</v>
      </c>
      <c r="BZ200" s="239">
        <v>0</v>
      </c>
      <c r="CA200" s="239">
        <v>18606</v>
      </c>
      <c r="CB200" s="239">
        <v>4651</v>
      </c>
      <c r="CC200" s="239">
        <v>0</v>
      </c>
      <c r="CD200" s="239">
        <v>8120</v>
      </c>
      <c r="CE200" s="239">
        <v>2030</v>
      </c>
      <c r="CF200" s="239">
        <v>0</v>
      </c>
      <c r="CG200" s="239">
        <v>10486</v>
      </c>
      <c r="CH200" s="239">
        <v>2621</v>
      </c>
      <c r="CI200" s="239">
        <v>0</v>
      </c>
      <c r="CJ200" s="239">
        <v>694</v>
      </c>
      <c r="CK200" s="239">
        <v>173</v>
      </c>
      <c r="CL200" s="239">
        <v>0</v>
      </c>
      <c r="CM200" s="239">
        <v>8120</v>
      </c>
      <c r="CN200" s="239">
        <v>2030</v>
      </c>
      <c r="CO200" s="239">
        <v>0</v>
      </c>
      <c r="CP200" s="239">
        <v>-7426</v>
      </c>
      <c r="CQ200" s="239">
        <v>-1857</v>
      </c>
      <c r="CR200" s="239">
        <v>0</v>
      </c>
      <c r="CS200" s="239">
        <v>0</v>
      </c>
      <c r="CT200" s="239">
        <v>0</v>
      </c>
      <c r="CU200" s="239">
        <v>0</v>
      </c>
      <c r="CV200" s="239">
        <v>0</v>
      </c>
      <c r="CW200" s="239">
        <v>0</v>
      </c>
      <c r="CX200" s="239">
        <v>0</v>
      </c>
      <c r="CY200" s="239">
        <v>0</v>
      </c>
      <c r="CZ200" s="239">
        <v>0</v>
      </c>
      <c r="DA200" s="239">
        <v>0</v>
      </c>
      <c r="DB200" s="239">
        <v>0</v>
      </c>
      <c r="DC200" s="239">
        <v>0</v>
      </c>
      <c r="DD200" s="239">
        <v>0</v>
      </c>
      <c r="DE200" s="239">
        <v>0</v>
      </c>
      <c r="DF200" s="239">
        <v>0</v>
      </c>
      <c r="DG200" s="239">
        <v>0</v>
      </c>
      <c r="DH200" s="239">
        <v>0</v>
      </c>
      <c r="DI200" s="239">
        <v>0</v>
      </c>
      <c r="DJ200" s="239">
        <v>0</v>
      </c>
      <c r="DK200" s="239">
        <v>0</v>
      </c>
      <c r="DL200" s="239">
        <v>0</v>
      </c>
      <c r="DM200" s="239">
        <v>0</v>
      </c>
      <c r="DN200" s="239">
        <v>0</v>
      </c>
      <c r="DO200" s="239">
        <v>0</v>
      </c>
      <c r="DP200" s="239">
        <v>0</v>
      </c>
      <c r="DQ200" s="239">
        <v>609</v>
      </c>
      <c r="DR200" s="239">
        <v>152</v>
      </c>
      <c r="DS200" s="239">
        <v>0</v>
      </c>
      <c r="DT200" s="239">
        <v>609</v>
      </c>
      <c r="DU200" s="239">
        <v>152</v>
      </c>
      <c r="DV200" s="239">
        <v>0</v>
      </c>
      <c r="DW200" s="239">
        <v>0</v>
      </c>
      <c r="DX200" s="239">
        <v>0</v>
      </c>
      <c r="DY200" s="239">
        <v>0</v>
      </c>
      <c r="DZ200" s="239">
        <v>1883</v>
      </c>
      <c r="EA200" s="239">
        <v>471</v>
      </c>
      <c r="EB200" s="239">
        <v>0</v>
      </c>
      <c r="EC200" s="239">
        <v>4612</v>
      </c>
      <c r="ED200" s="239">
        <v>0</v>
      </c>
      <c r="EE200" s="239">
        <v>0</v>
      </c>
      <c r="EF200" s="239">
        <v>-2729</v>
      </c>
      <c r="EG200" s="239">
        <v>471</v>
      </c>
      <c r="EH200" s="239">
        <v>0</v>
      </c>
      <c r="EI200" s="239">
        <v>150842</v>
      </c>
      <c r="EJ200" s="239">
        <v>37710</v>
      </c>
      <c r="EK200" s="239">
        <v>0</v>
      </c>
      <c r="EL200" s="239">
        <v>240354</v>
      </c>
      <c r="EM200" s="239">
        <v>0</v>
      </c>
      <c r="EN200" s="239">
        <v>0</v>
      </c>
      <c r="EO200" s="239">
        <v>-89512</v>
      </c>
      <c r="EP200" s="239">
        <v>37710</v>
      </c>
      <c r="EQ200" s="239">
        <v>0</v>
      </c>
      <c r="ER200" s="239">
        <v>34683</v>
      </c>
      <c r="ES200" s="239">
        <v>8671</v>
      </c>
      <c r="ET200" s="239">
        <v>0</v>
      </c>
      <c r="EU200" s="239">
        <v>30451</v>
      </c>
      <c r="EV200" s="239">
        <v>0</v>
      </c>
      <c r="EW200" s="239">
        <v>0</v>
      </c>
      <c r="EX200" s="239">
        <v>4232</v>
      </c>
      <c r="EY200" s="239">
        <v>8671</v>
      </c>
      <c r="EZ200" s="239">
        <v>0</v>
      </c>
      <c r="FA200" s="239">
        <v>548356</v>
      </c>
      <c r="FB200" s="239">
        <v>137070</v>
      </c>
      <c r="FC200" s="239">
        <v>0</v>
      </c>
      <c r="FD200" s="239">
        <v>545863</v>
      </c>
      <c r="FE200" s="239">
        <v>136438</v>
      </c>
      <c r="FF200" s="239">
        <v>0</v>
      </c>
      <c r="FG200" s="239">
        <v>2493</v>
      </c>
      <c r="FH200" s="239">
        <v>632</v>
      </c>
      <c r="FI200" s="239">
        <v>0</v>
      </c>
      <c r="FJ200" s="239">
        <v>0</v>
      </c>
      <c r="FK200" s="239">
        <v>0</v>
      </c>
      <c r="FL200" s="239">
        <v>0</v>
      </c>
      <c r="FM200" s="239">
        <v>0</v>
      </c>
      <c r="FN200" s="239">
        <v>0</v>
      </c>
      <c r="FO200" s="239">
        <v>0</v>
      </c>
      <c r="FP200" s="239">
        <v>0</v>
      </c>
      <c r="FQ200" s="239">
        <v>0</v>
      </c>
      <c r="FR200" s="239">
        <v>0</v>
      </c>
      <c r="FS200" s="239">
        <v>0</v>
      </c>
      <c r="FT200" s="239">
        <v>0</v>
      </c>
      <c r="FU200" s="239">
        <v>0</v>
      </c>
      <c r="FV200" s="239">
        <v>1439694</v>
      </c>
      <c r="FW200" s="239">
        <v>359903</v>
      </c>
      <c r="FX200" s="239">
        <v>0</v>
      </c>
      <c r="FY200" s="834">
        <v>0.5</v>
      </c>
      <c r="FZ200" s="834">
        <v>0.4</v>
      </c>
      <c r="GA200" s="834">
        <v>0.1</v>
      </c>
      <c r="GB200" s="834">
        <v>0</v>
      </c>
      <c r="GC200" s="214" t="s">
        <v>1158</v>
      </c>
    </row>
    <row r="201" spans="1:185" s="214" customFormat="1" x14ac:dyDescent="0.2">
      <c r="B201" s="602" t="s">
        <v>485</v>
      </c>
      <c r="C201" s="602" t="s">
        <v>484</v>
      </c>
      <c r="D201" s="239">
        <v>-815527</v>
      </c>
      <c r="E201" s="239">
        <v>0</v>
      </c>
      <c r="F201" s="239">
        <v>-815527</v>
      </c>
      <c r="G201" s="239">
        <v>-946778</v>
      </c>
      <c r="H201" s="239">
        <v>0</v>
      </c>
      <c r="I201" s="239">
        <v>-946778</v>
      </c>
      <c r="J201" s="239">
        <v>131251</v>
      </c>
      <c r="K201" s="239">
        <v>0</v>
      </c>
      <c r="L201" s="239">
        <v>131251</v>
      </c>
      <c r="M201" s="239">
        <v>133965</v>
      </c>
      <c r="N201" s="239">
        <v>133965</v>
      </c>
      <c r="O201" s="239">
        <v>0</v>
      </c>
      <c r="P201" s="239">
        <v>0</v>
      </c>
      <c r="Q201" s="239">
        <v>0</v>
      </c>
      <c r="R201" s="239">
        <v>0</v>
      </c>
      <c r="S201" s="239">
        <v>0</v>
      </c>
      <c r="T201" s="239">
        <v>0</v>
      </c>
      <c r="U201" s="239">
        <v>0</v>
      </c>
      <c r="V201" s="239">
        <v>0</v>
      </c>
      <c r="W201" s="239">
        <v>0</v>
      </c>
      <c r="X201" s="239">
        <v>0</v>
      </c>
      <c r="Y201" s="239">
        <v>0</v>
      </c>
      <c r="Z201" s="239">
        <v>0</v>
      </c>
      <c r="AA201" s="239">
        <v>0</v>
      </c>
      <c r="AB201" s="239">
        <v>0</v>
      </c>
      <c r="AC201" s="239">
        <v>0</v>
      </c>
      <c r="AD201" s="239">
        <v>0</v>
      </c>
      <c r="AE201" s="239">
        <v>0</v>
      </c>
      <c r="AF201" s="239">
        <v>0</v>
      </c>
      <c r="AG201" s="239">
        <v>0</v>
      </c>
      <c r="AH201" s="239">
        <v>0</v>
      </c>
      <c r="AI201" s="239">
        <v>0</v>
      </c>
      <c r="AJ201" s="239">
        <v>0</v>
      </c>
      <c r="AK201" s="239">
        <v>0</v>
      </c>
      <c r="AL201" s="239">
        <v>0</v>
      </c>
      <c r="AM201" s="239">
        <v>0</v>
      </c>
      <c r="AN201" s="239">
        <v>0</v>
      </c>
      <c r="AO201" s="239">
        <v>0</v>
      </c>
      <c r="AP201" s="239">
        <v>0</v>
      </c>
      <c r="AQ201" s="239">
        <v>0</v>
      </c>
      <c r="AR201" s="239">
        <v>0</v>
      </c>
      <c r="AS201" s="239">
        <v>0</v>
      </c>
      <c r="AT201" s="239">
        <v>0</v>
      </c>
      <c r="AU201" s="239">
        <v>0</v>
      </c>
      <c r="AV201" s="239">
        <v>0</v>
      </c>
      <c r="AW201" s="239">
        <v>0</v>
      </c>
      <c r="AX201" s="239">
        <v>0</v>
      </c>
      <c r="AY201" s="239">
        <v>0</v>
      </c>
      <c r="AZ201" s="239">
        <v>0</v>
      </c>
      <c r="BA201" s="239">
        <v>0</v>
      </c>
      <c r="BB201" s="239">
        <v>0</v>
      </c>
      <c r="BC201" s="239">
        <v>906771</v>
      </c>
      <c r="BD201" s="239">
        <v>204023</v>
      </c>
      <c r="BE201" s="239">
        <v>22669</v>
      </c>
      <c r="BF201" s="239">
        <v>892239.20489613735</v>
      </c>
      <c r="BG201" s="239">
        <v>200753.82110163089</v>
      </c>
      <c r="BH201" s="239">
        <v>22305.980122403431</v>
      </c>
      <c r="BI201" s="239">
        <v>38067.852017167381</v>
      </c>
      <c r="BJ201" s="239">
        <v>8565.2667038626605</v>
      </c>
      <c r="BK201" s="239">
        <v>951.69630042918448</v>
      </c>
      <c r="BL201" s="239">
        <v>883280</v>
      </c>
      <c r="BM201" s="239">
        <v>151709</v>
      </c>
      <c r="BN201" s="239">
        <v>16857</v>
      </c>
      <c r="BO201" s="239">
        <v>23491</v>
      </c>
      <c r="BP201" s="239">
        <v>52314</v>
      </c>
      <c r="BQ201" s="239">
        <v>5812</v>
      </c>
      <c r="BR201" s="239">
        <v>2019</v>
      </c>
      <c r="BS201" s="239">
        <v>454</v>
      </c>
      <c r="BT201" s="239">
        <v>50</v>
      </c>
      <c r="BU201" s="239">
        <v>0</v>
      </c>
      <c r="BV201" s="239">
        <v>0</v>
      </c>
      <c r="BW201" s="239">
        <v>0</v>
      </c>
      <c r="BX201" s="239">
        <v>2019</v>
      </c>
      <c r="BY201" s="239">
        <v>454</v>
      </c>
      <c r="BZ201" s="239">
        <v>50</v>
      </c>
      <c r="CA201" s="239">
        <v>0</v>
      </c>
      <c r="CB201" s="239">
        <v>0</v>
      </c>
      <c r="CC201" s="239">
        <v>0</v>
      </c>
      <c r="CD201" s="239">
        <v>0</v>
      </c>
      <c r="CE201" s="239">
        <v>0</v>
      </c>
      <c r="CF201" s="239">
        <v>0</v>
      </c>
      <c r="CG201" s="239">
        <v>0</v>
      </c>
      <c r="CH201" s="239">
        <v>0</v>
      </c>
      <c r="CI201" s="239">
        <v>0</v>
      </c>
      <c r="CJ201" s="239">
        <v>0</v>
      </c>
      <c r="CK201" s="239">
        <v>0</v>
      </c>
      <c r="CL201" s="239">
        <v>0</v>
      </c>
      <c r="CM201" s="239">
        <v>0</v>
      </c>
      <c r="CN201" s="239">
        <v>0</v>
      </c>
      <c r="CO201" s="239">
        <v>0</v>
      </c>
      <c r="CP201" s="239">
        <v>0</v>
      </c>
      <c r="CQ201" s="239">
        <v>0</v>
      </c>
      <c r="CR201" s="239">
        <v>0</v>
      </c>
      <c r="CS201" s="239">
        <v>-179</v>
      </c>
      <c r="CT201" s="239">
        <v>-40</v>
      </c>
      <c r="CU201" s="239">
        <v>-4</v>
      </c>
      <c r="CV201" s="239">
        <v>0</v>
      </c>
      <c r="CW201" s="239">
        <v>0</v>
      </c>
      <c r="CX201" s="239">
        <v>0</v>
      </c>
      <c r="CY201" s="239">
        <v>0</v>
      </c>
      <c r="CZ201" s="239">
        <v>0</v>
      </c>
      <c r="DA201" s="239">
        <v>0</v>
      </c>
      <c r="DB201" s="239">
        <v>0</v>
      </c>
      <c r="DC201" s="239">
        <v>0</v>
      </c>
      <c r="DD201" s="239">
        <v>0</v>
      </c>
      <c r="DE201" s="239">
        <v>0</v>
      </c>
      <c r="DF201" s="239">
        <v>0</v>
      </c>
      <c r="DG201" s="239">
        <v>0</v>
      </c>
      <c r="DH201" s="239">
        <v>31</v>
      </c>
      <c r="DI201" s="239">
        <v>7</v>
      </c>
      <c r="DJ201" s="239">
        <v>1</v>
      </c>
      <c r="DK201" s="239">
        <v>416</v>
      </c>
      <c r="DL201" s="239">
        <v>94</v>
      </c>
      <c r="DM201" s="239">
        <v>10</v>
      </c>
      <c r="DN201" s="239">
        <v>-385</v>
      </c>
      <c r="DO201" s="239">
        <v>-87</v>
      </c>
      <c r="DP201" s="239">
        <v>-9</v>
      </c>
      <c r="DQ201" s="239">
        <v>0</v>
      </c>
      <c r="DR201" s="239">
        <v>0</v>
      </c>
      <c r="DS201" s="239">
        <v>0</v>
      </c>
      <c r="DT201" s="239">
        <v>0</v>
      </c>
      <c r="DU201" s="239">
        <v>0</v>
      </c>
      <c r="DV201" s="239">
        <v>0</v>
      </c>
      <c r="DW201" s="239">
        <v>0</v>
      </c>
      <c r="DX201" s="239">
        <v>0</v>
      </c>
      <c r="DY201" s="239">
        <v>0</v>
      </c>
      <c r="DZ201" s="239">
        <v>6252</v>
      </c>
      <c r="EA201" s="239">
        <v>1407</v>
      </c>
      <c r="EB201" s="239">
        <v>156</v>
      </c>
      <c r="EC201" s="239">
        <v>7815</v>
      </c>
      <c r="ED201" s="239">
        <v>0</v>
      </c>
      <c r="EE201" s="239">
        <v>0</v>
      </c>
      <c r="EF201" s="239">
        <v>-1563</v>
      </c>
      <c r="EG201" s="239">
        <v>1407</v>
      </c>
      <c r="EH201" s="239">
        <v>156</v>
      </c>
      <c r="EI201" s="239">
        <v>40601</v>
      </c>
      <c r="EJ201" s="239">
        <v>9135</v>
      </c>
      <c r="EK201" s="239">
        <v>1015</v>
      </c>
      <c r="EL201" s="239">
        <v>50000</v>
      </c>
      <c r="EM201" s="239">
        <v>0</v>
      </c>
      <c r="EN201" s="239">
        <v>0</v>
      </c>
      <c r="EO201" s="239">
        <v>-9399</v>
      </c>
      <c r="EP201" s="239">
        <v>9135</v>
      </c>
      <c r="EQ201" s="239">
        <v>1015</v>
      </c>
      <c r="ER201" s="239">
        <v>8024</v>
      </c>
      <c r="ES201" s="239">
        <v>1805</v>
      </c>
      <c r="ET201" s="239">
        <v>201</v>
      </c>
      <c r="EU201" s="239">
        <v>9825</v>
      </c>
      <c r="EV201" s="239">
        <v>0</v>
      </c>
      <c r="EW201" s="239">
        <v>0</v>
      </c>
      <c r="EX201" s="239">
        <v>-1801</v>
      </c>
      <c r="EY201" s="239">
        <v>1805</v>
      </c>
      <c r="EZ201" s="239">
        <v>201</v>
      </c>
      <c r="FA201" s="239">
        <v>107538</v>
      </c>
      <c r="FB201" s="239">
        <v>24196</v>
      </c>
      <c r="FC201" s="239">
        <v>2688</v>
      </c>
      <c r="FD201" s="239">
        <v>102147</v>
      </c>
      <c r="FE201" s="239">
        <v>22983</v>
      </c>
      <c r="FF201" s="239">
        <v>2554</v>
      </c>
      <c r="FG201" s="239">
        <v>5391</v>
      </c>
      <c r="FH201" s="239">
        <v>1213</v>
      </c>
      <c r="FI201" s="239">
        <v>134</v>
      </c>
      <c r="FJ201" s="239">
        <v>0</v>
      </c>
      <c r="FK201" s="239">
        <v>0</v>
      </c>
      <c r="FL201" s="239">
        <v>0</v>
      </c>
      <c r="FM201" s="239">
        <v>0</v>
      </c>
      <c r="FN201" s="239">
        <v>0</v>
      </c>
      <c r="FO201" s="239">
        <v>0</v>
      </c>
      <c r="FP201" s="239">
        <v>0</v>
      </c>
      <c r="FQ201" s="239">
        <v>0</v>
      </c>
      <c r="FR201" s="239">
        <v>0</v>
      </c>
      <c r="FS201" s="239">
        <v>0</v>
      </c>
      <c r="FT201" s="239">
        <v>0</v>
      </c>
      <c r="FU201" s="239">
        <v>0</v>
      </c>
      <c r="FV201" s="239">
        <v>1071057</v>
      </c>
      <c r="FW201" s="239">
        <v>240987</v>
      </c>
      <c r="FX201" s="239">
        <v>26776</v>
      </c>
      <c r="FY201" s="834">
        <v>0.5</v>
      </c>
      <c r="FZ201" s="834">
        <v>0.4</v>
      </c>
      <c r="GA201" s="834">
        <v>0.09</v>
      </c>
      <c r="GB201" s="834">
        <v>0.01</v>
      </c>
      <c r="GC201" s="214" t="s">
        <v>1158</v>
      </c>
    </row>
    <row r="202" spans="1:185" s="214" customFormat="1" x14ac:dyDescent="0.2">
      <c r="B202" s="602" t="s">
        <v>487</v>
      </c>
      <c r="C202" s="602" t="s">
        <v>486</v>
      </c>
      <c r="D202" s="239">
        <v>-5388423</v>
      </c>
      <c r="E202" s="239">
        <v>0</v>
      </c>
      <c r="F202" s="239">
        <v>-5388423</v>
      </c>
      <c r="G202" s="239">
        <v>-4544544</v>
      </c>
      <c r="H202" s="239">
        <v>0</v>
      </c>
      <c r="I202" s="239">
        <v>-4544544</v>
      </c>
      <c r="J202" s="239">
        <v>-843879</v>
      </c>
      <c r="K202" s="239">
        <v>0</v>
      </c>
      <c r="L202" s="239">
        <v>-843879</v>
      </c>
      <c r="M202" s="239">
        <v>268347</v>
      </c>
      <c r="N202" s="239">
        <v>268347</v>
      </c>
      <c r="O202" s="239">
        <v>0</v>
      </c>
      <c r="P202" s="239">
        <v>0</v>
      </c>
      <c r="Q202" s="239">
        <v>0</v>
      </c>
      <c r="R202" s="239">
        <v>0</v>
      </c>
      <c r="S202" s="239">
        <v>326211</v>
      </c>
      <c r="T202" s="239">
        <v>0</v>
      </c>
      <c r="U202" s="239">
        <v>279000</v>
      </c>
      <c r="V202" s="239">
        <v>0</v>
      </c>
      <c r="W202" s="239">
        <v>47211</v>
      </c>
      <c r="X202" s="239">
        <v>0</v>
      </c>
      <c r="Y202" s="239">
        <v>0</v>
      </c>
      <c r="Z202" s="239">
        <v>0</v>
      </c>
      <c r="AA202" s="239">
        <v>0</v>
      </c>
      <c r="AB202" s="239">
        <v>0</v>
      </c>
      <c r="AC202" s="239">
        <v>0</v>
      </c>
      <c r="AD202" s="239">
        <v>0</v>
      </c>
      <c r="AE202" s="239">
        <v>0</v>
      </c>
      <c r="AF202" s="239">
        <v>0</v>
      </c>
      <c r="AG202" s="239">
        <v>0</v>
      </c>
      <c r="AH202" s="239">
        <v>0</v>
      </c>
      <c r="AI202" s="239">
        <v>0</v>
      </c>
      <c r="AJ202" s="239">
        <v>0</v>
      </c>
      <c r="AK202" s="239">
        <v>0</v>
      </c>
      <c r="AL202" s="239">
        <v>0</v>
      </c>
      <c r="AM202" s="239">
        <v>0</v>
      </c>
      <c r="AN202" s="239">
        <v>0</v>
      </c>
      <c r="AO202" s="239">
        <v>0</v>
      </c>
      <c r="AP202" s="239">
        <v>0</v>
      </c>
      <c r="AQ202" s="239">
        <v>0</v>
      </c>
      <c r="AR202" s="239">
        <v>0</v>
      </c>
      <c r="AS202" s="239">
        <v>0</v>
      </c>
      <c r="AT202" s="239">
        <v>0</v>
      </c>
      <c r="AU202" s="239">
        <v>0</v>
      </c>
      <c r="AV202" s="239">
        <v>0</v>
      </c>
      <c r="AW202" s="239">
        <v>0</v>
      </c>
      <c r="AX202" s="239">
        <v>0</v>
      </c>
      <c r="AY202" s="239">
        <v>0</v>
      </c>
      <c r="AZ202" s="239">
        <v>0</v>
      </c>
      <c r="BA202" s="239">
        <v>0</v>
      </c>
      <c r="BB202" s="239">
        <v>0</v>
      </c>
      <c r="BC202" s="239">
        <v>2038932</v>
      </c>
      <c r="BD202" s="239">
        <v>0</v>
      </c>
      <c r="BE202" s="239">
        <v>41611</v>
      </c>
      <c r="BF202" s="239">
        <v>1978436.3397825104</v>
      </c>
      <c r="BG202" s="239">
        <v>0</v>
      </c>
      <c r="BH202" s="239">
        <v>40376.25183229614</v>
      </c>
      <c r="BI202" s="239">
        <v>184117.21761909869</v>
      </c>
      <c r="BJ202" s="239">
        <v>0</v>
      </c>
      <c r="BK202" s="239">
        <v>3757.4942371244629</v>
      </c>
      <c r="BL202" s="239">
        <v>1971447</v>
      </c>
      <c r="BM202" s="239">
        <v>0</v>
      </c>
      <c r="BN202" s="239">
        <v>27268</v>
      </c>
      <c r="BO202" s="239">
        <v>67485</v>
      </c>
      <c r="BP202" s="239">
        <v>0</v>
      </c>
      <c r="BQ202" s="239">
        <v>14343</v>
      </c>
      <c r="BR202" s="239">
        <v>6582</v>
      </c>
      <c r="BS202" s="239">
        <v>0</v>
      </c>
      <c r="BT202" s="239">
        <v>134</v>
      </c>
      <c r="BU202" s="239">
        <v>10951</v>
      </c>
      <c r="BV202" s="239">
        <v>0</v>
      </c>
      <c r="BW202" s="239">
        <v>223</v>
      </c>
      <c r="BX202" s="239">
        <v>-4369</v>
      </c>
      <c r="BY202" s="239">
        <v>0</v>
      </c>
      <c r="BZ202" s="239">
        <v>-89</v>
      </c>
      <c r="CA202" s="239">
        <v>0</v>
      </c>
      <c r="CB202" s="239">
        <v>0</v>
      </c>
      <c r="CC202" s="239">
        <v>0</v>
      </c>
      <c r="CD202" s="239">
        <v>0</v>
      </c>
      <c r="CE202" s="239">
        <v>0</v>
      </c>
      <c r="CF202" s="239">
        <v>0</v>
      </c>
      <c r="CG202" s="239">
        <v>0</v>
      </c>
      <c r="CH202" s="239">
        <v>0</v>
      </c>
      <c r="CI202" s="239">
        <v>0</v>
      </c>
      <c r="CJ202" s="239">
        <v>0</v>
      </c>
      <c r="CK202" s="239">
        <v>0</v>
      </c>
      <c r="CL202" s="239">
        <v>0</v>
      </c>
      <c r="CM202" s="239">
        <v>5063</v>
      </c>
      <c r="CN202" s="239">
        <v>0</v>
      </c>
      <c r="CO202" s="239">
        <v>103</v>
      </c>
      <c r="CP202" s="239">
        <v>-5063</v>
      </c>
      <c r="CQ202" s="239">
        <v>0</v>
      </c>
      <c r="CR202" s="239">
        <v>-103</v>
      </c>
      <c r="CS202" s="239">
        <v>-657</v>
      </c>
      <c r="CT202" s="239">
        <v>0</v>
      </c>
      <c r="CU202" s="239">
        <v>-13</v>
      </c>
      <c r="CV202" s="239">
        <v>0</v>
      </c>
      <c r="CW202" s="239">
        <v>0</v>
      </c>
      <c r="CX202" s="239">
        <v>0</v>
      </c>
      <c r="CY202" s="239">
        <v>0</v>
      </c>
      <c r="CZ202" s="239">
        <v>0</v>
      </c>
      <c r="DA202" s="239">
        <v>0</v>
      </c>
      <c r="DB202" s="239">
        <v>0</v>
      </c>
      <c r="DC202" s="239">
        <v>0</v>
      </c>
      <c r="DD202" s="239">
        <v>0</v>
      </c>
      <c r="DE202" s="239">
        <v>0</v>
      </c>
      <c r="DF202" s="239">
        <v>0</v>
      </c>
      <c r="DG202" s="239">
        <v>0</v>
      </c>
      <c r="DH202" s="239">
        <v>6125</v>
      </c>
      <c r="DI202" s="239">
        <v>0</v>
      </c>
      <c r="DJ202" s="239">
        <v>125</v>
      </c>
      <c r="DK202" s="239">
        <v>6714</v>
      </c>
      <c r="DL202" s="239">
        <v>0</v>
      </c>
      <c r="DM202" s="239">
        <v>137</v>
      </c>
      <c r="DN202" s="239">
        <v>-589</v>
      </c>
      <c r="DO202" s="239">
        <v>0</v>
      </c>
      <c r="DP202" s="239">
        <v>-12</v>
      </c>
      <c r="DQ202" s="239">
        <v>0</v>
      </c>
      <c r="DR202" s="239">
        <v>0</v>
      </c>
      <c r="DS202" s="239">
        <v>0</v>
      </c>
      <c r="DT202" s="239">
        <v>0</v>
      </c>
      <c r="DU202" s="239">
        <v>0</v>
      </c>
      <c r="DV202" s="239">
        <v>0</v>
      </c>
      <c r="DW202" s="239">
        <v>0</v>
      </c>
      <c r="DX202" s="239">
        <v>0</v>
      </c>
      <c r="DY202" s="239">
        <v>0</v>
      </c>
      <c r="DZ202" s="239">
        <v>6454</v>
      </c>
      <c r="EA202" s="239">
        <v>0</v>
      </c>
      <c r="EB202" s="239">
        <v>132</v>
      </c>
      <c r="EC202" s="239">
        <v>7663</v>
      </c>
      <c r="ED202" s="239">
        <v>0</v>
      </c>
      <c r="EE202" s="239">
        <v>0</v>
      </c>
      <c r="EF202" s="239">
        <v>-1209</v>
      </c>
      <c r="EG202" s="239">
        <v>0</v>
      </c>
      <c r="EH202" s="239">
        <v>132</v>
      </c>
      <c r="EI202" s="239">
        <v>69519</v>
      </c>
      <c r="EJ202" s="239">
        <v>0</v>
      </c>
      <c r="EK202" s="239">
        <v>1419</v>
      </c>
      <c r="EL202" s="239">
        <v>136163</v>
      </c>
      <c r="EM202" s="239">
        <v>0</v>
      </c>
      <c r="EN202" s="239">
        <v>0</v>
      </c>
      <c r="EO202" s="239">
        <v>-66644</v>
      </c>
      <c r="EP202" s="239">
        <v>0</v>
      </c>
      <c r="EQ202" s="239">
        <v>1419</v>
      </c>
      <c r="ER202" s="239">
        <v>18043</v>
      </c>
      <c r="ES202" s="239">
        <v>0</v>
      </c>
      <c r="ET202" s="239">
        <v>368</v>
      </c>
      <c r="EU202" s="239">
        <v>22126</v>
      </c>
      <c r="EV202" s="239">
        <v>0</v>
      </c>
      <c r="EW202" s="239">
        <v>0</v>
      </c>
      <c r="EX202" s="239">
        <v>-4083</v>
      </c>
      <c r="EY202" s="239">
        <v>0</v>
      </c>
      <c r="EZ202" s="239">
        <v>368</v>
      </c>
      <c r="FA202" s="239">
        <v>664411</v>
      </c>
      <c r="FB202" s="239">
        <v>0</v>
      </c>
      <c r="FC202" s="239">
        <v>13459</v>
      </c>
      <c r="FD202" s="239">
        <v>656929</v>
      </c>
      <c r="FE202" s="239">
        <v>0</v>
      </c>
      <c r="FF202" s="239">
        <v>13321</v>
      </c>
      <c r="FG202" s="239">
        <v>7482</v>
      </c>
      <c r="FH202" s="239">
        <v>0</v>
      </c>
      <c r="FI202" s="239">
        <v>138</v>
      </c>
      <c r="FJ202" s="239">
        <v>0</v>
      </c>
      <c r="FK202" s="239">
        <v>0</v>
      </c>
      <c r="FL202" s="239">
        <v>0</v>
      </c>
      <c r="FM202" s="239">
        <v>0</v>
      </c>
      <c r="FN202" s="239">
        <v>0</v>
      </c>
      <c r="FO202" s="239">
        <v>0</v>
      </c>
      <c r="FP202" s="239">
        <v>0</v>
      </c>
      <c r="FQ202" s="239">
        <v>0</v>
      </c>
      <c r="FR202" s="239">
        <v>0</v>
      </c>
      <c r="FS202" s="239">
        <v>0</v>
      </c>
      <c r="FT202" s="239">
        <v>0</v>
      </c>
      <c r="FU202" s="239">
        <v>0</v>
      </c>
      <c r="FV202" s="239">
        <v>2809409</v>
      </c>
      <c r="FW202" s="239">
        <v>0</v>
      </c>
      <c r="FX202" s="239">
        <v>57235</v>
      </c>
      <c r="FY202" s="834">
        <v>0.5</v>
      </c>
      <c r="FZ202" s="834">
        <v>0.49</v>
      </c>
      <c r="GA202" s="834">
        <v>0</v>
      </c>
      <c r="GB202" s="834">
        <v>0.01</v>
      </c>
      <c r="GC202" s="214" t="s">
        <v>746</v>
      </c>
    </row>
    <row r="203" spans="1:185" s="214" customFormat="1" x14ac:dyDescent="0.2">
      <c r="B203" s="602" t="s">
        <v>489</v>
      </c>
      <c r="C203" s="602" t="s">
        <v>488</v>
      </c>
      <c r="D203" s="239">
        <v>-4756535</v>
      </c>
      <c r="E203" s="239">
        <v>0</v>
      </c>
      <c r="F203" s="239">
        <v>-4756535</v>
      </c>
      <c r="G203" s="239">
        <v>-4890736</v>
      </c>
      <c r="H203" s="239">
        <v>0</v>
      </c>
      <c r="I203" s="239">
        <v>-4890736</v>
      </c>
      <c r="J203" s="239">
        <v>134201</v>
      </c>
      <c r="K203" s="239">
        <v>0</v>
      </c>
      <c r="L203" s="239">
        <v>134201</v>
      </c>
      <c r="M203" s="239">
        <v>310944</v>
      </c>
      <c r="N203" s="239">
        <v>310944</v>
      </c>
      <c r="O203" s="239">
        <v>0</v>
      </c>
      <c r="P203" s="239">
        <v>0</v>
      </c>
      <c r="Q203" s="239">
        <v>0</v>
      </c>
      <c r="R203" s="239">
        <v>0</v>
      </c>
      <c r="S203" s="239">
        <v>193866</v>
      </c>
      <c r="T203" s="239">
        <v>0</v>
      </c>
      <c r="U203" s="239">
        <v>213987</v>
      </c>
      <c r="V203" s="239">
        <v>0</v>
      </c>
      <c r="W203" s="239">
        <v>-20121</v>
      </c>
      <c r="X203" s="239">
        <v>0</v>
      </c>
      <c r="Y203" s="239">
        <v>0</v>
      </c>
      <c r="Z203" s="239">
        <v>0</v>
      </c>
      <c r="AA203" s="239">
        <v>0</v>
      </c>
      <c r="AB203" s="239">
        <v>0</v>
      </c>
      <c r="AC203" s="239">
        <v>0</v>
      </c>
      <c r="AD203" s="239">
        <v>0</v>
      </c>
      <c r="AE203" s="239">
        <v>0</v>
      </c>
      <c r="AF203" s="239">
        <v>0</v>
      </c>
      <c r="AG203" s="239">
        <v>0</v>
      </c>
      <c r="AH203" s="239">
        <v>0</v>
      </c>
      <c r="AI203" s="239">
        <v>0</v>
      </c>
      <c r="AJ203" s="239">
        <v>0</v>
      </c>
      <c r="AK203" s="239">
        <v>0</v>
      </c>
      <c r="AL203" s="239">
        <v>0</v>
      </c>
      <c r="AM203" s="239">
        <v>0</v>
      </c>
      <c r="AN203" s="239">
        <v>0</v>
      </c>
      <c r="AO203" s="239">
        <v>0</v>
      </c>
      <c r="AP203" s="239">
        <v>0</v>
      </c>
      <c r="AQ203" s="239">
        <v>0</v>
      </c>
      <c r="AR203" s="239">
        <v>0</v>
      </c>
      <c r="AS203" s="239">
        <v>0</v>
      </c>
      <c r="AT203" s="239">
        <v>0</v>
      </c>
      <c r="AU203" s="239">
        <v>0</v>
      </c>
      <c r="AV203" s="239">
        <v>0</v>
      </c>
      <c r="AW203" s="239">
        <v>0</v>
      </c>
      <c r="AX203" s="239">
        <v>0</v>
      </c>
      <c r="AY203" s="239">
        <v>0</v>
      </c>
      <c r="AZ203" s="239">
        <v>0</v>
      </c>
      <c r="BA203" s="239">
        <v>0</v>
      </c>
      <c r="BB203" s="239">
        <v>0</v>
      </c>
      <c r="BC203" s="239">
        <v>2646258</v>
      </c>
      <c r="BD203" s="239">
        <v>0</v>
      </c>
      <c r="BE203" s="239">
        <v>54005</v>
      </c>
      <c r="BF203" s="239">
        <v>2584234.359054978</v>
      </c>
      <c r="BG203" s="239">
        <v>0</v>
      </c>
      <c r="BH203" s="239">
        <v>52739.47671540772</v>
      </c>
      <c r="BI203" s="239">
        <v>188380.3681416309</v>
      </c>
      <c r="BJ203" s="239">
        <v>0</v>
      </c>
      <c r="BK203" s="239">
        <v>3844.4973090128756</v>
      </c>
      <c r="BL203" s="239">
        <v>2283613</v>
      </c>
      <c r="BM203" s="239">
        <v>0</v>
      </c>
      <c r="BN203" s="239">
        <v>32576</v>
      </c>
      <c r="BO203" s="239">
        <v>362645</v>
      </c>
      <c r="BP203" s="239">
        <v>0</v>
      </c>
      <c r="BQ203" s="239">
        <v>21429</v>
      </c>
      <c r="BR203" s="239">
        <v>776</v>
      </c>
      <c r="BS203" s="239">
        <v>0</v>
      </c>
      <c r="BT203" s="239">
        <v>16</v>
      </c>
      <c r="BU203" s="239">
        <v>6963</v>
      </c>
      <c r="BV203" s="239">
        <v>0</v>
      </c>
      <c r="BW203" s="239">
        <v>142</v>
      </c>
      <c r="BX203" s="239">
        <v>-6187</v>
      </c>
      <c r="BY203" s="239">
        <v>0</v>
      </c>
      <c r="BZ203" s="239">
        <v>-126</v>
      </c>
      <c r="CA203" s="239">
        <v>9882</v>
      </c>
      <c r="CB203" s="239">
        <v>0</v>
      </c>
      <c r="CC203" s="239">
        <v>202</v>
      </c>
      <c r="CD203" s="239">
        <v>19845</v>
      </c>
      <c r="CE203" s="239">
        <v>0</v>
      </c>
      <c r="CF203" s="239">
        <v>405</v>
      </c>
      <c r="CG203" s="239">
        <v>-9963</v>
      </c>
      <c r="CH203" s="239">
        <v>0</v>
      </c>
      <c r="CI203" s="239">
        <v>-203</v>
      </c>
      <c r="CJ203" s="239">
        <v>11757</v>
      </c>
      <c r="CK203" s="239">
        <v>0</v>
      </c>
      <c r="CL203" s="239">
        <v>240</v>
      </c>
      <c r="CM203" s="239">
        <v>45951</v>
      </c>
      <c r="CN203" s="239">
        <v>0</v>
      </c>
      <c r="CO203" s="239">
        <v>938</v>
      </c>
      <c r="CP203" s="239">
        <v>-34194</v>
      </c>
      <c r="CQ203" s="239">
        <v>0</v>
      </c>
      <c r="CR203" s="239">
        <v>-698</v>
      </c>
      <c r="CS203" s="239">
        <v>0</v>
      </c>
      <c r="CT203" s="239">
        <v>0</v>
      </c>
      <c r="CU203" s="239">
        <v>0</v>
      </c>
      <c r="CV203" s="239">
        <v>0</v>
      </c>
      <c r="CW203" s="239">
        <v>0</v>
      </c>
      <c r="CX203" s="239">
        <v>0</v>
      </c>
      <c r="CY203" s="239">
        <v>0</v>
      </c>
      <c r="CZ203" s="239">
        <v>0</v>
      </c>
      <c r="DA203" s="239">
        <v>0</v>
      </c>
      <c r="DB203" s="239">
        <v>0</v>
      </c>
      <c r="DC203" s="239">
        <v>0</v>
      </c>
      <c r="DD203" s="239">
        <v>0</v>
      </c>
      <c r="DE203" s="239">
        <v>0</v>
      </c>
      <c r="DF203" s="239">
        <v>0</v>
      </c>
      <c r="DG203" s="239">
        <v>0</v>
      </c>
      <c r="DH203" s="239">
        <v>0</v>
      </c>
      <c r="DI203" s="239">
        <v>0</v>
      </c>
      <c r="DJ203" s="239">
        <v>0</v>
      </c>
      <c r="DK203" s="239">
        <v>0</v>
      </c>
      <c r="DL203" s="239">
        <v>0</v>
      </c>
      <c r="DM203" s="239">
        <v>0</v>
      </c>
      <c r="DN203" s="239">
        <v>0</v>
      </c>
      <c r="DO203" s="239">
        <v>0</v>
      </c>
      <c r="DP203" s="239">
        <v>0</v>
      </c>
      <c r="DQ203" s="239">
        <v>746</v>
      </c>
      <c r="DR203" s="239">
        <v>0</v>
      </c>
      <c r="DS203" s="239">
        <v>15</v>
      </c>
      <c r="DT203" s="239">
        <v>0</v>
      </c>
      <c r="DU203" s="239">
        <v>0</v>
      </c>
      <c r="DV203" s="239">
        <v>0</v>
      </c>
      <c r="DW203" s="239">
        <v>746</v>
      </c>
      <c r="DX203" s="239">
        <v>0</v>
      </c>
      <c r="DY203" s="239">
        <v>15</v>
      </c>
      <c r="DZ203" s="239">
        <v>9633</v>
      </c>
      <c r="EA203" s="239">
        <v>0</v>
      </c>
      <c r="EB203" s="239">
        <v>197</v>
      </c>
      <c r="EC203" s="239">
        <v>10659</v>
      </c>
      <c r="ED203" s="239">
        <v>0</v>
      </c>
      <c r="EE203" s="239">
        <v>0</v>
      </c>
      <c r="EF203" s="239">
        <v>-1026</v>
      </c>
      <c r="EG203" s="239">
        <v>0</v>
      </c>
      <c r="EH203" s="239">
        <v>197</v>
      </c>
      <c r="EI203" s="239">
        <v>165196</v>
      </c>
      <c r="EJ203" s="239">
        <v>0</v>
      </c>
      <c r="EK203" s="239">
        <v>3371</v>
      </c>
      <c r="EL203" s="239">
        <v>221744</v>
      </c>
      <c r="EM203" s="239">
        <v>0</v>
      </c>
      <c r="EN203" s="239">
        <v>0</v>
      </c>
      <c r="EO203" s="239">
        <v>-56548</v>
      </c>
      <c r="EP203" s="239">
        <v>0</v>
      </c>
      <c r="EQ203" s="239">
        <v>3371</v>
      </c>
      <c r="ER203" s="239">
        <v>39191</v>
      </c>
      <c r="ES203" s="239">
        <v>0</v>
      </c>
      <c r="ET203" s="239">
        <v>800</v>
      </c>
      <c r="EU203" s="239">
        <v>37325</v>
      </c>
      <c r="EV203" s="239">
        <v>0</v>
      </c>
      <c r="EW203" s="239">
        <v>0</v>
      </c>
      <c r="EX203" s="239">
        <v>1866</v>
      </c>
      <c r="EY203" s="239">
        <v>0</v>
      </c>
      <c r="EZ203" s="239">
        <v>800</v>
      </c>
      <c r="FA203" s="239">
        <v>579726</v>
      </c>
      <c r="FB203" s="239">
        <v>0</v>
      </c>
      <c r="FC203" s="239">
        <v>11772</v>
      </c>
      <c r="FD203" s="239">
        <v>648363</v>
      </c>
      <c r="FE203" s="239">
        <v>0</v>
      </c>
      <c r="FF203" s="239">
        <v>13166</v>
      </c>
      <c r="FG203" s="239">
        <v>-68637</v>
      </c>
      <c r="FH203" s="239">
        <v>0</v>
      </c>
      <c r="FI203" s="239">
        <v>-1394</v>
      </c>
      <c r="FJ203" s="239">
        <v>0</v>
      </c>
      <c r="FK203" s="239">
        <v>0</v>
      </c>
      <c r="FL203" s="239">
        <v>0</v>
      </c>
      <c r="FM203" s="239">
        <v>0</v>
      </c>
      <c r="FN203" s="239">
        <v>0</v>
      </c>
      <c r="FO203" s="239">
        <v>0</v>
      </c>
      <c r="FP203" s="239">
        <v>0</v>
      </c>
      <c r="FQ203" s="239">
        <v>0</v>
      </c>
      <c r="FR203" s="239">
        <v>0</v>
      </c>
      <c r="FS203" s="239">
        <v>0</v>
      </c>
      <c r="FT203" s="239">
        <v>0</v>
      </c>
      <c r="FU203" s="239">
        <v>0</v>
      </c>
      <c r="FV203" s="239">
        <v>3463165</v>
      </c>
      <c r="FW203" s="239">
        <v>0</v>
      </c>
      <c r="FX203" s="239">
        <v>70618</v>
      </c>
      <c r="FY203" s="834">
        <v>0.5</v>
      </c>
      <c r="FZ203" s="834">
        <v>0.49</v>
      </c>
      <c r="GA203" s="834">
        <v>0</v>
      </c>
      <c r="GB203" s="834">
        <v>0.01</v>
      </c>
      <c r="GC203" s="214" t="s">
        <v>746</v>
      </c>
    </row>
    <row r="204" spans="1:185" s="214" customFormat="1" x14ac:dyDescent="0.2">
      <c r="B204" s="602" t="s">
        <v>491</v>
      </c>
      <c r="C204" s="602" t="s">
        <v>490</v>
      </c>
      <c r="D204" s="239">
        <v>-1305673</v>
      </c>
      <c r="E204" s="239">
        <v>0</v>
      </c>
      <c r="F204" s="239">
        <v>-1305673</v>
      </c>
      <c r="G204" s="239">
        <v>-1069200</v>
      </c>
      <c r="H204" s="239">
        <v>0</v>
      </c>
      <c r="I204" s="239">
        <v>-1069200</v>
      </c>
      <c r="J204" s="239">
        <v>-236473</v>
      </c>
      <c r="K204" s="239">
        <v>0</v>
      </c>
      <c r="L204" s="239">
        <v>-236473</v>
      </c>
      <c r="M204" s="239">
        <v>230423</v>
      </c>
      <c r="N204" s="239">
        <v>230423</v>
      </c>
      <c r="O204" s="239">
        <v>0</v>
      </c>
      <c r="P204" s="239">
        <v>0</v>
      </c>
      <c r="Q204" s="239">
        <v>0</v>
      </c>
      <c r="R204" s="239">
        <v>0</v>
      </c>
      <c r="S204" s="239">
        <v>395</v>
      </c>
      <c r="T204" s="239">
        <v>0</v>
      </c>
      <c r="U204" s="239">
        <v>395</v>
      </c>
      <c r="V204" s="239">
        <v>0</v>
      </c>
      <c r="W204" s="239">
        <v>0</v>
      </c>
      <c r="X204" s="239">
        <v>0</v>
      </c>
      <c r="Y204" s="239">
        <v>0</v>
      </c>
      <c r="Z204" s="239">
        <v>0</v>
      </c>
      <c r="AA204" s="239">
        <v>0</v>
      </c>
      <c r="AB204" s="239">
        <v>0</v>
      </c>
      <c r="AC204" s="239">
        <v>0</v>
      </c>
      <c r="AD204" s="239">
        <v>0</v>
      </c>
      <c r="AE204" s="239">
        <v>0</v>
      </c>
      <c r="AF204" s="239">
        <v>0</v>
      </c>
      <c r="AG204" s="239">
        <v>0</v>
      </c>
      <c r="AH204" s="239">
        <v>0</v>
      </c>
      <c r="AI204" s="239">
        <v>0</v>
      </c>
      <c r="AJ204" s="239">
        <v>0</v>
      </c>
      <c r="AK204" s="239">
        <v>0</v>
      </c>
      <c r="AL204" s="239">
        <v>0</v>
      </c>
      <c r="AM204" s="239">
        <v>0</v>
      </c>
      <c r="AN204" s="239">
        <v>0</v>
      </c>
      <c r="AO204" s="239">
        <v>0</v>
      </c>
      <c r="AP204" s="239">
        <v>0</v>
      </c>
      <c r="AQ204" s="239">
        <v>0</v>
      </c>
      <c r="AR204" s="239">
        <v>0</v>
      </c>
      <c r="AS204" s="239">
        <v>0</v>
      </c>
      <c r="AT204" s="239">
        <v>0</v>
      </c>
      <c r="AU204" s="239">
        <v>0</v>
      </c>
      <c r="AV204" s="239">
        <v>0</v>
      </c>
      <c r="AW204" s="239">
        <v>0</v>
      </c>
      <c r="AX204" s="239">
        <v>0</v>
      </c>
      <c r="AY204" s="239">
        <v>0</v>
      </c>
      <c r="AZ204" s="239">
        <v>0</v>
      </c>
      <c r="BA204" s="239">
        <v>0</v>
      </c>
      <c r="BB204" s="239">
        <v>0</v>
      </c>
      <c r="BC204" s="239">
        <v>1795984</v>
      </c>
      <c r="BD204" s="239">
        <v>0</v>
      </c>
      <c r="BE204" s="239">
        <v>36653</v>
      </c>
      <c r="BF204" s="239">
        <v>1746711.2380082833</v>
      </c>
      <c r="BG204" s="239">
        <v>0</v>
      </c>
      <c r="BH204" s="239">
        <v>35647.168122618023</v>
      </c>
      <c r="BI204" s="239">
        <v>159443.83390557941</v>
      </c>
      <c r="BJ204" s="239">
        <v>0</v>
      </c>
      <c r="BK204" s="239">
        <v>3253.9557939914166</v>
      </c>
      <c r="BL204" s="239">
        <v>1605508</v>
      </c>
      <c r="BM204" s="239">
        <v>0</v>
      </c>
      <c r="BN204" s="239">
        <v>22330</v>
      </c>
      <c r="BO204" s="239">
        <v>190476</v>
      </c>
      <c r="BP204" s="239">
        <v>0</v>
      </c>
      <c r="BQ204" s="239">
        <v>14323</v>
      </c>
      <c r="BR204" s="239">
        <v>2717</v>
      </c>
      <c r="BS204" s="239">
        <v>0</v>
      </c>
      <c r="BT204" s="239">
        <v>55</v>
      </c>
      <c r="BU204" s="239">
        <v>5192</v>
      </c>
      <c r="BV204" s="239">
        <v>0</v>
      </c>
      <c r="BW204" s="239">
        <v>106</v>
      </c>
      <c r="BX204" s="239">
        <v>-2475</v>
      </c>
      <c r="BY204" s="239">
        <v>0</v>
      </c>
      <c r="BZ204" s="239">
        <v>-51</v>
      </c>
      <c r="CA204" s="239">
        <v>0</v>
      </c>
      <c r="CB204" s="239">
        <v>0</v>
      </c>
      <c r="CC204" s="239">
        <v>0</v>
      </c>
      <c r="CD204" s="239">
        <v>0</v>
      </c>
      <c r="CE204" s="239">
        <v>0</v>
      </c>
      <c r="CF204" s="239">
        <v>0</v>
      </c>
      <c r="CG204" s="239">
        <v>0</v>
      </c>
      <c r="CH204" s="239">
        <v>0</v>
      </c>
      <c r="CI204" s="239">
        <v>0</v>
      </c>
      <c r="CJ204" s="239">
        <v>0</v>
      </c>
      <c r="CK204" s="239">
        <v>0</v>
      </c>
      <c r="CL204" s="239">
        <v>0</v>
      </c>
      <c r="CM204" s="239">
        <v>9485</v>
      </c>
      <c r="CN204" s="239">
        <v>0</v>
      </c>
      <c r="CO204" s="239">
        <v>194</v>
      </c>
      <c r="CP204" s="239">
        <v>-9485</v>
      </c>
      <c r="CQ204" s="239">
        <v>0</v>
      </c>
      <c r="CR204" s="239">
        <v>-194</v>
      </c>
      <c r="CS204" s="239">
        <v>-1441</v>
      </c>
      <c r="CT204" s="239">
        <v>0</v>
      </c>
      <c r="CU204" s="239">
        <v>-29</v>
      </c>
      <c r="CV204" s="239">
        <v>0</v>
      </c>
      <c r="CW204" s="239">
        <v>0</v>
      </c>
      <c r="CX204" s="239">
        <v>0</v>
      </c>
      <c r="CY204" s="239">
        <v>0</v>
      </c>
      <c r="CZ204" s="239">
        <v>0</v>
      </c>
      <c r="DA204" s="239">
        <v>0</v>
      </c>
      <c r="DB204" s="239">
        <v>0</v>
      </c>
      <c r="DC204" s="239">
        <v>0</v>
      </c>
      <c r="DD204" s="239">
        <v>0</v>
      </c>
      <c r="DE204" s="239">
        <v>-131</v>
      </c>
      <c r="DF204" s="239">
        <v>0</v>
      </c>
      <c r="DG204" s="239">
        <v>-3</v>
      </c>
      <c r="DH204" s="239">
        <v>0</v>
      </c>
      <c r="DI204" s="239">
        <v>0</v>
      </c>
      <c r="DJ204" s="239">
        <v>0</v>
      </c>
      <c r="DK204" s="239">
        <v>0</v>
      </c>
      <c r="DL204" s="239">
        <v>0</v>
      </c>
      <c r="DM204" s="239">
        <v>0</v>
      </c>
      <c r="DN204" s="239">
        <v>0</v>
      </c>
      <c r="DO204" s="239">
        <v>0</v>
      </c>
      <c r="DP204" s="239">
        <v>0</v>
      </c>
      <c r="DQ204" s="239">
        <v>0</v>
      </c>
      <c r="DR204" s="239">
        <v>0</v>
      </c>
      <c r="DS204" s="239">
        <v>0</v>
      </c>
      <c r="DT204" s="239">
        <v>0</v>
      </c>
      <c r="DU204" s="239">
        <v>0</v>
      </c>
      <c r="DV204" s="239">
        <v>0</v>
      </c>
      <c r="DW204" s="239">
        <v>0</v>
      </c>
      <c r="DX204" s="239">
        <v>0</v>
      </c>
      <c r="DY204" s="239">
        <v>0</v>
      </c>
      <c r="DZ204" s="239">
        <v>10474</v>
      </c>
      <c r="EA204" s="239">
        <v>0</v>
      </c>
      <c r="EB204" s="239">
        <v>214</v>
      </c>
      <c r="EC204" s="239">
        <v>10688</v>
      </c>
      <c r="ED204" s="239">
        <v>0</v>
      </c>
      <c r="EE204" s="239">
        <v>0</v>
      </c>
      <c r="EF204" s="239">
        <v>-214</v>
      </c>
      <c r="EG204" s="239">
        <v>0</v>
      </c>
      <c r="EH204" s="239">
        <v>214</v>
      </c>
      <c r="EI204" s="239">
        <v>158514</v>
      </c>
      <c r="EJ204" s="239">
        <v>0</v>
      </c>
      <c r="EK204" s="239">
        <v>3235</v>
      </c>
      <c r="EL204" s="239">
        <v>160894</v>
      </c>
      <c r="EM204" s="239">
        <v>0</v>
      </c>
      <c r="EN204" s="239">
        <v>0</v>
      </c>
      <c r="EO204" s="239">
        <v>-2380</v>
      </c>
      <c r="EP204" s="239">
        <v>0</v>
      </c>
      <c r="EQ204" s="239">
        <v>3235</v>
      </c>
      <c r="ER204" s="239">
        <v>21297</v>
      </c>
      <c r="ES204" s="239">
        <v>0</v>
      </c>
      <c r="ET204" s="239">
        <v>435</v>
      </c>
      <c r="EU204" s="239">
        <v>21185</v>
      </c>
      <c r="EV204" s="239">
        <v>0</v>
      </c>
      <c r="EW204" s="239">
        <v>0</v>
      </c>
      <c r="EX204" s="239">
        <v>112</v>
      </c>
      <c r="EY204" s="239">
        <v>0</v>
      </c>
      <c r="EZ204" s="239">
        <v>435</v>
      </c>
      <c r="FA204" s="239">
        <v>447043</v>
      </c>
      <c r="FB204" s="239">
        <v>0</v>
      </c>
      <c r="FC204" s="239">
        <v>9123</v>
      </c>
      <c r="FD204" s="239">
        <v>420001</v>
      </c>
      <c r="FE204" s="239">
        <v>0</v>
      </c>
      <c r="FF204" s="239">
        <v>8571</v>
      </c>
      <c r="FG204" s="239">
        <v>27042</v>
      </c>
      <c r="FH204" s="239">
        <v>0</v>
      </c>
      <c r="FI204" s="239">
        <v>552</v>
      </c>
      <c r="FJ204" s="239">
        <v>0</v>
      </c>
      <c r="FK204" s="239">
        <v>0</v>
      </c>
      <c r="FL204" s="239">
        <v>0</v>
      </c>
      <c r="FM204" s="239">
        <v>0</v>
      </c>
      <c r="FN204" s="239">
        <v>0</v>
      </c>
      <c r="FO204" s="239">
        <v>0</v>
      </c>
      <c r="FP204" s="239">
        <v>0</v>
      </c>
      <c r="FQ204" s="239">
        <v>0</v>
      </c>
      <c r="FR204" s="239">
        <v>0</v>
      </c>
      <c r="FS204" s="239">
        <v>0</v>
      </c>
      <c r="FT204" s="239">
        <v>0</v>
      </c>
      <c r="FU204" s="239">
        <v>0</v>
      </c>
      <c r="FV204" s="239">
        <v>2434457</v>
      </c>
      <c r="FW204" s="239">
        <v>0</v>
      </c>
      <c r="FX204" s="239">
        <v>49683</v>
      </c>
      <c r="FY204" s="834">
        <v>0.5</v>
      </c>
      <c r="FZ204" s="834">
        <v>0.49</v>
      </c>
      <c r="GA204" s="834">
        <v>0</v>
      </c>
      <c r="GB204" s="834">
        <v>0.01</v>
      </c>
      <c r="GC204" s="214" t="s">
        <v>746</v>
      </c>
    </row>
    <row r="205" spans="1:185" s="214" customFormat="1" x14ac:dyDescent="0.2">
      <c r="B205" s="602" t="s">
        <v>493</v>
      </c>
      <c r="C205" s="602" t="s">
        <v>492</v>
      </c>
      <c r="D205" s="239">
        <v>-1458556</v>
      </c>
      <c r="E205" s="239">
        <v>0</v>
      </c>
      <c r="F205" s="239">
        <v>-1458556</v>
      </c>
      <c r="G205" s="239">
        <v>0</v>
      </c>
      <c r="H205" s="239">
        <v>0</v>
      </c>
      <c r="I205" s="239">
        <v>0</v>
      </c>
      <c r="J205" s="239">
        <v>-1458556</v>
      </c>
      <c r="K205" s="239">
        <v>0</v>
      </c>
      <c r="L205" s="239">
        <v>-1458556</v>
      </c>
      <c r="M205" s="239">
        <v>274758</v>
      </c>
      <c r="N205" s="239">
        <v>274758</v>
      </c>
      <c r="O205" s="239">
        <v>0</v>
      </c>
      <c r="P205" s="239">
        <v>0</v>
      </c>
      <c r="Q205" s="239">
        <v>0</v>
      </c>
      <c r="R205" s="239">
        <v>0</v>
      </c>
      <c r="S205" s="239">
        <v>0</v>
      </c>
      <c r="T205" s="239">
        <v>0</v>
      </c>
      <c r="U205" s="239">
        <v>0</v>
      </c>
      <c r="V205" s="239">
        <v>0</v>
      </c>
      <c r="W205" s="239">
        <v>0</v>
      </c>
      <c r="X205" s="239">
        <v>0</v>
      </c>
      <c r="Y205" s="239">
        <v>0</v>
      </c>
      <c r="Z205" s="239">
        <v>0</v>
      </c>
      <c r="AA205" s="239">
        <v>0</v>
      </c>
      <c r="AB205" s="239">
        <v>0</v>
      </c>
      <c r="AC205" s="239">
        <v>0</v>
      </c>
      <c r="AD205" s="239">
        <v>0</v>
      </c>
      <c r="AE205" s="239">
        <v>0</v>
      </c>
      <c r="AF205" s="239">
        <v>0</v>
      </c>
      <c r="AG205" s="239">
        <v>0</v>
      </c>
      <c r="AH205" s="239">
        <v>0</v>
      </c>
      <c r="AI205" s="239">
        <v>0</v>
      </c>
      <c r="AJ205" s="239">
        <v>0</v>
      </c>
      <c r="AK205" s="239">
        <v>0</v>
      </c>
      <c r="AL205" s="239">
        <v>0</v>
      </c>
      <c r="AM205" s="239">
        <v>0</v>
      </c>
      <c r="AN205" s="239">
        <v>0</v>
      </c>
      <c r="AO205" s="239">
        <v>0</v>
      </c>
      <c r="AP205" s="239">
        <v>0</v>
      </c>
      <c r="AQ205" s="239">
        <v>0</v>
      </c>
      <c r="AR205" s="239">
        <v>0</v>
      </c>
      <c r="AS205" s="239">
        <v>0</v>
      </c>
      <c r="AT205" s="239">
        <v>0</v>
      </c>
      <c r="AU205" s="239">
        <v>0</v>
      </c>
      <c r="AV205" s="239">
        <v>0</v>
      </c>
      <c r="AW205" s="239">
        <v>0</v>
      </c>
      <c r="AX205" s="239">
        <v>0</v>
      </c>
      <c r="AY205" s="239">
        <v>0</v>
      </c>
      <c r="AZ205" s="239">
        <v>0</v>
      </c>
      <c r="BA205" s="239">
        <v>0</v>
      </c>
      <c r="BB205" s="239">
        <v>0</v>
      </c>
      <c r="BC205" s="239">
        <v>2035845</v>
      </c>
      <c r="BD205" s="239">
        <v>0</v>
      </c>
      <c r="BE205" s="239">
        <v>41548</v>
      </c>
      <c r="BF205" s="239">
        <v>1977345.3103596992</v>
      </c>
      <c r="BG205" s="239">
        <v>0</v>
      </c>
      <c r="BH205" s="239">
        <v>40353.985925708148</v>
      </c>
      <c r="BI205" s="239">
        <v>181748.51329828324</v>
      </c>
      <c r="BJ205" s="239">
        <v>0</v>
      </c>
      <c r="BK205" s="239">
        <v>3709.1533326180256</v>
      </c>
      <c r="BL205" s="239">
        <v>2315872</v>
      </c>
      <c r="BM205" s="239">
        <v>0</v>
      </c>
      <c r="BN205" s="239">
        <v>32481</v>
      </c>
      <c r="BO205" s="239">
        <v>-280027</v>
      </c>
      <c r="BP205" s="239">
        <v>0</v>
      </c>
      <c r="BQ205" s="239">
        <v>9067</v>
      </c>
      <c r="BR205" s="239">
        <v>0</v>
      </c>
      <c r="BS205" s="239">
        <v>0</v>
      </c>
      <c r="BT205" s="239">
        <v>0</v>
      </c>
      <c r="BU205" s="239">
        <v>0</v>
      </c>
      <c r="BV205" s="239">
        <v>0</v>
      </c>
      <c r="BW205" s="239">
        <v>0</v>
      </c>
      <c r="BX205" s="239">
        <v>0</v>
      </c>
      <c r="BY205" s="239">
        <v>0</v>
      </c>
      <c r="BZ205" s="239">
        <v>0</v>
      </c>
      <c r="CA205" s="239">
        <v>-3950</v>
      </c>
      <c r="CB205" s="239">
        <v>0</v>
      </c>
      <c r="CC205" s="239">
        <v>-81</v>
      </c>
      <c r="CD205" s="239">
        <v>0</v>
      </c>
      <c r="CE205" s="239">
        <v>0</v>
      </c>
      <c r="CF205" s="239">
        <v>0</v>
      </c>
      <c r="CG205" s="239">
        <v>-3950</v>
      </c>
      <c r="CH205" s="239">
        <v>0</v>
      </c>
      <c r="CI205" s="239">
        <v>-81</v>
      </c>
      <c r="CJ205" s="239">
        <v>22895</v>
      </c>
      <c r="CK205" s="239">
        <v>0</v>
      </c>
      <c r="CL205" s="239">
        <v>467</v>
      </c>
      <c r="CM205" s="239">
        <v>24868</v>
      </c>
      <c r="CN205" s="239">
        <v>0</v>
      </c>
      <c r="CO205" s="239">
        <v>508</v>
      </c>
      <c r="CP205" s="239">
        <v>-1973</v>
      </c>
      <c r="CQ205" s="239">
        <v>0</v>
      </c>
      <c r="CR205" s="239">
        <v>-41</v>
      </c>
      <c r="CS205" s="239">
        <v>-2728</v>
      </c>
      <c r="CT205" s="239">
        <v>0</v>
      </c>
      <c r="CU205" s="239">
        <v>-56</v>
      </c>
      <c r="CV205" s="239">
        <v>0</v>
      </c>
      <c r="CW205" s="239">
        <v>0</v>
      </c>
      <c r="CX205" s="239">
        <v>0</v>
      </c>
      <c r="CY205" s="239">
        <v>0</v>
      </c>
      <c r="CZ205" s="239">
        <v>0</v>
      </c>
      <c r="DA205" s="239">
        <v>0</v>
      </c>
      <c r="DB205" s="239">
        <v>0</v>
      </c>
      <c r="DC205" s="239">
        <v>0</v>
      </c>
      <c r="DD205" s="239">
        <v>0</v>
      </c>
      <c r="DE205" s="239">
        <v>0</v>
      </c>
      <c r="DF205" s="239">
        <v>0</v>
      </c>
      <c r="DG205" s="239">
        <v>0</v>
      </c>
      <c r="DH205" s="239">
        <v>0</v>
      </c>
      <c r="DI205" s="239">
        <v>0</v>
      </c>
      <c r="DJ205" s="239">
        <v>0</v>
      </c>
      <c r="DK205" s="239">
        <v>0</v>
      </c>
      <c r="DL205" s="239">
        <v>0</v>
      </c>
      <c r="DM205" s="239">
        <v>0</v>
      </c>
      <c r="DN205" s="239">
        <v>0</v>
      </c>
      <c r="DO205" s="239">
        <v>0</v>
      </c>
      <c r="DP205" s="239">
        <v>0</v>
      </c>
      <c r="DQ205" s="239">
        <v>0</v>
      </c>
      <c r="DR205" s="239">
        <v>0</v>
      </c>
      <c r="DS205" s="239">
        <v>0</v>
      </c>
      <c r="DT205" s="239">
        <v>746</v>
      </c>
      <c r="DU205" s="239">
        <v>0</v>
      </c>
      <c r="DV205" s="239">
        <v>15</v>
      </c>
      <c r="DW205" s="239">
        <v>-746</v>
      </c>
      <c r="DX205" s="239">
        <v>0</v>
      </c>
      <c r="DY205" s="239">
        <v>-15</v>
      </c>
      <c r="DZ205" s="239">
        <v>9247</v>
      </c>
      <c r="EA205" s="239">
        <v>0</v>
      </c>
      <c r="EB205" s="239">
        <v>189</v>
      </c>
      <c r="EC205" s="239">
        <v>10150</v>
      </c>
      <c r="ED205" s="239">
        <v>0</v>
      </c>
      <c r="EE205" s="239">
        <v>0</v>
      </c>
      <c r="EF205" s="239">
        <v>-903</v>
      </c>
      <c r="EG205" s="239">
        <v>0</v>
      </c>
      <c r="EH205" s="239">
        <v>189</v>
      </c>
      <c r="EI205" s="239">
        <v>246002</v>
      </c>
      <c r="EJ205" s="239">
        <v>0</v>
      </c>
      <c r="EK205" s="239">
        <v>5020</v>
      </c>
      <c r="EL205" s="239">
        <v>261074</v>
      </c>
      <c r="EM205" s="239">
        <v>0</v>
      </c>
      <c r="EN205" s="239">
        <v>0</v>
      </c>
      <c r="EO205" s="239">
        <v>-15072</v>
      </c>
      <c r="EP205" s="239">
        <v>0</v>
      </c>
      <c r="EQ205" s="239">
        <v>5020</v>
      </c>
      <c r="ER205" s="239">
        <v>27634</v>
      </c>
      <c r="ES205" s="239">
        <v>0</v>
      </c>
      <c r="ET205" s="239">
        <v>564</v>
      </c>
      <c r="EU205" s="239">
        <v>40601</v>
      </c>
      <c r="EV205" s="239">
        <v>0</v>
      </c>
      <c r="EW205" s="239">
        <v>0</v>
      </c>
      <c r="EX205" s="239">
        <v>-12967</v>
      </c>
      <c r="EY205" s="239">
        <v>0</v>
      </c>
      <c r="EZ205" s="239">
        <v>564</v>
      </c>
      <c r="FA205" s="239">
        <v>597557</v>
      </c>
      <c r="FB205" s="239">
        <v>0</v>
      </c>
      <c r="FC205" s="239">
        <v>12195</v>
      </c>
      <c r="FD205" s="239">
        <v>600155</v>
      </c>
      <c r="FE205" s="239">
        <v>0</v>
      </c>
      <c r="FF205" s="239">
        <v>12248</v>
      </c>
      <c r="FG205" s="239">
        <v>-2598</v>
      </c>
      <c r="FH205" s="239">
        <v>0</v>
      </c>
      <c r="FI205" s="239">
        <v>-53</v>
      </c>
      <c r="FJ205" s="239">
        <v>0</v>
      </c>
      <c r="FK205" s="239">
        <v>0</v>
      </c>
      <c r="FL205" s="239">
        <v>0</v>
      </c>
      <c r="FM205" s="239">
        <v>0</v>
      </c>
      <c r="FN205" s="239">
        <v>0</v>
      </c>
      <c r="FO205" s="239">
        <v>0</v>
      </c>
      <c r="FP205" s="239">
        <v>0</v>
      </c>
      <c r="FQ205" s="239">
        <v>0</v>
      </c>
      <c r="FR205" s="239">
        <v>0</v>
      </c>
      <c r="FS205" s="239">
        <v>0</v>
      </c>
      <c r="FT205" s="239">
        <v>0</v>
      </c>
      <c r="FU205" s="239">
        <v>0</v>
      </c>
      <c r="FV205" s="239">
        <v>2932502</v>
      </c>
      <c r="FW205" s="239">
        <v>0</v>
      </c>
      <c r="FX205" s="239">
        <v>59846</v>
      </c>
      <c r="FY205" s="834">
        <v>0.5</v>
      </c>
      <c r="FZ205" s="834">
        <v>0.49</v>
      </c>
      <c r="GA205" s="834">
        <v>0</v>
      </c>
      <c r="GB205" s="834">
        <v>0.01</v>
      </c>
      <c r="GC205" s="214" t="s">
        <v>746</v>
      </c>
    </row>
    <row r="206" spans="1:185" s="214" customFormat="1" x14ac:dyDescent="0.2">
      <c r="B206" s="602" t="s">
        <v>495</v>
      </c>
      <c r="C206" s="602" t="s">
        <v>494</v>
      </c>
      <c r="D206" s="239">
        <v>-8850282</v>
      </c>
      <c r="E206" s="239">
        <v>0</v>
      </c>
      <c r="F206" s="239">
        <v>-8850282</v>
      </c>
      <c r="G206" s="239">
        <v>-8711463</v>
      </c>
      <c r="H206" s="239">
        <v>0</v>
      </c>
      <c r="I206" s="239">
        <v>-8711463</v>
      </c>
      <c r="J206" s="239">
        <v>-138819</v>
      </c>
      <c r="K206" s="239">
        <v>0</v>
      </c>
      <c r="L206" s="239">
        <v>-138819</v>
      </c>
      <c r="M206" s="239">
        <v>224997</v>
      </c>
      <c r="N206" s="239">
        <v>224997</v>
      </c>
      <c r="O206" s="239">
        <v>0</v>
      </c>
      <c r="P206" s="239">
        <v>0</v>
      </c>
      <c r="Q206" s="239">
        <v>0</v>
      </c>
      <c r="R206" s="239">
        <v>0</v>
      </c>
      <c r="S206" s="239">
        <v>36337</v>
      </c>
      <c r="T206" s="239">
        <v>0</v>
      </c>
      <c r="U206" s="239">
        <v>15543</v>
      </c>
      <c r="V206" s="239">
        <v>0</v>
      </c>
      <c r="W206" s="239">
        <v>20794</v>
      </c>
      <c r="X206" s="239">
        <v>0</v>
      </c>
      <c r="Y206" s="239">
        <v>0</v>
      </c>
      <c r="Z206" s="239">
        <v>0</v>
      </c>
      <c r="AA206" s="239">
        <v>0</v>
      </c>
      <c r="AB206" s="239">
        <v>0</v>
      </c>
      <c r="AC206" s="239">
        <v>0</v>
      </c>
      <c r="AD206" s="239">
        <v>0</v>
      </c>
      <c r="AE206" s="239">
        <v>0</v>
      </c>
      <c r="AF206" s="239">
        <v>0</v>
      </c>
      <c r="AG206" s="239">
        <v>0</v>
      </c>
      <c r="AH206" s="239">
        <v>0</v>
      </c>
      <c r="AI206" s="239">
        <v>0</v>
      </c>
      <c r="AJ206" s="239">
        <v>0</v>
      </c>
      <c r="AK206" s="239">
        <v>0</v>
      </c>
      <c r="AL206" s="239">
        <v>0</v>
      </c>
      <c r="AM206" s="239">
        <v>0</v>
      </c>
      <c r="AN206" s="239">
        <v>0</v>
      </c>
      <c r="AO206" s="239">
        <v>0</v>
      </c>
      <c r="AP206" s="239">
        <v>0</v>
      </c>
      <c r="AQ206" s="239">
        <v>0</v>
      </c>
      <c r="AR206" s="239">
        <v>0</v>
      </c>
      <c r="AS206" s="239">
        <v>0</v>
      </c>
      <c r="AT206" s="239">
        <v>0</v>
      </c>
      <c r="AU206" s="239">
        <v>0</v>
      </c>
      <c r="AV206" s="239">
        <v>0</v>
      </c>
      <c r="AW206" s="239">
        <v>0</v>
      </c>
      <c r="AX206" s="239">
        <v>0</v>
      </c>
      <c r="AY206" s="239">
        <v>0</v>
      </c>
      <c r="AZ206" s="239">
        <v>0</v>
      </c>
      <c r="BA206" s="239">
        <v>0</v>
      </c>
      <c r="BB206" s="239">
        <v>0</v>
      </c>
      <c r="BC206" s="239">
        <v>1443723</v>
      </c>
      <c r="BD206" s="239">
        <v>324838</v>
      </c>
      <c r="BE206" s="239">
        <v>36093</v>
      </c>
      <c r="BF206" s="239">
        <v>1408435.4414678111</v>
      </c>
      <c r="BG206" s="239">
        <v>316897.97433025751</v>
      </c>
      <c r="BH206" s="239">
        <v>35210.886036695279</v>
      </c>
      <c r="BI206" s="239">
        <v>103635.32517167382</v>
      </c>
      <c r="BJ206" s="239">
        <v>23317.948163626606</v>
      </c>
      <c r="BK206" s="239">
        <v>2590.8831292918453</v>
      </c>
      <c r="BL206" s="239">
        <v>1286111</v>
      </c>
      <c r="BM206" s="239">
        <v>197189</v>
      </c>
      <c r="BN206" s="239">
        <v>21910</v>
      </c>
      <c r="BO206" s="239">
        <v>157612</v>
      </c>
      <c r="BP206" s="239">
        <v>127649</v>
      </c>
      <c r="BQ206" s="239">
        <v>14183</v>
      </c>
      <c r="BR206" s="239">
        <v>3636</v>
      </c>
      <c r="BS206" s="239">
        <v>818</v>
      </c>
      <c r="BT206" s="239">
        <v>91</v>
      </c>
      <c r="BU206" s="239">
        <v>8158</v>
      </c>
      <c r="BV206" s="239">
        <v>1835</v>
      </c>
      <c r="BW206" s="239">
        <v>204</v>
      </c>
      <c r="BX206" s="239">
        <v>-4522</v>
      </c>
      <c r="BY206" s="239">
        <v>-1017</v>
      </c>
      <c r="BZ206" s="239">
        <v>-113</v>
      </c>
      <c r="CA206" s="239">
        <v>0</v>
      </c>
      <c r="CB206" s="239">
        <v>0</v>
      </c>
      <c r="CC206" s="239">
        <v>0</v>
      </c>
      <c r="CD206" s="239">
        <v>0</v>
      </c>
      <c r="CE206" s="239">
        <v>0</v>
      </c>
      <c r="CF206" s="239">
        <v>0</v>
      </c>
      <c r="CG206" s="239">
        <v>0</v>
      </c>
      <c r="CH206" s="239">
        <v>0</v>
      </c>
      <c r="CI206" s="239">
        <v>0</v>
      </c>
      <c r="CJ206" s="239">
        <v>967</v>
      </c>
      <c r="CK206" s="239">
        <v>218</v>
      </c>
      <c r="CL206" s="239">
        <v>24</v>
      </c>
      <c r="CM206" s="239">
        <v>17846</v>
      </c>
      <c r="CN206" s="239">
        <v>4015</v>
      </c>
      <c r="CO206" s="239">
        <v>446</v>
      </c>
      <c r="CP206" s="239">
        <v>-16879</v>
      </c>
      <c r="CQ206" s="239">
        <v>-3797</v>
      </c>
      <c r="CR206" s="239">
        <v>-422</v>
      </c>
      <c r="CS206" s="239">
        <v>-1734</v>
      </c>
      <c r="CT206" s="239">
        <v>-390</v>
      </c>
      <c r="CU206" s="239">
        <v>-43</v>
      </c>
      <c r="CV206" s="239">
        <v>0</v>
      </c>
      <c r="CW206" s="239">
        <v>0</v>
      </c>
      <c r="CX206" s="239">
        <v>0</v>
      </c>
      <c r="CY206" s="239">
        <v>0</v>
      </c>
      <c r="CZ206" s="239">
        <v>0</v>
      </c>
      <c r="DA206" s="239">
        <v>0</v>
      </c>
      <c r="DB206" s="239">
        <v>0</v>
      </c>
      <c r="DC206" s="239">
        <v>0</v>
      </c>
      <c r="DD206" s="239">
        <v>0</v>
      </c>
      <c r="DE206" s="239">
        <v>-423</v>
      </c>
      <c r="DF206" s="239">
        <v>-95</v>
      </c>
      <c r="DG206" s="239">
        <v>-11</v>
      </c>
      <c r="DH206" s="239">
        <v>1939</v>
      </c>
      <c r="DI206" s="239">
        <v>436</v>
      </c>
      <c r="DJ206" s="239">
        <v>48</v>
      </c>
      <c r="DK206" s="239">
        <v>0</v>
      </c>
      <c r="DL206" s="239">
        <v>0</v>
      </c>
      <c r="DM206" s="239">
        <v>0</v>
      </c>
      <c r="DN206" s="239">
        <v>1939</v>
      </c>
      <c r="DO206" s="239">
        <v>436</v>
      </c>
      <c r="DP206" s="239">
        <v>48</v>
      </c>
      <c r="DQ206" s="239">
        <v>0</v>
      </c>
      <c r="DR206" s="239">
        <v>0</v>
      </c>
      <c r="DS206" s="239">
        <v>0</v>
      </c>
      <c r="DT206" s="239">
        <v>0</v>
      </c>
      <c r="DU206" s="239">
        <v>0</v>
      </c>
      <c r="DV206" s="239">
        <v>0</v>
      </c>
      <c r="DW206" s="239">
        <v>0</v>
      </c>
      <c r="DX206" s="239">
        <v>0</v>
      </c>
      <c r="DY206" s="239">
        <v>0</v>
      </c>
      <c r="DZ206" s="239">
        <v>1588</v>
      </c>
      <c r="EA206" s="239">
        <v>357</v>
      </c>
      <c r="EB206" s="239">
        <v>40</v>
      </c>
      <c r="EC206" s="239">
        <v>2323</v>
      </c>
      <c r="ED206" s="239">
        <v>0</v>
      </c>
      <c r="EE206" s="239">
        <v>0</v>
      </c>
      <c r="EF206" s="239">
        <v>-735</v>
      </c>
      <c r="EG206" s="239">
        <v>357</v>
      </c>
      <c r="EH206" s="239">
        <v>40</v>
      </c>
      <c r="EI206" s="239">
        <v>40815</v>
      </c>
      <c r="EJ206" s="239">
        <v>9183</v>
      </c>
      <c r="EK206" s="239">
        <v>1020</v>
      </c>
      <c r="EL206" s="239">
        <v>50264</v>
      </c>
      <c r="EM206" s="239">
        <v>0</v>
      </c>
      <c r="EN206" s="239">
        <v>0</v>
      </c>
      <c r="EO206" s="239">
        <v>-9449</v>
      </c>
      <c r="EP206" s="239">
        <v>9183</v>
      </c>
      <c r="EQ206" s="239">
        <v>1020</v>
      </c>
      <c r="ER206" s="239">
        <v>14216</v>
      </c>
      <c r="ES206" s="239">
        <v>3199</v>
      </c>
      <c r="ET206" s="239">
        <v>355</v>
      </c>
      <c r="EU206" s="239">
        <v>45168</v>
      </c>
      <c r="EV206" s="239">
        <v>0</v>
      </c>
      <c r="EW206" s="239">
        <v>0</v>
      </c>
      <c r="EX206" s="239">
        <v>-30952</v>
      </c>
      <c r="EY206" s="239">
        <v>3199</v>
      </c>
      <c r="EZ206" s="239">
        <v>355</v>
      </c>
      <c r="FA206" s="239">
        <v>309011</v>
      </c>
      <c r="FB206" s="239">
        <v>69405</v>
      </c>
      <c r="FC206" s="239">
        <v>7712</v>
      </c>
      <c r="FD206" s="239">
        <v>320883</v>
      </c>
      <c r="FE206" s="239">
        <v>72146</v>
      </c>
      <c r="FF206" s="239">
        <v>8016</v>
      </c>
      <c r="FG206" s="239">
        <v>-11872</v>
      </c>
      <c r="FH206" s="239">
        <v>-2741</v>
      </c>
      <c r="FI206" s="239">
        <v>-304</v>
      </c>
      <c r="FJ206" s="239">
        <v>0</v>
      </c>
      <c r="FK206" s="239">
        <v>0</v>
      </c>
      <c r="FL206" s="239">
        <v>0</v>
      </c>
      <c r="FM206" s="239">
        <v>0</v>
      </c>
      <c r="FN206" s="239">
        <v>0</v>
      </c>
      <c r="FO206" s="239">
        <v>0</v>
      </c>
      <c r="FP206" s="239">
        <v>0</v>
      </c>
      <c r="FQ206" s="239">
        <v>0</v>
      </c>
      <c r="FR206" s="239">
        <v>0</v>
      </c>
      <c r="FS206" s="239">
        <v>0</v>
      </c>
      <c r="FT206" s="239">
        <v>0</v>
      </c>
      <c r="FU206" s="239">
        <v>0</v>
      </c>
      <c r="FV206" s="239">
        <v>1813738</v>
      </c>
      <c r="FW206" s="239">
        <v>407969</v>
      </c>
      <c r="FX206" s="239">
        <v>45329</v>
      </c>
      <c r="FY206" s="834">
        <v>0.5</v>
      </c>
      <c r="FZ206" s="834">
        <v>0.4</v>
      </c>
      <c r="GA206" s="834">
        <v>0.09</v>
      </c>
      <c r="GB206" s="834">
        <v>0.01</v>
      </c>
      <c r="GC206" s="214" t="s">
        <v>1158</v>
      </c>
    </row>
    <row r="207" spans="1:185" s="214" customFormat="1" x14ac:dyDescent="0.2">
      <c r="B207" s="602" t="s">
        <v>497</v>
      </c>
      <c r="C207" s="602" t="s">
        <v>496</v>
      </c>
      <c r="D207" s="239">
        <v>390685</v>
      </c>
      <c r="E207" s="239">
        <v>-37009</v>
      </c>
      <c r="F207" s="239">
        <v>353676</v>
      </c>
      <c r="G207" s="239">
        <v>367229</v>
      </c>
      <c r="H207" s="239">
        <v>0</v>
      </c>
      <c r="I207" s="239">
        <v>367229</v>
      </c>
      <c r="J207" s="239">
        <v>23456</v>
      </c>
      <c r="K207" s="239">
        <v>-37009</v>
      </c>
      <c r="L207" s="239">
        <v>-13553</v>
      </c>
      <c r="M207" s="239">
        <v>98958</v>
      </c>
      <c r="N207" s="239">
        <v>98958</v>
      </c>
      <c r="O207" s="239">
        <v>0</v>
      </c>
      <c r="P207" s="239">
        <v>85774</v>
      </c>
      <c r="Q207" s="239">
        <v>0</v>
      </c>
      <c r="R207" s="239">
        <v>85774</v>
      </c>
      <c r="S207" s="239">
        <v>148076</v>
      </c>
      <c r="T207" s="239">
        <v>0</v>
      </c>
      <c r="U207" s="239">
        <v>105380</v>
      </c>
      <c r="V207" s="239">
        <v>0</v>
      </c>
      <c r="W207" s="239">
        <v>42696</v>
      </c>
      <c r="X207" s="239">
        <v>0</v>
      </c>
      <c r="Y207" s="239">
        <v>0</v>
      </c>
      <c r="Z207" s="239">
        <v>0</v>
      </c>
      <c r="AA207" s="239">
        <v>0</v>
      </c>
      <c r="AB207" s="239">
        <v>0</v>
      </c>
      <c r="AC207" s="239">
        <v>0</v>
      </c>
      <c r="AD207" s="239">
        <v>0</v>
      </c>
      <c r="AE207" s="239">
        <v>0</v>
      </c>
      <c r="AF207" s="239">
        <v>0</v>
      </c>
      <c r="AG207" s="239">
        <v>0</v>
      </c>
      <c r="AH207" s="239">
        <v>0</v>
      </c>
      <c r="AI207" s="239">
        <v>0</v>
      </c>
      <c r="AJ207" s="239">
        <v>0</v>
      </c>
      <c r="AK207" s="239">
        <v>0</v>
      </c>
      <c r="AL207" s="239">
        <v>0</v>
      </c>
      <c r="AM207" s="239">
        <v>0</v>
      </c>
      <c r="AN207" s="239">
        <v>0</v>
      </c>
      <c r="AO207" s="239">
        <v>0</v>
      </c>
      <c r="AP207" s="239">
        <v>0</v>
      </c>
      <c r="AQ207" s="239">
        <v>0</v>
      </c>
      <c r="AR207" s="239">
        <v>0</v>
      </c>
      <c r="AS207" s="239">
        <v>0</v>
      </c>
      <c r="AT207" s="239">
        <v>0</v>
      </c>
      <c r="AU207" s="239">
        <v>0</v>
      </c>
      <c r="AV207" s="239">
        <v>0</v>
      </c>
      <c r="AW207" s="239">
        <v>0</v>
      </c>
      <c r="AX207" s="239">
        <v>0</v>
      </c>
      <c r="AY207" s="239">
        <v>0</v>
      </c>
      <c r="AZ207" s="239">
        <v>0</v>
      </c>
      <c r="BA207" s="239">
        <v>0</v>
      </c>
      <c r="BB207" s="239">
        <v>0</v>
      </c>
      <c r="BC207" s="239">
        <v>675288</v>
      </c>
      <c r="BD207" s="239">
        <v>151940</v>
      </c>
      <c r="BE207" s="239">
        <v>16882</v>
      </c>
      <c r="BF207" s="239">
        <v>664166.36656223191</v>
      </c>
      <c r="BG207" s="239">
        <v>149437.43247650212</v>
      </c>
      <c r="BH207" s="239">
        <v>16604.159164055793</v>
      </c>
      <c r="BI207" s="239">
        <v>34796.108987124462</v>
      </c>
      <c r="BJ207" s="239">
        <v>7829.124522103004</v>
      </c>
      <c r="BK207" s="239">
        <v>869.90272467811155</v>
      </c>
      <c r="BL207" s="239">
        <v>656823</v>
      </c>
      <c r="BM207" s="239">
        <v>106320</v>
      </c>
      <c r="BN207" s="239">
        <v>11813</v>
      </c>
      <c r="BO207" s="239">
        <v>18465</v>
      </c>
      <c r="BP207" s="239">
        <v>45620</v>
      </c>
      <c r="BQ207" s="239">
        <v>5069</v>
      </c>
      <c r="BR207" s="239">
        <v>0</v>
      </c>
      <c r="BS207" s="239">
        <v>0</v>
      </c>
      <c r="BT207" s="239">
        <v>0</v>
      </c>
      <c r="BU207" s="239">
        <v>0</v>
      </c>
      <c r="BV207" s="239">
        <v>0</v>
      </c>
      <c r="BW207" s="239">
        <v>0</v>
      </c>
      <c r="BX207" s="239">
        <v>0</v>
      </c>
      <c r="BY207" s="239">
        <v>0</v>
      </c>
      <c r="BZ207" s="239">
        <v>0</v>
      </c>
      <c r="CA207" s="239">
        <v>-2693</v>
      </c>
      <c r="CB207" s="239">
        <v>-606</v>
      </c>
      <c r="CC207" s="239">
        <v>-67</v>
      </c>
      <c r="CD207" s="239">
        <v>6138</v>
      </c>
      <c r="CE207" s="239">
        <v>1381</v>
      </c>
      <c r="CF207" s="239">
        <v>153</v>
      </c>
      <c r="CG207" s="239">
        <v>-8831</v>
      </c>
      <c r="CH207" s="239">
        <v>-1987</v>
      </c>
      <c r="CI207" s="239">
        <v>-220</v>
      </c>
      <c r="CJ207" s="239">
        <v>0</v>
      </c>
      <c r="CK207" s="239">
        <v>0</v>
      </c>
      <c r="CL207" s="239">
        <v>0</v>
      </c>
      <c r="CM207" s="239">
        <v>0</v>
      </c>
      <c r="CN207" s="239">
        <v>0</v>
      </c>
      <c r="CO207" s="239">
        <v>0</v>
      </c>
      <c r="CP207" s="239">
        <v>0</v>
      </c>
      <c r="CQ207" s="239">
        <v>0</v>
      </c>
      <c r="CR207" s="239">
        <v>0</v>
      </c>
      <c r="CS207" s="239">
        <v>-203</v>
      </c>
      <c r="CT207" s="239">
        <v>-46</v>
      </c>
      <c r="CU207" s="239">
        <v>-5</v>
      </c>
      <c r="CV207" s="239">
        <v>0</v>
      </c>
      <c r="CW207" s="239">
        <v>0</v>
      </c>
      <c r="CX207" s="239">
        <v>0</v>
      </c>
      <c r="CY207" s="239">
        <v>0</v>
      </c>
      <c r="CZ207" s="239">
        <v>0</v>
      </c>
      <c r="DA207" s="239">
        <v>0</v>
      </c>
      <c r="DB207" s="239">
        <v>0</v>
      </c>
      <c r="DC207" s="239">
        <v>0</v>
      </c>
      <c r="DD207" s="239">
        <v>0</v>
      </c>
      <c r="DE207" s="239">
        <v>0</v>
      </c>
      <c r="DF207" s="239">
        <v>0</v>
      </c>
      <c r="DG207" s="239">
        <v>0</v>
      </c>
      <c r="DH207" s="239">
        <v>2380</v>
      </c>
      <c r="DI207" s="239">
        <v>536</v>
      </c>
      <c r="DJ207" s="239">
        <v>60</v>
      </c>
      <c r="DK207" s="239">
        <v>3264</v>
      </c>
      <c r="DL207" s="239">
        <v>734</v>
      </c>
      <c r="DM207" s="239">
        <v>82</v>
      </c>
      <c r="DN207" s="239">
        <v>-884</v>
      </c>
      <c r="DO207" s="239">
        <v>-198</v>
      </c>
      <c r="DP207" s="239">
        <v>-22</v>
      </c>
      <c r="DQ207" s="239">
        <v>0</v>
      </c>
      <c r="DR207" s="239">
        <v>0</v>
      </c>
      <c r="DS207" s="239">
        <v>0</v>
      </c>
      <c r="DT207" s="239">
        <v>0</v>
      </c>
      <c r="DU207" s="239">
        <v>0</v>
      </c>
      <c r="DV207" s="239">
        <v>0</v>
      </c>
      <c r="DW207" s="239">
        <v>0</v>
      </c>
      <c r="DX207" s="239">
        <v>0</v>
      </c>
      <c r="DY207" s="239">
        <v>0</v>
      </c>
      <c r="DZ207" s="239">
        <v>10318</v>
      </c>
      <c r="EA207" s="239">
        <v>2322</v>
      </c>
      <c r="EB207" s="239">
        <v>258</v>
      </c>
      <c r="EC207" s="239">
        <v>13285</v>
      </c>
      <c r="ED207" s="239">
        <v>0</v>
      </c>
      <c r="EE207" s="239">
        <v>0</v>
      </c>
      <c r="EF207" s="239">
        <v>-2967</v>
      </c>
      <c r="EG207" s="239">
        <v>2322</v>
      </c>
      <c r="EH207" s="239">
        <v>258</v>
      </c>
      <c r="EI207" s="239">
        <v>87307</v>
      </c>
      <c r="EJ207" s="239">
        <v>19644</v>
      </c>
      <c r="EK207" s="239">
        <v>2183</v>
      </c>
      <c r="EL207" s="239">
        <v>108702</v>
      </c>
      <c r="EM207" s="239">
        <v>0</v>
      </c>
      <c r="EN207" s="239">
        <v>0</v>
      </c>
      <c r="EO207" s="239">
        <v>-21395</v>
      </c>
      <c r="EP207" s="239">
        <v>19644</v>
      </c>
      <c r="EQ207" s="239">
        <v>2183</v>
      </c>
      <c r="ER207" s="239">
        <v>18178</v>
      </c>
      <c r="ES207" s="239">
        <v>4090</v>
      </c>
      <c r="ET207" s="239">
        <v>454</v>
      </c>
      <c r="EU207" s="239">
        <v>22461</v>
      </c>
      <c r="EV207" s="239">
        <v>0</v>
      </c>
      <c r="EW207" s="239">
        <v>0</v>
      </c>
      <c r="EX207" s="239">
        <v>-4283</v>
      </c>
      <c r="EY207" s="239">
        <v>4090</v>
      </c>
      <c r="EZ207" s="239">
        <v>454</v>
      </c>
      <c r="FA207" s="239">
        <v>98663</v>
      </c>
      <c r="FB207" s="239">
        <v>21409</v>
      </c>
      <c r="FC207" s="239">
        <v>2379</v>
      </c>
      <c r="FD207" s="239">
        <v>96289</v>
      </c>
      <c r="FE207" s="239">
        <v>21309</v>
      </c>
      <c r="FF207" s="239">
        <v>2368</v>
      </c>
      <c r="FG207" s="239">
        <v>2374</v>
      </c>
      <c r="FH207" s="239">
        <v>100</v>
      </c>
      <c r="FI207" s="239">
        <v>11</v>
      </c>
      <c r="FJ207" s="239">
        <v>0</v>
      </c>
      <c r="FK207" s="239">
        <v>0</v>
      </c>
      <c r="FL207" s="239">
        <v>0</v>
      </c>
      <c r="FM207" s="239">
        <v>0</v>
      </c>
      <c r="FN207" s="239">
        <v>0</v>
      </c>
      <c r="FO207" s="239">
        <v>0</v>
      </c>
      <c r="FP207" s="239">
        <v>0</v>
      </c>
      <c r="FQ207" s="239">
        <v>0</v>
      </c>
      <c r="FR207" s="239">
        <v>0</v>
      </c>
      <c r="FS207" s="239">
        <v>0</v>
      </c>
      <c r="FT207" s="239">
        <v>0</v>
      </c>
      <c r="FU207" s="239">
        <v>0</v>
      </c>
      <c r="FV207" s="239">
        <v>889238</v>
      </c>
      <c r="FW207" s="239">
        <v>199289</v>
      </c>
      <c r="FX207" s="239">
        <v>22144</v>
      </c>
      <c r="FY207" s="834">
        <v>0.5</v>
      </c>
      <c r="FZ207" s="834">
        <v>0.4</v>
      </c>
      <c r="GA207" s="834">
        <v>0.09</v>
      </c>
      <c r="GB207" s="834">
        <v>0.01</v>
      </c>
      <c r="GC207" s="214" t="s">
        <v>1158</v>
      </c>
    </row>
    <row r="208" spans="1:185" s="214" customFormat="1" x14ac:dyDescent="0.2">
      <c r="A208" s="215" t="s">
        <v>1668</v>
      </c>
      <c r="B208" s="602" t="s">
        <v>499</v>
      </c>
      <c r="C208" s="602" t="s">
        <v>498</v>
      </c>
      <c r="D208" s="239">
        <v>4674869</v>
      </c>
      <c r="E208" s="239">
        <v>0</v>
      </c>
      <c r="F208" s="239">
        <v>4674869</v>
      </c>
      <c r="G208" s="239">
        <v>5808733</v>
      </c>
      <c r="H208" s="239">
        <v>0</v>
      </c>
      <c r="I208" s="239">
        <v>5808733</v>
      </c>
      <c r="J208" s="239">
        <v>-1133864</v>
      </c>
      <c r="K208" s="239">
        <v>0</v>
      </c>
      <c r="L208" s="239">
        <v>-1133864</v>
      </c>
      <c r="M208" s="239">
        <v>282531</v>
      </c>
      <c r="N208" s="239">
        <v>282531</v>
      </c>
      <c r="O208" s="239">
        <v>0</v>
      </c>
      <c r="P208" s="239">
        <v>0</v>
      </c>
      <c r="Q208" s="239">
        <v>0</v>
      </c>
      <c r="R208" s="239">
        <v>0</v>
      </c>
      <c r="S208" s="239">
        <v>0</v>
      </c>
      <c r="T208" s="239">
        <v>0</v>
      </c>
      <c r="U208" s="239">
        <v>0</v>
      </c>
      <c r="V208" s="239">
        <v>0</v>
      </c>
      <c r="W208" s="239">
        <v>0</v>
      </c>
      <c r="X208" s="239">
        <v>0</v>
      </c>
      <c r="Y208" s="239">
        <v>0</v>
      </c>
      <c r="Z208" s="239">
        <v>0</v>
      </c>
      <c r="AA208" s="239">
        <v>0</v>
      </c>
      <c r="AB208" s="239">
        <v>0</v>
      </c>
      <c r="AC208" s="239">
        <v>0</v>
      </c>
      <c r="AD208" s="239">
        <v>0</v>
      </c>
      <c r="AE208" s="239">
        <v>0</v>
      </c>
      <c r="AF208" s="239">
        <v>0</v>
      </c>
      <c r="AG208" s="239">
        <v>0</v>
      </c>
      <c r="AH208" s="239">
        <v>0</v>
      </c>
      <c r="AI208" s="239">
        <v>0</v>
      </c>
      <c r="AJ208" s="239">
        <v>0</v>
      </c>
      <c r="AK208" s="239">
        <v>0</v>
      </c>
      <c r="AL208" s="239">
        <v>0</v>
      </c>
      <c r="AM208" s="239">
        <v>0</v>
      </c>
      <c r="AN208" s="239">
        <v>0</v>
      </c>
      <c r="AO208" s="239">
        <v>0</v>
      </c>
      <c r="AP208" s="239">
        <v>0</v>
      </c>
      <c r="AQ208" s="239">
        <v>0</v>
      </c>
      <c r="AR208" s="239">
        <v>0</v>
      </c>
      <c r="AS208" s="239">
        <v>0</v>
      </c>
      <c r="AT208" s="239">
        <v>0</v>
      </c>
      <c r="AU208" s="239">
        <v>0</v>
      </c>
      <c r="AV208" s="239">
        <v>0</v>
      </c>
      <c r="AW208" s="239">
        <v>0</v>
      </c>
      <c r="AX208" s="239">
        <v>0</v>
      </c>
      <c r="AY208" s="239">
        <v>0</v>
      </c>
      <c r="AZ208" s="239">
        <v>0</v>
      </c>
      <c r="BA208" s="239">
        <v>0</v>
      </c>
      <c r="BB208" s="239">
        <v>0</v>
      </c>
      <c r="BC208" s="239">
        <v>1224145</v>
      </c>
      <c r="BD208" s="239">
        <v>0</v>
      </c>
      <c r="BE208" s="239">
        <v>24983</v>
      </c>
      <c r="BF208" s="239">
        <v>1181656.9239879826</v>
      </c>
      <c r="BG208" s="239">
        <v>0</v>
      </c>
      <c r="BH208" s="239">
        <v>24115.447428326181</v>
      </c>
      <c r="BI208" s="239">
        <v>173359.93137982828</v>
      </c>
      <c r="BJ208" s="239">
        <v>0</v>
      </c>
      <c r="BK208" s="239">
        <v>3537.957783261802</v>
      </c>
      <c r="BL208" s="239">
        <v>1017755</v>
      </c>
      <c r="BM208" s="239">
        <v>0</v>
      </c>
      <c r="BN208" s="239">
        <v>13809</v>
      </c>
      <c r="BO208" s="239">
        <v>206390</v>
      </c>
      <c r="BP208" s="239">
        <v>0</v>
      </c>
      <c r="BQ208" s="239">
        <v>11174</v>
      </c>
      <c r="BR208" s="239">
        <v>2156</v>
      </c>
      <c r="BS208" s="239">
        <v>0</v>
      </c>
      <c r="BT208" s="239">
        <v>44</v>
      </c>
      <c r="BU208" s="239">
        <v>0</v>
      </c>
      <c r="BV208" s="239">
        <v>0</v>
      </c>
      <c r="BW208" s="239">
        <v>0</v>
      </c>
      <c r="BX208" s="239">
        <v>2156</v>
      </c>
      <c r="BY208" s="239">
        <v>0</v>
      </c>
      <c r="BZ208" s="239">
        <v>44</v>
      </c>
      <c r="CA208" s="239">
        <v>113211</v>
      </c>
      <c r="CB208" s="239">
        <v>0</v>
      </c>
      <c r="CC208" s="239">
        <v>2310</v>
      </c>
      <c r="CD208" s="239">
        <v>49498</v>
      </c>
      <c r="CE208" s="239">
        <v>0</v>
      </c>
      <c r="CF208" s="239">
        <v>1010</v>
      </c>
      <c r="CG208" s="239">
        <v>63713</v>
      </c>
      <c r="CH208" s="239">
        <v>0</v>
      </c>
      <c r="CI208" s="239">
        <v>1300</v>
      </c>
      <c r="CJ208" s="239">
        <v>5957</v>
      </c>
      <c r="CK208" s="239">
        <v>0</v>
      </c>
      <c r="CL208" s="239">
        <v>122</v>
      </c>
      <c r="CM208" s="239">
        <v>2806</v>
      </c>
      <c r="CN208" s="239">
        <v>0</v>
      </c>
      <c r="CO208" s="239">
        <v>57</v>
      </c>
      <c r="CP208" s="239">
        <v>3151</v>
      </c>
      <c r="CQ208" s="239">
        <v>0</v>
      </c>
      <c r="CR208" s="239">
        <v>65</v>
      </c>
      <c r="CS208" s="239">
        <v>1077</v>
      </c>
      <c r="CT208" s="239">
        <v>0</v>
      </c>
      <c r="CU208" s="239">
        <v>22</v>
      </c>
      <c r="CV208" s="239">
        <v>0</v>
      </c>
      <c r="CW208" s="239">
        <v>0</v>
      </c>
      <c r="CX208" s="239">
        <v>0</v>
      </c>
      <c r="CY208" s="239">
        <v>0</v>
      </c>
      <c r="CZ208" s="239">
        <v>0</v>
      </c>
      <c r="DA208" s="239">
        <v>0</v>
      </c>
      <c r="DB208" s="239">
        <v>0</v>
      </c>
      <c r="DC208" s="239">
        <v>0</v>
      </c>
      <c r="DD208" s="239">
        <v>0</v>
      </c>
      <c r="DE208" s="239">
        <v>0</v>
      </c>
      <c r="DF208" s="239">
        <v>0</v>
      </c>
      <c r="DG208" s="239">
        <v>0</v>
      </c>
      <c r="DH208" s="239">
        <v>0</v>
      </c>
      <c r="DI208" s="239">
        <v>0</v>
      </c>
      <c r="DJ208" s="239">
        <v>0</v>
      </c>
      <c r="DK208" s="239">
        <v>0</v>
      </c>
      <c r="DL208" s="239">
        <v>0</v>
      </c>
      <c r="DM208" s="239">
        <v>0</v>
      </c>
      <c r="DN208" s="239">
        <v>0</v>
      </c>
      <c r="DO208" s="239">
        <v>0</v>
      </c>
      <c r="DP208" s="239">
        <v>0</v>
      </c>
      <c r="DQ208" s="239">
        <v>0</v>
      </c>
      <c r="DR208" s="239">
        <v>0</v>
      </c>
      <c r="DS208" s="239">
        <v>0</v>
      </c>
      <c r="DT208" s="239">
        <v>0</v>
      </c>
      <c r="DU208" s="239">
        <v>0</v>
      </c>
      <c r="DV208" s="239">
        <v>0</v>
      </c>
      <c r="DW208" s="239">
        <v>0</v>
      </c>
      <c r="DX208" s="239">
        <v>0</v>
      </c>
      <c r="DY208" s="239">
        <v>0</v>
      </c>
      <c r="DZ208" s="239">
        <v>27539</v>
      </c>
      <c r="EA208" s="239">
        <v>0</v>
      </c>
      <c r="EB208" s="239">
        <v>562</v>
      </c>
      <c r="EC208" s="239">
        <v>27744</v>
      </c>
      <c r="ED208" s="239">
        <v>0</v>
      </c>
      <c r="EE208" s="239">
        <v>0</v>
      </c>
      <c r="EF208" s="239">
        <v>-205</v>
      </c>
      <c r="EG208" s="239">
        <v>0</v>
      </c>
      <c r="EH208" s="239">
        <v>562</v>
      </c>
      <c r="EI208" s="239">
        <v>504286</v>
      </c>
      <c r="EJ208" s="239">
        <v>0</v>
      </c>
      <c r="EK208" s="239">
        <v>10292</v>
      </c>
      <c r="EL208" s="239">
        <v>506963</v>
      </c>
      <c r="EM208" s="239">
        <v>0</v>
      </c>
      <c r="EN208" s="239">
        <v>0</v>
      </c>
      <c r="EO208" s="239">
        <v>-2677</v>
      </c>
      <c r="EP208" s="239">
        <v>0</v>
      </c>
      <c r="EQ208" s="239">
        <v>10292</v>
      </c>
      <c r="ER208" s="239">
        <v>13524</v>
      </c>
      <c r="ES208" s="239">
        <v>0</v>
      </c>
      <c r="ET208" s="239">
        <v>276</v>
      </c>
      <c r="EU208" s="239">
        <v>13037</v>
      </c>
      <c r="EV208" s="239">
        <v>0</v>
      </c>
      <c r="EW208" s="239">
        <v>0</v>
      </c>
      <c r="EX208" s="239">
        <v>487</v>
      </c>
      <c r="EY208" s="239">
        <v>0</v>
      </c>
      <c r="EZ208" s="239">
        <v>276</v>
      </c>
      <c r="FA208" s="239">
        <v>939202</v>
      </c>
      <c r="FB208" s="239">
        <v>0</v>
      </c>
      <c r="FC208" s="239">
        <v>19167</v>
      </c>
      <c r="FD208" s="239">
        <v>912704</v>
      </c>
      <c r="FE208" s="239">
        <v>0</v>
      </c>
      <c r="FF208" s="239">
        <v>18627</v>
      </c>
      <c r="FG208" s="239">
        <v>26498</v>
      </c>
      <c r="FH208" s="239">
        <v>0</v>
      </c>
      <c r="FI208" s="239">
        <v>540</v>
      </c>
      <c r="FJ208" s="239">
        <v>0</v>
      </c>
      <c r="FK208" s="239">
        <v>0</v>
      </c>
      <c r="FL208" s="239">
        <v>0</v>
      </c>
      <c r="FM208" s="239">
        <v>0</v>
      </c>
      <c r="FN208" s="239">
        <v>0</v>
      </c>
      <c r="FO208" s="239">
        <v>0</v>
      </c>
      <c r="FP208" s="239">
        <v>0</v>
      </c>
      <c r="FQ208" s="239">
        <v>0</v>
      </c>
      <c r="FR208" s="239">
        <v>0</v>
      </c>
      <c r="FS208" s="239">
        <v>0</v>
      </c>
      <c r="FT208" s="239">
        <v>0</v>
      </c>
      <c r="FU208" s="239">
        <v>0</v>
      </c>
      <c r="FV208" s="239">
        <v>2831097</v>
      </c>
      <c r="FW208" s="239">
        <v>0</v>
      </c>
      <c r="FX208" s="239">
        <v>57778</v>
      </c>
      <c r="FY208" s="834">
        <v>0.5</v>
      </c>
      <c r="FZ208" s="834">
        <v>0.49</v>
      </c>
      <c r="GA208" s="834">
        <v>0</v>
      </c>
      <c r="GB208" s="834">
        <v>0.01</v>
      </c>
      <c r="GC208" s="214" t="s">
        <v>746</v>
      </c>
    </row>
    <row r="209" spans="2:185" s="214" customFormat="1" x14ac:dyDescent="0.2">
      <c r="B209" s="602" t="s">
        <v>501</v>
      </c>
      <c r="C209" s="602" t="s">
        <v>500</v>
      </c>
      <c r="D209" s="239">
        <v>3805188</v>
      </c>
      <c r="E209" s="239">
        <v>0</v>
      </c>
      <c r="F209" s="239">
        <v>3805188</v>
      </c>
      <c r="G209" s="239">
        <v>3967979</v>
      </c>
      <c r="H209" s="239">
        <v>0</v>
      </c>
      <c r="I209" s="239">
        <v>3967979</v>
      </c>
      <c r="J209" s="239">
        <v>-162791</v>
      </c>
      <c r="K209" s="239">
        <v>0</v>
      </c>
      <c r="L209" s="239">
        <v>-162791</v>
      </c>
      <c r="M209" s="239">
        <v>281336</v>
      </c>
      <c r="N209" s="239">
        <v>281336</v>
      </c>
      <c r="O209" s="239">
        <v>0</v>
      </c>
      <c r="P209" s="239">
        <v>0</v>
      </c>
      <c r="Q209" s="239">
        <v>0</v>
      </c>
      <c r="R209" s="239">
        <v>0</v>
      </c>
      <c r="S209" s="239">
        <v>0</v>
      </c>
      <c r="T209" s="239">
        <v>0</v>
      </c>
      <c r="U209" s="239">
        <v>0</v>
      </c>
      <c r="V209" s="239">
        <v>0</v>
      </c>
      <c r="W209" s="239">
        <v>0</v>
      </c>
      <c r="X209" s="239">
        <v>0</v>
      </c>
      <c r="Y209" s="239">
        <v>0</v>
      </c>
      <c r="Z209" s="239">
        <v>0</v>
      </c>
      <c r="AA209" s="239">
        <v>0</v>
      </c>
      <c r="AB209" s="239">
        <v>0</v>
      </c>
      <c r="AC209" s="239">
        <v>0</v>
      </c>
      <c r="AD209" s="239">
        <v>0</v>
      </c>
      <c r="AE209" s="239">
        <v>0</v>
      </c>
      <c r="AF209" s="239">
        <v>0</v>
      </c>
      <c r="AG209" s="239">
        <v>0</v>
      </c>
      <c r="AH209" s="239">
        <v>0</v>
      </c>
      <c r="AI209" s="239">
        <v>0</v>
      </c>
      <c r="AJ209" s="239">
        <v>0</v>
      </c>
      <c r="AK209" s="239">
        <v>0</v>
      </c>
      <c r="AL209" s="239">
        <v>0</v>
      </c>
      <c r="AM209" s="239">
        <v>0</v>
      </c>
      <c r="AN209" s="239">
        <v>0</v>
      </c>
      <c r="AO209" s="239">
        <v>0</v>
      </c>
      <c r="AP209" s="239">
        <v>0</v>
      </c>
      <c r="AQ209" s="239">
        <v>0</v>
      </c>
      <c r="AR209" s="239">
        <v>0</v>
      </c>
      <c r="AS209" s="239">
        <v>0</v>
      </c>
      <c r="AT209" s="239">
        <v>0</v>
      </c>
      <c r="AU209" s="239">
        <v>0</v>
      </c>
      <c r="AV209" s="239">
        <v>0</v>
      </c>
      <c r="AW209" s="239">
        <v>0</v>
      </c>
      <c r="AX209" s="239">
        <v>0</v>
      </c>
      <c r="AY209" s="239">
        <v>0</v>
      </c>
      <c r="AZ209" s="239">
        <v>0</v>
      </c>
      <c r="BA209" s="239">
        <v>0</v>
      </c>
      <c r="BB209" s="239">
        <v>0</v>
      </c>
      <c r="BC209" s="239">
        <v>1416256</v>
      </c>
      <c r="BD209" s="239">
        <v>1746715</v>
      </c>
      <c r="BE209" s="239">
        <v>0</v>
      </c>
      <c r="BF209" s="239">
        <v>1385903.7031957079</v>
      </c>
      <c r="BG209" s="239">
        <v>1709281.2339413734</v>
      </c>
      <c r="BH209" s="239">
        <v>0</v>
      </c>
      <c r="BI209" s="239">
        <v>86949.696984978538</v>
      </c>
      <c r="BJ209" s="239">
        <v>107237.95961480685</v>
      </c>
      <c r="BK209" s="239">
        <v>0</v>
      </c>
      <c r="BL209" s="239">
        <v>1807060</v>
      </c>
      <c r="BM209" s="239">
        <v>994190</v>
      </c>
      <c r="BN209" s="239">
        <v>0</v>
      </c>
      <c r="BO209" s="239">
        <v>-390804</v>
      </c>
      <c r="BP209" s="239">
        <v>752525</v>
      </c>
      <c r="BQ209" s="239">
        <v>0</v>
      </c>
      <c r="BR209" s="239">
        <v>7102</v>
      </c>
      <c r="BS209" s="239">
        <v>8759</v>
      </c>
      <c r="BT209" s="239">
        <v>0</v>
      </c>
      <c r="BU209" s="239">
        <v>3328</v>
      </c>
      <c r="BV209" s="239">
        <v>4104</v>
      </c>
      <c r="BW209" s="239">
        <v>0</v>
      </c>
      <c r="BX209" s="239">
        <v>3774</v>
      </c>
      <c r="BY209" s="239">
        <v>4655</v>
      </c>
      <c r="BZ209" s="239">
        <v>0</v>
      </c>
      <c r="CA209" s="239">
        <v>-849</v>
      </c>
      <c r="CB209" s="239">
        <v>-1047</v>
      </c>
      <c r="CC209" s="239">
        <v>0</v>
      </c>
      <c r="CD209" s="239">
        <v>423</v>
      </c>
      <c r="CE209" s="239">
        <v>522</v>
      </c>
      <c r="CF209" s="239">
        <v>0</v>
      </c>
      <c r="CG209" s="239">
        <v>-1272</v>
      </c>
      <c r="CH209" s="239">
        <v>-1569</v>
      </c>
      <c r="CI209" s="239">
        <v>0</v>
      </c>
      <c r="CJ209" s="239">
        <v>-2328</v>
      </c>
      <c r="CK209" s="239">
        <v>-2871</v>
      </c>
      <c r="CL209" s="239">
        <v>0</v>
      </c>
      <c r="CM209" s="239">
        <v>8855</v>
      </c>
      <c r="CN209" s="239">
        <v>10920</v>
      </c>
      <c r="CO209" s="239">
        <v>0</v>
      </c>
      <c r="CP209" s="239">
        <v>-11183</v>
      </c>
      <c r="CQ209" s="239">
        <v>-13791</v>
      </c>
      <c r="CR209" s="239">
        <v>0</v>
      </c>
      <c r="CS209" s="239">
        <v>-3207</v>
      </c>
      <c r="CT209" s="239">
        <v>-3956</v>
      </c>
      <c r="CU209" s="239">
        <v>0</v>
      </c>
      <c r="CV209" s="239">
        <v>0</v>
      </c>
      <c r="CW209" s="239">
        <v>0</v>
      </c>
      <c r="CX209" s="239">
        <v>0</v>
      </c>
      <c r="CY209" s="239">
        <v>0</v>
      </c>
      <c r="CZ209" s="239">
        <v>0</v>
      </c>
      <c r="DA209" s="239">
        <v>0</v>
      </c>
      <c r="DB209" s="239">
        <v>0</v>
      </c>
      <c r="DC209" s="239">
        <v>0</v>
      </c>
      <c r="DD209" s="239">
        <v>0</v>
      </c>
      <c r="DE209" s="239">
        <v>0</v>
      </c>
      <c r="DF209" s="239">
        <v>0</v>
      </c>
      <c r="DG209" s="239">
        <v>0</v>
      </c>
      <c r="DH209" s="239">
        <v>0</v>
      </c>
      <c r="DI209" s="239">
        <v>0</v>
      </c>
      <c r="DJ209" s="239">
        <v>0</v>
      </c>
      <c r="DK209" s="239">
        <v>0</v>
      </c>
      <c r="DL209" s="239">
        <v>0</v>
      </c>
      <c r="DM209" s="239">
        <v>0</v>
      </c>
      <c r="DN209" s="239">
        <v>0</v>
      </c>
      <c r="DO209" s="239">
        <v>0</v>
      </c>
      <c r="DP209" s="239">
        <v>0</v>
      </c>
      <c r="DQ209" s="239">
        <v>0</v>
      </c>
      <c r="DR209" s="239">
        <v>0</v>
      </c>
      <c r="DS209" s="239">
        <v>0</v>
      </c>
      <c r="DT209" s="239">
        <v>0</v>
      </c>
      <c r="DU209" s="239">
        <v>0</v>
      </c>
      <c r="DV209" s="239">
        <v>0</v>
      </c>
      <c r="DW209" s="239">
        <v>0</v>
      </c>
      <c r="DX209" s="239">
        <v>0</v>
      </c>
      <c r="DY209" s="239">
        <v>0</v>
      </c>
      <c r="DZ209" s="239">
        <v>54517</v>
      </c>
      <c r="EA209" s="239">
        <v>67237</v>
      </c>
      <c r="EB209" s="239">
        <v>0</v>
      </c>
      <c r="EC209" s="239">
        <v>123142</v>
      </c>
      <c r="ED209" s="239">
        <v>0</v>
      </c>
      <c r="EE209" s="239">
        <v>0</v>
      </c>
      <c r="EF209" s="239">
        <v>-68625</v>
      </c>
      <c r="EG209" s="239">
        <v>67237</v>
      </c>
      <c r="EH209" s="239">
        <v>0</v>
      </c>
      <c r="EI209" s="239">
        <v>285440</v>
      </c>
      <c r="EJ209" s="239">
        <v>352042</v>
      </c>
      <c r="EK209" s="239">
        <v>0</v>
      </c>
      <c r="EL209" s="239">
        <v>669556</v>
      </c>
      <c r="EM209" s="239">
        <v>0</v>
      </c>
      <c r="EN209" s="239">
        <v>0</v>
      </c>
      <c r="EO209" s="239">
        <v>-384116</v>
      </c>
      <c r="EP209" s="239">
        <v>352042</v>
      </c>
      <c r="EQ209" s="239">
        <v>0</v>
      </c>
      <c r="ER209" s="239">
        <v>7308</v>
      </c>
      <c r="ES209" s="239">
        <v>9013</v>
      </c>
      <c r="ET209" s="239">
        <v>0</v>
      </c>
      <c r="EU209" s="239">
        <v>17002</v>
      </c>
      <c r="EV209" s="239">
        <v>0</v>
      </c>
      <c r="EW209" s="239">
        <v>0</v>
      </c>
      <c r="EX209" s="239">
        <v>-9694</v>
      </c>
      <c r="EY209" s="239">
        <v>9013</v>
      </c>
      <c r="EZ209" s="239">
        <v>0</v>
      </c>
      <c r="FA209" s="239">
        <v>223629</v>
      </c>
      <c r="FB209" s="239">
        <v>275809</v>
      </c>
      <c r="FC209" s="239">
        <v>0</v>
      </c>
      <c r="FD209" s="239">
        <v>265380</v>
      </c>
      <c r="FE209" s="239">
        <v>327302</v>
      </c>
      <c r="FF209" s="239">
        <v>0</v>
      </c>
      <c r="FG209" s="239">
        <v>-41751</v>
      </c>
      <c r="FH209" s="239">
        <v>-51493</v>
      </c>
      <c r="FI209" s="239">
        <v>0</v>
      </c>
      <c r="FJ209" s="239">
        <v>0</v>
      </c>
      <c r="FK209" s="239">
        <v>0</v>
      </c>
      <c r="FL209" s="239">
        <v>0</v>
      </c>
      <c r="FM209" s="239">
        <v>0</v>
      </c>
      <c r="FN209" s="239">
        <v>0</v>
      </c>
      <c r="FO209" s="239">
        <v>0</v>
      </c>
      <c r="FP209" s="239">
        <v>0</v>
      </c>
      <c r="FQ209" s="239">
        <v>0</v>
      </c>
      <c r="FR209" s="239">
        <v>0</v>
      </c>
      <c r="FS209" s="239">
        <v>0</v>
      </c>
      <c r="FT209" s="239">
        <v>0</v>
      </c>
      <c r="FU209" s="239">
        <v>0</v>
      </c>
      <c r="FV209" s="239">
        <v>1987868</v>
      </c>
      <c r="FW209" s="239">
        <v>2451701</v>
      </c>
      <c r="FX209" s="239">
        <v>0</v>
      </c>
      <c r="FY209" s="834">
        <v>0.33000000000000007</v>
      </c>
      <c r="FZ209" s="834">
        <v>0.3</v>
      </c>
      <c r="GA209" s="834">
        <v>0.37</v>
      </c>
      <c r="GB209" s="834">
        <v>0</v>
      </c>
      <c r="GC209" s="214" t="s">
        <v>1159</v>
      </c>
    </row>
    <row r="210" spans="2:185" s="214" customFormat="1" x14ac:dyDescent="0.2">
      <c r="B210" s="602" t="s">
        <v>503</v>
      </c>
      <c r="C210" s="602" t="s">
        <v>502</v>
      </c>
      <c r="D210" s="239">
        <v>-7598616</v>
      </c>
      <c r="E210" s="239">
        <v>-157904</v>
      </c>
      <c r="F210" s="239">
        <v>-7756520</v>
      </c>
      <c r="G210" s="239">
        <v>-790999</v>
      </c>
      <c r="H210" s="239">
        <v>0</v>
      </c>
      <c r="I210" s="239">
        <v>-790999</v>
      </c>
      <c r="J210" s="239">
        <v>-6807617</v>
      </c>
      <c r="K210" s="239">
        <v>-157904</v>
      </c>
      <c r="L210" s="239">
        <v>-6965521</v>
      </c>
      <c r="M210" s="239">
        <v>157055</v>
      </c>
      <c r="N210" s="239">
        <v>157055</v>
      </c>
      <c r="O210" s="239">
        <v>0</v>
      </c>
      <c r="P210" s="239">
        <v>2092122</v>
      </c>
      <c r="Q210" s="239">
        <v>356805</v>
      </c>
      <c r="R210" s="239">
        <v>1735317</v>
      </c>
      <c r="S210" s="239">
        <v>0</v>
      </c>
      <c r="T210" s="239">
        <v>0</v>
      </c>
      <c r="U210" s="239">
        <v>0</v>
      </c>
      <c r="V210" s="239">
        <v>0</v>
      </c>
      <c r="W210" s="239">
        <v>0</v>
      </c>
      <c r="X210" s="239">
        <v>0</v>
      </c>
      <c r="Y210" s="239">
        <v>0</v>
      </c>
      <c r="Z210" s="239">
        <v>0</v>
      </c>
      <c r="AA210" s="239">
        <v>0</v>
      </c>
      <c r="AB210" s="239">
        <v>0</v>
      </c>
      <c r="AC210" s="239">
        <v>0</v>
      </c>
      <c r="AD210" s="239">
        <v>0</v>
      </c>
      <c r="AE210" s="239">
        <v>0</v>
      </c>
      <c r="AF210" s="239">
        <v>0</v>
      </c>
      <c r="AG210" s="239">
        <v>0</v>
      </c>
      <c r="AH210" s="239">
        <v>0</v>
      </c>
      <c r="AI210" s="239">
        <v>0</v>
      </c>
      <c r="AJ210" s="239">
        <v>0</v>
      </c>
      <c r="AK210" s="239">
        <v>0</v>
      </c>
      <c r="AL210" s="239">
        <v>0</v>
      </c>
      <c r="AM210" s="239">
        <v>0</v>
      </c>
      <c r="AN210" s="239">
        <v>0</v>
      </c>
      <c r="AO210" s="239">
        <v>0</v>
      </c>
      <c r="AP210" s="239">
        <v>0</v>
      </c>
      <c r="AQ210" s="239">
        <v>0</v>
      </c>
      <c r="AR210" s="239">
        <v>0</v>
      </c>
      <c r="AS210" s="239">
        <v>0</v>
      </c>
      <c r="AT210" s="239">
        <v>0</v>
      </c>
      <c r="AU210" s="239">
        <v>0</v>
      </c>
      <c r="AV210" s="239">
        <v>0</v>
      </c>
      <c r="AW210" s="239">
        <v>0</v>
      </c>
      <c r="AX210" s="239">
        <v>0</v>
      </c>
      <c r="AY210" s="239">
        <v>0</v>
      </c>
      <c r="AZ210" s="239">
        <v>0</v>
      </c>
      <c r="BA210" s="239">
        <v>0</v>
      </c>
      <c r="BB210" s="239">
        <v>0</v>
      </c>
      <c r="BC210" s="239">
        <v>1179771</v>
      </c>
      <c r="BD210" s="239">
        <v>0</v>
      </c>
      <c r="BE210" s="239">
        <v>24077</v>
      </c>
      <c r="BF210" s="239">
        <v>1158616.1351175108</v>
      </c>
      <c r="BG210" s="239">
        <v>0</v>
      </c>
      <c r="BH210" s="239">
        <v>23645.227247296134</v>
      </c>
      <c r="BI210" s="239">
        <v>63213.402398068669</v>
      </c>
      <c r="BJ210" s="239">
        <v>0</v>
      </c>
      <c r="BK210" s="239">
        <v>1290.0694366952789</v>
      </c>
      <c r="BL210" s="239">
        <v>1030868</v>
      </c>
      <c r="BM210" s="239">
        <v>0</v>
      </c>
      <c r="BN210" s="239">
        <v>16082</v>
      </c>
      <c r="BO210" s="239">
        <v>148903</v>
      </c>
      <c r="BP210" s="239">
        <v>0</v>
      </c>
      <c r="BQ210" s="239">
        <v>7995</v>
      </c>
      <c r="BR210" s="239">
        <v>0</v>
      </c>
      <c r="BS210" s="239">
        <v>0</v>
      </c>
      <c r="BT210" s="239">
        <v>0</v>
      </c>
      <c r="BU210" s="239">
        <v>0</v>
      </c>
      <c r="BV210" s="239">
        <v>0</v>
      </c>
      <c r="BW210" s="239">
        <v>0</v>
      </c>
      <c r="BX210" s="239">
        <v>0</v>
      </c>
      <c r="BY210" s="239">
        <v>0</v>
      </c>
      <c r="BZ210" s="239">
        <v>0</v>
      </c>
      <c r="CA210" s="239">
        <v>0</v>
      </c>
      <c r="CB210" s="239">
        <v>0</v>
      </c>
      <c r="CC210" s="239">
        <v>0</v>
      </c>
      <c r="CD210" s="239">
        <v>0</v>
      </c>
      <c r="CE210" s="239">
        <v>0</v>
      </c>
      <c r="CF210" s="239">
        <v>0</v>
      </c>
      <c r="CG210" s="239">
        <v>0</v>
      </c>
      <c r="CH210" s="239">
        <v>0</v>
      </c>
      <c r="CI210" s="239">
        <v>0</v>
      </c>
      <c r="CJ210" s="239">
        <v>103</v>
      </c>
      <c r="CK210" s="239">
        <v>0</v>
      </c>
      <c r="CL210" s="239">
        <v>2</v>
      </c>
      <c r="CM210" s="239">
        <v>99472</v>
      </c>
      <c r="CN210" s="239">
        <v>0</v>
      </c>
      <c r="CO210" s="239">
        <v>2030</v>
      </c>
      <c r="CP210" s="239">
        <v>-99369</v>
      </c>
      <c r="CQ210" s="239">
        <v>0</v>
      </c>
      <c r="CR210" s="239">
        <v>-2028</v>
      </c>
      <c r="CS210" s="239">
        <v>475</v>
      </c>
      <c r="CT210" s="239">
        <v>0</v>
      </c>
      <c r="CU210" s="239">
        <v>10</v>
      </c>
      <c r="CV210" s="239">
        <v>0</v>
      </c>
      <c r="CW210" s="239">
        <v>0</v>
      </c>
      <c r="CX210" s="239">
        <v>0</v>
      </c>
      <c r="CY210" s="239">
        <v>0</v>
      </c>
      <c r="CZ210" s="239">
        <v>0</v>
      </c>
      <c r="DA210" s="239">
        <v>0</v>
      </c>
      <c r="DB210" s="239">
        <v>0</v>
      </c>
      <c r="DC210" s="239">
        <v>0</v>
      </c>
      <c r="DD210" s="239">
        <v>0</v>
      </c>
      <c r="DE210" s="239">
        <v>0</v>
      </c>
      <c r="DF210" s="239">
        <v>0</v>
      </c>
      <c r="DG210" s="239">
        <v>0</v>
      </c>
      <c r="DH210" s="239">
        <v>0</v>
      </c>
      <c r="DI210" s="239">
        <v>0</v>
      </c>
      <c r="DJ210" s="239">
        <v>0</v>
      </c>
      <c r="DK210" s="239">
        <v>325</v>
      </c>
      <c r="DL210" s="239">
        <v>0</v>
      </c>
      <c r="DM210" s="239">
        <v>7</v>
      </c>
      <c r="DN210" s="239">
        <v>-325</v>
      </c>
      <c r="DO210" s="239">
        <v>0</v>
      </c>
      <c r="DP210" s="239">
        <v>-7</v>
      </c>
      <c r="DQ210" s="239">
        <v>0</v>
      </c>
      <c r="DR210" s="239">
        <v>0</v>
      </c>
      <c r="DS210" s="239">
        <v>0</v>
      </c>
      <c r="DT210" s="239">
        <v>0</v>
      </c>
      <c r="DU210" s="239">
        <v>0</v>
      </c>
      <c r="DV210" s="239">
        <v>0</v>
      </c>
      <c r="DW210" s="239">
        <v>0</v>
      </c>
      <c r="DX210" s="239">
        <v>0</v>
      </c>
      <c r="DY210" s="239">
        <v>0</v>
      </c>
      <c r="DZ210" s="239">
        <v>5619</v>
      </c>
      <c r="EA210" s="239">
        <v>0</v>
      </c>
      <c r="EB210" s="239">
        <v>115</v>
      </c>
      <c r="EC210" s="239">
        <v>5734</v>
      </c>
      <c r="ED210" s="239">
        <v>0</v>
      </c>
      <c r="EE210" s="239">
        <v>0</v>
      </c>
      <c r="EF210" s="239">
        <v>-115</v>
      </c>
      <c r="EG210" s="239">
        <v>0</v>
      </c>
      <c r="EH210" s="239">
        <v>115</v>
      </c>
      <c r="EI210" s="239">
        <v>69503</v>
      </c>
      <c r="EJ210" s="239">
        <v>0</v>
      </c>
      <c r="EK210" s="239">
        <v>1418</v>
      </c>
      <c r="EL210" s="239">
        <v>91229</v>
      </c>
      <c r="EM210" s="239">
        <v>0</v>
      </c>
      <c r="EN210" s="239">
        <v>0</v>
      </c>
      <c r="EO210" s="239">
        <v>-21726</v>
      </c>
      <c r="EP210" s="239">
        <v>0</v>
      </c>
      <c r="EQ210" s="239">
        <v>1418</v>
      </c>
      <c r="ER210" s="239">
        <v>18039</v>
      </c>
      <c r="ES210" s="239">
        <v>0</v>
      </c>
      <c r="ET210" s="239">
        <v>368</v>
      </c>
      <c r="EU210" s="239">
        <v>15314</v>
      </c>
      <c r="EV210" s="239">
        <v>0</v>
      </c>
      <c r="EW210" s="239">
        <v>0</v>
      </c>
      <c r="EX210" s="239">
        <v>2725</v>
      </c>
      <c r="EY210" s="239">
        <v>0</v>
      </c>
      <c r="EZ210" s="239">
        <v>368</v>
      </c>
      <c r="FA210" s="239">
        <v>251503</v>
      </c>
      <c r="FB210" s="239">
        <v>0</v>
      </c>
      <c r="FC210" s="239">
        <v>4491</v>
      </c>
      <c r="FD210" s="239">
        <v>259372</v>
      </c>
      <c r="FE210" s="239">
        <v>0</v>
      </c>
      <c r="FF210" s="239">
        <v>5184</v>
      </c>
      <c r="FG210" s="239">
        <v>-7869</v>
      </c>
      <c r="FH210" s="239">
        <v>0</v>
      </c>
      <c r="FI210" s="239">
        <v>-693</v>
      </c>
      <c r="FJ210" s="239">
        <v>0</v>
      </c>
      <c r="FK210" s="239">
        <v>0</v>
      </c>
      <c r="FL210" s="239">
        <v>0</v>
      </c>
      <c r="FM210" s="239">
        <v>0</v>
      </c>
      <c r="FN210" s="239">
        <v>0</v>
      </c>
      <c r="FO210" s="239">
        <v>0</v>
      </c>
      <c r="FP210" s="239">
        <v>0</v>
      </c>
      <c r="FQ210" s="239">
        <v>0</v>
      </c>
      <c r="FR210" s="239">
        <v>0</v>
      </c>
      <c r="FS210" s="239">
        <v>31571298</v>
      </c>
      <c r="FT210" s="239">
        <v>30647905</v>
      </c>
      <c r="FU210" s="239">
        <v>461697</v>
      </c>
      <c r="FV210" s="239">
        <v>1986710</v>
      </c>
      <c r="FW210" s="239">
        <v>0</v>
      </c>
      <c r="FX210" s="239">
        <v>30481</v>
      </c>
      <c r="FY210" s="834">
        <v>0.5</v>
      </c>
      <c r="FZ210" s="834">
        <v>0.49</v>
      </c>
      <c r="GA210" s="834">
        <v>0</v>
      </c>
      <c r="GB210" s="834">
        <v>0.01</v>
      </c>
      <c r="GC210" s="214" t="s">
        <v>746</v>
      </c>
    </row>
    <row r="211" spans="2:185" s="214" customFormat="1" x14ac:dyDescent="0.2">
      <c r="B211" s="602" t="s">
        <v>505</v>
      </c>
      <c r="C211" s="602" t="s">
        <v>504</v>
      </c>
      <c r="D211" s="239">
        <v>-2971648</v>
      </c>
      <c r="E211" s="239">
        <v>0</v>
      </c>
      <c r="F211" s="239">
        <v>-2971648</v>
      </c>
      <c r="G211" s="239">
        <v>-2980302.81</v>
      </c>
      <c r="H211" s="239">
        <v>0</v>
      </c>
      <c r="I211" s="239">
        <v>-2980302.81</v>
      </c>
      <c r="J211" s="239">
        <v>8654.8100000000559</v>
      </c>
      <c r="K211" s="239">
        <v>0</v>
      </c>
      <c r="L211" s="239">
        <v>8654.8100000000559</v>
      </c>
      <c r="M211" s="239">
        <v>106549</v>
      </c>
      <c r="N211" s="239">
        <v>106549</v>
      </c>
      <c r="O211" s="239">
        <v>0</v>
      </c>
      <c r="P211" s="239">
        <v>0</v>
      </c>
      <c r="Q211" s="239">
        <v>0</v>
      </c>
      <c r="R211" s="239">
        <v>0</v>
      </c>
      <c r="S211" s="239">
        <v>0</v>
      </c>
      <c r="T211" s="239">
        <v>0</v>
      </c>
      <c r="U211" s="239">
        <v>0</v>
      </c>
      <c r="V211" s="239">
        <v>0</v>
      </c>
      <c r="W211" s="239">
        <v>0</v>
      </c>
      <c r="X211" s="239">
        <v>0</v>
      </c>
      <c r="Y211" s="239">
        <v>0</v>
      </c>
      <c r="Z211" s="239">
        <v>0</v>
      </c>
      <c r="AA211" s="239">
        <v>0</v>
      </c>
      <c r="AB211" s="239">
        <v>0</v>
      </c>
      <c r="AC211" s="239">
        <v>0</v>
      </c>
      <c r="AD211" s="239">
        <v>0</v>
      </c>
      <c r="AE211" s="239">
        <v>0</v>
      </c>
      <c r="AF211" s="239">
        <v>0</v>
      </c>
      <c r="AG211" s="239">
        <v>0</v>
      </c>
      <c r="AH211" s="239">
        <v>0</v>
      </c>
      <c r="AI211" s="239">
        <v>0</v>
      </c>
      <c r="AJ211" s="239">
        <v>0</v>
      </c>
      <c r="AK211" s="239">
        <v>0</v>
      </c>
      <c r="AL211" s="239">
        <v>0</v>
      </c>
      <c r="AM211" s="239">
        <v>0</v>
      </c>
      <c r="AN211" s="239">
        <v>0</v>
      </c>
      <c r="AO211" s="239">
        <v>0</v>
      </c>
      <c r="AP211" s="239">
        <v>0</v>
      </c>
      <c r="AQ211" s="239">
        <v>0</v>
      </c>
      <c r="AR211" s="239">
        <v>0</v>
      </c>
      <c r="AS211" s="239">
        <v>0</v>
      </c>
      <c r="AT211" s="239">
        <v>0</v>
      </c>
      <c r="AU211" s="239">
        <v>0</v>
      </c>
      <c r="AV211" s="239">
        <v>0</v>
      </c>
      <c r="AW211" s="239">
        <v>0</v>
      </c>
      <c r="AX211" s="239">
        <v>0</v>
      </c>
      <c r="AY211" s="239">
        <v>0</v>
      </c>
      <c r="AZ211" s="239">
        <v>0</v>
      </c>
      <c r="BA211" s="239">
        <v>0</v>
      </c>
      <c r="BB211" s="239">
        <v>0</v>
      </c>
      <c r="BC211" s="239">
        <v>698996</v>
      </c>
      <c r="BD211" s="239">
        <v>157274</v>
      </c>
      <c r="BE211" s="239">
        <v>17475</v>
      </c>
      <c r="BF211" s="239">
        <v>676415.86802489264</v>
      </c>
      <c r="BG211" s="239">
        <v>152193.57030560085</v>
      </c>
      <c r="BH211" s="239">
        <v>16910.396700622317</v>
      </c>
      <c r="BI211" s="239">
        <v>69605.972733047209</v>
      </c>
      <c r="BJ211" s="239">
        <v>15661.343864935621</v>
      </c>
      <c r="BK211" s="239">
        <v>1740.1493183261803</v>
      </c>
      <c r="BL211" s="239">
        <v>615775</v>
      </c>
      <c r="BM211" s="239">
        <v>90555</v>
      </c>
      <c r="BN211" s="239">
        <v>10062</v>
      </c>
      <c r="BO211" s="239">
        <v>83221</v>
      </c>
      <c r="BP211" s="239">
        <v>66719</v>
      </c>
      <c r="BQ211" s="239">
        <v>7413</v>
      </c>
      <c r="BR211" s="239">
        <v>0</v>
      </c>
      <c r="BS211" s="239">
        <v>0</v>
      </c>
      <c r="BT211" s="239">
        <v>0</v>
      </c>
      <c r="BU211" s="239">
        <v>0</v>
      </c>
      <c r="BV211" s="239">
        <v>0</v>
      </c>
      <c r="BW211" s="239">
        <v>0</v>
      </c>
      <c r="BX211" s="239">
        <v>0</v>
      </c>
      <c r="BY211" s="239">
        <v>0</v>
      </c>
      <c r="BZ211" s="239">
        <v>0</v>
      </c>
      <c r="CA211" s="239">
        <v>0</v>
      </c>
      <c r="CB211" s="239">
        <v>0</v>
      </c>
      <c r="CC211" s="239">
        <v>0</v>
      </c>
      <c r="CD211" s="239">
        <v>0</v>
      </c>
      <c r="CE211" s="239">
        <v>0</v>
      </c>
      <c r="CF211" s="239">
        <v>0</v>
      </c>
      <c r="CG211" s="239">
        <v>0</v>
      </c>
      <c r="CH211" s="239">
        <v>0</v>
      </c>
      <c r="CI211" s="239">
        <v>0</v>
      </c>
      <c r="CJ211" s="239">
        <v>2172</v>
      </c>
      <c r="CK211" s="239">
        <v>489</v>
      </c>
      <c r="CL211" s="239">
        <v>54</v>
      </c>
      <c r="CM211" s="239">
        <v>0</v>
      </c>
      <c r="CN211" s="239">
        <v>0</v>
      </c>
      <c r="CO211" s="239">
        <v>0</v>
      </c>
      <c r="CP211" s="239">
        <v>2172</v>
      </c>
      <c r="CQ211" s="239">
        <v>489</v>
      </c>
      <c r="CR211" s="239">
        <v>54</v>
      </c>
      <c r="CS211" s="239">
        <v>-68</v>
      </c>
      <c r="CT211" s="239">
        <v>-15</v>
      </c>
      <c r="CU211" s="239">
        <v>-2</v>
      </c>
      <c r="CV211" s="239">
        <v>0</v>
      </c>
      <c r="CW211" s="239">
        <v>0</v>
      </c>
      <c r="CX211" s="239">
        <v>0</v>
      </c>
      <c r="CY211" s="239">
        <v>0</v>
      </c>
      <c r="CZ211" s="239">
        <v>0</v>
      </c>
      <c r="DA211" s="239">
        <v>0</v>
      </c>
      <c r="DB211" s="239">
        <v>0</v>
      </c>
      <c r="DC211" s="239">
        <v>0</v>
      </c>
      <c r="DD211" s="239">
        <v>0</v>
      </c>
      <c r="DE211" s="239">
        <v>0</v>
      </c>
      <c r="DF211" s="239">
        <v>0</v>
      </c>
      <c r="DG211" s="239">
        <v>0</v>
      </c>
      <c r="DH211" s="239">
        <v>617</v>
      </c>
      <c r="DI211" s="239">
        <v>139</v>
      </c>
      <c r="DJ211" s="239">
        <v>15</v>
      </c>
      <c r="DK211" s="239">
        <v>600</v>
      </c>
      <c r="DL211" s="239">
        <v>135</v>
      </c>
      <c r="DM211" s="239">
        <v>15</v>
      </c>
      <c r="DN211" s="239">
        <v>17</v>
      </c>
      <c r="DO211" s="239">
        <v>4</v>
      </c>
      <c r="DP211" s="239">
        <v>0</v>
      </c>
      <c r="DQ211" s="239">
        <v>1218</v>
      </c>
      <c r="DR211" s="239">
        <v>274</v>
      </c>
      <c r="DS211" s="239">
        <v>30</v>
      </c>
      <c r="DT211" s="239">
        <v>1219</v>
      </c>
      <c r="DU211" s="239">
        <v>274</v>
      </c>
      <c r="DV211" s="239">
        <v>30</v>
      </c>
      <c r="DW211" s="239">
        <v>-1</v>
      </c>
      <c r="DX211" s="239">
        <v>0</v>
      </c>
      <c r="DY211" s="239">
        <v>0</v>
      </c>
      <c r="DZ211" s="239">
        <v>3143</v>
      </c>
      <c r="EA211" s="239">
        <v>707</v>
      </c>
      <c r="EB211" s="239">
        <v>79</v>
      </c>
      <c r="EC211" s="239">
        <v>3929</v>
      </c>
      <c r="ED211" s="239">
        <v>0</v>
      </c>
      <c r="EE211" s="239">
        <v>0</v>
      </c>
      <c r="EF211" s="239">
        <v>-786</v>
      </c>
      <c r="EG211" s="239">
        <v>707</v>
      </c>
      <c r="EH211" s="239">
        <v>79</v>
      </c>
      <c r="EI211" s="239">
        <v>6443</v>
      </c>
      <c r="EJ211" s="239">
        <v>1450</v>
      </c>
      <c r="EK211" s="239">
        <v>161</v>
      </c>
      <c r="EL211" s="239">
        <v>61797</v>
      </c>
      <c r="EM211" s="239">
        <v>0</v>
      </c>
      <c r="EN211" s="239">
        <v>0</v>
      </c>
      <c r="EO211" s="239">
        <v>-55354</v>
      </c>
      <c r="EP211" s="239">
        <v>1450</v>
      </c>
      <c r="EQ211" s="239">
        <v>161</v>
      </c>
      <c r="ER211" s="239">
        <v>9313</v>
      </c>
      <c r="ES211" s="239">
        <v>2095</v>
      </c>
      <c r="ET211" s="239">
        <v>233</v>
      </c>
      <c r="EU211" s="239">
        <v>11001</v>
      </c>
      <c r="EV211" s="239">
        <v>0</v>
      </c>
      <c r="EW211" s="239">
        <v>0</v>
      </c>
      <c r="EX211" s="239">
        <v>-1688</v>
      </c>
      <c r="EY211" s="239">
        <v>2095</v>
      </c>
      <c r="EZ211" s="239">
        <v>233</v>
      </c>
      <c r="FA211" s="239">
        <v>188413</v>
      </c>
      <c r="FB211" s="239">
        <v>42393</v>
      </c>
      <c r="FC211" s="239">
        <v>4710</v>
      </c>
      <c r="FD211" s="239">
        <v>190156</v>
      </c>
      <c r="FE211" s="239">
        <v>42785</v>
      </c>
      <c r="FF211" s="239">
        <v>4754</v>
      </c>
      <c r="FG211" s="239">
        <v>-1743</v>
      </c>
      <c r="FH211" s="239">
        <v>-392</v>
      </c>
      <c r="FI211" s="239">
        <v>-44</v>
      </c>
      <c r="FJ211" s="239">
        <v>0</v>
      </c>
      <c r="FK211" s="239">
        <v>0</v>
      </c>
      <c r="FL211" s="239">
        <v>0</v>
      </c>
      <c r="FM211" s="239">
        <v>0</v>
      </c>
      <c r="FN211" s="239">
        <v>0</v>
      </c>
      <c r="FO211" s="239">
        <v>0</v>
      </c>
      <c r="FP211" s="239">
        <v>0</v>
      </c>
      <c r="FQ211" s="239">
        <v>0</v>
      </c>
      <c r="FR211" s="239">
        <v>0</v>
      </c>
      <c r="FS211" s="239">
        <v>0</v>
      </c>
      <c r="FT211" s="239">
        <v>0</v>
      </c>
      <c r="FU211" s="239">
        <v>0</v>
      </c>
      <c r="FV211" s="239">
        <v>910247</v>
      </c>
      <c r="FW211" s="239">
        <v>204806</v>
      </c>
      <c r="FX211" s="239">
        <v>22755</v>
      </c>
      <c r="FY211" s="834">
        <v>0.5</v>
      </c>
      <c r="FZ211" s="834">
        <v>0.4</v>
      </c>
      <c r="GA211" s="834">
        <v>0.09</v>
      </c>
      <c r="GB211" s="834">
        <v>0.01</v>
      </c>
      <c r="GC211" s="214" t="s">
        <v>1158</v>
      </c>
    </row>
    <row r="212" spans="2:185" s="214" customFormat="1" x14ac:dyDescent="0.2">
      <c r="B212" s="602" t="s">
        <v>507</v>
      </c>
      <c r="C212" s="602" t="s">
        <v>506</v>
      </c>
      <c r="D212" s="239">
        <v>680879</v>
      </c>
      <c r="E212" s="239">
        <v>0</v>
      </c>
      <c r="F212" s="239">
        <v>680879</v>
      </c>
      <c r="G212" s="239">
        <v>769898</v>
      </c>
      <c r="H212" s="239">
        <v>0</v>
      </c>
      <c r="I212" s="239">
        <v>769898</v>
      </c>
      <c r="J212" s="239">
        <v>-89019</v>
      </c>
      <c r="K212" s="239">
        <v>0</v>
      </c>
      <c r="L212" s="239">
        <v>-89019</v>
      </c>
      <c r="M212" s="239">
        <v>174020</v>
      </c>
      <c r="N212" s="239">
        <v>174020</v>
      </c>
      <c r="O212" s="239">
        <v>0</v>
      </c>
      <c r="P212" s="239">
        <v>0</v>
      </c>
      <c r="Q212" s="239">
        <v>0</v>
      </c>
      <c r="R212" s="239">
        <v>0</v>
      </c>
      <c r="S212" s="239">
        <v>0</v>
      </c>
      <c r="T212" s="239">
        <v>0</v>
      </c>
      <c r="U212" s="239">
        <v>0</v>
      </c>
      <c r="V212" s="239">
        <v>0</v>
      </c>
      <c r="W212" s="239">
        <v>0</v>
      </c>
      <c r="X212" s="239">
        <v>0</v>
      </c>
      <c r="Y212" s="239">
        <v>0</v>
      </c>
      <c r="Z212" s="239">
        <v>0</v>
      </c>
      <c r="AA212" s="239">
        <v>0</v>
      </c>
      <c r="AB212" s="239">
        <v>0</v>
      </c>
      <c r="AC212" s="239">
        <v>0</v>
      </c>
      <c r="AD212" s="239">
        <v>0</v>
      </c>
      <c r="AE212" s="239">
        <v>0</v>
      </c>
      <c r="AF212" s="239">
        <v>0</v>
      </c>
      <c r="AG212" s="239">
        <v>0</v>
      </c>
      <c r="AH212" s="239">
        <v>0</v>
      </c>
      <c r="AI212" s="239">
        <v>0</v>
      </c>
      <c r="AJ212" s="239">
        <v>0</v>
      </c>
      <c r="AK212" s="239">
        <v>0</v>
      </c>
      <c r="AL212" s="239">
        <v>0</v>
      </c>
      <c r="AM212" s="239">
        <v>0</v>
      </c>
      <c r="AN212" s="239">
        <v>0</v>
      </c>
      <c r="AO212" s="239">
        <v>0</v>
      </c>
      <c r="AP212" s="239">
        <v>0</v>
      </c>
      <c r="AQ212" s="239">
        <v>0</v>
      </c>
      <c r="AR212" s="239">
        <v>0</v>
      </c>
      <c r="AS212" s="239">
        <v>0</v>
      </c>
      <c r="AT212" s="239">
        <v>0</v>
      </c>
      <c r="AU212" s="239">
        <v>0</v>
      </c>
      <c r="AV212" s="239">
        <v>0</v>
      </c>
      <c r="AW212" s="239">
        <v>0</v>
      </c>
      <c r="AX212" s="239">
        <v>0</v>
      </c>
      <c r="AY212" s="239">
        <v>0</v>
      </c>
      <c r="AZ212" s="239">
        <v>0</v>
      </c>
      <c r="BA212" s="239">
        <v>0</v>
      </c>
      <c r="BB212" s="239">
        <v>0</v>
      </c>
      <c r="BC212" s="239">
        <v>964553</v>
      </c>
      <c r="BD212" s="239">
        <v>241138</v>
      </c>
      <c r="BE212" s="239">
        <v>0</v>
      </c>
      <c r="BF212" s="239">
        <v>931315.03371759655</v>
      </c>
      <c r="BG212" s="239">
        <v>232828.75842939914</v>
      </c>
      <c r="BH212" s="239">
        <v>0</v>
      </c>
      <c r="BI212" s="239">
        <v>99024.234935622328</v>
      </c>
      <c r="BJ212" s="239">
        <v>24756.058733905582</v>
      </c>
      <c r="BK212" s="239">
        <v>0</v>
      </c>
      <c r="BL212" s="239">
        <v>874835</v>
      </c>
      <c r="BM212" s="239">
        <v>138205</v>
      </c>
      <c r="BN212" s="239">
        <v>0</v>
      </c>
      <c r="BO212" s="239">
        <v>89718</v>
      </c>
      <c r="BP212" s="239">
        <v>102933</v>
      </c>
      <c r="BQ212" s="239">
        <v>0</v>
      </c>
      <c r="BR212" s="239">
        <v>12482</v>
      </c>
      <c r="BS212" s="239">
        <v>3121</v>
      </c>
      <c r="BT212" s="239">
        <v>0</v>
      </c>
      <c r="BU212" s="239">
        <v>1967</v>
      </c>
      <c r="BV212" s="239">
        <v>492</v>
      </c>
      <c r="BW212" s="239">
        <v>0</v>
      </c>
      <c r="BX212" s="239">
        <v>10515</v>
      </c>
      <c r="BY212" s="239">
        <v>2629</v>
      </c>
      <c r="BZ212" s="239">
        <v>0</v>
      </c>
      <c r="CA212" s="239">
        <v>-14100</v>
      </c>
      <c r="CB212" s="239">
        <v>-3525</v>
      </c>
      <c r="CC212" s="239">
        <v>0</v>
      </c>
      <c r="CD212" s="239">
        <v>16428</v>
      </c>
      <c r="CE212" s="239">
        <v>4107</v>
      </c>
      <c r="CF212" s="239">
        <v>0</v>
      </c>
      <c r="CG212" s="239">
        <v>-30528</v>
      </c>
      <c r="CH212" s="239">
        <v>-7632</v>
      </c>
      <c r="CI212" s="239">
        <v>0</v>
      </c>
      <c r="CJ212" s="239">
        <v>5153</v>
      </c>
      <c r="CK212" s="239">
        <v>1288</v>
      </c>
      <c r="CL212" s="239">
        <v>0</v>
      </c>
      <c r="CM212" s="239">
        <v>0</v>
      </c>
      <c r="CN212" s="239">
        <v>0</v>
      </c>
      <c r="CO212" s="239">
        <v>0</v>
      </c>
      <c r="CP212" s="239">
        <v>5153</v>
      </c>
      <c r="CQ212" s="239">
        <v>1288</v>
      </c>
      <c r="CR212" s="239">
        <v>0</v>
      </c>
      <c r="CS212" s="239">
        <v>148</v>
      </c>
      <c r="CT212" s="239">
        <v>37</v>
      </c>
      <c r="CU212" s="239">
        <v>0</v>
      </c>
      <c r="CV212" s="239">
        <v>0</v>
      </c>
      <c r="CW212" s="239">
        <v>0</v>
      </c>
      <c r="CX212" s="239">
        <v>0</v>
      </c>
      <c r="CY212" s="239">
        <v>0</v>
      </c>
      <c r="CZ212" s="239">
        <v>0</v>
      </c>
      <c r="DA212" s="239">
        <v>0</v>
      </c>
      <c r="DB212" s="239">
        <v>0</v>
      </c>
      <c r="DC212" s="239">
        <v>0</v>
      </c>
      <c r="DD212" s="239">
        <v>0</v>
      </c>
      <c r="DE212" s="239">
        <v>32</v>
      </c>
      <c r="DF212" s="239">
        <v>8</v>
      </c>
      <c r="DG212" s="239">
        <v>0</v>
      </c>
      <c r="DH212" s="239">
        <v>0</v>
      </c>
      <c r="DI212" s="239">
        <v>0</v>
      </c>
      <c r="DJ212" s="239">
        <v>0</v>
      </c>
      <c r="DK212" s="239">
        <v>0</v>
      </c>
      <c r="DL212" s="239">
        <v>0</v>
      </c>
      <c r="DM212" s="239">
        <v>0</v>
      </c>
      <c r="DN212" s="239">
        <v>0</v>
      </c>
      <c r="DO212" s="239">
        <v>0</v>
      </c>
      <c r="DP212" s="239">
        <v>0</v>
      </c>
      <c r="DQ212" s="239">
        <v>0</v>
      </c>
      <c r="DR212" s="239">
        <v>0</v>
      </c>
      <c r="DS212" s="239">
        <v>0</v>
      </c>
      <c r="DT212" s="239">
        <v>0</v>
      </c>
      <c r="DU212" s="239">
        <v>0</v>
      </c>
      <c r="DV212" s="239">
        <v>0</v>
      </c>
      <c r="DW212" s="239">
        <v>0</v>
      </c>
      <c r="DX212" s="239">
        <v>0</v>
      </c>
      <c r="DY212" s="239">
        <v>0</v>
      </c>
      <c r="DZ212" s="239">
        <v>10140</v>
      </c>
      <c r="EA212" s="239">
        <v>2535</v>
      </c>
      <c r="EB212" s="239">
        <v>0</v>
      </c>
      <c r="EC212" s="239">
        <v>15225</v>
      </c>
      <c r="ED212" s="239">
        <v>0</v>
      </c>
      <c r="EE212" s="239">
        <v>0</v>
      </c>
      <c r="EF212" s="239">
        <v>-5085</v>
      </c>
      <c r="EG212" s="239">
        <v>2535</v>
      </c>
      <c r="EH212" s="239">
        <v>0</v>
      </c>
      <c r="EI212" s="239">
        <v>129327</v>
      </c>
      <c r="EJ212" s="239">
        <v>32332</v>
      </c>
      <c r="EK212" s="239">
        <v>0</v>
      </c>
      <c r="EL212" s="239">
        <v>201899</v>
      </c>
      <c r="EM212" s="239">
        <v>0</v>
      </c>
      <c r="EN212" s="239">
        <v>0</v>
      </c>
      <c r="EO212" s="239">
        <v>-72572</v>
      </c>
      <c r="EP212" s="239">
        <v>32332</v>
      </c>
      <c r="EQ212" s="239">
        <v>0</v>
      </c>
      <c r="ER212" s="239">
        <v>9764</v>
      </c>
      <c r="ES212" s="239">
        <v>2441</v>
      </c>
      <c r="ET212" s="239">
        <v>0</v>
      </c>
      <c r="EU212" s="239">
        <v>18270</v>
      </c>
      <c r="EV212" s="239">
        <v>0</v>
      </c>
      <c r="EW212" s="239">
        <v>0</v>
      </c>
      <c r="EX212" s="239">
        <v>-8506</v>
      </c>
      <c r="EY212" s="239">
        <v>2441</v>
      </c>
      <c r="EZ212" s="239">
        <v>0</v>
      </c>
      <c r="FA212" s="239">
        <v>316142</v>
      </c>
      <c r="FB212" s="239">
        <v>79036</v>
      </c>
      <c r="FC212" s="239">
        <v>0</v>
      </c>
      <c r="FD212" s="239">
        <v>338129</v>
      </c>
      <c r="FE212" s="239">
        <v>84532</v>
      </c>
      <c r="FF212" s="239">
        <v>0</v>
      </c>
      <c r="FG212" s="239">
        <v>-21987</v>
      </c>
      <c r="FH212" s="239">
        <v>-5496</v>
      </c>
      <c r="FI212" s="239">
        <v>0</v>
      </c>
      <c r="FJ212" s="239">
        <v>0</v>
      </c>
      <c r="FK212" s="239">
        <v>0</v>
      </c>
      <c r="FL212" s="239">
        <v>0</v>
      </c>
      <c r="FM212" s="239">
        <v>0</v>
      </c>
      <c r="FN212" s="239">
        <v>0</v>
      </c>
      <c r="FO212" s="239">
        <v>0</v>
      </c>
      <c r="FP212" s="239">
        <v>0</v>
      </c>
      <c r="FQ212" s="239">
        <v>0</v>
      </c>
      <c r="FR212" s="239">
        <v>0</v>
      </c>
      <c r="FS212" s="239">
        <v>0</v>
      </c>
      <c r="FT212" s="239">
        <v>0</v>
      </c>
      <c r="FU212" s="239">
        <v>0</v>
      </c>
      <c r="FV212" s="239">
        <v>1433641</v>
      </c>
      <c r="FW212" s="239">
        <v>358411</v>
      </c>
      <c r="FX212" s="239">
        <v>0</v>
      </c>
      <c r="FY212" s="834">
        <v>0.5</v>
      </c>
      <c r="FZ212" s="834">
        <v>0.4</v>
      </c>
      <c r="GA212" s="834">
        <v>0.1</v>
      </c>
      <c r="GB212" s="834">
        <v>0</v>
      </c>
      <c r="GC212" s="214" t="s">
        <v>1158</v>
      </c>
    </row>
    <row r="213" spans="2:185" s="214" customFormat="1" x14ac:dyDescent="0.2">
      <c r="B213" s="602" t="s">
        <v>509</v>
      </c>
      <c r="C213" s="602" t="s">
        <v>508</v>
      </c>
      <c r="D213" s="239">
        <v>-15894</v>
      </c>
      <c r="E213" s="239">
        <v>-21343</v>
      </c>
      <c r="F213" s="239">
        <v>-37237</v>
      </c>
      <c r="G213" s="239">
        <v>-23552</v>
      </c>
      <c r="H213" s="239">
        <v>0</v>
      </c>
      <c r="I213" s="239">
        <v>-23552</v>
      </c>
      <c r="J213" s="239">
        <v>7658</v>
      </c>
      <c r="K213" s="239">
        <v>-21343</v>
      </c>
      <c r="L213" s="239">
        <v>-13685</v>
      </c>
      <c r="M213" s="239">
        <v>88997</v>
      </c>
      <c r="N213" s="239">
        <v>88997</v>
      </c>
      <c r="O213" s="239">
        <v>0</v>
      </c>
      <c r="P213" s="239">
        <v>257324</v>
      </c>
      <c r="Q213" s="239">
        <v>21152</v>
      </c>
      <c r="R213" s="239">
        <v>236172</v>
      </c>
      <c r="S213" s="239">
        <v>99914</v>
      </c>
      <c r="T213" s="239">
        <v>0</v>
      </c>
      <c r="U213" s="239">
        <v>29091</v>
      </c>
      <c r="V213" s="239">
        <v>0</v>
      </c>
      <c r="W213" s="239">
        <v>70823</v>
      </c>
      <c r="X213" s="239">
        <v>0</v>
      </c>
      <c r="Y213" s="239">
        <v>0</v>
      </c>
      <c r="Z213" s="239">
        <v>0</v>
      </c>
      <c r="AA213" s="239">
        <v>0</v>
      </c>
      <c r="AB213" s="239">
        <v>0</v>
      </c>
      <c r="AC213" s="239">
        <v>0</v>
      </c>
      <c r="AD213" s="239">
        <v>0</v>
      </c>
      <c r="AE213" s="239">
        <v>0</v>
      </c>
      <c r="AF213" s="239">
        <v>0</v>
      </c>
      <c r="AG213" s="239">
        <v>0</v>
      </c>
      <c r="AH213" s="239">
        <v>0</v>
      </c>
      <c r="AI213" s="239">
        <v>0</v>
      </c>
      <c r="AJ213" s="239">
        <v>0</v>
      </c>
      <c r="AK213" s="239">
        <v>0</v>
      </c>
      <c r="AL213" s="239">
        <v>0</v>
      </c>
      <c r="AM213" s="239">
        <v>0</v>
      </c>
      <c r="AN213" s="239">
        <v>0</v>
      </c>
      <c r="AO213" s="239">
        <v>0</v>
      </c>
      <c r="AP213" s="239">
        <v>0</v>
      </c>
      <c r="AQ213" s="239">
        <v>0</v>
      </c>
      <c r="AR213" s="239">
        <v>0</v>
      </c>
      <c r="AS213" s="239">
        <v>0</v>
      </c>
      <c r="AT213" s="239">
        <v>0</v>
      </c>
      <c r="AU213" s="239">
        <v>0</v>
      </c>
      <c r="AV213" s="239">
        <v>0</v>
      </c>
      <c r="AW213" s="239">
        <v>0</v>
      </c>
      <c r="AX213" s="239">
        <v>0</v>
      </c>
      <c r="AY213" s="239">
        <v>0</v>
      </c>
      <c r="AZ213" s="239">
        <v>0</v>
      </c>
      <c r="BA213" s="239">
        <v>0</v>
      </c>
      <c r="BB213" s="239">
        <v>0</v>
      </c>
      <c r="BC213" s="239">
        <v>794294</v>
      </c>
      <c r="BD213" s="239">
        <v>178716</v>
      </c>
      <c r="BE213" s="239">
        <v>19857</v>
      </c>
      <c r="BF213" s="239">
        <v>782615.84304549359</v>
      </c>
      <c r="BG213" s="239">
        <v>176088.56468523605</v>
      </c>
      <c r="BH213" s="239">
        <v>19565.396076137338</v>
      </c>
      <c r="BI213" s="239">
        <v>29630.790643776822</v>
      </c>
      <c r="BJ213" s="239">
        <v>6666.9278948497849</v>
      </c>
      <c r="BK213" s="239">
        <v>740.76976609442056</v>
      </c>
      <c r="BL213" s="239">
        <v>788732</v>
      </c>
      <c r="BM213" s="239">
        <v>123669</v>
      </c>
      <c r="BN213" s="239">
        <v>13741</v>
      </c>
      <c r="BO213" s="239">
        <v>5562</v>
      </c>
      <c r="BP213" s="239">
        <v>55047</v>
      </c>
      <c r="BQ213" s="239">
        <v>6116</v>
      </c>
      <c r="BR213" s="239">
        <v>8240</v>
      </c>
      <c r="BS213" s="239">
        <v>1854</v>
      </c>
      <c r="BT213" s="239">
        <v>206</v>
      </c>
      <c r="BU213" s="239">
        <v>1851</v>
      </c>
      <c r="BV213" s="239">
        <v>416</v>
      </c>
      <c r="BW213" s="239">
        <v>46</v>
      </c>
      <c r="BX213" s="239">
        <v>6389</v>
      </c>
      <c r="BY213" s="239">
        <v>1438</v>
      </c>
      <c r="BZ213" s="239">
        <v>160</v>
      </c>
      <c r="CA213" s="239">
        <v>9</v>
      </c>
      <c r="CB213" s="239">
        <v>2</v>
      </c>
      <c r="CC213" s="239">
        <v>0</v>
      </c>
      <c r="CD213" s="239">
        <v>0</v>
      </c>
      <c r="CE213" s="239">
        <v>0</v>
      </c>
      <c r="CF213" s="239">
        <v>0</v>
      </c>
      <c r="CG213" s="239">
        <v>9</v>
      </c>
      <c r="CH213" s="239">
        <v>2</v>
      </c>
      <c r="CI213" s="239">
        <v>0</v>
      </c>
      <c r="CJ213" s="239">
        <v>22</v>
      </c>
      <c r="CK213" s="239">
        <v>5</v>
      </c>
      <c r="CL213" s="239">
        <v>1</v>
      </c>
      <c r="CM213" s="239">
        <v>0</v>
      </c>
      <c r="CN213" s="239">
        <v>0</v>
      </c>
      <c r="CO213" s="239">
        <v>0</v>
      </c>
      <c r="CP213" s="239">
        <v>22</v>
      </c>
      <c r="CQ213" s="239">
        <v>5</v>
      </c>
      <c r="CR213" s="239">
        <v>1</v>
      </c>
      <c r="CS213" s="239">
        <v>-609</v>
      </c>
      <c r="CT213" s="239">
        <v>-137</v>
      </c>
      <c r="CU213" s="239">
        <v>-15</v>
      </c>
      <c r="CV213" s="239">
        <v>196</v>
      </c>
      <c r="CW213" s="239">
        <v>44</v>
      </c>
      <c r="CX213" s="239">
        <v>5</v>
      </c>
      <c r="CY213" s="239">
        <v>0</v>
      </c>
      <c r="CZ213" s="239">
        <v>0</v>
      </c>
      <c r="DA213" s="239">
        <v>0</v>
      </c>
      <c r="DB213" s="239">
        <v>196</v>
      </c>
      <c r="DC213" s="239">
        <v>44</v>
      </c>
      <c r="DD213" s="239">
        <v>5</v>
      </c>
      <c r="DE213" s="239">
        <v>0</v>
      </c>
      <c r="DF213" s="239">
        <v>0</v>
      </c>
      <c r="DG213" s="239">
        <v>0</v>
      </c>
      <c r="DH213" s="239">
        <v>8412</v>
      </c>
      <c r="DI213" s="239">
        <v>1893</v>
      </c>
      <c r="DJ213" s="239">
        <v>210</v>
      </c>
      <c r="DK213" s="239">
        <v>11539</v>
      </c>
      <c r="DL213" s="239">
        <v>2596</v>
      </c>
      <c r="DM213" s="239">
        <v>288</v>
      </c>
      <c r="DN213" s="239">
        <v>-3127</v>
      </c>
      <c r="DO213" s="239">
        <v>-703</v>
      </c>
      <c r="DP213" s="239">
        <v>-78</v>
      </c>
      <c r="DQ213" s="239">
        <v>0</v>
      </c>
      <c r="DR213" s="239">
        <v>0</v>
      </c>
      <c r="DS213" s="239">
        <v>0</v>
      </c>
      <c r="DT213" s="239">
        <v>0</v>
      </c>
      <c r="DU213" s="239">
        <v>0</v>
      </c>
      <c r="DV213" s="239">
        <v>0</v>
      </c>
      <c r="DW213" s="239">
        <v>0</v>
      </c>
      <c r="DX213" s="239">
        <v>0</v>
      </c>
      <c r="DY213" s="239">
        <v>0</v>
      </c>
      <c r="DZ213" s="239">
        <v>5880</v>
      </c>
      <c r="EA213" s="239">
        <v>1323</v>
      </c>
      <c r="EB213" s="239">
        <v>147</v>
      </c>
      <c r="EC213" s="239">
        <v>7613</v>
      </c>
      <c r="ED213" s="239">
        <v>0</v>
      </c>
      <c r="EE213" s="239">
        <v>0</v>
      </c>
      <c r="EF213" s="239">
        <v>-1733</v>
      </c>
      <c r="EG213" s="239">
        <v>1323</v>
      </c>
      <c r="EH213" s="239">
        <v>147</v>
      </c>
      <c r="EI213" s="239">
        <v>37490</v>
      </c>
      <c r="EJ213" s="239">
        <v>8435</v>
      </c>
      <c r="EK213" s="239">
        <v>937</v>
      </c>
      <c r="EL213" s="239">
        <v>52065</v>
      </c>
      <c r="EM213" s="239">
        <v>0</v>
      </c>
      <c r="EN213" s="239">
        <v>0</v>
      </c>
      <c r="EO213" s="239">
        <v>-14575</v>
      </c>
      <c r="EP213" s="239">
        <v>8435</v>
      </c>
      <c r="EQ213" s="239">
        <v>937</v>
      </c>
      <c r="ER213" s="239">
        <v>17069</v>
      </c>
      <c r="ES213" s="239">
        <v>3841</v>
      </c>
      <c r="ET213" s="239">
        <v>427</v>
      </c>
      <c r="EU213" s="239">
        <v>25376</v>
      </c>
      <c r="EV213" s="239">
        <v>0</v>
      </c>
      <c r="EW213" s="239">
        <v>0</v>
      </c>
      <c r="EX213" s="239">
        <v>-8307</v>
      </c>
      <c r="EY213" s="239">
        <v>3841</v>
      </c>
      <c r="EZ213" s="239">
        <v>427</v>
      </c>
      <c r="FA213" s="239">
        <v>91864</v>
      </c>
      <c r="FB213" s="239">
        <v>19462</v>
      </c>
      <c r="FC213" s="239">
        <v>2162</v>
      </c>
      <c r="FD213" s="239">
        <v>86529</v>
      </c>
      <c r="FE213" s="239">
        <v>19299</v>
      </c>
      <c r="FF213" s="239">
        <v>2144</v>
      </c>
      <c r="FG213" s="239">
        <v>5335</v>
      </c>
      <c r="FH213" s="239">
        <v>163</v>
      </c>
      <c r="FI213" s="239">
        <v>18</v>
      </c>
      <c r="FJ213" s="239">
        <v>0</v>
      </c>
      <c r="FK213" s="239">
        <v>0</v>
      </c>
      <c r="FL213" s="239">
        <v>0</v>
      </c>
      <c r="FM213" s="239">
        <v>0</v>
      </c>
      <c r="FN213" s="239">
        <v>0</v>
      </c>
      <c r="FO213" s="239">
        <v>0</v>
      </c>
      <c r="FP213" s="239">
        <v>0</v>
      </c>
      <c r="FQ213" s="239">
        <v>0</v>
      </c>
      <c r="FR213" s="239">
        <v>0</v>
      </c>
      <c r="FS213" s="239">
        <v>0</v>
      </c>
      <c r="FT213" s="239">
        <v>0</v>
      </c>
      <c r="FU213" s="239">
        <v>0</v>
      </c>
      <c r="FV213" s="239">
        <v>962867</v>
      </c>
      <c r="FW213" s="239">
        <v>215438</v>
      </c>
      <c r="FX213" s="239">
        <v>23937</v>
      </c>
      <c r="FY213" s="834">
        <v>0.5</v>
      </c>
      <c r="FZ213" s="834">
        <v>0.4</v>
      </c>
      <c r="GA213" s="834">
        <v>0.09</v>
      </c>
      <c r="GB213" s="834">
        <v>0.01</v>
      </c>
      <c r="GC213" s="214" t="s">
        <v>1158</v>
      </c>
    </row>
    <row r="214" spans="2:185" s="214" customFormat="1" x14ac:dyDescent="0.2">
      <c r="B214" s="602" t="s">
        <v>511</v>
      </c>
      <c r="C214" s="602" t="s">
        <v>510</v>
      </c>
      <c r="D214" s="239">
        <v>2296618</v>
      </c>
      <c r="E214" s="239">
        <v>0</v>
      </c>
      <c r="F214" s="239">
        <v>2296618</v>
      </c>
      <c r="G214" s="239">
        <v>2512534</v>
      </c>
      <c r="H214" s="239">
        <v>0</v>
      </c>
      <c r="I214" s="239">
        <v>2512534</v>
      </c>
      <c r="J214" s="239">
        <v>-215916</v>
      </c>
      <c r="K214" s="239">
        <v>0</v>
      </c>
      <c r="L214" s="239">
        <v>-215916</v>
      </c>
      <c r="M214" s="239">
        <v>287918</v>
      </c>
      <c r="N214" s="239">
        <v>287918</v>
      </c>
      <c r="O214" s="239">
        <v>0</v>
      </c>
      <c r="P214" s="239">
        <v>0</v>
      </c>
      <c r="Q214" s="239">
        <v>0</v>
      </c>
      <c r="R214" s="239">
        <v>0</v>
      </c>
      <c r="S214" s="239">
        <v>0</v>
      </c>
      <c r="T214" s="239">
        <v>0</v>
      </c>
      <c r="U214" s="239">
        <v>0</v>
      </c>
      <c r="V214" s="239">
        <v>0</v>
      </c>
      <c r="W214" s="239">
        <v>0</v>
      </c>
      <c r="X214" s="239">
        <v>0</v>
      </c>
      <c r="Y214" s="239">
        <v>0</v>
      </c>
      <c r="Z214" s="239">
        <v>0</v>
      </c>
      <c r="AA214" s="239">
        <v>0</v>
      </c>
      <c r="AB214" s="239">
        <v>0</v>
      </c>
      <c r="AC214" s="239">
        <v>0</v>
      </c>
      <c r="AD214" s="239">
        <v>0</v>
      </c>
      <c r="AE214" s="239">
        <v>0</v>
      </c>
      <c r="AF214" s="239">
        <v>0</v>
      </c>
      <c r="AG214" s="239">
        <v>0</v>
      </c>
      <c r="AH214" s="239">
        <v>0</v>
      </c>
      <c r="AI214" s="239">
        <v>0</v>
      </c>
      <c r="AJ214" s="239">
        <v>0</v>
      </c>
      <c r="AK214" s="239">
        <v>0</v>
      </c>
      <c r="AL214" s="239">
        <v>0</v>
      </c>
      <c r="AM214" s="239">
        <v>0</v>
      </c>
      <c r="AN214" s="239">
        <v>0</v>
      </c>
      <c r="AO214" s="239">
        <v>0</v>
      </c>
      <c r="AP214" s="239">
        <v>0</v>
      </c>
      <c r="AQ214" s="239">
        <v>0</v>
      </c>
      <c r="AR214" s="239">
        <v>0</v>
      </c>
      <c r="AS214" s="239">
        <v>0</v>
      </c>
      <c r="AT214" s="239">
        <v>0</v>
      </c>
      <c r="AU214" s="239">
        <v>0</v>
      </c>
      <c r="AV214" s="239">
        <v>0</v>
      </c>
      <c r="AW214" s="239">
        <v>0</v>
      </c>
      <c r="AX214" s="239">
        <v>0</v>
      </c>
      <c r="AY214" s="239">
        <v>0</v>
      </c>
      <c r="AZ214" s="239">
        <v>0</v>
      </c>
      <c r="BA214" s="239">
        <v>0</v>
      </c>
      <c r="BB214" s="239">
        <v>0</v>
      </c>
      <c r="BC214" s="239">
        <v>1027754</v>
      </c>
      <c r="BD214" s="239">
        <v>1267563</v>
      </c>
      <c r="BE214" s="239">
        <v>0</v>
      </c>
      <c r="BF214" s="239">
        <v>999168.75714270386</v>
      </c>
      <c r="BG214" s="239">
        <v>1232308.1338093346</v>
      </c>
      <c r="BH214" s="239">
        <v>0</v>
      </c>
      <c r="BI214" s="239">
        <v>96152.810278969948</v>
      </c>
      <c r="BJ214" s="239">
        <v>118588.46601072961</v>
      </c>
      <c r="BK214" s="239">
        <v>0</v>
      </c>
      <c r="BL214" s="239">
        <v>1441536</v>
      </c>
      <c r="BM214" s="239">
        <v>773065</v>
      </c>
      <c r="BN214" s="239">
        <v>0</v>
      </c>
      <c r="BO214" s="239">
        <v>-413782</v>
      </c>
      <c r="BP214" s="239">
        <v>494498</v>
      </c>
      <c r="BQ214" s="239">
        <v>0</v>
      </c>
      <c r="BR214" s="239">
        <v>0</v>
      </c>
      <c r="BS214" s="239">
        <v>0</v>
      </c>
      <c r="BT214" s="239">
        <v>0</v>
      </c>
      <c r="BU214" s="239">
        <v>0</v>
      </c>
      <c r="BV214" s="239">
        <v>0</v>
      </c>
      <c r="BW214" s="239">
        <v>0</v>
      </c>
      <c r="BX214" s="239">
        <v>0</v>
      </c>
      <c r="BY214" s="239">
        <v>0</v>
      </c>
      <c r="BZ214" s="239">
        <v>0</v>
      </c>
      <c r="CA214" s="239">
        <v>3248</v>
      </c>
      <c r="CB214" s="239">
        <v>4005</v>
      </c>
      <c r="CC214" s="239">
        <v>0</v>
      </c>
      <c r="CD214" s="239">
        <v>11289</v>
      </c>
      <c r="CE214" s="239">
        <v>13924</v>
      </c>
      <c r="CF214" s="239">
        <v>0</v>
      </c>
      <c r="CG214" s="239">
        <v>-8041</v>
      </c>
      <c r="CH214" s="239">
        <v>-9919</v>
      </c>
      <c r="CI214" s="239">
        <v>0</v>
      </c>
      <c r="CJ214" s="239">
        <v>0</v>
      </c>
      <c r="CK214" s="239">
        <v>0</v>
      </c>
      <c r="CL214" s="239">
        <v>0</v>
      </c>
      <c r="CM214" s="239">
        <v>15162</v>
      </c>
      <c r="CN214" s="239">
        <v>18700</v>
      </c>
      <c r="CO214" s="239">
        <v>0</v>
      </c>
      <c r="CP214" s="239">
        <v>-15162</v>
      </c>
      <c r="CQ214" s="239">
        <v>-18700</v>
      </c>
      <c r="CR214" s="239">
        <v>0</v>
      </c>
      <c r="CS214" s="239">
        <v>0</v>
      </c>
      <c r="CT214" s="239">
        <v>0</v>
      </c>
      <c r="CU214" s="239">
        <v>0</v>
      </c>
      <c r="CV214" s="239">
        <v>0</v>
      </c>
      <c r="CW214" s="239">
        <v>0</v>
      </c>
      <c r="CX214" s="239">
        <v>0</v>
      </c>
      <c r="CY214" s="239">
        <v>0</v>
      </c>
      <c r="CZ214" s="239">
        <v>0</v>
      </c>
      <c r="DA214" s="239">
        <v>0</v>
      </c>
      <c r="DB214" s="239">
        <v>0</v>
      </c>
      <c r="DC214" s="239">
        <v>0</v>
      </c>
      <c r="DD214" s="239">
        <v>0</v>
      </c>
      <c r="DE214" s="239">
        <v>0</v>
      </c>
      <c r="DF214" s="239">
        <v>0</v>
      </c>
      <c r="DG214" s="239">
        <v>0</v>
      </c>
      <c r="DH214" s="239">
        <v>0</v>
      </c>
      <c r="DI214" s="239">
        <v>0</v>
      </c>
      <c r="DJ214" s="239">
        <v>0</v>
      </c>
      <c r="DK214" s="239">
        <v>0</v>
      </c>
      <c r="DL214" s="239">
        <v>0</v>
      </c>
      <c r="DM214" s="239">
        <v>0</v>
      </c>
      <c r="DN214" s="239">
        <v>0</v>
      </c>
      <c r="DO214" s="239">
        <v>0</v>
      </c>
      <c r="DP214" s="239">
        <v>0</v>
      </c>
      <c r="DQ214" s="239">
        <v>0</v>
      </c>
      <c r="DR214" s="239">
        <v>0</v>
      </c>
      <c r="DS214" s="239">
        <v>0</v>
      </c>
      <c r="DT214" s="239">
        <v>0</v>
      </c>
      <c r="DU214" s="239">
        <v>0</v>
      </c>
      <c r="DV214" s="239">
        <v>0</v>
      </c>
      <c r="DW214" s="239">
        <v>0</v>
      </c>
      <c r="DX214" s="239">
        <v>0</v>
      </c>
      <c r="DY214" s="239">
        <v>0</v>
      </c>
      <c r="DZ214" s="239">
        <v>8493</v>
      </c>
      <c r="EA214" s="239">
        <v>10475</v>
      </c>
      <c r="EB214" s="239">
        <v>0</v>
      </c>
      <c r="EC214" s="239">
        <v>19274</v>
      </c>
      <c r="ED214" s="239">
        <v>0</v>
      </c>
      <c r="EE214" s="239">
        <v>0</v>
      </c>
      <c r="EF214" s="239">
        <v>-10781</v>
      </c>
      <c r="EG214" s="239">
        <v>10475</v>
      </c>
      <c r="EH214" s="239">
        <v>0</v>
      </c>
      <c r="EI214" s="239">
        <v>202054</v>
      </c>
      <c r="EJ214" s="239">
        <v>249200</v>
      </c>
      <c r="EK214" s="239">
        <v>0</v>
      </c>
      <c r="EL214" s="239">
        <v>446231</v>
      </c>
      <c r="EM214" s="239">
        <v>0</v>
      </c>
      <c r="EN214" s="239">
        <v>0</v>
      </c>
      <c r="EO214" s="239">
        <v>-244177</v>
      </c>
      <c r="EP214" s="239">
        <v>249200</v>
      </c>
      <c r="EQ214" s="239">
        <v>0</v>
      </c>
      <c r="ER214" s="239">
        <v>12319</v>
      </c>
      <c r="ES214" s="239">
        <v>15193</v>
      </c>
      <c r="ET214" s="239">
        <v>0</v>
      </c>
      <c r="EU214" s="239">
        <v>33186</v>
      </c>
      <c r="EV214" s="239">
        <v>0</v>
      </c>
      <c r="EW214" s="239">
        <v>0</v>
      </c>
      <c r="EX214" s="239">
        <v>-20867</v>
      </c>
      <c r="EY214" s="239">
        <v>15193</v>
      </c>
      <c r="EZ214" s="239">
        <v>0</v>
      </c>
      <c r="FA214" s="239">
        <v>407633</v>
      </c>
      <c r="FB214" s="239">
        <v>502747</v>
      </c>
      <c r="FC214" s="239">
        <v>0</v>
      </c>
      <c r="FD214" s="239">
        <v>384746</v>
      </c>
      <c r="FE214" s="239">
        <v>474521</v>
      </c>
      <c r="FF214" s="239">
        <v>0</v>
      </c>
      <c r="FG214" s="239">
        <v>22887</v>
      </c>
      <c r="FH214" s="239">
        <v>28226</v>
      </c>
      <c r="FI214" s="239">
        <v>0</v>
      </c>
      <c r="FJ214" s="239">
        <v>0</v>
      </c>
      <c r="FK214" s="239">
        <v>0</v>
      </c>
      <c r="FL214" s="239">
        <v>0</v>
      </c>
      <c r="FM214" s="239">
        <v>0</v>
      </c>
      <c r="FN214" s="239">
        <v>0</v>
      </c>
      <c r="FO214" s="239">
        <v>0</v>
      </c>
      <c r="FP214" s="239">
        <v>0</v>
      </c>
      <c r="FQ214" s="239">
        <v>0</v>
      </c>
      <c r="FR214" s="239">
        <v>0</v>
      </c>
      <c r="FS214" s="239">
        <v>0</v>
      </c>
      <c r="FT214" s="239">
        <v>0</v>
      </c>
      <c r="FU214" s="239">
        <v>0</v>
      </c>
      <c r="FV214" s="239">
        <v>1661501</v>
      </c>
      <c r="FW214" s="239">
        <v>2049183</v>
      </c>
      <c r="FX214" s="239">
        <v>0</v>
      </c>
      <c r="FY214" s="834">
        <v>0.33000000000000007</v>
      </c>
      <c r="FZ214" s="834">
        <v>0.3</v>
      </c>
      <c r="GA214" s="834">
        <v>0.37</v>
      </c>
      <c r="GB214" s="834">
        <v>0</v>
      </c>
      <c r="GC214" s="214" t="s">
        <v>1159</v>
      </c>
    </row>
    <row r="215" spans="2:185" s="214" customFormat="1" x14ac:dyDescent="0.2">
      <c r="B215" s="602" t="s">
        <v>513</v>
      </c>
      <c r="C215" s="602" t="s">
        <v>512</v>
      </c>
      <c r="D215" s="239">
        <v>190410</v>
      </c>
      <c r="E215" s="239">
        <v>0</v>
      </c>
      <c r="F215" s="239">
        <v>190410</v>
      </c>
      <c r="G215" s="239">
        <v>373392</v>
      </c>
      <c r="H215" s="239">
        <v>0</v>
      </c>
      <c r="I215" s="239">
        <v>373392</v>
      </c>
      <c r="J215" s="239">
        <v>-182982</v>
      </c>
      <c r="K215" s="239">
        <v>0</v>
      </c>
      <c r="L215" s="239">
        <v>-182982</v>
      </c>
      <c r="M215" s="239">
        <v>98663</v>
      </c>
      <c r="N215" s="239">
        <v>98663</v>
      </c>
      <c r="O215" s="239">
        <v>0</v>
      </c>
      <c r="P215" s="239">
        <v>0</v>
      </c>
      <c r="Q215" s="239">
        <v>0</v>
      </c>
      <c r="R215" s="239">
        <v>0</v>
      </c>
      <c r="S215" s="239">
        <v>0</v>
      </c>
      <c r="T215" s="239">
        <v>0</v>
      </c>
      <c r="U215" s="239">
        <v>0</v>
      </c>
      <c r="V215" s="239">
        <v>0</v>
      </c>
      <c r="W215" s="239">
        <v>0</v>
      </c>
      <c r="X215" s="239">
        <v>0</v>
      </c>
      <c r="Y215" s="239">
        <v>0</v>
      </c>
      <c r="Z215" s="239">
        <v>0</v>
      </c>
      <c r="AA215" s="239">
        <v>0</v>
      </c>
      <c r="AB215" s="239">
        <v>0</v>
      </c>
      <c r="AC215" s="239">
        <v>0</v>
      </c>
      <c r="AD215" s="239">
        <v>0</v>
      </c>
      <c r="AE215" s="239">
        <v>0</v>
      </c>
      <c r="AF215" s="239">
        <v>0</v>
      </c>
      <c r="AG215" s="239">
        <v>0</v>
      </c>
      <c r="AH215" s="239">
        <v>0</v>
      </c>
      <c r="AI215" s="239">
        <v>0</v>
      </c>
      <c r="AJ215" s="239">
        <v>0</v>
      </c>
      <c r="AK215" s="239">
        <v>0</v>
      </c>
      <c r="AL215" s="239">
        <v>0</v>
      </c>
      <c r="AM215" s="239">
        <v>0</v>
      </c>
      <c r="AN215" s="239">
        <v>0</v>
      </c>
      <c r="AO215" s="239">
        <v>0</v>
      </c>
      <c r="AP215" s="239">
        <v>0</v>
      </c>
      <c r="AQ215" s="239">
        <v>0</v>
      </c>
      <c r="AR215" s="239">
        <v>0</v>
      </c>
      <c r="AS215" s="239">
        <v>0</v>
      </c>
      <c r="AT215" s="239">
        <v>0</v>
      </c>
      <c r="AU215" s="239">
        <v>0</v>
      </c>
      <c r="AV215" s="239">
        <v>0</v>
      </c>
      <c r="AW215" s="239">
        <v>0</v>
      </c>
      <c r="AX215" s="239">
        <v>0</v>
      </c>
      <c r="AY215" s="239">
        <v>0</v>
      </c>
      <c r="AZ215" s="239">
        <v>0</v>
      </c>
      <c r="BA215" s="239">
        <v>0</v>
      </c>
      <c r="BB215" s="239">
        <v>0</v>
      </c>
      <c r="BC215" s="239">
        <v>701893</v>
      </c>
      <c r="BD215" s="239">
        <v>157926</v>
      </c>
      <c r="BE215" s="239">
        <v>17547</v>
      </c>
      <c r="BF215" s="239">
        <v>690458.06750214589</v>
      </c>
      <c r="BG215" s="239">
        <v>155353.06518798281</v>
      </c>
      <c r="BH215" s="239">
        <v>17261.451687553646</v>
      </c>
      <c r="BI215" s="239">
        <v>9269.68347639485</v>
      </c>
      <c r="BJ215" s="239">
        <v>2085.6787821888411</v>
      </c>
      <c r="BK215" s="239">
        <v>231.74208690987123</v>
      </c>
      <c r="BL215" s="239">
        <v>675591</v>
      </c>
      <c r="BM215" s="239">
        <v>110351</v>
      </c>
      <c r="BN215" s="239">
        <v>12261</v>
      </c>
      <c r="BO215" s="239">
        <v>26302</v>
      </c>
      <c r="BP215" s="239">
        <v>47575</v>
      </c>
      <c r="BQ215" s="239">
        <v>5286</v>
      </c>
      <c r="BR215" s="239">
        <v>30419</v>
      </c>
      <c r="BS215" s="239">
        <v>6844</v>
      </c>
      <c r="BT215" s="239">
        <v>760</v>
      </c>
      <c r="BU215" s="239">
        <v>39957</v>
      </c>
      <c r="BV215" s="239">
        <v>8990</v>
      </c>
      <c r="BW215" s="239">
        <v>999</v>
      </c>
      <c r="BX215" s="239">
        <v>-9538</v>
      </c>
      <c r="BY215" s="239">
        <v>-2146</v>
      </c>
      <c r="BZ215" s="239">
        <v>-239</v>
      </c>
      <c r="CA215" s="239">
        <v>10549</v>
      </c>
      <c r="CB215" s="239">
        <v>2373</v>
      </c>
      <c r="CC215" s="239">
        <v>264</v>
      </c>
      <c r="CD215" s="239">
        <v>25166</v>
      </c>
      <c r="CE215" s="239">
        <v>5662</v>
      </c>
      <c r="CF215" s="239">
        <v>629</v>
      </c>
      <c r="CG215" s="239">
        <v>-14617</v>
      </c>
      <c r="CH215" s="239">
        <v>-3289</v>
      </c>
      <c r="CI215" s="239">
        <v>-365</v>
      </c>
      <c r="CJ215" s="239">
        <v>0</v>
      </c>
      <c r="CK215" s="239">
        <v>0</v>
      </c>
      <c r="CL215" s="239">
        <v>0</v>
      </c>
      <c r="CM215" s="239">
        <v>0</v>
      </c>
      <c r="CN215" s="239">
        <v>0</v>
      </c>
      <c r="CO215" s="239">
        <v>0</v>
      </c>
      <c r="CP215" s="239">
        <v>0</v>
      </c>
      <c r="CQ215" s="239">
        <v>0</v>
      </c>
      <c r="CR215" s="239">
        <v>0</v>
      </c>
      <c r="CS215" s="239">
        <v>-300</v>
      </c>
      <c r="CT215" s="239">
        <v>-67</v>
      </c>
      <c r="CU215" s="239">
        <v>-7</v>
      </c>
      <c r="CV215" s="239">
        <v>0</v>
      </c>
      <c r="CW215" s="239">
        <v>0</v>
      </c>
      <c r="CX215" s="239">
        <v>0</v>
      </c>
      <c r="CY215" s="239">
        <v>0</v>
      </c>
      <c r="CZ215" s="239">
        <v>0</v>
      </c>
      <c r="DA215" s="239">
        <v>0</v>
      </c>
      <c r="DB215" s="239">
        <v>0</v>
      </c>
      <c r="DC215" s="239">
        <v>0</v>
      </c>
      <c r="DD215" s="239">
        <v>0</v>
      </c>
      <c r="DE215" s="239">
        <v>0</v>
      </c>
      <c r="DF215" s="239">
        <v>0</v>
      </c>
      <c r="DG215" s="239">
        <v>0</v>
      </c>
      <c r="DH215" s="239">
        <v>0</v>
      </c>
      <c r="DI215" s="239">
        <v>0</v>
      </c>
      <c r="DJ215" s="239">
        <v>0</v>
      </c>
      <c r="DK215" s="239">
        <v>17459</v>
      </c>
      <c r="DL215" s="239">
        <v>3928</v>
      </c>
      <c r="DM215" s="239">
        <v>436</v>
      </c>
      <c r="DN215" s="239">
        <v>-17459</v>
      </c>
      <c r="DO215" s="239">
        <v>-3928</v>
      </c>
      <c r="DP215" s="239">
        <v>-436</v>
      </c>
      <c r="DQ215" s="239">
        <v>0</v>
      </c>
      <c r="DR215" s="239">
        <v>0</v>
      </c>
      <c r="DS215" s="239">
        <v>0</v>
      </c>
      <c r="DT215" s="239">
        <v>0</v>
      </c>
      <c r="DU215" s="239">
        <v>0</v>
      </c>
      <c r="DV215" s="239">
        <v>0</v>
      </c>
      <c r="DW215" s="239">
        <v>0</v>
      </c>
      <c r="DX215" s="239">
        <v>0</v>
      </c>
      <c r="DY215" s="239">
        <v>0</v>
      </c>
      <c r="DZ215" s="239">
        <v>16304</v>
      </c>
      <c r="EA215" s="239">
        <v>3668</v>
      </c>
      <c r="EB215" s="239">
        <v>408</v>
      </c>
      <c r="EC215" s="239">
        <v>19378</v>
      </c>
      <c r="ED215" s="239">
        <v>0</v>
      </c>
      <c r="EE215" s="239">
        <v>0</v>
      </c>
      <c r="EF215" s="239">
        <v>-3074</v>
      </c>
      <c r="EG215" s="239">
        <v>3668</v>
      </c>
      <c r="EH215" s="239">
        <v>408</v>
      </c>
      <c r="EI215" s="239">
        <v>86030</v>
      </c>
      <c r="EJ215" s="239">
        <v>19357</v>
      </c>
      <c r="EK215" s="239">
        <v>2151</v>
      </c>
      <c r="EL215" s="239">
        <v>110088</v>
      </c>
      <c r="EM215" s="239">
        <v>0</v>
      </c>
      <c r="EN215" s="239">
        <v>0</v>
      </c>
      <c r="EO215" s="239">
        <v>-24058</v>
      </c>
      <c r="EP215" s="239">
        <v>19357</v>
      </c>
      <c r="EQ215" s="239">
        <v>2151</v>
      </c>
      <c r="ER215" s="239">
        <v>20575</v>
      </c>
      <c r="ES215" s="239">
        <v>4629</v>
      </c>
      <c r="ET215" s="239">
        <v>514</v>
      </c>
      <c r="EU215" s="239">
        <v>25425</v>
      </c>
      <c r="EV215" s="239">
        <v>0</v>
      </c>
      <c r="EW215" s="239">
        <v>0</v>
      </c>
      <c r="EX215" s="239">
        <v>-4850</v>
      </c>
      <c r="EY215" s="239">
        <v>4629</v>
      </c>
      <c r="EZ215" s="239">
        <v>514</v>
      </c>
      <c r="FA215" s="239">
        <v>74330</v>
      </c>
      <c r="FB215" s="239">
        <v>16724</v>
      </c>
      <c r="FC215" s="239">
        <v>1858</v>
      </c>
      <c r="FD215" s="239">
        <v>77890</v>
      </c>
      <c r="FE215" s="239">
        <v>17525</v>
      </c>
      <c r="FF215" s="239">
        <v>1947</v>
      </c>
      <c r="FG215" s="239">
        <v>-3560</v>
      </c>
      <c r="FH215" s="239">
        <v>-801</v>
      </c>
      <c r="FI215" s="239">
        <v>-89</v>
      </c>
      <c r="FJ215" s="239">
        <v>0</v>
      </c>
      <c r="FK215" s="239">
        <v>0</v>
      </c>
      <c r="FL215" s="239">
        <v>0</v>
      </c>
      <c r="FM215" s="239">
        <v>0</v>
      </c>
      <c r="FN215" s="239">
        <v>0</v>
      </c>
      <c r="FO215" s="239">
        <v>0</v>
      </c>
      <c r="FP215" s="239">
        <v>0</v>
      </c>
      <c r="FQ215" s="239">
        <v>0</v>
      </c>
      <c r="FR215" s="239">
        <v>0</v>
      </c>
      <c r="FS215" s="239">
        <v>0</v>
      </c>
      <c r="FT215" s="239">
        <v>0</v>
      </c>
      <c r="FU215" s="239">
        <v>0</v>
      </c>
      <c r="FV215" s="239">
        <v>939800</v>
      </c>
      <c r="FW215" s="239">
        <v>211454</v>
      </c>
      <c r="FX215" s="239">
        <v>23495</v>
      </c>
      <c r="FY215" s="834">
        <v>0.5</v>
      </c>
      <c r="FZ215" s="834">
        <v>0.4</v>
      </c>
      <c r="GA215" s="834">
        <v>0.09</v>
      </c>
      <c r="GB215" s="834">
        <v>0.01</v>
      </c>
      <c r="GC215" s="214" t="s">
        <v>1158</v>
      </c>
    </row>
    <row r="216" spans="2:185" s="214" customFormat="1" x14ac:dyDescent="0.2">
      <c r="B216" s="602" t="s">
        <v>515</v>
      </c>
      <c r="C216" s="602" t="s">
        <v>514</v>
      </c>
      <c r="D216" s="239">
        <v>-3313485</v>
      </c>
      <c r="E216" s="239">
        <v>0</v>
      </c>
      <c r="F216" s="239">
        <v>-3313485</v>
      </c>
      <c r="G216" s="239">
        <v>-3093178</v>
      </c>
      <c r="H216" s="239">
        <v>0</v>
      </c>
      <c r="I216" s="239">
        <v>-3093178</v>
      </c>
      <c r="J216" s="239">
        <v>-220307</v>
      </c>
      <c r="K216" s="239">
        <v>0</v>
      </c>
      <c r="L216" s="239">
        <v>-220307</v>
      </c>
      <c r="M216" s="239">
        <v>281477</v>
      </c>
      <c r="N216" s="239">
        <v>281477</v>
      </c>
      <c r="O216" s="239">
        <v>0</v>
      </c>
      <c r="P216" s="239">
        <v>0</v>
      </c>
      <c r="Q216" s="239">
        <v>0</v>
      </c>
      <c r="R216" s="239">
        <v>0</v>
      </c>
      <c r="S216" s="239">
        <v>491294</v>
      </c>
      <c r="T216" s="239">
        <v>0</v>
      </c>
      <c r="U216" s="239">
        <v>495837</v>
      </c>
      <c r="V216" s="239">
        <v>0</v>
      </c>
      <c r="W216" s="239">
        <v>-4543</v>
      </c>
      <c r="X216" s="239">
        <v>0</v>
      </c>
      <c r="Y216" s="239">
        <v>0</v>
      </c>
      <c r="Z216" s="239">
        <v>0</v>
      </c>
      <c r="AA216" s="239">
        <v>0</v>
      </c>
      <c r="AB216" s="239">
        <v>0</v>
      </c>
      <c r="AC216" s="239">
        <v>0</v>
      </c>
      <c r="AD216" s="239">
        <v>0</v>
      </c>
      <c r="AE216" s="239">
        <v>0</v>
      </c>
      <c r="AF216" s="239">
        <v>0</v>
      </c>
      <c r="AG216" s="239">
        <v>0</v>
      </c>
      <c r="AH216" s="239">
        <v>0</v>
      </c>
      <c r="AI216" s="239">
        <v>0</v>
      </c>
      <c r="AJ216" s="239">
        <v>0</v>
      </c>
      <c r="AK216" s="239">
        <v>0</v>
      </c>
      <c r="AL216" s="239">
        <v>0</v>
      </c>
      <c r="AM216" s="239">
        <v>0</v>
      </c>
      <c r="AN216" s="239">
        <v>0</v>
      </c>
      <c r="AO216" s="239">
        <v>0</v>
      </c>
      <c r="AP216" s="239">
        <v>0</v>
      </c>
      <c r="AQ216" s="239">
        <v>0</v>
      </c>
      <c r="AR216" s="239">
        <v>0</v>
      </c>
      <c r="AS216" s="239">
        <v>0</v>
      </c>
      <c r="AT216" s="239">
        <v>0</v>
      </c>
      <c r="AU216" s="239">
        <v>0</v>
      </c>
      <c r="AV216" s="239">
        <v>0</v>
      </c>
      <c r="AW216" s="239">
        <v>0</v>
      </c>
      <c r="AX216" s="239">
        <v>0</v>
      </c>
      <c r="AY216" s="239">
        <v>0</v>
      </c>
      <c r="AZ216" s="239">
        <v>0</v>
      </c>
      <c r="BA216" s="239">
        <v>0</v>
      </c>
      <c r="BB216" s="239">
        <v>0</v>
      </c>
      <c r="BC216" s="239">
        <v>5350818</v>
      </c>
      <c r="BD216" s="239">
        <v>0</v>
      </c>
      <c r="BE216" s="239">
        <v>54049</v>
      </c>
      <c r="BF216" s="239">
        <v>5239787.3306132834</v>
      </c>
      <c r="BG216" s="239">
        <v>0</v>
      </c>
      <c r="BH216" s="239">
        <v>52927.144753669527</v>
      </c>
      <c r="BI216" s="239">
        <v>294320.98442221025</v>
      </c>
      <c r="BJ216" s="239">
        <v>0</v>
      </c>
      <c r="BK216" s="239">
        <v>2972.9392365879821</v>
      </c>
      <c r="BL216" s="239">
        <v>5039581</v>
      </c>
      <c r="BM216" s="239">
        <v>0</v>
      </c>
      <c r="BN216" s="239">
        <v>38063</v>
      </c>
      <c r="BO216" s="239">
        <v>311237</v>
      </c>
      <c r="BP216" s="239">
        <v>0</v>
      </c>
      <c r="BQ216" s="239">
        <v>15986</v>
      </c>
      <c r="BR216" s="239">
        <v>6733</v>
      </c>
      <c r="BS216" s="239">
        <v>0</v>
      </c>
      <c r="BT216" s="239">
        <v>68</v>
      </c>
      <c r="BU216" s="239">
        <v>0</v>
      </c>
      <c r="BV216" s="239">
        <v>0</v>
      </c>
      <c r="BW216" s="239">
        <v>0</v>
      </c>
      <c r="BX216" s="239">
        <v>6733</v>
      </c>
      <c r="BY216" s="239">
        <v>0</v>
      </c>
      <c r="BZ216" s="239">
        <v>68</v>
      </c>
      <c r="CA216" s="239">
        <v>-80768</v>
      </c>
      <c r="CB216" s="239">
        <v>0</v>
      </c>
      <c r="CC216" s="239">
        <v>-816</v>
      </c>
      <c r="CD216" s="239">
        <v>120585</v>
      </c>
      <c r="CE216" s="239">
        <v>0</v>
      </c>
      <c r="CF216" s="239">
        <v>1218</v>
      </c>
      <c r="CG216" s="239">
        <v>-201353</v>
      </c>
      <c r="CH216" s="239">
        <v>0</v>
      </c>
      <c r="CI216" s="239">
        <v>-2034</v>
      </c>
      <c r="CJ216" s="239">
        <v>-3857</v>
      </c>
      <c r="CK216" s="239">
        <v>0</v>
      </c>
      <c r="CL216" s="239">
        <v>-39</v>
      </c>
      <c r="CM216" s="239">
        <v>2010</v>
      </c>
      <c r="CN216" s="239">
        <v>0</v>
      </c>
      <c r="CO216" s="239">
        <v>20</v>
      </c>
      <c r="CP216" s="239">
        <v>-5867</v>
      </c>
      <c r="CQ216" s="239">
        <v>0</v>
      </c>
      <c r="CR216" s="239">
        <v>-59</v>
      </c>
      <c r="CS216" s="239">
        <v>-1633</v>
      </c>
      <c r="CT216" s="239">
        <v>0</v>
      </c>
      <c r="CU216" s="239">
        <v>-16</v>
      </c>
      <c r="CV216" s="239">
        <v>-31</v>
      </c>
      <c r="CW216" s="239">
        <v>0</v>
      </c>
      <c r="CX216" s="239">
        <v>0</v>
      </c>
      <c r="CY216" s="239">
        <v>0</v>
      </c>
      <c r="CZ216" s="239">
        <v>0</v>
      </c>
      <c r="DA216" s="239">
        <v>0</v>
      </c>
      <c r="DB216" s="239">
        <v>-31</v>
      </c>
      <c r="DC216" s="239">
        <v>0</v>
      </c>
      <c r="DD216" s="239">
        <v>0</v>
      </c>
      <c r="DE216" s="239">
        <v>-333</v>
      </c>
      <c r="DF216" s="239">
        <v>0</v>
      </c>
      <c r="DG216" s="239">
        <v>-3</v>
      </c>
      <c r="DH216" s="239">
        <v>0</v>
      </c>
      <c r="DI216" s="239">
        <v>0</v>
      </c>
      <c r="DJ216" s="239">
        <v>0</v>
      </c>
      <c r="DK216" s="239">
        <v>0</v>
      </c>
      <c r="DL216" s="239">
        <v>0</v>
      </c>
      <c r="DM216" s="239">
        <v>0</v>
      </c>
      <c r="DN216" s="239">
        <v>0</v>
      </c>
      <c r="DO216" s="239">
        <v>0</v>
      </c>
      <c r="DP216" s="239">
        <v>0</v>
      </c>
      <c r="DQ216" s="239">
        <v>0</v>
      </c>
      <c r="DR216" s="239">
        <v>0</v>
      </c>
      <c r="DS216" s="239">
        <v>0</v>
      </c>
      <c r="DT216" s="239">
        <v>0</v>
      </c>
      <c r="DU216" s="239">
        <v>0</v>
      </c>
      <c r="DV216" s="239">
        <v>0</v>
      </c>
      <c r="DW216" s="239">
        <v>0</v>
      </c>
      <c r="DX216" s="239">
        <v>0</v>
      </c>
      <c r="DY216" s="239">
        <v>0</v>
      </c>
      <c r="DZ216" s="239">
        <v>33744</v>
      </c>
      <c r="EA216" s="239">
        <v>0</v>
      </c>
      <c r="EB216" s="239">
        <v>341</v>
      </c>
      <c r="EC216" s="239">
        <v>55826</v>
      </c>
      <c r="ED216" s="239">
        <v>0</v>
      </c>
      <c r="EE216" s="239">
        <v>0</v>
      </c>
      <c r="EF216" s="239">
        <v>-22082</v>
      </c>
      <c r="EG216" s="239">
        <v>0</v>
      </c>
      <c r="EH216" s="239">
        <v>341</v>
      </c>
      <c r="EI216" s="239">
        <v>260093</v>
      </c>
      <c r="EJ216" s="239">
        <v>0</v>
      </c>
      <c r="EK216" s="239">
        <v>2627</v>
      </c>
      <c r="EL216" s="239">
        <v>258832</v>
      </c>
      <c r="EM216" s="239">
        <v>0</v>
      </c>
      <c r="EN216" s="239">
        <v>0</v>
      </c>
      <c r="EO216" s="239">
        <v>1261</v>
      </c>
      <c r="EP216" s="239">
        <v>0</v>
      </c>
      <c r="EQ216" s="239">
        <v>2627</v>
      </c>
      <c r="ER216" s="239">
        <v>62306</v>
      </c>
      <c r="ES216" s="239">
        <v>0</v>
      </c>
      <c r="ET216" s="239">
        <v>629</v>
      </c>
      <c r="EU216" s="239">
        <v>57856</v>
      </c>
      <c r="EV216" s="239">
        <v>0</v>
      </c>
      <c r="EW216" s="239">
        <v>0</v>
      </c>
      <c r="EX216" s="239">
        <v>4450</v>
      </c>
      <c r="EY216" s="239">
        <v>0</v>
      </c>
      <c r="EZ216" s="239">
        <v>629</v>
      </c>
      <c r="FA216" s="239">
        <v>870658</v>
      </c>
      <c r="FB216" s="239">
        <v>0</v>
      </c>
      <c r="FC216" s="239">
        <v>8720</v>
      </c>
      <c r="FD216" s="239">
        <v>839943</v>
      </c>
      <c r="FE216" s="239">
        <v>0</v>
      </c>
      <c r="FF216" s="239">
        <v>8409</v>
      </c>
      <c r="FG216" s="239">
        <v>30715</v>
      </c>
      <c r="FH216" s="239">
        <v>0</v>
      </c>
      <c r="FI216" s="239">
        <v>311</v>
      </c>
      <c r="FJ216" s="239">
        <v>0</v>
      </c>
      <c r="FK216" s="239">
        <v>0</v>
      </c>
      <c r="FL216" s="239">
        <v>0</v>
      </c>
      <c r="FM216" s="239">
        <v>0</v>
      </c>
      <c r="FN216" s="239">
        <v>0</v>
      </c>
      <c r="FO216" s="239">
        <v>0</v>
      </c>
      <c r="FP216" s="239">
        <v>0</v>
      </c>
      <c r="FQ216" s="239">
        <v>0</v>
      </c>
      <c r="FR216" s="239">
        <v>0</v>
      </c>
      <c r="FS216" s="239">
        <v>0</v>
      </c>
      <c r="FT216" s="239">
        <v>0</v>
      </c>
      <c r="FU216" s="239">
        <v>0</v>
      </c>
      <c r="FV216" s="239">
        <v>6497730</v>
      </c>
      <c r="FW216" s="239">
        <v>0</v>
      </c>
      <c r="FX216" s="239">
        <v>65560</v>
      </c>
      <c r="FY216" s="834">
        <v>0</v>
      </c>
      <c r="FZ216" s="834">
        <v>0.99</v>
      </c>
      <c r="GA216" s="834">
        <v>0</v>
      </c>
      <c r="GB216" s="834">
        <v>0.01</v>
      </c>
      <c r="GC216" s="214" t="s">
        <v>1160</v>
      </c>
    </row>
    <row r="217" spans="2:185" s="214" customFormat="1" x14ac:dyDescent="0.2">
      <c r="B217" s="602" t="s">
        <v>517</v>
      </c>
      <c r="C217" s="602" t="s">
        <v>516</v>
      </c>
      <c r="D217" s="239">
        <v>332981</v>
      </c>
      <c r="E217" s="239">
        <v>0</v>
      </c>
      <c r="F217" s="239">
        <v>332981</v>
      </c>
      <c r="G217" s="239">
        <v>305269</v>
      </c>
      <c r="H217" s="239">
        <v>0</v>
      </c>
      <c r="I217" s="239">
        <v>305269</v>
      </c>
      <c r="J217" s="239">
        <v>27712</v>
      </c>
      <c r="K217" s="239">
        <v>0</v>
      </c>
      <c r="L217" s="239">
        <v>27712</v>
      </c>
      <c r="M217" s="239">
        <v>84456</v>
      </c>
      <c r="N217" s="239">
        <v>84456</v>
      </c>
      <c r="O217" s="239">
        <v>0</v>
      </c>
      <c r="P217" s="239">
        <v>0</v>
      </c>
      <c r="Q217" s="239">
        <v>0</v>
      </c>
      <c r="R217" s="239">
        <v>0</v>
      </c>
      <c r="S217" s="239">
        <v>63392</v>
      </c>
      <c r="T217" s="239">
        <v>0</v>
      </c>
      <c r="U217" s="239">
        <v>11855</v>
      </c>
      <c r="V217" s="239">
        <v>0</v>
      </c>
      <c r="W217" s="239">
        <v>51537</v>
      </c>
      <c r="X217" s="239">
        <v>0</v>
      </c>
      <c r="Y217" s="239">
        <v>0</v>
      </c>
      <c r="Z217" s="239">
        <v>0</v>
      </c>
      <c r="AA217" s="239">
        <v>0</v>
      </c>
      <c r="AB217" s="239">
        <v>0</v>
      </c>
      <c r="AC217" s="239">
        <v>0</v>
      </c>
      <c r="AD217" s="239">
        <v>0</v>
      </c>
      <c r="AE217" s="239">
        <v>0</v>
      </c>
      <c r="AF217" s="239">
        <v>0</v>
      </c>
      <c r="AG217" s="239">
        <v>0</v>
      </c>
      <c r="AH217" s="239">
        <v>0</v>
      </c>
      <c r="AI217" s="239">
        <v>0</v>
      </c>
      <c r="AJ217" s="239">
        <v>0</v>
      </c>
      <c r="AK217" s="239">
        <v>0</v>
      </c>
      <c r="AL217" s="239">
        <v>0</v>
      </c>
      <c r="AM217" s="239">
        <v>0</v>
      </c>
      <c r="AN217" s="239">
        <v>0</v>
      </c>
      <c r="AO217" s="239">
        <v>0</v>
      </c>
      <c r="AP217" s="239">
        <v>0</v>
      </c>
      <c r="AQ217" s="239">
        <v>0</v>
      </c>
      <c r="AR217" s="239">
        <v>0</v>
      </c>
      <c r="AS217" s="239">
        <v>0</v>
      </c>
      <c r="AT217" s="239">
        <v>0</v>
      </c>
      <c r="AU217" s="239">
        <v>0</v>
      </c>
      <c r="AV217" s="239">
        <v>0</v>
      </c>
      <c r="AW217" s="239">
        <v>0</v>
      </c>
      <c r="AX217" s="239">
        <v>0</v>
      </c>
      <c r="AY217" s="239">
        <v>0</v>
      </c>
      <c r="AZ217" s="239">
        <v>0</v>
      </c>
      <c r="BA217" s="239">
        <v>0</v>
      </c>
      <c r="BB217" s="239">
        <v>0</v>
      </c>
      <c r="BC217" s="239">
        <v>957027</v>
      </c>
      <c r="BD217" s="239">
        <v>215331</v>
      </c>
      <c r="BE217" s="239">
        <v>23926</v>
      </c>
      <c r="BF217" s="239">
        <v>937883.70083605149</v>
      </c>
      <c r="BG217" s="239">
        <v>211023.83268811158</v>
      </c>
      <c r="BH217" s="239">
        <v>23447.092520901286</v>
      </c>
      <c r="BI217" s="239">
        <v>48581.058583690989</v>
      </c>
      <c r="BJ217" s="239">
        <v>10930.738181330471</v>
      </c>
      <c r="BK217" s="239">
        <v>1214.5264645922746</v>
      </c>
      <c r="BL217" s="239">
        <v>753680</v>
      </c>
      <c r="BM217" s="239">
        <v>109229</v>
      </c>
      <c r="BN217" s="239">
        <v>12137</v>
      </c>
      <c r="BO217" s="239">
        <v>203347</v>
      </c>
      <c r="BP217" s="239">
        <v>106102</v>
      </c>
      <c r="BQ217" s="239">
        <v>11789</v>
      </c>
      <c r="BR217" s="239">
        <v>2864</v>
      </c>
      <c r="BS217" s="239">
        <v>644</v>
      </c>
      <c r="BT217" s="239">
        <v>72</v>
      </c>
      <c r="BU217" s="239">
        <v>0</v>
      </c>
      <c r="BV217" s="239">
        <v>0</v>
      </c>
      <c r="BW217" s="239">
        <v>0</v>
      </c>
      <c r="BX217" s="239">
        <v>2864</v>
      </c>
      <c r="BY217" s="239">
        <v>644</v>
      </c>
      <c r="BZ217" s="239">
        <v>72</v>
      </c>
      <c r="CA217" s="239">
        <v>0</v>
      </c>
      <c r="CB217" s="239">
        <v>0</v>
      </c>
      <c r="CC217" s="239">
        <v>0</v>
      </c>
      <c r="CD217" s="239">
        <v>0</v>
      </c>
      <c r="CE217" s="239">
        <v>0</v>
      </c>
      <c r="CF217" s="239">
        <v>0</v>
      </c>
      <c r="CG217" s="239">
        <v>0</v>
      </c>
      <c r="CH217" s="239">
        <v>0</v>
      </c>
      <c r="CI217" s="239">
        <v>0</v>
      </c>
      <c r="CJ217" s="239">
        <v>25587</v>
      </c>
      <c r="CK217" s="239">
        <v>5757</v>
      </c>
      <c r="CL217" s="239">
        <v>640</v>
      </c>
      <c r="CM217" s="239">
        <v>0</v>
      </c>
      <c r="CN217" s="239">
        <v>0</v>
      </c>
      <c r="CO217" s="239">
        <v>0</v>
      </c>
      <c r="CP217" s="239">
        <v>25587</v>
      </c>
      <c r="CQ217" s="239">
        <v>5757</v>
      </c>
      <c r="CR217" s="239">
        <v>640</v>
      </c>
      <c r="CS217" s="239">
        <v>0</v>
      </c>
      <c r="CT217" s="239">
        <v>0</v>
      </c>
      <c r="CU217" s="239">
        <v>0</v>
      </c>
      <c r="CV217" s="239">
        <v>0</v>
      </c>
      <c r="CW217" s="239">
        <v>0</v>
      </c>
      <c r="CX217" s="239">
        <v>0</v>
      </c>
      <c r="CY217" s="239">
        <v>0</v>
      </c>
      <c r="CZ217" s="239">
        <v>0</v>
      </c>
      <c r="DA217" s="239">
        <v>0</v>
      </c>
      <c r="DB217" s="239">
        <v>0</v>
      </c>
      <c r="DC217" s="239">
        <v>0</v>
      </c>
      <c r="DD217" s="239">
        <v>0</v>
      </c>
      <c r="DE217" s="239">
        <v>0</v>
      </c>
      <c r="DF217" s="239">
        <v>0</v>
      </c>
      <c r="DG217" s="239">
        <v>0</v>
      </c>
      <c r="DH217" s="239">
        <v>0</v>
      </c>
      <c r="DI217" s="239">
        <v>0</v>
      </c>
      <c r="DJ217" s="239">
        <v>0</v>
      </c>
      <c r="DK217" s="239">
        <v>0</v>
      </c>
      <c r="DL217" s="239">
        <v>0</v>
      </c>
      <c r="DM217" s="239">
        <v>0</v>
      </c>
      <c r="DN217" s="239">
        <v>0</v>
      </c>
      <c r="DO217" s="239">
        <v>0</v>
      </c>
      <c r="DP217" s="239">
        <v>0</v>
      </c>
      <c r="DQ217" s="239">
        <v>0</v>
      </c>
      <c r="DR217" s="239">
        <v>0</v>
      </c>
      <c r="DS217" s="239">
        <v>0</v>
      </c>
      <c r="DT217" s="239">
        <v>0</v>
      </c>
      <c r="DU217" s="239">
        <v>0</v>
      </c>
      <c r="DV217" s="239">
        <v>0</v>
      </c>
      <c r="DW217" s="239">
        <v>0</v>
      </c>
      <c r="DX217" s="239">
        <v>0</v>
      </c>
      <c r="DY217" s="239">
        <v>0</v>
      </c>
      <c r="DZ217" s="239">
        <v>3632</v>
      </c>
      <c r="EA217" s="239">
        <v>817</v>
      </c>
      <c r="EB217" s="239">
        <v>91</v>
      </c>
      <c r="EC217" s="239">
        <v>5046</v>
      </c>
      <c r="ED217" s="239">
        <v>0</v>
      </c>
      <c r="EE217" s="239">
        <v>0</v>
      </c>
      <c r="EF217" s="239">
        <v>-1414</v>
      </c>
      <c r="EG217" s="239">
        <v>817</v>
      </c>
      <c r="EH217" s="239">
        <v>91</v>
      </c>
      <c r="EI217" s="239">
        <v>51061</v>
      </c>
      <c r="EJ217" s="239">
        <v>11489</v>
      </c>
      <c r="EK217" s="239">
        <v>1277</v>
      </c>
      <c r="EL217" s="239">
        <v>62882</v>
      </c>
      <c r="EM217" s="239">
        <v>0</v>
      </c>
      <c r="EN217" s="239">
        <v>0</v>
      </c>
      <c r="EO217" s="239">
        <v>-11821</v>
      </c>
      <c r="EP217" s="239">
        <v>11489</v>
      </c>
      <c r="EQ217" s="239">
        <v>1277</v>
      </c>
      <c r="ER217" s="239">
        <v>5090</v>
      </c>
      <c r="ES217" s="239">
        <v>1145</v>
      </c>
      <c r="ET217" s="239">
        <v>127</v>
      </c>
      <c r="EU217" s="239">
        <v>10133</v>
      </c>
      <c r="EV217" s="239">
        <v>0</v>
      </c>
      <c r="EW217" s="239">
        <v>0</v>
      </c>
      <c r="EX217" s="239">
        <v>-5043</v>
      </c>
      <c r="EY217" s="239">
        <v>1145</v>
      </c>
      <c r="EZ217" s="239">
        <v>127</v>
      </c>
      <c r="FA217" s="239">
        <v>86467</v>
      </c>
      <c r="FB217" s="239">
        <v>19241</v>
      </c>
      <c r="FC217" s="239">
        <v>2138</v>
      </c>
      <c r="FD217" s="239">
        <v>98596</v>
      </c>
      <c r="FE217" s="239">
        <v>22144</v>
      </c>
      <c r="FF217" s="239">
        <v>2460</v>
      </c>
      <c r="FG217" s="239">
        <v>-12129</v>
      </c>
      <c r="FH217" s="239">
        <v>-2903</v>
      </c>
      <c r="FI217" s="239">
        <v>-322</v>
      </c>
      <c r="FJ217" s="239">
        <v>0</v>
      </c>
      <c r="FK217" s="239">
        <v>0</v>
      </c>
      <c r="FL217" s="239">
        <v>0</v>
      </c>
      <c r="FM217" s="239">
        <v>0</v>
      </c>
      <c r="FN217" s="239">
        <v>0</v>
      </c>
      <c r="FO217" s="239">
        <v>0</v>
      </c>
      <c r="FP217" s="239">
        <v>0</v>
      </c>
      <c r="FQ217" s="239">
        <v>0</v>
      </c>
      <c r="FR217" s="239">
        <v>0</v>
      </c>
      <c r="FS217" s="239">
        <v>0</v>
      </c>
      <c r="FT217" s="239">
        <v>0</v>
      </c>
      <c r="FU217" s="239">
        <v>0</v>
      </c>
      <c r="FV217" s="239">
        <v>1131728</v>
      </c>
      <c r="FW217" s="239">
        <v>254424</v>
      </c>
      <c r="FX217" s="239">
        <v>28271</v>
      </c>
      <c r="FY217" s="834">
        <v>0.5</v>
      </c>
      <c r="FZ217" s="834">
        <v>0.4</v>
      </c>
      <c r="GA217" s="834">
        <v>0.09</v>
      </c>
      <c r="GB217" s="834">
        <v>0.01</v>
      </c>
      <c r="GC217" s="214" t="s">
        <v>1158</v>
      </c>
    </row>
    <row r="218" spans="2:185" s="214" customFormat="1" x14ac:dyDescent="0.2">
      <c r="B218" s="602" t="s">
        <v>519</v>
      </c>
      <c r="C218" s="602" t="s">
        <v>518</v>
      </c>
      <c r="D218" s="239">
        <v>-667662</v>
      </c>
      <c r="E218" s="239">
        <v>0</v>
      </c>
      <c r="F218" s="239">
        <v>-667662</v>
      </c>
      <c r="G218" s="239">
        <v>-759702</v>
      </c>
      <c r="H218" s="239">
        <v>0</v>
      </c>
      <c r="I218" s="239">
        <v>-759702</v>
      </c>
      <c r="J218" s="239">
        <v>92040</v>
      </c>
      <c r="K218" s="239">
        <v>0</v>
      </c>
      <c r="L218" s="239">
        <v>92040</v>
      </c>
      <c r="M218" s="239">
        <v>98815</v>
      </c>
      <c r="N218" s="239">
        <v>98815</v>
      </c>
      <c r="O218" s="239">
        <v>0</v>
      </c>
      <c r="P218" s="239">
        <v>0</v>
      </c>
      <c r="Q218" s="239">
        <v>0</v>
      </c>
      <c r="R218" s="239">
        <v>0</v>
      </c>
      <c r="S218" s="239">
        <v>159159</v>
      </c>
      <c r="T218" s="239">
        <v>0</v>
      </c>
      <c r="U218" s="239">
        <v>152836</v>
      </c>
      <c r="V218" s="239">
        <v>0</v>
      </c>
      <c r="W218" s="239">
        <v>6323</v>
      </c>
      <c r="X218" s="239">
        <v>0</v>
      </c>
      <c r="Y218" s="239">
        <v>0</v>
      </c>
      <c r="Z218" s="239">
        <v>0</v>
      </c>
      <c r="AA218" s="239">
        <v>0</v>
      </c>
      <c r="AB218" s="239">
        <v>0</v>
      </c>
      <c r="AC218" s="239">
        <v>0</v>
      </c>
      <c r="AD218" s="239">
        <v>0</v>
      </c>
      <c r="AE218" s="239">
        <v>0</v>
      </c>
      <c r="AF218" s="239">
        <v>0</v>
      </c>
      <c r="AG218" s="239">
        <v>0</v>
      </c>
      <c r="AH218" s="239">
        <v>0</v>
      </c>
      <c r="AI218" s="239">
        <v>0</v>
      </c>
      <c r="AJ218" s="239">
        <v>0</v>
      </c>
      <c r="AK218" s="239">
        <v>0</v>
      </c>
      <c r="AL218" s="239">
        <v>0</v>
      </c>
      <c r="AM218" s="239">
        <v>0</v>
      </c>
      <c r="AN218" s="239">
        <v>0</v>
      </c>
      <c r="AO218" s="239">
        <v>0</v>
      </c>
      <c r="AP218" s="239">
        <v>0</v>
      </c>
      <c r="AQ218" s="239">
        <v>0</v>
      </c>
      <c r="AR218" s="239">
        <v>0</v>
      </c>
      <c r="AS218" s="239">
        <v>0</v>
      </c>
      <c r="AT218" s="239">
        <v>0</v>
      </c>
      <c r="AU218" s="239">
        <v>0</v>
      </c>
      <c r="AV218" s="239">
        <v>0</v>
      </c>
      <c r="AW218" s="239">
        <v>0</v>
      </c>
      <c r="AX218" s="239">
        <v>0</v>
      </c>
      <c r="AY218" s="239">
        <v>0</v>
      </c>
      <c r="AZ218" s="239">
        <v>0</v>
      </c>
      <c r="BA218" s="239">
        <v>0</v>
      </c>
      <c r="BB218" s="239">
        <v>0</v>
      </c>
      <c r="BC218" s="239">
        <v>766199</v>
      </c>
      <c r="BD218" s="239">
        <v>172395</v>
      </c>
      <c r="BE218" s="239">
        <v>19155</v>
      </c>
      <c r="BF218" s="239">
        <v>754587.9336892704</v>
      </c>
      <c r="BG218" s="239">
        <v>169782.28508008583</v>
      </c>
      <c r="BH218" s="239">
        <v>18864.698342231761</v>
      </c>
      <c r="BI218" s="239">
        <v>25958.01669527897</v>
      </c>
      <c r="BJ218" s="239">
        <v>5840.5537564377673</v>
      </c>
      <c r="BK218" s="239">
        <v>648.95041738197426</v>
      </c>
      <c r="BL218" s="239">
        <v>725346</v>
      </c>
      <c r="BM218" s="239">
        <v>120223</v>
      </c>
      <c r="BN218" s="239">
        <v>13358</v>
      </c>
      <c r="BO218" s="239">
        <v>40853</v>
      </c>
      <c r="BP218" s="239">
        <v>52172</v>
      </c>
      <c r="BQ218" s="239">
        <v>5797</v>
      </c>
      <c r="BR218" s="239">
        <v>1147</v>
      </c>
      <c r="BS218" s="239">
        <v>258</v>
      </c>
      <c r="BT218" s="239">
        <v>29</v>
      </c>
      <c r="BU218" s="239">
        <v>6121</v>
      </c>
      <c r="BV218" s="239">
        <v>1377</v>
      </c>
      <c r="BW218" s="239">
        <v>153</v>
      </c>
      <c r="BX218" s="239">
        <v>-4974</v>
      </c>
      <c r="BY218" s="239">
        <v>-1119</v>
      </c>
      <c r="BZ218" s="239">
        <v>-124</v>
      </c>
      <c r="CA218" s="239">
        <v>-5320</v>
      </c>
      <c r="CB218" s="239">
        <v>-1197</v>
      </c>
      <c r="CC218" s="239">
        <v>-133</v>
      </c>
      <c r="CD218" s="239">
        <v>0</v>
      </c>
      <c r="CE218" s="239">
        <v>0</v>
      </c>
      <c r="CF218" s="239">
        <v>0</v>
      </c>
      <c r="CG218" s="239">
        <v>-5320</v>
      </c>
      <c r="CH218" s="239">
        <v>-1197</v>
      </c>
      <c r="CI218" s="239">
        <v>-133</v>
      </c>
      <c r="CJ218" s="239">
        <v>0</v>
      </c>
      <c r="CK218" s="239">
        <v>0</v>
      </c>
      <c r="CL218" s="239">
        <v>0</v>
      </c>
      <c r="CM218" s="239">
        <v>0</v>
      </c>
      <c r="CN218" s="239">
        <v>0</v>
      </c>
      <c r="CO218" s="239">
        <v>0</v>
      </c>
      <c r="CP218" s="239">
        <v>0</v>
      </c>
      <c r="CQ218" s="239">
        <v>0</v>
      </c>
      <c r="CR218" s="239">
        <v>0</v>
      </c>
      <c r="CS218" s="239">
        <v>-1144</v>
      </c>
      <c r="CT218" s="239">
        <v>-257</v>
      </c>
      <c r="CU218" s="239">
        <v>-29</v>
      </c>
      <c r="CV218" s="239">
        <v>0</v>
      </c>
      <c r="CW218" s="239">
        <v>0</v>
      </c>
      <c r="CX218" s="239">
        <v>0</v>
      </c>
      <c r="CY218" s="239">
        <v>0</v>
      </c>
      <c r="CZ218" s="239">
        <v>0</v>
      </c>
      <c r="DA218" s="239">
        <v>0</v>
      </c>
      <c r="DB218" s="239">
        <v>0</v>
      </c>
      <c r="DC218" s="239">
        <v>0</v>
      </c>
      <c r="DD218" s="239">
        <v>0</v>
      </c>
      <c r="DE218" s="239">
        <v>0</v>
      </c>
      <c r="DF218" s="239">
        <v>0</v>
      </c>
      <c r="DG218" s="239">
        <v>0</v>
      </c>
      <c r="DH218" s="239">
        <v>737</v>
      </c>
      <c r="DI218" s="239">
        <v>166</v>
      </c>
      <c r="DJ218" s="239">
        <v>18</v>
      </c>
      <c r="DK218" s="239">
        <v>0</v>
      </c>
      <c r="DL218" s="239">
        <v>0</v>
      </c>
      <c r="DM218" s="239">
        <v>0</v>
      </c>
      <c r="DN218" s="239">
        <v>737</v>
      </c>
      <c r="DO218" s="239">
        <v>166</v>
      </c>
      <c r="DP218" s="239">
        <v>18</v>
      </c>
      <c r="DQ218" s="239">
        <v>0</v>
      </c>
      <c r="DR218" s="239">
        <v>0</v>
      </c>
      <c r="DS218" s="239">
        <v>0</v>
      </c>
      <c r="DT218" s="239">
        <v>0</v>
      </c>
      <c r="DU218" s="239">
        <v>0</v>
      </c>
      <c r="DV218" s="239">
        <v>0</v>
      </c>
      <c r="DW218" s="239">
        <v>0</v>
      </c>
      <c r="DX218" s="239">
        <v>0</v>
      </c>
      <c r="DY218" s="239">
        <v>0</v>
      </c>
      <c r="DZ218" s="239">
        <v>3159</v>
      </c>
      <c r="EA218" s="239">
        <v>711</v>
      </c>
      <c r="EB218" s="239">
        <v>79</v>
      </c>
      <c r="EC218" s="239">
        <v>3948</v>
      </c>
      <c r="ED218" s="239">
        <v>0</v>
      </c>
      <c r="EE218" s="239">
        <v>0</v>
      </c>
      <c r="EF218" s="239">
        <v>-789</v>
      </c>
      <c r="EG218" s="239">
        <v>711</v>
      </c>
      <c r="EH218" s="239">
        <v>79</v>
      </c>
      <c r="EI218" s="239">
        <v>40176</v>
      </c>
      <c r="EJ218" s="239">
        <v>9040</v>
      </c>
      <c r="EK218" s="239">
        <v>1004</v>
      </c>
      <c r="EL218" s="239">
        <v>50000</v>
      </c>
      <c r="EM218" s="239">
        <v>0</v>
      </c>
      <c r="EN218" s="239">
        <v>0</v>
      </c>
      <c r="EO218" s="239">
        <v>-9824</v>
      </c>
      <c r="EP218" s="239">
        <v>9040</v>
      </c>
      <c r="EQ218" s="239">
        <v>1004</v>
      </c>
      <c r="ER218" s="239">
        <v>8724</v>
      </c>
      <c r="ES218" s="239">
        <v>1963</v>
      </c>
      <c r="ET218" s="239">
        <v>218</v>
      </c>
      <c r="EU218" s="239">
        <v>9808</v>
      </c>
      <c r="EV218" s="239">
        <v>0</v>
      </c>
      <c r="EW218" s="239">
        <v>0</v>
      </c>
      <c r="EX218" s="239">
        <v>-1084</v>
      </c>
      <c r="EY218" s="239">
        <v>1963</v>
      </c>
      <c r="EZ218" s="239">
        <v>218</v>
      </c>
      <c r="FA218" s="239">
        <v>74577</v>
      </c>
      <c r="FB218" s="239">
        <v>16242</v>
      </c>
      <c r="FC218" s="239">
        <v>1805</v>
      </c>
      <c r="FD218" s="239">
        <v>71465</v>
      </c>
      <c r="FE218" s="239">
        <v>15563</v>
      </c>
      <c r="FF218" s="239">
        <v>1729</v>
      </c>
      <c r="FG218" s="239">
        <v>3112</v>
      </c>
      <c r="FH218" s="239">
        <v>679</v>
      </c>
      <c r="FI218" s="239">
        <v>76</v>
      </c>
      <c r="FJ218" s="239">
        <v>0</v>
      </c>
      <c r="FK218" s="239">
        <v>0</v>
      </c>
      <c r="FL218" s="239">
        <v>0</v>
      </c>
      <c r="FM218" s="239">
        <v>0</v>
      </c>
      <c r="FN218" s="239">
        <v>0</v>
      </c>
      <c r="FO218" s="239">
        <v>0</v>
      </c>
      <c r="FP218" s="239">
        <v>0</v>
      </c>
      <c r="FQ218" s="239">
        <v>0</v>
      </c>
      <c r="FR218" s="239">
        <v>0</v>
      </c>
      <c r="FS218" s="239">
        <v>0</v>
      </c>
      <c r="FT218" s="239">
        <v>0</v>
      </c>
      <c r="FU218" s="239">
        <v>0</v>
      </c>
      <c r="FV218" s="239">
        <v>888255</v>
      </c>
      <c r="FW218" s="239">
        <v>199321</v>
      </c>
      <c r="FX218" s="239">
        <v>22146</v>
      </c>
      <c r="FY218" s="834">
        <v>0.5</v>
      </c>
      <c r="FZ218" s="834">
        <v>0.4</v>
      </c>
      <c r="GA218" s="834">
        <v>0.09</v>
      </c>
      <c r="GB218" s="834">
        <v>0.01</v>
      </c>
      <c r="GC218" s="214" t="s">
        <v>1158</v>
      </c>
    </row>
    <row r="219" spans="2:185" s="214" customFormat="1" x14ac:dyDescent="0.2">
      <c r="B219" s="602" t="s">
        <v>521</v>
      </c>
      <c r="C219" s="602" t="s">
        <v>520</v>
      </c>
      <c r="D219" s="239">
        <v>972546</v>
      </c>
      <c r="E219" s="239">
        <v>0</v>
      </c>
      <c r="F219" s="239">
        <v>972546</v>
      </c>
      <c r="G219" s="239">
        <v>893929</v>
      </c>
      <c r="H219" s="239">
        <v>0</v>
      </c>
      <c r="I219" s="239">
        <v>893929</v>
      </c>
      <c r="J219" s="239">
        <v>78617</v>
      </c>
      <c r="K219" s="239">
        <v>0</v>
      </c>
      <c r="L219" s="239">
        <v>78617</v>
      </c>
      <c r="M219" s="239">
        <v>146049</v>
      </c>
      <c r="N219" s="239">
        <v>146049</v>
      </c>
      <c r="O219" s="239">
        <v>0</v>
      </c>
      <c r="P219" s="239">
        <v>0</v>
      </c>
      <c r="Q219" s="239">
        <v>0</v>
      </c>
      <c r="R219" s="239">
        <v>0</v>
      </c>
      <c r="S219" s="239">
        <v>0</v>
      </c>
      <c r="T219" s="239">
        <v>0</v>
      </c>
      <c r="U219" s="239">
        <v>0</v>
      </c>
      <c r="V219" s="239">
        <v>0</v>
      </c>
      <c r="W219" s="239">
        <v>0</v>
      </c>
      <c r="X219" s="239">
        <v>0</v>
      </c>
      <c r="Y219" s="239">
        <v>0</v>
      </c>
      <c r="Z219" s="239">
        <v>0</v>
      </c>
      <c r="AA219" s="239">
        <v>0</v>
      </c>
      <c r="AB219" s="239">
        <v>0</v>
      </c>
      <c r="AC219" s="239">
        <v>0</v>
      </c>
      <c r="AD219" s="239">
        <v>0</v>
      </c>
      <c r="AE219" s="239">
        <v>0</v>
      </c>
      <c r="AF219" s="239">
        <v>0</v>
      </c>
      <c r="AG219" s="239">
        <v>0</v>
      </c>
      <c r="AH219" s="239">
        <v>0</v>
      </c>
      <c r="AI219" s="239">
        <v>0</v>
      </c>
      <c r="AJ219" s="239">
        <v>0</v>
      </c>
      <c r="AK219" s="239">
        <v>0</v>
      </c>
      <c r="AL219" s="239">
        <v>0</v>
      </c>
      <c r="AM219" s="239">
        <v>0</v>
      </c>
      <c r="AN219" s="239">
        <v>0</v>
      </c>
      <c r="AO219" s="239">
        <v>0</v>
      </c>
      <c r="AP219" s="239">
        <v>0</v>
      </c>
      <c r="AQ219" s="239">
        <v>0</v>
      </c>
      <c r="AR219" s="239">
        <v>0</v>
      </c>
      <c r="AS219" s="239">
        <v>0</v>
      </c>
      <c r="AT219" s="239">
        <v>0</v>
      </c>
      <c r="AU219" s="239">
        <v>0</v>
      </c>
      <c r="AV219" s="239">
        <v>0</v>
      </c>
      <c r="AW219" s="239">
        <v>0</v>
      </c>
      <c r="AX219" s="239">
        <v>0</v>
      </c>
      <c r="AY219" s="239">
        <v>0</v>
      </c>
      <c r="AZ219" s="239">
        <v>0</v>
      </c>
      <c r="BA219" s="239">
        <v>0</v>
      </c>
      <c r="BB219" s="239">
        <v>0</v>
      </c>
      <c r="BC219" s="239">
        <v>1204240</v>
      </c>
      <c r="BD219" s="239">
        <v>270954</v>
      </c>
      <c r="BE219" s="239">
        <v>30106</v>
      </c>
      <c r="BF219" s="239">
        <v>1188578.9838197425</v>
      </c>
      <c r="BG219" s="239">
        <v>267430.27135944203</v>
      </c>
      <c r="BH219" s="239">
        <v>29714.474595493564</v>
      </c>
      <c r="BI219" s="239">
        <v>48250.654076394851</v>
      </c>
      <c r="BJ219" s="239">
        <v>10856.397167188839</v>
      </c>
      <c r="BK219" s="239">
        <v>1206.2663519098712</v>
      </c>
      <c r="BL219" s="239">
        <v>1115714</v>
      </c>
      <c r="BM219" s="239">
        <v>175857</v>
      </c>
      <c r="BN219" s="239">
        <v>19540</v>
      </c>
      <c r="BO219" s="239">
        <v>88526</v>
      </c>
      <c r="BP219" s="239">
        <v>95097</v>
      </c>
      <c r="BQ219" s="239">
        <v>10566</v>
      </c>
      <c r="BR219" s="239">
        <v>1341</v>
      </c>
      <c r="BS219" s="239">
        <v>302</v>
      </c>
      <c r="BT219" s="239">
        <v>34</v>
      </c>
      <c r="BU219" s="239">
        <v>1262</v>
      </c>
      <c r="BV219" s="239">
        <v>284</v>
      </c>
      <c r="BW219" s="239">
        <v>32</v>
      </c>
      <c r="BX219" s="239">
        <v>79</v>
      </c>
      <c r="BY219" s="239">
        <v>18</v>
      </c>
      <c r="BZ219" s="239">
        <v>2</v>
      </c>
      <c r="CA219" s="239">
        <v>0</v>
      </c>
      <c r="CB219" s="239">
        <v>0</v>
      </c>
      <c r="CC219" s="239">
        <v>0</v>
      </c>
      <c r="CD219" s="239">
        <v>0</v>
      </c>
      <c r="CE219" s="239">
        <v>0</v>
      </c>
      <c r="CF219" s="239">
        <v>0</v>
      </c>
      <c r="CG219" s="239">
        <v>0</v>
      </c>
      <c r="CH219" s="239">
        <v>0</v>
      </c>
      <c r="CI219" s="239">
        <v>0</v>
      </c>
      <c r="CJ219" s="239">
        <v>587</v>
      </c>
      <c r="CK219" s="239">
        <v>132</v>
      </c>
      <c r="CL219" s="239">
        <v>15</v>
      </c>
      <c r="CM219" s="239">
        <v>6126</v>
      </c>
      <c r="CN219" s="239">
        <v>1378</v>
      </c>
      <c r="CO219" s="239">
        <v>153</v>
      </c>
      <c r="CP219" s="239">
        <v>-5539</v>
      </c>
      <c r="CQ219" s="239">
        <v>-1246</v>
      </c>
      <c r="CR219" s="239">
        <v>-138</v>
      </c>
      <c r="CS219" s="239">
        <v>-66</v>
      </c>
      <c r="CT219" s="239">
        <v>-15</v>
      </c>
      <c r="CU219" s="239">
        <v>-2</v>
      </c>
      <c r="CV219" s="239">
        <v>0</v>
      </c>
      <c r="CW219" s="239">
        <v>0</v>
      </c>
      <c r="CX219" s="239">
        <v>0</v>
      </c>
      <c r="CY219" s="239">
        <v>0</v>
      </c>
      <c r="CZ219" s="239">
        <v>0</v>
      </c>
      <c r="DA219" s="239">
        <v>0</v>
      </c>
      <c r="DB219" s="239">
        <v>0</v>
      </c>
      <c r="DC219" s="239">
        <v>0</v>
      </c>
      <c r="DD219" s="239">
        <v>0</v>
      </c>
      <c r="DE219" s="239">
        <v>-317</v>
      </c>
      <c r="DF219" s="239">
        <v>-71</v>
      </c>
      <c r="DG219" s="239">
        <v>-8</v>
      </c>
      <c r="DH219" s="239">
        <v>15657</v>
      </c>
      <c r="DI219" s="239">
        <v>3523</v>
      </c>
      <c r="DJ219" s="239">
        <v>391</v>
      </c>
      <c r="DK219" s="239">
        <v>13961</v>
      </c>
      <c r="DL219" s="239">
        <v>3141</v>
      </c>
      <c r="DM219" s="239">
        <v>349</v>
      </c>
      <c r="DN219" s="239">
        <v>1696</v>
      </c>
      <c r="DO219" s="239">
        <v>382</v>
      </c>
      <c r="DP219" s="239">
        <v>42</v>
      </c>
      <c r="DQ219" s="239">
        <v>0</v>
      </c>
      <c r="DR219" s="239">
        <v>0</v>
      </c>
      <c r="DS219" s="239">
        <v>0</v>
      </c>
      <c r="DT219" s="239">
        <v>0</v>
      </c>
      <c r="DU219" s="239">
        <v>0</v>
      </c>
      <c r="DV219" s="239">
        <v>0</v>
      </c>
      <c r="DW219" s="239">
        <v>0</v>
      </c>
      <c r="DX219" s="239">
        <v>0</v>
      </c>
      <c r="DY219" s="239">
        <v>0</v>
      </c>
      <c r="DZ219" s="239">
        <v>18575</v>
      </c>
      <c r="EA219" s="239">
        <v>4179</v>
      </c>
      <c r="EB219" s="239">
        <v>464</v>
      </c>
      <c r="EC219" s="239">
        <v>27007</v>
      </c>
      <c r="ED219" s="239">
        <v>0</v>
      </c>
      <c r="EE219" s="239">
        <v>0</v>
      </c>
      <c r="EF219" s="239">
        <v>-8432</v>
      </c>
      <c r="EG219" s="239">
        <v>4179</v>
      </c>
      <c r="EH219" s="239">
        <v>464</v>
      </c>
      <c r="EI219" s="239">
        <v>58307</v>
      </c>
      <c r="EJ219" s="239">
        <v>13119</v>
      </c>
      <c r="EK219" s="239">
        <v>1458</v>
      </c>
      <c r="EL219" s="239">
        <v>114236</v>
      </c>
      <c r="EM219" s="239">
        <v>0</v>
      </c>
      <c r="EN219" s="239">
        <v>0</v>
      </c>
      <c r="EO219" s="239">
        <v>-55929</v>
      </c>
      <c r="EP219" s="239">
        <v>13119</v>
      </c>
      <c r="EQ219" s="239">
        <v>1458</v>
      </c>
      <c r="ER219" s="239">
        <v>14930</v>
      </c>
      <c r="ES219" s="239">
        <v>3359</v>
      </c>
      <c r="ET219" s="239">
        <v>373</v>
      </c>
      <c r="EU219" s="239">
        <v>18153</v>
      </c>
      <c r="EV219" s="239">
        <v>0</v>
      </c>
      <c r="EW219" s="239">
        <v>0</v>
      </c>
      <c r="EX219" s="239">
        <v>-3223</v>
      </c>
      <c r="EY219" s="239">
        <v>3359</v>
      </c>
      <c r="EZ219" s="239">
        <v>373</v>
      </c>
      <c r="FA219" s="239">
        <v>103174</v>
      </c>
      <c r="FB219" s="239">
        <v>23214</v>
      </c>
      <c r="FC219" s="239">
        <v>2579</v>
      </c>
      <c r="FD219" s="239">
        <v>105169</v>
      </c>
      <c r="FE219" s="239">
        <v>23663</v>
      </c>
      <c r="FF219" s="239">
        <v>2629</v>
      </c>
      <c r="FG219" s="239">
        <v>-1995</v>
      </c>
      <c r="FH219" s="239">
        <v>-449</v>
      </c>
      <c r="FI219" s="239">
        <v>-50</v>
      </c>
      <c r="FJ219" s="239">
        <v>0</v>
      </c>
      <c r="FK219" s="239">
        <v>0</v>
      </c>
      <c r="FL219" s="239">
        <v>0</v>
      </c>
      <c r="FM219" s="239">
        <v>0</v>
      </c>
      <c r="FN219" s="239">
        <v>0</v>
      </c>
      <c r="FO219" s="239">
        <v>0</v>
      </c>
      <c r="FP219" s="239">
        <v>0</v>
      </c>
      <c r="FQ219" s="239">
        <v>0</v>
      </c>
      <c r="FR219" s="239">
        <v>0</v>
      </c>
      <c r="FS219" s="239">
        <v>0</v>
      </c>
      <c r="FT219" s="239">
        <v>0</v>
      </c>
      <c r="FU219" s="239">
        <v>0</v>
      </c>
      <c r="FV219" s="239">
        <v>1416428</v>
      </c>
      <c r="FW219" s="239">
        <v>318696</v>
      </c>
      <c r="FX219" s="239">
        <v>35410</v>
      </c>
      <c r="FY219" s="834">
        <v>0.5</v>
      </c>
      <c r="FZ219" s="834">
        <v>0.4</v>
      </c>
      <c r="GA219" s="834">
        <v>0.09</v>
      </c>
      <c r="GB219" s="834">
        <v>0.01</v>
      </c>
      <c r="GC219" s="214" t="s">
        <v>1158</v>
      </c>
    </row>
    <row r="220" spans="2:185" s="214" customFormat="1" x14ac:dyDescent="0.2">
      <c r="B220" s="602" t="s">
        <v>523</v>
      </c>
      <c r="C220" s="602" t="s">
        <v>522</v>
      </c>
      <c r="D220" s="239">
        <v>-4639332</v>
      </c>
      <c r="E220" s="239">
        <v>-503</v>
      </c>
      <c r="F220" s="239">
        <v>-4639835</v>
      </c>
      <c r="G220" s="239">
        <v>-4676228</v>
      </c>
      <c r="H220" s="239">
        <v>-1477</v>
      </c>
      <c r="I220" s="239">
        <v>-4677705</v>
      </c>
      <c r="J220" s="239">
        <v>36896</v>
      </c>
      <c r="K220" s="239">
        <v>974</v>
      </c>
      <c r="L220" s="239">
        <v>37870</v>
      </c>
      <c r="M220" s="239">
        <v>302614</v>
      </c>
      <c r="N220" s="239">
        <v>302614</v>
      </c>
      <c r="O220" s="239">
        <v>0</v>
      </c>
      <c r="P220" s="239">
        <v>252181</v>
      </c>
      <c r="Q220" s="239">
        <v>0</v>
      </c>
      <c r="R220" s="239">
        <v>252181</v>
      </c>
      <c r="S220" s="239">
        <v>190327</v>
      </c>
      <c r="T220" s="239">
        <v>0</v>
      </c>
      <c r="U220" s="239">
        <v>189477</v>
      </c>
      <c r="V220" s="239">
        <v>0</v>
      </c>
      <c r="W220" s="239">
        <v>850</v>
      </c>
      <c r="X220" s="239">
        <v>0</v>
      </c>
      <c r="Y220" s="239">
        <v>208909</v>
      </c>
      <c r="Z220" s="239">
        <v>208909</v>
      </c>
      <c r="AA220" s="239">
        <v>0</v>
      </c>
      <c r="AB220" s="239">
        <v>0</v>
      </c>
      <c r="AC220" s="239">
        <v>203404</v>
      </c>
      <c r="AD220" s="239">
        <v>203404</v>
      </c>
      <c r="AE220" s="239">
        <v>0</v>
      </c>
      <c r="AF220" s="239">
        <v>0</v>
      </c>
      <c r="AG220" s="239">
        <v>5505</v>
      </c>
      <c r="AH220" s="239">
        <v>5505</v>
      </c>
      <c r="AI220" s="239">
        <v>0</v>
      </c>
      <c r="AJ220" s="239">
        <v>0</v>
      </c>
      <c r="AK220" s="239">
        <v>0</v>
      </c>
      <c r="AL220" s="239">
        <v>0</v>
      </c>
      <c r="AM220" s="239">
        <v>0</v>
      </c>
      <c r="AN220" s="239">
        <v>0</v>
      </c>
      <c r="AO220" s="239">
        <v>0</v>
      </c>
      <c r="AP220" s="239">
        <v>0</v>
      </c>
      <c r="AQ220" s="239">
        <v>0</v>
      </c>
      <c r="AR220" s="239">
        <v>0</v>
      </c>
      <c r="AS220" s="239">
        <v>0</v>
      </c>
      <c r="AT220" s="239">
        <v>0</v>
      </c>
      <c r="AU220" s="239">
        <v>0</v>
      </c>
      <c r="AV220" s="239">
        <v>0</v>
      </c>
      <c r="AW220" s="239">
        <v>0</v>
      </c>
      <c r="AX220" s="239">
        <v>0</v>
      </c>
      <c r="AY220" s="239">
        <v>0</v>
      </c>
      <c r="AZ220" s="239">
        <v>0</v>
      </c>
      <c r="BA220" s="239">
        <v>0</v>
      </c>
      <c r="BB220" s="239">
        <v>0</v>
      </c>
      <c r="BC220" s="239">
        <v>2570062</v>
      </c>
      <c r="BD220" s="239">
        <v>0</v>
      </c>
      <c r="BE220" s="239">
        <v>52200</v>
      </c>
      <c r="BF220" s="239">
        <v>2516691.8117330475</v>
      </c>
      <c r="BG220" s="239">
        <v>0</v>
      </c>
      <c r="BH220" s="239">
        <v>51116.032859227475</v>
      </c>
      <c r="BI220" s="239">
        <v>133882.30895278967</v>
      </c>
      <c r="BJ220" s="239">
        <v>0</v>
      </c>
      <c r="BK220" s="239">
        <v>2568.0915836909867</v>
      </c>
      <c r="BL220" s="239">
        <v>2237333</v>
      </c>
      <c r="BM220" s="239">
        <v>0</v>
      </c>
      <c r="BN220" s="239">
        <v>33695</v>
      </c>
      <c r="BO220" s="239">
        <v>332729</v>
      </c>
      <c r="BP220" s="239">
        <v>0</v>
      </c>
      <c r="BQ220" s="239">
        <v>18505</v>
      </c>
      <c r="BR220" s="239">
        <v>17808</v>
      </c>
      <c r="BS220" s="239">
        <v>0</v>
      </c>
      <c r="BT220" s="239">
        <v>363</v>
      </c>
      <c r="BU220" s="239">
        <v>6301</v>
      </c>
      <c r="BV220" s="239">
        <v>0</v>
      </c>
      <c r="BW220" s="239">
        <v>129</v>
      </c>
      <c r="BX220" s="239">
        <v>11507</v>
      </c>
      <c r="BY220" s="239">
        <v>0</v>
      </c>
      <c r="BZ220" s="239">
        <v>234</v>
      </c>
      <c r="CA220" s="239">
        <v>88253</v>
      </c>
      <c r="CB220" s="239">
        <v>0</v>
      </c>
      <c r="CC220" s="239">
        <v>1801</v>
      </c>
      <c r="CD220" s="239">
        <v>0</v>
      </c>
      <c r="CE220" s="239">
        <v>0</v>
      </c>
      <c r="CF220" s="239">
        <v>0</v>
      </c>
      <c r="CG220" s="239">
        <v>88253</v>
      </c>
      <c r="CH220" s="239">
        <v>0</v>
      </c>
      <c r="CI220" s="239">
        <v>1801</v>
      </c>
      <c r="CJ220" s="239">
        <v>-948</v>
      </c>
      <c r="CK220" s="239">
        <v>0</v>
      </c>
      <c r="CL220" s="239">
        <v>-19</v>
      </c>
      <c r="CM220" s="239">
        <v>0</v>
      </c>
      <c r="CN220" s="239">
        <v>0</v>
      </c>
      <c r="CO220" s="239">
        <v>0</v>
      </c>
      <c r="CP220" s="239">
        <v>-948</v>
      </c>
      <c r="CQ220" s="239">
        <v>0</v>
      </c>
      <c r="CR220" s="239">
        <v>-19</v>
      </c>
      <c r="CS220" s="239">
        <v>-1592</v>
      </c>
      <c r="CT220" s="239">
        <v>0</v>
      </c>
      <c r="CU220" s="239">
        <v>-32</v>
      </c>
      <c r="CV220" s="239">
        <v>0</v>
      </c>
      <c r="CW220" s="239">
        <v>0</v>
      </c>
      <c r="CX220" s="239">
        <v>0</v>
      </c>
      <c r="CY220" s="239">
        <v>0</v>
      </c>
      <c r="CZ220" s="239">
        <v>0</v>
      </c>
      <c r="DA220" s="239">
        <v>0</v>
      </c>
      <c r="DB220" s="239">
        <v>0</v>
      </c>
      <c r="DC220" s="239">
        <v>0</v>
      </c>
      <c r="DD220" s="239">
        <v>0</v>
      </c>
      <c r="DE220" s="239">
        <v>21202</v>
      </c>
      <c r="DF220" s="239">
        <v>0</v>
      </c>
      <c r="DG220" s="239">
        <v>65</v>
      </c>
      <c r="DH220" s="239">
        <v>6529</v>
      </c>
      <c r="DI220" s="239">
        <v>0</v>
      </c>
      <c r="DJ220" s="239">
        <v>133</v>
      </c>
      <c r="DK220" s="239">
        <v>6200</v>
      </c>
      <c r="DL220" s="239">
        <v>0</v>
      </c>
      <c r="DM220" s="239">
        <v>127</v>
      </c>
      <c r="DN220" s="239">
        <v>329</v>
      </c>
      <c r="DO220" s="239">
        <v>0</v>
      </c>
      <c r="DP220" s="239">
        <v>6</v>
      </c>
      <c r="DQ220" s="239">
        <v>0</v>
      </c>
      <c r="DR220" s="239">
        <v>0</v>
      </c>
      <c r="DS220" s="239">
        <v>0</v>
      </c>
      <c r="DT220" s="239">
        <v>0</v>
      </c>
      <c r="DU220" s="239">
        <v>0</v>
      </c>
      <c r="DV220" s="239">
        <v>0</v>
      </c>
      <c r="DW220" s="239">
        <v>0</v>
      </c>
      <c r="DX220" s="239">
        <v>0</v>
      </c>
      <c r="DY220" s="239">
        <v>0</v>
      </c>
      <c r="DZ220" s="239">
        <v>12531</v>
      </c>
      <c r="EA220" s="239">
        <v>0</v>
      </c>
      <c r="EB220" s="239">
        <v>256</v>
      </c>
      <c r="EC220" s="239">
        <v>19430</v>
      </c>
      <c r="ED220" s="239">
        <v>0</v>
      </c>
      <c r="EE220" s="239">
        <v>0</v>
      </c>
      <c r="EF220" s="239">
        <v>-6899</v>
      </c>
      <c r="EG220" s="239">
        <v>0</v>
      </c>
      <c r="EH220" s="239">
        <v>256</v>
      </c>
      <c r="EI220" s="239">
        <v>54486</v>
      </c>
      <c r="EJ220" s="239">
        <v>0</v>
      </c>
      <c r="EK220" s="239">
        <v>1112</v>
      </c>
      <c r="EL220" s="239">
        <v>182585</v>
      </c>
      <c r="EM220" s="239">
        <v>0</v>
      </c>
      <c r="EN220" s="239">
        <v>0</v>
      </c>
      <c r="EO220" s="239">
        <v>-128099</v>
      </c>
      <c r="EP220" s="239">
        <v>0</v>
      </c>
      <c r="EQ220" s="239">
        <v>1112</v>
      </c>
      <c r="ER220" s="239">
        <v>30348</v>
      </c>
      <c r="ES220" s="239">
        <v>0</v>
      </c>
      <c r="ET220" s="239">
        <v>619</v>
      </c>
      <c r="EU220" s="239">
        <v>55816</v>
      </c>
      <c r="EV220" s="239">
        <v>0</v>
      </c>
      <c r="EW220" s="239">
        <v>0</v>
      </c>
      <c r="EX220" s="239">
        <v>-25468</v>
      </c>
      <c r="EY220" s="239">
        <v>0</v>
      </c>
      <c r="EZ220" s="239">
        <v>619</v>
      </c>
      <c r="FA220" s="239">
        <v>513182</v>
      </c>
      <c r="FB220" s="239">
        <v>0</v>
      </c>
      <c r="FC220" s="239">
        <v>10337</v>
      </c>
      <c r="FD220" s="239">
        <v>501970</v>
      </c>
      <c r="FE220" s="239">
        <v>0</v>
      </c>
      <c r="FF220" s="239">
        <v>10124</v>
      </c>
      <c r="FG220" s="239">
        <v>11212</v>
      </c>
      <c r="FH220" s="239">
        <v>0</v>
      </c>
      <c r="FI220" s="239">
        <v>213</v>
      </c>
      <c r="FJ220" s="239">
        <v>0</v>
      </c>
      <c r="FK220" s="239">
        <v>0</v>
      </c>
      <c r="FL220" s="239">
        <v>0</v>
      </c>
      <c r="FM220" s="239">
        <v>0</v>
      </c>
      <c r="FN220" s="239">
        <v>0</v>
      </c>
      <c r="FO220" s="239">
        <v>0</v>
      </c>
      <c r="FP220" s="239">
        <v>0</v>
      </c>
      <c r="FQ220" s="239">
        <v>0</v>
      </c>
      <c r="FR220" s="239">
        <v>0</v>
      </c>
      <c r="FS220" s="239">
        <v>0</v>
      </c>
      <c r="FT220" s="239">
        <v>0</v>
      </c>
      <c r="FU220" s="239">
        <v>0</v>
      </c>
      <c r="FV220" s="239">
        <v>3311861</v>
      </c>
      <c r="FW220" s="239">
        <v>0</v>
      </c>
      <c r="FX220" s="239">
        <v>66835</v>
      </c>
      <c r="FY220" s="834">
        <v>0.5</v>
      </c>
      <c r="FZ220" s="834">
        <v>0.49</v>
      </c>
      <c r="GA220" s="834">
        <v>0</v>
      </c>
      <c r="GB220" s="834">
        <v>0.01</v>
      </c>
      <c r="GC220" s="214" t="s">
        <v>1160</v>
      </c>
    </row>
    <row r="221" spans="2:185" s="214" customFormat="1" x14ac:dyDescent="0.2">
      <c r="B221" s="602" t="s">
        <v>525</v>
      </c>
      <c r="C221" s="602" t="s">
        <v>524</v>
      </c>
      <c r="D221" s="239">
        <v>-2306018</v>
      </c>
      <c r="E221" s="239">
        <v>0</v>
      </c>
      <c r="F221" s="239">
        <v>-2306018</v>
      </c>
      <c r="G221" s="239">
        <v>-2272397</v>
      </c>
      <c r="H221" s="239">
        <v>0</v>
      </c>
      <c r="I221" s="239">
        <v>-2272397</v>
      </c>
      <c r="J221" s="239">
        <v>-33621</v>
      </c>
      <c r="K221" s="239">
        <v>0</v>
      </c>
      <c r="L221" s="239">
        <v>-33621</v>
      </c>
      <c r="M221" s="239">
        <v>135863</v>
      </c>
      <c r="N221" s="239">
        <v>135863</v>
      </c>
      <c r="O221" s="239">
        <v>0</v>
      </c>
      <c r="P221" s="239">
        <v>0</v>
      </c>
      <c r="Q221" s="239">
        <v>0</v>
      </c>
      <c r="R221" s="239">
        <v>0</v>
      </c>
      <c r="S221" s="239">
        <v>0</v>
      </c>
      <c r="T221" s="239">
        <v>0</v>
      </c>
      <c r="U221" s="239">
        <v>0</v>
      </c>
      <c r="V221" s="239">
        <v>0</v>
      </c>
      <c r="W221" s="239">
        <v>0</v>
      </c>
      <c r="X221" s="239">
        <v>0</v>
      </c>
      <c r="Y221" s="239">
        <v>0</v>
      </c>
      <c r="Z221" s="239">
        <v>0</v>
      </c>
      <c r="AA221" s="239">
        <v>0</v>
      </c>
      <c r="AB221" s="239">
        <v>0</v>
      </c>
      <c r="AC221" s="239">
        <v>0</v>
      </c>
      <c r="AD221" s="239">
        <v>0</v>
      </c>
      <c r="AE221" s="239">
        <v>0</v>
      </c>
      <c r="AF221" s="239">
        <v>0</v>
      </c>
      <c r="AG221" s="239">
        <v>0</v>
      </c>
      <c r="AH221" s="239">
        <v>0</v>
      </c>
      <c r="AI221" s="239">
        <v>0</v>
      </c>
      <c r="AJ221" s="239">
        <v>0</v>
      </c>
      <c r="AK221" s="239">
        <v>0</v>
      </c>
      <c r="AL221" s="239">
        <v>0</v>
      </c>
      <c r="AM221" s="239">
        <v>0</v>
      </c>
      <c r="AN221" s="239">
        <v>0</v>
      </c>
      <c r="AO221" s="239">
        <v>0</v>
      </c>
      <c r="AP221" s="239">
        <v>0</v>
      </c>
      <c r="AQ221" s="239">
        <v>0</v>
      </c>
      <c r="AR221" s="239">
        <v>0</v>
      </c>
      <c r="AS221" s="239">
        <v>0</v>
      </c>
      <c r="AT221" s="239">
        <v>0</v>
      </c>
      <c r="AU221" s="239">
        <v>0</v>
      </c>
      <c r="AV221" s="239">
        <v>0</v>
      </c>
      <c r="AW221" s="239">
        <v>0</v>
      </c>
      <c r="AX221" s="239">
        <v>0</v>
      </c>
      <c r="AY221" s="239">
        <v>0</v>
      </c>
      <c r="AZ221" s="239">
        <v>0</v>
      </c>
      <c r="BA221" s="239">
        <v>0</v>
      </c>
      <c r="BB221" s="239">
        <v>0</v>
      </c>
      <c r="BC221" s="239">
        <v>843820</v>
      </c>
      <c r="BD221" s="239">
        <v>210955</v>
      </c>
      <c r="BE221" s="239">
        <v>0</v>
      </c>
      <c r="BF221" s="239">
        <v>818108.02695278963</v>
      </c>
      <c r="BG221" s="239">
        <v>204527.00673819741</v>
      </c>
      <c r="BH221" s="239">
        <v>0</v>
      </c>
      <c r="BI221" s="239">
        <v>79412.3557081545</v>
      </c>
      <c r="BJ221" s="239">
        <v>19853.088927038625</v>
      </c>
      <c r="BK221" s="239">
        <v>0</v>
      </c>
      <c r="BL221" s="239">
        <v>872717</v>
      </c>
      <c r="BM221" s="239">
        <v>140308</v>
      </c>
      <c r="BN221" s="239">
        <v>0</v>
      </c>
      <c r="BO221" s="239">
        <v>-28897</v>
      </c>
      <c r="BP221" s="239">
        <v>70647</v>
      </c>
      <c r="BQ221" s="239">
        <v>0</v>
      </c>
      <c r="BR221" s="239">
        <v>0</v>
      </c>
      <c r="BS221" s="239">
        <v>0</v>
      </c>
      <c r="BT221" s="239">
        <v>0</v>
      </c>
      <c r="BU221" s="239">
        <v>0</v>
      </c>
      <c r="BV221" s="239">
        <v>0</v>
      </c>
      <c r="BW221" s="239">
        <v>0</v>
      </c>
      <c r="BX221" s="239">
        <v>0</v>
      </c>
      <c r="BY221" s="239">
        <v>0</v>
      </c>
      <c r="BZ221" s="239">
        <v>0</v>
      </c>
      <c r="CA221" s="239">
        <v>35624</v>
      </c>
      <c r="CB221" s="239">
        <v>8906</v>
      </c>
      <c r="CC221" s="239">
        <v>0</v>
      </c>
      <c r="CD221" s="239">
        <v>0</v>
      </c>
      <c r="CE221" s="239">
        <v>0</v>
      </c>
      <c r="CF221" s="239">
        <v>0</v>
      </c>
      <c r="CG221" s="239">
        <v>35624</v>
      </c>
      <c r="CH221" s="239">
        <v>8906</v>
      </c>
      <c r="CI221" s="239">
        <v>0</v>
      </c>
      <c r="CJ221" s="239">
        <v>5248</v>
      </c>
      <c r="CK221" s="239">
        <v>1312</v>
      </c>
      <c r="CL221" s="239">
        <v>0</v>
      </c>
      <c r="CM221" s="239">
        <v>2620</v>
      </c>
      <c r="CN221" s="239">
        <v>655</v>
      </c>
      <c r="CO221" s="239">
        <v>0</v>
      </c>
      <c r="CP221" s="239">
        <v>2628</v>
      </c>
      <c r="CQ221" s="239">
        <v>657</v>
      </c>
      <c r="CR221" s="239">
        <v>0</v>
      </c>
      <c r="CS221" s="239">
        <v>0</v>
      </c>
      <c r="CT221" s="239">
        <v>0</v>
      </c>
      <c r="CU221" s="239">
        <v>0</v>
      </c>
      <c r="CV221" s="239">
        <v>0</v>
      </c>
      <c r="CW221" s="239">
        <v>0</v>
      </c>
      <c r="CX221" s="239">
        <v>0</v>
      </c>
      <c r="CY221" s="239">
        <v>0</v>
      </c>
      <c r="CZ221" s="239">
        <v>0</v>
      </c>
      <c r="DA221" s="239">
        <v>0</v>
      </c>
      <c r="DB221" s="239">
        <v>0</v>
      </c>
      <c r="DC221" s="239">
        <v>0</v>
      </c>
      <c r="DD221" s="239">
        <v>0</v>
      </c>
      <c r="DE221" s="239">
        <v>0</v>
      </c>
      <c r="DF221" s="239">
        <v>0</v>
      </c>
      <c r="DG221" s="239">
        <v>0</v>
      </c>
      <c r="DH221" s="239">
        <v>3596</v>
      </c>
      <c r="DI221" s="239">
        <v>899</v>
      </c>
      <c r="DJ221" s="239">
        <v>0</v>
      </c>
      <c r="DK221" s="239">
        <v>3597</v>
      </c>
      <c r="DL221" s="239">
        <v>899</v>
      </c>
      <c r="DM221" s="239">
        <v>0</v>
      </c>
      <c r="DN221" s="239">
        <v>-1</v>
      </c>
      <c r="DO221" s="239">
        <v>0</v>
      </c>
      <c r="DP221" s="239">
        <v>0</v>
      </c>
      <c r="DQ221" s="239">
        <v>0</v>
      </c>
      <c r="DR221" s="239">
        <v>0</v>
      </c>
      <c r="DS221" s="239">
        <v>0</v>
      </c>
      <c r="DT221" s="239">
        <v>1218</v>
      </c>
      <c r="DU221" s="239">
        <v>305</v>
      </c>
      <c r="DV221" s="239">
        <v>0</v>
      </c>
      <c r="DW221" s="239">
        <v>-1218</v>
      </c>
      <c r="DX221" s="239">
        <v>-305</v>
      </c>
      <c r="DY221" s="239">
        <v>0</v>
      </c>
      <c r="DZ221" s="239">
        <v>8218</v>
      </c>
      <c r="EA221" s="239">
        <v>2055</v>
      </c>
      <c r="EB221" s="239">
        <v>0</v>
      </c>
      <c r="EC221" s="239">
        <v>10273</v>
      </c>
      <c r="ED221" s="239">
        <v>0</v>
      </c>
      <c r="EE221" s="239">
        <v>0</v>
      </c>
      <c r="EF221" s="239">
        <v>-2055</v>
      </c>
      <c r="EG221" s="239">
        <v>2055</v>
      </c>
      <c r="EH221" s="239">
        <v>0</v>
      </c>
      <c r="EI221" s="239">
        <v>94418</v>
      </c>
      <c r="EJ221" s="239">
        <v>23605</v>
      </c>
      <c r="EK221" s="239">
        <v>0</v>
      </c>
      <c r="EL221" s="239">
        <v>139102</v>
      </c>
      <c r="EM221" s="239">
        <v>0</v>
      </c>
      <c r="EN221" s="239">
        <v>0</v>
      </c>
      <c r="EO221" s="239">
        <v>-44684</v>
      </c>
      <c r="EP221" s="239">
        <v>23605</v>
      </c>
      <c r="EQ221" s="239">
        <v>0</v>
      </c>
      <c r="ER221" s="239">
        <v>19048</v>
      </c>
      <c r="ES221" s="239">
        <v>4762</v>
      </c>
      <c r="ET221" s="239">
        <v>0</v>
      </c>
      <c r="EU221" s="239">
        <v>23774</v>
      </c>
      <c r="EV221" s="239">
        <v>0</v>
      </c>
      <c r="EW221" s="239">
        <v>0</v>
      </c>
      <c r="EX221" s="239">
        <v>-4726</v>
      </c>
      <c r="EY221" s="239">
        <v>4762</v>
      </c>
      <c r="EZ221" s="239">
        <v>0</v>
      </c>
      <c r="FA221" s="239">
        <v>258023</v>
      </c>
      <c r="FB221" s="239">
        <v>64506</v>
      </c>
      <c r="FC221" s="239">
        <v>0</v>
      </c>
      <c r="FD221" s="239">
        <v>271515</v>
      </c>
      <c r="FE221" s="239">
        <v>67879</v>
      </c>
      <c r="FF221" s="239">
        <v>0</v>
      </c>
      <c r="FG221" s="239">
        <v>-13492</v>
      </c>
      <c r="FH221" s="239">
        <v>-3373</v>
      </c>
      <c r="FI221" s="239">
        <v>0</v>
      </c>
      <c r="FJ221" s="239">
        <v>0</v>
      </c>
      <c r="FK221" s="239">
        <v>0</v>
      </c>
      <c r="FL221" s="239">
        <v>0</v>
      </c>
      <c r="FM221" s="239">
        <v>0</v>
      </c>
      <c r="FN221" s="239">
        <v>0</v>
      </c>
      <c r="FO221" s="239">
        <v>0</v>
      </c>
      <c r="FP221" s="239">
        <v>0</v>
      </c>
      <c r="FQ221" s="239">
        <v>0</v>
      </c>
      <c r="FR221" s="239">
        <v>0</v>
      </c>
      <c r="FS221" s="239">
        <v>0</v>
      </c>
      <c r="FT221" s="239">
        <v>0</v>
      </c>
      <c r="FU221" s="239">
        <v>0</v>
      </c>
      <c r="FV221" s="239">
        <v>1267995</v>
      </c>
      <c r="FW221" s="239">
        <v>317000</v>
      </c>
      <c r="FX221" s="239">
        <v>0</v>
      </c>
      <c r="FY221" s="834">
        <v>0.5</v>
      </c>
      <c r="FZ221" s="834">
        <v>0.4</v>
      </c>
      <c r="GA221" s="834">
        <v>0.1</v>
      </c>
      <c r="GB221" s="834">
        <v>0</v>
      </c>
      <c r="GC221" s="214" t="s">
        <v>1158</v>
      </c>
    </row>
    <row r="222" spans="2:185" s="214" customFormat="1" x14ac:dyDescent="0.2">
      <c r="B222" s="602" t="s">
        <v>527</v>
      </c>
      <c r="C222" s="602" t="s">
        <v>526</v>
      </c>
      <c r="D222" s="239">
        <v>1863143</v>
      </c>
      <c r="E222" s="239">
        <v>1517</v>
      </c>
      <c r="F222" s="239">
        <v>1864660</v>
      </c>
      <c r="G222" s="239">
        <v>2264469</v>
      </c>
      <c r="H222" s="239">
        <v>1518</v>
      </c>
      <c r="I222" s="239">
        <v>2265987</v>
      </c>
      <c r="J222" s="239">
        <v>-401326</v>
      </c>
      <c r="K222" s="239">
        <v>-1</v>
      </c>
      <c r="L222" s="239">
        <v>-401327</v>
      </c>
      <c r="M222" s="239">
        <v>131332</v>
      </c>
      <c r="N222" s="239">
        <v>131332</v>
      </c>
      <c r="O222" s="239">
        <v>0</v>
      </c>
      <c r="P222" s="239">
        <v>116349</v>
      </c>
      <c r="Q222" s="239">
        <v>0</v>
      </c>
      <c r="R222" s="239">
        <v>116349</v>
      </c>
      <c r="S222" s="239">
        <v>0</v>
      </c>
      <c r="T222" s="239">
        <v>0</v>
      </c>
      <c r="U222" s="239">
        <v>0</v>
      </c>
      <c r="V222" s="239">
        <v>0</v>
      </c>
      <c r="W222" s="239">
        <v>0</v>
      </c>
      <c r="X222" s="239">
        <v>0</v>
      </c>
      <c r="Y222" s="239">
        <v>0</v>
      </c>
      <c r="Z222" s="239">
        <v>0</v>
      </c>
      <c r="AA222" s="239">
        <v>0</v>
      </c>
      <c r="AB222" s="239">
        <v>0</v>
      </c>
      <c r="AC222" s="239">
        <v>0</v>
      </c>
      <c r="AD222" s="239">
        <v>0</v>
      </c>
      <c r="AE222" s="239">
        <v>0</v>
      </c>
      <c r="AF222" s="239">
        <v>0</v>
      </c>
      <c r="AG222" s="239">
        <v>0</v>
      </c>
      <c r="AH222" s="239">
        <v>0</v>
      </c>
      <c r="AI222" s="239">
        <v>0</v>
      </c>
      <c r="AJ222" s="239">
        <v>0</v>
      </c>
      <c r="AK222" s="239">
        <v>0</v>
      </c>
      <c r="AL222" s="239">
        <v>0</v>
      </c>
      <c r="AM222" s="239">
        <v>0</v>
      </c>
      <c r="AN222" s="239">
        <v>0</v>
      </c>
      <c r="AO222" s="239">
        <v>0</v>
      </c>
      <c r="AP222" s="239">
        <v>0</v>
      </c>
      <c r="AQ222" s="239">
        <v>0</v>
      </c>
      <c r="AR222" s="239">
        <v>0</v>
      </c>
      <c r="AS222" s="239">
        <v>0</v>
      </c>
      <c r="AT222" s="239">
        <v>0</v>
      </c>
      <c r="AU222" s="239">
        <v>0</v>
      </c>
      <c r="AV222" s="239">
        <v>0</v>
      </c>
      <c r="AW222" s="239">
        <v>0</v>
      </c>
      <c r="AX222" s="239">
        <v>0</v>
      </c>
      <c r="AY222" s="239">
        <v>0</v>
      </c>
      <c r="AZ222" s="239">
        <v>0</v>
      </c>
      <c r="BA222" s="239">
        <v>0</v>
      </c>
      <c r="BB222" s="239">
        <v>0</v>
      </c>
      <c r="BC222" s="239">
        <v>623873</v>
      </c>
      <c r="BD222" s="239">
        <v>155968</v>
      </c>
      <c r="BE222" s="239">
        <v>0</v>
      </c>
      <c r="BF222" s="239">
        <v>606710.7662660944</v>
      </c>
      <c r="BG222" s="239">
        <v>151677.6915665236</v>
      </c>
      <c r="BH222" s="239">
        <v>0</v>
      </c>
      <c r="BI222" s="239">
        <v>68428.341587982839</v>
      </c>
      <c r="BJ222" s="239">
        <v>16526.493122317595</v>
      </c>
      <c r="BK222" s="239">
        <v>0</v>
      </c>
      <c r="BL222" s="239">
        <v>601273</v>
      </c>
      <c r="BM222" s="239">
        <v>92220</v>
      </c>
      <c r="BN222" s="239">
        <v>0</v>
      </c>
      <c r="BO222" s="239">
        <v>22600</v>
      </c>
      <c r="BP222" s="239">
        <v>63748</v>
      </c>
      <c r="BQ222" s="239">
        <v>0</v>
      </c>
      <c r="BR222" s="239">
        <v>0</v>
      </c>
      <c r="BS222" s="239">
        <v>0</v>
      </c>
      <c r="BT222" s="239">
        <v>0</v>
      </c>
      <c r="BU222" s="239">
        <v>0</v>
      </c>
      <c r="BV222" s="239">
        <v>0</v>
      </c>
      <c r="BW222" s="239">
        <v>0</v>
      </c>
      <c r="BX222" s="239">
        <v>0</v>
      </c>
      <c r="BY222" s="239">
        <v>0</v>
      </c>
      <c r="BZ222" s="239">
        <v>0</v>
      </c>
      <c r="CA222" s="239">
        <v>74138</v>
      </c>
      <c r="CB222" s="239">
        <v>18535</v>
      </c>
      <c r="CC222" s="239">
        <v>0</v>
      </c>
      <c r="CD222" s="239">
        <v>0</v>
      </c>
      <c r="CE222" s="239">
        <v>0</v>
      </c>
      <c r="CF222" s="239">
        <v>0</v>
      </c>
      <c r="CG222" s="239">
        <v>74138</v>
      </c>
      <c r="CH222" s="239">
        <v>18535</v>
      </c>
      <c r="CI222" s="239">
        <v>0</v>
      </c>
      <c r="CJ222" s="239">
        <v>0</v>
      </c>
      <c r="CK222" s="239">
        <v>0</v>
      </c>
      <c r="CL222" s="239">
        <v>0</v>
      </c>
      <c r="CM222" s="239">
        <v>0</v>
      </c>
      <c r="CN222" s="239">
        <v>0</v>
      </c>
      <c r="CO222" s="239">
        <v>0</v>
      </c>
      <c r="CP222" s="239">
        <v>0</v>
      </c>
      <c r="CQ222" s="239">
        <v>0</v>
      </c>
      <c r="CR222" s="239">
        <v>0</v>
      </c>
      <c r="CS222" s="239">
        <v>-232</v>
      </c>
      <c r="CT222" s="239">
        <v>-58</v>
      </c>
      <c r="CU222" s="239">
        <v>0</v>
      </c>
      <c r="CV222" s="239">
        <v>-12130</v>
      </c>
      <c r="CW222" s="239">
        <v>-3032</v>
      </c>
      <c r="CX222" s="239">
        <v>0</v>
      </c>
      <c r="CY222" s="239">
        <v>0</v>
      </c>
      <c r="CZ222" s="239">
        <v>0</v>
      </c>
      <c r="DA222" s="239">
        <v>0</v>
      </c>
      <c r="DB222" s="239">
        <v>-12130</v>
      </c>
      <c r="DC222" s="239">
        <v>-3032</v>
      </c>
      <c r="DD222" s="239">
        <v>0</v>
      </c>
      <c r="DE222" s="239">
        <v>0</v>
      </c>
      <c r="DF222" s="239">
        <v>0</v>
      </c>
      <c r="DG222" s="239">
        <v>0</v>
      </c>
      <c r="DH222" s="239">
        <v>0</v>
      </c>
      <c r="DI222" s="239">
        <v>0</v>
      </c>
      <c r="DJ222" s="239">
        <v>0</v>
      </c>
      <c r="DK222" s="239">
        <v>561</v>
      </c>
      <c r="DL222" s="239">
        <v>140</v>
      </c>
      <c r="DM222" s="239">
        <v>0</v>
      </c>
      <c r="DN222" s="239">
        <v>-561</v>
      </c>
      <c r="DO222" s="239">
        <v>-140</v>
      </c>
      <c r="DP222" s="239">
        <v>0</v>
      </c>
      <c r="DQ222" s="239">
        <v>0</v>
      </c>
      <c r="DR222" s="239">
        <v>0</v>
      </c>
      <c r="DS222" s="239">
        <v>0</v>
      </c>
      <c r="DT222" s="239">
        <v>0</v>
      </c>
      <c r="DU222" s="239">
        <v>0</v>
      </c>
      <c r="DV222" s="239">
        <v>0</v>
      </c>
      <c r="DW222" s="239">
        <v>0</v>
      </c>
      <c r="DX222" s="239">
        <v>0</v>
      </c>
      <c r="DY222" s="239">
        <v>0</v>
      </c>
      <c r="DZ222" s="239">
        <v>11650</v>
      </c>
      <c r="EA222" s="239">
        <v>2913</v>
      </c>
      <c r="EB222" s="239">
        <v>0</v>
      </c>
      <c r="EC222" s="239">
        <v>14563</v>
      </c>
      <c r="ED222" s="239">
        <v>0</v>
      </c>
      <c r="EE222" s="239">
        <v>0</v>
      </c>
      <c r="EF222" s="239">
        <v>-2913</v>
      </c>
      <c r="EG222" s="239">
        <v>2913</v>
      </c>
      <c r="EH222" s="239">
        <v>0</v>
      </c>
      <c r="EI222" s="239">
        <v>27856</v>
      </c>
      <c r="EJ222" s="239">
        <v>6964</v>
      </c>
      <c r="EK222" s="239">
        <v>0</v>
      </c>
      <c r="EL222" s="239">
        <v>207307</v>
      </c>
      <c r="EM222" s="239">
        <v>0</v>
      </c>
      <c r="EN222" s="239">
        <v>0</v>
      </c>
      <c r="EO222" s="239">
        <v>-179451</v>
      </c>
      <c r="EP222" s="239">
        <v>6964</v>
      </c>
      <c r="EQ222" s="239">
        <v>0</v>
      </c>
      <c r="ER222" s="239">
        <v>8448</v>
      </c>
      <c r="ES222" s="239">
        <v>2112</v>
      </c>
      <c r="ET222" s="239">
        <v>0</v>
      </c>
      <c r="EU222" s="239">
        <v>11061</v>
      </c>
      <c r="EV222" s="239">
        <v>0</v>
      </c>
      <c r="EW222" s="239">
        <v>0</v>
      </c>
      <c r="EX222" s="239">
        <v>-2613</v>
      </c>
      <c r="EY222" s="239">
        <v>2112</v>
      </c>
      <c r="EZ222" s="239">
        <v>0</v>
      </c>
      <c r="FA222" s="239">
        <v>268013</v>
      </c>
      <c r="FB222" s="239">
        <v>66566</v>
      </c>
      <c r="FC222" s="239">
        <v>0</v>
      </c>
      <c r="FD222" s="239">
        <v>342951</v>
      </c>
      <c r="FE222" s="239">
        <v>85738</v>
      </c>
      <c r="FF222" s="239">
        <v>0</v>
      </c>
      <c r="FG222" s="239">
        <v>-74938</v>
      </c>
      <c r="FH222" s="239">
        <v>-19172</v>
      </c>
      <c r="FI222" s="239">
        <v>0</v>
      </c>
      <c r="FJ222" s="239">
        <v>0</v>
      </c>
      <c r="FK222" s="239">
        <v>0</v>
      </c>
      <c r="FL222" s="239">
        <v>0</v>
      </c>
      <c r="FM222" s="239">
        <v>0</v>
      </c>
      <c r="FN222" s="239">
        <v>0</v>
      </c>
      <c r="FO222" s="239">
        <v>0</v>
      </c>
      <c r="FP222" s="239">
        <v>0</v>
      </c>
      <c r="FQ222" s="239">
        <v>0</v>
      </c>
      <c r="FR222" s="239">
        <v>0</v>
      </c>
      <c r="FS222" s="239">
        <v>0</v>
      </c>
      <c r="FT222" s="239">
        <v>0</v>
      </c>
      <c r="FU222" s="239">
        <v>0</v>
      </c>
      <c r="FV222" s="239">
        <v>1001616</v>
      </c>
      <c r="FW222" s="239">
        <v>249968</v>
      </c>
      <c r="FX222" s="239">
        <v>0</v>
      </c>
      <c r="FY222" s="834">
        <v>0.5</v>
      </c>
      <c r="FZ222" s="834">
        <v>0.4</v>
      </c>
      <c r="GA222" s="834">
        <v>0.1</v>
      </c>
      <c r="GB222" s="834">
        <v>0</v>
      </c>
      <c r="GC222" s="214" t="s">
        <v>1158</v>
      </c>
    </row>
    <row r="223" spans="2:185" s="214" customFormat="1" x14ac:dyDescent="0.2">
      <c r="B223" s="602" t="s">
        <v>529</v>
      </c>
      <c r="C223" s="602" t="s">
        <v>528</v>
      </c>
      <c r="D223" s="239">
        <v>-2065226</v>
      </c>
      <c r="E223" s="239">
        <v>0</v>
      </c>
      <c r="F223" s="239">
        <v>-2065226</v>
      </c>
      <c r="G223" s="239">
        <v>-2977258</v>
      </c>
      <c r="H223" s="239">
        <v>0</v>
      </c>
      <c r="I223" s="239">
        <v>-2977258</v>
      </c>
      <c r="J223" s="239">
        <v>912032</v>
      </c>
      <c r="K223" s="239">
        <v>0</v>
      </c>
      <c r="L223" s="239">
        <v>912032</v>
      </c>
      <c r="M223" s="239">
        <v>111888</v>
      </c>
      <c r="N223" s="239">
        <v>111888</v>
      </c>
      <c r="O223" s="239">
        <v>0</v>
      </c>
      <c r="P223" s="239">
        <v>0</v>
      </c>
      <c r="Q223" s="239">
        <v>0</v>
      </c>
      <c r="R223" s="239">
        <v>0</v>
      </c>
      <c r="S223" s="239">
        <v>186983</v>
      </c>
      <c r="T223" s="239">
        <v>0</v>
      </c>
      <c r="U223" s="239">
        <v>117335</v>
      </c>
      <c r="V223" s="239">
        <v>0</v>
      </c>
      <c r="W223" s="239">
        <v>69648</v>
      </c>
      <c r="X223" s="239">
        <v>0</v>
      </c>
      <c r="Y223" s="239">
        <v>0</v>
      </c>
      <c r="Z223" s="239">
        <v>0</v>
      </c>
      <c r="AA223" s="239">
        <v>0</v>
      </c>
      <c r="AB223" s="239">
        <v>0</v>
      </c>
      <c r="AC223" s="239">
        <v>0</v>
      </c>
      <c r="AD223" s="239">
        <v>0</v>
      </c>
      <c r="AE223" s="239">
        <v>0</v>
      </c>
      <c r="AF223" s="239">
        <v>0</v>
      </c>
      <c r="AG223" s="239">
        <v>0</v>
      </c>
      <c r="AH223" s="239">
        <v>0</v>
      </c>
      <c r="AI223" s="239">
        <v>0</v>
      </c>
      <c r="AJ223" s="239">
        <v>0</v>
      </c>
      <c r="AK223" s="239">
        <v>0</v>
      </c>
      <c r="AL223" s="239">
        <v>0</v>
      </c>
      <c r="AM223" s="239">
        <v>0</v>
      </c>
      <c r="AN223" s="239">
        <v>0</v>
      </c>
      <c r="AO223" s="239">
        <v>0</v>
      </c>
      <c r="AP223" s="239">
        <v>0</v>
      </c>
      <c r="AQ223" s="239">
        <v>0</v>
      </c>
      <c r="AR223" s="239">
        <v>0</v>
      </c>
      <c r="AS223" s="239">
        <v>0</v>
      </c>
      <c r="AT223" s="239">
        <v>0</v>
      </c>
      <c r="AU223" s="239">
        <v>0</v>
      </c>
      <c r="AV223" s="239">
        <v>0</v>
      </c>
      <c r="AW223" s="239">
        <v>0</v>
      </c>
      <c r="AX223" s="239">
        <v>0</v>
      </c>
      <c r="AY223" s="239">
        <v>0</v>
      </c>
      <c r="AZ223" s="239">
        <v>0</v>
      </c>
      <c r="BA223" s="239">
        <v>0</v>
      </c>
      <c r="BB223" s="239">
        <v>0</v>
      </c>
      <c r="BC223" s="239">
        <v>762619</v>
      </c>
      <c r="BD223" s="239">
        <v>171589</v>
      </c>
      <c r="BE223" s="239">
        <v>19065</v>
      </c>
      <c r="BF223" s="239">
        <v>745117.64786781126</v>
      </c>
      <c r="BG223" s="239">
        <v>167651.4707702575</v>
      </c>
      <c r="BH223" s="239">
        <v>18627.941196695279</v>
      </c>
      <c r="BI223" s="239">
        <v>55348.917167381973</v>
      </c>
      <c r="BJ223" s="239">
        <v>12453.506362660944</v>
      </c>
      <c r="BK223" s="239">
        <v>1383.7229291845495</v>
      </c>
      <c r="BL223" s="239">
        <v>746496</v>
      </c>
      <c r="BM223" s="239">
        <v>112537</v>
      </c>
      <c r="BN223" s="239">
        <v>12504</v>
      </c>
      <c r="BO223" s="239">
        <v>16123</v>
      </c>
      <c r="BP223" s="239">
        <v>59052</v>
      </c>
      <c r="BQ223" s="239">
        <v>6561</v>
      </c>
      <c r="BR223" s="239">
        <v>3134</v>
      </c>
      <c r="BS223" s="239">
        <v>705</v>
      </c>
      <c r="BT223" s="239">
        <v>78</v>
      </c>
      <c r="BU223" s="239">
        <v>4294</v>
      </c>
      <c r="BV223" s="239">
        <v>966</v>
      </c>
      <c r="BW223" s="239">
        <v>107</v>
      </c>
      <c r="BX223" s="239">
        <v>-1160</v>
      </c>
      <c r="BY223" s="239">
        <v>-261</v>
      </c>
      <c r="BZ223" s="239">
        <v>-29</v>
      </c>
      <c r="CA223" s="239">
        <v>-411</v>
      </c>
      <c r="CB223" s="239">
        <v>-93</v>
      </c>
      <c r="CC223" s="239">
        <v>-10</v>
      </c>
      <c r="CD223" s="239">
        <v>1335</v>
      </c>
      <c r="CE223" s="239">
        <v>300</v>
      </c>
      <c r="CF223" s="239">
        <v>33</v>
      </c>
      <c r="CG223" s="239">
        <v>-1746</v>
      </c>
      <c r="CH223" s="239">
        <v>-393</v>
      </c>
      <c r="CI223" s="239">
        <v>-43</v>
      </c>
      <c r="CJ223" s="239">
        <v>0</v>
      </c>
      <c r="CK223" s="239">
        <v>0</v>
      </c>
      <c r="CL223" s="239">
        <v>0</v>
      </c>
      <c r="CM223" s="239">
        <v>0</v>
      </c>
      <c r="CN223" s="239">
        <v>0</v>
      </c>
      <c r="CO223" s="239">
        <v>0</v>
      </c>
      <c r="CP223" s="239">
        <v>0</v>
      </c>
      <c r="CQ223" s="239">
        <v>0</v>
      </c>
      <c r="CR223" s="239">
        <v>0</v>
      </c>
      <c r="CS223" s="239">
        <v>0</v>
      </c>
      <c r="CT223" s="239">
        <v>0</v>
      </c>
      <c r="CU223" s="239">
        <v>0</v>
      </c>
      <c r="CV223" s="239">
        <v>0</v>
      </c>
      <c r="CW223" s="239">
        <v>0</v>
      </c>
      <c r="CX223" s="239">
        <v>0</v>
      </c>
      <c r="CY223" s="239">
        <v>0</v>
      </c>
      <c r="CZ223" s="239">
        <v>0</v>
      </c>
      <c r="DA223" s="239">
        <v>0</v>
      </c>
      <c r="DB223" s="239">
        <v>0</v>
      </c>
      <c r="DC223" s="239">
        <v>0</v>
      </c>
      <c r="DD223" s="239">
        <v>0</v>
      </c>
      <c r="DE223" s="239">
        <v>0</v>
      </c>
      <c r="DF223" s="239">
        <v>0</v>
      </c>
      <c r="DG223" s="239">
        <v>0</v>
      </c>
      <c r="DH223" s="239">
        <v>3450</v>
      </c>
      <c r="DI223" s="239">
        <v>776</v>
      </c>
      <c r="DJ223" s="239">
        <v>86</v>
      </c>
      <c r="DK223" s="239">
        <v>0</v>
      </c>
      <c r="DL223" s="239">
        <v>0</v>
      </c>
      <c r="DM223" s="239">
        <v>0</v>
      </c>
      <c r="DN223" s="239">
        <v>3450</v>
      </c>
      <c r="DO223" s="239">
        <v>776</v>
      </c>
      <c r="DP223" s="239">
        <v>86</v>
      </c>
      <c r="DQ223" s="239">
        <v>0</v>
      </c>
      <c r="DR223" s="239">
        <v>0</v>
      </c>
      <c r="DS223" s="239">
        <v>0</v>
      </c>
      <c r="DT223" s="239">
        <v>0</v>
      </c>
      <c r="DU223" s="239">
        <v>0</v>
      </c>
      <c r="DV223" s="239">
        <v>0</v>
      </c>
      <c r="DW223" s="239">
        <v>0</v>
      </c>
      <c r="DX223" s="239">
        <v>0</v>
      </c>
      <c r="DY223" s="239">
        <v>0</v>
      </c>
      <c r="DZ223" s="239">
        <v>14085</v>
      </c>
      <c r="EA223" s="239">
        <v>3169</v>
      </c>
      <c r="EB223" s="239">
        <v>352</v>
      </c>
      <c r="EC223" s="239">
        <v>14616</v>
      </c>
      <c r="ED223" s="239">
        <v>0</v>
      </c>
      <c r="EE223" s="239">
        <v>0</v>
      </c>
      <c r="EF223" s="239">
        <v>-531</v>
      </c>
      <c r="EG223" s="239">
        <v>3169</v>
      </c>
      <c r="EH223" s="239">
        <v>352</v>
      </c>
      <c r="EI223" s="239">
        <v>97165</v>
      </c>
      <c r="EJ223" s="239">
        <v>21862</v>
      </c>
      <c r="EK223" s="239">
        <v>2429</v>
      </c>
      <c r="EL223" s="239">
        <v>133297</v>
      </c>
      <c r="EM223" s="239">
        <v>0</v>
      </c>
      <c r="EN223" s="239">
        <v>0</v>
      </c>
      <c r="EO223" s="239">
        <v>-36132</v>
      </c>
      <c r="EP223" s="239">
        <v>21862</v>
      </c>
      <c r="EQ223" s="239">
        <v>2429</v>
      </c>
      <c r="ER223" s="239">
        <v>12639</v>
      </c>
      <c r="ES223" s="239">
        <v>2844</v>
      </c>
      <c r="ET223" s="239">
        <v>316</v>
      </c>
      <c r="EU223" s="239">
        <v>19870</v>
      </c>
      <c r="EV223" s="239">
        <v>0</v>
      </c>
      <c r="EW223" s="239">
        <v>0</v>
      </c>
      <c r="EX223" s="239">
        <v>-7231</v>
      </c>
      <c r="EY223" s="239">
        <v>2844</v>
      </c>
      <c r="EZ223" s="239">
        <v>316</v>
      </c>
      <c r="FA223" s="239">
        <v>147653</v>
      </c>
      <c r="FB223" s="239">
        <v>32590</v>
      </c>
      <c r="FC223" s="239">
        <v>3621</v>
      </c>
      <c r="FD223" s="239">
        <v>144904</v>
      </c>
      <c r="FE223" s="239">
        <v>32207</v>
      </c>
      <c r="FF223" s="239">
        <v>3579</v>
      </c>
      <c r="FG223" s="239">
        <v>2749</v>
      </c>
      <c r="FH223" s="239">
        <v>383</v>
      </c>
      <c r="FI223" s="239">
        <v>42</v>
      </c>
      <c r="FJ223" s="239">
        <v>0</v>
      </c>
      <c r="FK223" s="239">
        <v>0</v>
      </c>
      <c r="FL223" s="239">
        <v>0</v>
      </c>
      <c r="FM223" s="239">
        <v>0</v>
      </c>
      <c r="FN223" s="239">
        <v>0</v>
      </c>
      <c r="FO223" s="239">
        <v>0</v>
      </c>
      <c r="FP223" s="239">
        <v>0</v>
      </c>
      <c r="FQ223" s="239">
        <v>0</v>
      </c>
      <c r="FR223" s="239">
        <v>0</v>
      </c>
      <c r="FS223" s="239">
        <v>0</v>
      </c>
      <c r="FT223" s="239">
        <v>0</v>
      </c>
      <c r="FU223" s="239">
        <v>0</v>
      </c>
      <c r="FV223" s="239">
        <v>1040334</v>
      </c>
      <c r="FW223" s="239">
        <v>233442</v>
      </c>
      <c r="FX223" s="239">
        <v>25937</v>
      </c>
      <c r="FY223" s="834">
        <v>0.5</v>
      </c>
      <c r="FZ223" s="834">
        <v>0.4</v>
      </c>
      <c r="GA223" s="834">
        <v>0.09</v>
      </c>
      <c r="GB223" s="834">
        <v>0.01</v>
      </c>
      <c r="GC223" s="214" t="s">
        <v>1158</v>
      </c>
    </row>
    <row r="224" spans="2:185" s="214" customFormat="1" x14ac:dyDescent="0.2">
      <c r="B224" s="602" t="s">
        <v>531</v>
      </c>
      <c r="C224" s="602" t="s">
        <v>530</v>
      </c>
      <c r="D224" s="239">
        <v>399045</v>
      </c>
      <c r="E224" s="239">
        <v>0</v>
      </c>
      <c r="F224" s="239">
        <v>399045</v>
      </c>
      <c r="G224" s="239">
        <v>341199</v>
      </c>
      <c r="H224" s="239">
        <v>0</v>
      </c>
      <c r="I224" s="239">
        <v>341199</v>
      </c>
      <c r="J224" s="239">
        <v>57846</v>
      </c>
      <c r="K224" s="239">
        <v>0</v>
      </c>
      <c r="L224" s="239">
        <v>57846</v>
      </c>
      <c r="M224" s="239">
        <v>120627</v>
      </c>
      <c r="N224" s="239">
        <v>120627</v>
      </c>
      <c r="O224" s="239">
        <v>0</v>
      </c>
      <c r="P224" s="239">
        <v>0</v>
      </c>
      <c r="Q224" s="239">
        <v>0</v>
      </c>
      <c r="R224" s="239">
        <v>0</v>
      </c>
      <c r="S224" s="239">
        <v>0</v>
      </c>
      <c r="T224" s="239">
        <v>0</v>
      </c>
      <c r="U224" s="239">
        <v>0</v>
      </c>
      <c r="V224" s="239">
        <v>0</v>
      </c>
      <c r="W224" s="239">
        <v>0</v>
      </c>
      <c r="X224" s="239">
        <v>0</v>
      </c>
      <c r="Y224" s="239">
        <v>0</v>
      </c>
      <c r="Z224" s="239">
        <v>0</v>
      </c>
      <c r="AA224" s="239">
        <v>0</v>
      </c>
      <c r="AB224" s="239">
        <v>0</v>
      </c>
      <c r="AC224" s="239">
        <v>0</v>
      </c>
      <c r="AD224" s="239">
        <v>0</v>
      </c>
      <c r="AE224" s="239">
        <v>0</v>
      </c>
      <c r="AF224" s="239">
        <v>0</v>
      </c>
      <c r="AG224" s="239">
        <v>0</v>
      </c>
      <c r="AH224" s="239">
        <v>0</v>
      </c>
      <c r="AI224" s="239">
        <v>0</v>
      </c>
      <c r="AJ224" s="239">
        <v>0</v>
      </c>
      <c r="AK224" s="239">
        <v>0</v>
      </c>
      <c r="AL224" s="239">
        <v>0</v>
      </c>
      <c r="AM224" s="239">
        <v>0</v>
      </c>
      <c r="AN224" s="239">
        <v>0</v>
      </c>
      <c r="AO224" s="239">
        <v>0</v>
      </c>
      <c r="AP224" s="239">
        <v>0</v>
      </c>
      <c r="AQ224" s="239">
        <v>0</v>
      </c>
      <c r="AR224" s="239">
        <v>0</v>
      </c>
      <c r="AS224" s="239">
        <v>0</v>
      </c>
      <c r="AT224" s="239">
        <v>0</v>
      </c>
      <c r="AU224" s="239">
        <v>0</v>
      </c>
      <c r="AV224" s="239">
        <v>0</v>
      </c>
      <c r="AW224" s="239">
        <v>0</v>
      </c>
      <c r="AX224" s="239">
        <v>0</v>
      </c>
      <c r="AY224" s="239">
        <v>0</v>
      </c>
      <c r="AZ224" s="239">
        <v>0</v>
      </c>
      <c r="BA224" s="239">
        <v>0</v>
      </c>
      <c r="BB224" s="239">
        <v>0</v>
      </c>
      <c r="BC224" s="239">
        <v>620030</v>
      </c>
      <c r="BD224" s="239">
        <v>139507</v>
      </c>
      <c r="BE224" s="239">
        <v>15501</v>
      </c>
      <c r="BF224" s="239">
        <v>598051.51710128749</v>
      </c>
      <c r="BG224" s="239">
        <v>134561.59134778968</v>
      </c>
      <c r="BH224" s="239">
        <v>14951.287927532187</v>
      </c>
      <c r="BI224" s="239">
        <v>67867.542231759653</v>
      </c>
      <c r="BJ224" s="239">
        <v>15270.197002145922</v>
      </c>
      <c r="BK224" s="239">
        <v>1696.6885557939913</v>
      </c>
      <c r="BL224" s="239">
        <v>554541</v>
      </c>
      <c r="BM224" s="239">
        <v>75734</v>
      </c>
      <c r="BN224" s="239">
        <v>8415</v>
      </c>
      <c r="BO224" s="239">
        <v>65489</v>
      </c>
      <c r="BP224" s="239">
        <v>63773</v>
      </c>
      <c r="BQ224" s="239">
        <v>7086</v>
      </c>
      <c r="BR224" s="239">
        <v>-495</v>
      </c>
      <c r="BS224" s="239">
        <v>-111</v>
      </c>
      <c r="BT224" s="239">
        <v>-12</v>
      </c>
      <c r="BU224" s="239">
        <v>4259</v>
      </c>
      <c r="BV224" s="239">
        <v>958</v>
      </c>
      <c r="BW224" s="239">
        <v>106</v>
      </c>
      <c r="BX224" s="239">
        <v>-4754</v>
      </c>
      <c r="BY224" s="239">
        <v>-1069</v>
      </c>
      <c r="BZ224" s="239">
        <v>-118</v>
      </c>
      <c r="CA224" s="239">
        <v>0</v>
      </c>
      <c r="CB224" s="239">
        <v>0</v>
      </c>
      <c r="CC224" s="239">
        <v>0</v>
      </c>
      <c r="CD224" s="239">
        <v>0</v>
      </c>
      <c r="CE224" s="239">
        <v>0</v>
      </c>
      <c r="CF224" s="239">
        <v>0</v>
      </c>
      <c r="CG224" s="239">
        <v>0</v>
      </c>
      <c r="CH224" s="239">
        <v>0</v>
      </c>
      <c r="CI224" s="239">
        <v>0</v>
      </c>
      <c r="CJ224" s="239">
        <v>0</v>
      </c>
      <c r="CK224" s="239">
        <v>0</v>
      </c>
      <c r="CL224" s="239">
        <v>0</v>
      </c>
      <c r="CM224" s="239">
        <v>0</v>
      </c>
      <c r="CN224" s="239">
        <v>0</v>
      </c>
      <c r="CO224" s="239">
        <v>0</v>
      </c>
      <c r="CP224" s="239">
        <v>0</v>
      </c>
      <c r="CQ224" s="239">
        <v>0</v>
      </c>
      <c r="CR224" s="239">
        <v>0</v>
      </c>
      <c r="CS224" s="239">
        <v>-1948</v>
      </c>
      <c r="CT224" s="239">
        <v>-438</v>
      </c>
      <c r="CU224" s="239">
        <v>-49</v>
      </c>
      <c r="CV224" s="239">
        <v>0</v>
      </c>
      <c r="CW224" s="239">
        <v>0</v>
      </c>
      <c r="CX224" s="239">
        <v>0</v>
      </c>
      <c r="CY224" s="239">
        <v>0</v>
      </c>
      <c r="CZ224" s="239">
        <v>0</v>
      </c>
      <c r="DA224" s="239">
        <v>0</v>
      </c>
      <c r="DB224" s="239">
        <v>0</v>
      </c>
      <c r="DC224" s="239">
        <v>0</v>
      </c>
      <c r="DD224" s="239">
        <v>0</v>
      </c>
      <c r="DE224" s="239">
        <v>-274</v>
      </c>
      <c r="DF224" s="239">
        <v>-62</v>
      </c>
      <c r="DG224" s="239">
        <v>-7</v>
      </c>
      <c r="DH224" s="239">
        <v>0</v>
      </c>
      <c r="DI224" s="239">
        <v>0</v>
      </c>
      <c r="DJ224" s="239">
        <v>0</v>
      </c>
      <c r="DK224" s="239">
        <v>0</v>
      </c>
      <c r="DL224" s="239">
        <v>0</v>
      </c>
      <c r="DM224" s="239">
        <v>0</v>
      </c>
      <c r="DN224" s="239">
        <v>0</v>
      </c>
      <c r="DO224" s="239">
        <v>0</v>
      </c>
      <c r="DP224" s="239">
        <v>0</v>
      </c>
      <c r="DQ224" s="239">
        <v>0</v>
      </c>
      <c r="DR224" s="239">
        <v>0</v>
      </c>
      <c r="DS224" s="239">
        <v>0</v>
      </c>
      <c r="DT224" s="239">
        <v>0</v>
      </c>
      <c r="DU224" s="239">
        <v>0</v>
      </c>
      <c r="DV224" s="239">
        <v>0</v>
      </c>
      <c r="DW224" s="239">
        <v>0</v>
      </c>
      <c r="DX224" s="239">
        <v>0</v>
      </c>
      <c r="DY224" s="239">
        <v>0</v>
      </c>
      <c r="DZ224" s="239">
        <v>17546</v>
      </c>
      <c r="EA224" s="239">
        <v>3948</v>
      </c>
      <c r="EB224" s="239">
        <v>439</v>
      </c>
      <c r="EC224" s="239">
        <v>22330</v>
      </c>
      <c r="ED224" s="239">
        <v>0</v>
      </c>
      <c r="EE224" s="239">
        <v>0</v>
      </c>
      <c r="EF224" s="239">
        <v>-4784</v>
      </c>
      <c r="EG224" s="239">
        <v>3948</v>
      </c>
      <c r="EH224" s="239">
        <v>439</v>
      </c>
      <c r="EI224" s="239">
        <v>123782</v>
      </c>
      <c r="EJ224" s="239">
        <v>27851</v>
      </c>
      <c r="EK224" s="239">
        <v>3095</v>
      </c>
      <c r="EL224" s="239">
        <v>155693</v>
      </c>
      <c r="EM224" s="239">
        <v>0</v>
      </c>
      <c r="EN224" s="239">
        <v>0</v>
      </c>
      <c r="EO224" s="239">
        <v>-31911</v>
      </c>
      <c r="EP224" s="239">
        <v>27851</v>
      </c>
      <c r="EQ224" s="239">
        <v>3095</v>
      </c>
      <c r="ER224" s="239">
        <v>7966</v>
      </c>
      <c r="ES224" s="239">
        <v>1792</v>
      </c>
      <c r="ET224" s="239">
        <v>199</v>
      </c>
      <c r="EU224" s="239">
        <v>14718</v>
      </c>
      <c r="EV224" s="239">
        <v>0</v>
      </c>
      <c r="EW224" s="239">
        <v>0</v>
      </c>
      <c r="EX224" s="239">
        <v>-6752</v>
      </c>
      <c r="EY224" s="239">
        <v>1792</v>
      </c>
      <c r="EZ224" s="239">
        <v>199</v>
      </c>
      <c r="FA224" s="239">
        <v>281423</v>
      </c>
      <c r="FB224" s="239">
        <v>63320</v>
      </c>
      <c r="FC224" s="239">
        <v>7036</v>
      </c>
      <c r="FD224" s="239">
        <v>285251</v>
      </c>
      <c r="FE224" s="239">
        <v>64181</v>
      </c>
      <c r="FF224" s="239">
        <v>7131</v>
      </c>
      <c r="FG224" s="239">
        <v>-3828</v>
      </c>
      <c r="FH224" s="239">
        <v>-861</v>
      </c>
      <c r="FI224" s="239">
        <v>-95</v>
      </c>
      <c r="FJ224" s="239">
        <v>0</v>
      </c>
      <c r="FK224" s="239">
        <v>0</v>
      </c>
      <c r="FL224" s="239">
        <v>0</v>
      </c>
      <c r="FM224" s="239">
        <v>0</v>
      </c>
      <c r="FN224" s="239">
        <v>0</v>
      </c>
      <c r="FO224" s="239">
        <v>0</v>
      </c>
      <c r="FP224" s="239">
        <v>0</v>
      </c>
      <c r="FQ224" s="239">
        <v>0</v>
      </c>
      <c r="FR224" s="239">
        <v>0</v>
      </c>
      <c r="FS224" s="239">
        <v>0</v>
      </c>
      <c r="FT224" s="239">
        <v>0</v>
      </c>
      <c r="FU224" s="239">
        <v>0</v>
      </c>
      <c r="FV224" s="239">
        <v>1048030</v>
      </c>
      <c r="FW224" s="239">
        <v>235807</v>
      </c>
      <c r="FX224" s="239">
        <v>26202</v>
      </c>
      <c r="FY224" s="834">
        <v>0.5</v>
      </c>
      <c r="FZ224" s="834">
        <v>0.4</v>
      </c>
      <c r="GA224" s="834">
        <v>0.09</v>
      </c>
      <c r="GB224" s="834">
        <v>0.01</v>
      </c>
      <c r="GC224" s="214" t="s">
        <v>1158</v>
      </c>
    </row>
    <row r="225" spans="1:185" s="214" customFormat="1" x14ac:dyDescent="0.2">
      <c r="B225" s="602" t="s">
        <v>533</v>
      </c>
      <c r="C225" s="602" t="s">
        <v>532</v>
      </c>
      <c r="D225" s="239">
        <v>665888</v>
      </c>
      <c r="E225" s="239">
        <v>0</v>
      </c>
      <c r="F225" s="239">
        <v>665888</v>
      </c>
      <c r="G225" s="239">
        <v>687754</v>
      </c>
      <c r="H225" s="239">
        <v>0</v>
      </c>
      <c r="I225" s="239">
        <v>687754</v>
      </c>
      <c r="J225" s="239">
        <v>-21866</v>
      </c>
      <c r="K225" s="239">
        <v>0</v>
      </c>
      <c r="L225" s="239">
        <v>-21866</v>
      </c>
      <c r="M225" s="239">
        <v>58754</v>
      </c>
      <c r="N225" s="239">
        <v>58754</v>
      </c>
      <c r="O225" s="239">
        <v>0</v>
      </c>
      <c r="P225" s="239">
        <v>0</v>
      </c>
      <c r="Q225" s="239">
        <v>0</v>
      </c>
      <c r="R225" s="239">
        <v>0</v>
      </c>
      <c r="S225" s="239">
        <v>78972</v>
      </c>
      <c r="T225" s="239">
        <v>0</v>
      </c>
      <c r="U225" s="239">
        <v>20477</v>
      </c>
      <c r="V225" s="239">
        <v>0</v>
      </c>
      <c r="W225" s="239">
        <v>58495</v>
      </c>
      <c r="X225" s="239">
        <v>0</v>
      </c>
      <c r="Y225" s="239">
        <v>0</v>
      </c>
      <c r="Z225" s="239">
        <v>0</v>
      </c>
      <c r="AA225" s="239">
        <v>0</v>
      </c>
      <c r="AB225" s="239">
        <v>0</v>
      </c>
      <c r="AC225" s="239">
        <v>0</v>
      </c>
      <c r="AD225" s="239">
        <v>0</v>
      </c>
      <c r="AE225" s="239">
        <v>0</v>
      </c>
      <c r="AF225" s="239">
        <v>0</v>
      </c>
      <c r="AG225" s="239">
        <v>0</v>
      </c>
      <c r="AH225" s="239">
        <v>0</v>
      </c>
      <c r="AI225" s="239">
        <v>0</v>
      </c>
      <c r="AJ225" s="239">
        <v>0</v>
      </c>
      <c r="AK225" s="239">
        <v>0</v>
      </c>
      <c r="AL225" s="239">
        <v>0</v>
      </c>
      <c r="AM225" s="239">
        <v>0</v>
      </c>
      <c r="AN225" s="239">
        <v>0</v>
      </c>
      <c r="AO225" s="239">
        <v>0</v>
      </c>
      <c r="AP225" s="239">
        <v>0</v>
      </c>
      <c r="AQ225" s="239">
        <v>0</v>
      </c>
      <c r="AR225" s="239">
        <v>0</v>
      </c>
      <c r="AS225" s="239">
        <v>0</v>
      </c>
      <c r="AT225" s="239">
        <v>0</v>
      </c>
      <c r="AU225" s="239">
        <v>0</v>
      </c>
      <c r="AV225" s="239">
        <v>0</v>
      </c>
      <c r="AW225" s="239">
        <v>0</v>
      </c>
      <c r="AX225" s="239">
        <v>0</v>
      </c>
      <c r="AY225" s="239">
        <v>0</v>
      </c>
      <c r="AZ225" s="239">
        <v>0</v>
      </c>
      <c r="BA225" s="239">
        <v>0</v>
      </c>
      <c r="BB225" s="239">
        <v>0</v>
      </c>
      <c r="BC225" s="239">
        <v>493290</v>
      </c>
      <c r="BD225" s="239">
        <v>0</v>
      </c>
      <c r="BE225" s="239">
        <v>10067</v>
      </c>
      <c r="BF225" s="239">
        <v>484635.43881476397</v>
      </c>
      <c r="BG225" s="239">
        <v>0</v>
      </c>
      <c r="BH225" s="239">
        <v>9890.5191594849803</v>
      </c>
      <c r="BI225" s="239">
        <v>27107.391469957078</v>
      </c>
      <c r="BJ225" s="239">
        <v>0</v>
      </c>
      <c r="BK225" s="239">
        <v>553.2120708154506</v>
      </c>
      <c r="BL225" s="239">
        <v>417118</v>
      </c>
      <c r="BM225" s="239">
        <v>0</v>
      </c>
      <c r="BN225" s="239">
        <v>6189</v>
      </c>
      <c r="BO225" s="239">
        <v>76172</v>
      </c>
      <c r="BP225" s="239">
        <v>0</v>
      </c>
      <c r="BQ225" s="239">
        <v>3878</v>
      </c>
      <c r="BR225" s="239">
        <v>0</v>
      </c>
      <c r="BS225" s="239">
        <v>0</v>
      </c>
      <c r="BT225" s="239">
        <v>0</v>
      </c>
      <c r="BU225" s="239">
        <v>0</v>
      </c>
      <c r="BV225" s="239">
        <v>0</v>
      </c>
      <c r="BW225" s="239">
        <v>0</v>
      </c>
      <c r="BX225" s="239">
        <v>0</v>
      </c>
      <c r="BY225" s="239">
        <v>0</v>
      </c>
      <c r="BZ225" s="239">
        <v>0</v>
      </c>
      <c r="CA225" s="239">
        <v>169</v>
      </c>
      <c r="CB225" s="239">
        <v>0</v>
      </c>
      <c r="CC225" s="239">
        <v>3</v>
      </c>
      <c r="CD225" s="239">
        <v>0</v>
      </c>
      <c r="CE225" s="239">
        <v>0</v>
      </c>
      <c r="CF225" s="239">
        <v>0</v>
      </c>
      <c r="CG225" s="239">
        <v>169</v>
      </c>
      <c r="CH225" s="239">
        <v>0</v>
      </c>
      <c r="CI225" s="239">
        <v>3</v>
      </c>
      <c r="CJ225" s="239">
        <v>0</v>
      </c>
      <c r="CK225" s="239">
        <v>0</v>
      </c>
      <c r="CL225" s="239">
        <v>0</v>
      </c>
      <c r="CM225" s="239">
        <v>2735</v>
      </c>
      <c r="CN225" s="239">
        <v>0</v>
      </c>
      <c r="CO225" s="239">
        <v>56</v>
      </c>
      <c r="CP225" s="239">
        <v>-2735</v>
      </c>
      <c r="CQ225" s="239">
        <v>0</v>
      </c>
      <c r="CR225" s="239">
        <v>-56</v>
      </c>
      <c r="CS225" s="239">
        <v>0</v>
      </c>
      <c r="CT225" s="239">
        <v>0</v>
      </c>
      <c r="CU225" s="239">
        <v>0</v>
      </c>
      <c r="CV225" s="239">
        <v>0</v>
      </c>
      <c r="CW225" s="239">
        <v>0</v>
      </c>
      <c r="CX225" s="239">
        <v>0</v>
      </c>
      <c r="CY225" s="239">
        <v>0</v>
      </c>
      <c r="CZ225" s="239">
        <v>0</v>
      </c>
      <c r="DA225" s="239">
        <v>0</v>
      </c>
      <c r="DB225" s="239">
        <v>0</v>
      </c>
      <c r="DC225" s="239">
        <v>0</v>
      </c>
      <c r="DD225" s="239">
        <v>0</v>
      </c>
      <c r="DE225" s="239">
        <v>0</v>
      </c>
      <c r="DF225" s="239">
        <v>0</v>
      </c>
      <c r="DG225" s="239">
        <v>0</v>
      </c>
      <c r="DH225" s="239">
        <v>0</v>
      </c>
      <c r="DI225" s="239">
        <v>0</v>
      </c>
      <c r="DJ225" s="239">
        <v>0</v>
      </c>
      <c r="DK225" s="239">
        <v>4541</v>
      </c>
      <c r="DL225" s="239">
        <v>0</v>
      </c>
      <c r="DM225" s="239">
        <v>93</v>
      </c>
      <c r="DN225" s="239">
        <v>-4541</v>
      </c>
      <c r="DO225" s="239">
        <v>0</v>
      </c>
      <c r="DP225" s="239">
        <v>-93</v>
      </c>
      <c r="DQ225" s="239">
        <v>0</v>
      </c>
      <c r="DR225" s="239">
        <v>0</v>
      </c>
      <c r="DS225" s="239">
        <v>0</v>
      </c>
      <c r="DT225" s="239">
        <v>0</v>
      </c>
      <c r="DU225" s="239">
        <v>0</v>
      </c>
      <c r="DV225" s="239">
        <v>0</v>
      </c>
      <c r="DW225" s="239">
        <v>0</v>
      </c>
      <c r="DX225" s="239">
        <v>0</v>
      </c>
      <c r="DY225" s="239">
        <v>0</v>
      </c>
      <c r="DZ225" s="239">
        <v>14554</v>
      </c>
      <c r="EA225" s="239">
        <v>0</v>
      </c>
      <c r="EB225" s="239">
        <v>297</v>
      </c>
      <c r="EC225" s="239">
        <v>14870</v>
      </c>
      <c r="ED225" s="239">
        <v>0</v>
      </c>
      <c r="EE225" s="239">
        <v>0</v>
      </c>
      <c r="EF225" s="239">
        <v>-316</v>
      </c>
      <c r="EG225" s="239">
        <v>0</v>
      </c>
      <c r="EH225" s="239">
        <v>297</v>
      </c>
      <c r="EI225" s="239">
        <v>94557</v>
      </c>
      <c r="EJ225" s="239">
        <v>0</v>
      </c>
      <c r="EK225" s="239">
        <v>1930</v>
      </c>
      <c r="EL225" s="239">
        <v>95985</v>
      </c>
      <c r="EM225" s="239">
        <v>0</v>
      </c>
      <c r="EN225" s="239">
        <v>0</v>
      </c>
      <c r="EO225" s="239">
        <v>-1428</v>
      </c>
      <c r="EP225" s="239">
        <v>0</v>
      </c>
      <c r="EQ225" s="239">
        <v>1930</v>
      </c>
      <c r="ER225" s="239">
        <v>13742</v>
      </c>
      <c r="ES225" s="239">
        <v>0</v>
      </c>
      <c r="ET225" s="239">
        <v>280</v>
      </c>
      <c r="EU225" s="239">
        <v>14058</v>
      </c>
      <c r="EV225" s="239">
        <v>0</v>
      </c>
      <c r="EW225" s="239">
        <v>0</v>
      </c>
      <c r="EX225" s="239">
        <v>-316</v>
      </c>
      <c r="EY225" s="239">
        <v>0</v>
      </c>
      <c r="EZ225" s="239">
        <v>280</v>
      </c>
      <c r="FA225" s="239">
        <v>78617</v>
      </c>
      <c r="FB225" s="239">
        <v>0</v>
      </c>
      <c r="FC225" s="239">
        <v>1580</v>
      </c>
      <c r="FD225" s="239">
        <v>83004</v>
      </c>
      <c r="FE225" s="239">
        <v>0</v>
      </c>
      <c r="FF225" s="239">
        <v>1688</v>
      </c>
      <c r="FG225" s="239">
        <v>-4387</v>
      </c>
      <c r="FH225" s="239">
        <v>0</v>
      </c>
      <c r="FI225" s="239">
        <v>-108</v>
      </c>
      <c r="FJ225" s="239">
        <v>0</v>
      </c>
      <c r="FK225" s="239">
        <v>0</v>
      </c>
      <c r="FL225" s="239">
        <v>0</v>
      </c>
      <c r="FM225" s="239">
        <v>0</v>
      </c>
      <c r="FN225" s="239">
        <v>0</v>
      </c>
      <c r="FO225" s="239">
        <v>0</v>
      </c>
      <c r="FP225" s="239">
        <v>0</v>
      </c>
      <c r="FQ225" s="239">
        <v>0</v>
      </c>
      <c r="FR225" s="239">
        <v>0</v>
      </c>
      <c r="FS225" s="239">
        <v>0</v>
      </c>
      <c r="FT225" s="239">
        <v>0</v>
      </c>
      <c r="FU225" s="239">
        <v>0</v>
      </c>
      <c r="FV225" s="239">
        <v>694929</v>
      </c>
      <c r="FW225" s="239">
        <v>0</v>
      </c>
      <c r="FX225" s="239">
        <v>14157</v>
      </c>
      <c r="FY225" s="834">
        <v>0.5</v>
      </c>
      <c r="FZ225" s="834">
        <v>0.49</v>
      </c>
      <c r="GA225" s="834">
        <v>0</v>
      </c>
      <c r="GB225" s="834">
        <v>0.01</v>
      </c>
      <c r="GC225" s="214" t="s">
        <v>746</v>
      </c>
    </row>
    <row r="226" spans="1:185" s="214" customFormat="1" x14ac:dyDescent="0.2">
      <c r="B226" s="602" t="s">
        <v>535</v>
      </c>
      <c r="C226" s="602" t="s">
        <v>534</v>
      </c>
      <c r="D226" s="239">
        <v>1061404</v>
      </c>
      <c r="E226" s="239">
        <v>0</v>
      </c>
      <c r="F226" s="239">
        <v>1061404</v>
      </c>
      <c r="G226" s="239">
        <v>1069000</v>
      </c>
      <c r="H226" s="239">
        <v>0</v>
      </c>
      <c r="I226" s="239">
        <v>1069000</v>
      </c>
      <c r="J226" s="239">
        <v>-7596</v>
      </c>
      <c r="K226" s="239">
        <v>0</v>
      </c>
      <c r="L226" s="239">
        <v>-7596</v>
      </c>
      <c r="M226" s="239">
        <v>110030</v>
      </c>
      <c r="N226" s="239">
        <v>110030</v>
      </c>
      <c r="O226" s="239">
        <v>0</v>
      </c>
      <c r="P226" s="239">
        <v>0</v>
      </c>
      <c r="Q226" s="239">
        <v>0</v>
      </c>
      <c r="R226" s="239">
        <v>0</v>
      </c>
      <c r="S226" s="239">
        <v>35545</v>
      </c>
      <c r="T226" s="239">
        <v>0</v>
      </c>
      <c r="U226" s="239">
        <v>49000</v>
      </c>
      <c r="V226" s="239">
        <v>0</v>
      </c>
      <c r="W226" s="239">
        <v>-13455</v>
      </c>
      <c r="X226" s="239">
        <v>0</v>
      </c>
      <c r="Y226" s="239">
        <v>0</v>
      </c>
      <c r="Z226" s="239">
        <v>0</v>
      </c>
      <c r="AA226" s="239">
        <v>0</v>
      </c>
      <c r="AB226" s="239">
        <v>0</v>
      </c>
      <c r="AC226" s="239">
        <v>0</v>
      </c>
      <c r="AD226" s="239">
        <v>0</v>
      </c>
      <c r="AE226" s="239">
        <v>0</v>
      </c>
      <c r="AF226" s="239">
        <v>0</v>
      </c>
      <c r="AG226" s="239">
        <v>0</v>
      </c>
      <c r="AH226" s="239">
        <v>0</v>
      </c>
      <c r="AI226" s="239">
        <v>0</v>
      </c>
      <c r="AJ226" s="239">
        <v>0</v>
      </c>
      <c r="AK226" s="239">
        <v>0</v>
      </c>
      <c r="AL226" s="239">
        <v>0</v>
      </c>
      <c r="AM226" s="239">
        <v>0</v>
      </c>
      <c r="AN226" s="239">
        <v>0</v>
      </c>
      <c r="AO226" s="239">
        <v>0</v>
      </c>
      <c r="AP226" s="239">
        <v>0</v>
      </c>
      <c r="AQ226" s="239">
        <v>0</v>
      </c>
      <c r="AR226" s="239">
        <v>0</v>
      </c>
      <c r="AS226" s="239">
        <v>0</v>
      </c>
      <c r="AT226" s="239">
        <v>0</v>
      </c>
      <c r="AU226" s="239">
        <v>0</v>
      </c>
      <c r="AV226" s="239">
        <v>0</v>
      </c>
      <c r="AW226" s="239">
        <v>0</v>
      </c>
      <c r="AX226" s="239">
        <v>0</v>
      </c>
      <c r="AY226" s="239">
        <v>0</v>
      </c>
      <c r="AZ226" s="239">
        <v>0</v>
      </c>
      <c r="BA226" s="239">
        <v>0</v>
      </c>
      <c r="BB226" s="239">
        <v>0</v>
      </c>
      <c r="BC226" s="239">
        <v>867346</v>
      </c>
      <c r="BD226" s="239">
        <v>195153</v>
      </c>
      <c r="BE226" s="239">
        <v>21684</v>
      </c>
      <c r="BF226" s="239">
        <v>851317.44830472115</v>
      </c>
      <c r="BG226" s="239">
        <v>191546.42586856222</v>
      </c>
      <c r="BH226" s="239">
        <v>21282.936207618026</v>
      </c>
      <c r="BI226" s="239">
        <v>45940.68326180258</v>
      </c>
      <c r="BJ226" s="239">
        <v>10336.653733905579</v>
      </c>
      <c r="BK226" s="239">
        <v>1148.5170815450642</v>
      </c>
      <c r="BL226" s="239">
        <v>929566</v>
      </c>
      <c r="BM226" s="239">
        <v>142281</v>
      </c>
      <c r="BN226" s="239">
        <v>15809</v>
      </c>
      <c r="BO226" s="239">
        <v>-62220</v>
      </c>
      <c r="BP226" s="239">
        <v>52872</v>
      </c>
      <c r="BQ226" s="239">
        <v>5875</v>
      </c>
      <c r="BR226" s="239">
        <v>5659</v>
      </c>
      <c r="BS226" s="239">
        <v>1273</v>
      </c>
      <c r="BT226" s="239">
        <v>141</v>
      </c>
      <c r="BU226" s="239">
        <v>14211</v>
      </c>
      <c r="BV226" s="239">
        <v>3197</v>
      </c>
      <c r="BW226" s="239">
        <v>355</v>
      </c>
      <c r="BX226" s="239">
        <v>-8552</v>
      </c>
      <c r="BY226" s="239">
        <v>-1924</v>
      </c>
      <c r="BZ226" s="239">
        <v>-214</v>
      </c>
      <c r="CA226" s="239">
        <v>0</v>
      </c>
      <c r="CB226" s="239">
        <v>0</v>
      </c>
      <c r="CC226" s="239">
        <v>0</v>
      </c>
      <c r="CD226" s="239">
        <v>0</v>
      </c>
      <c r="CE226" s="239">
        <v>0</v>
      </c>
      <c r="CF226" s="239">
        <v>0</v>
      </c>
      <c r="CG226" s="239">
        <v>0</v>
      </c>
      <c r="CH226" s="239">
        <v>0</v>
      </c>
      <c r="CI226" s="239">
        <v>0</v>
      </c>
      <c r="CJ226" s="239">
        <v>1640</v>
      </c>
      <c r="CK226" s="239">
        <v>369</v>
      </c>
      <c r="CL226" s="239">
        <v>41</v>
      </c>
      <c r="CM226" s="239">
        <v>1827</v>
      </c>
      <c r="CN226" s="239">
        <v>411</v>
      </c>
      <c r="CO226" s="239">
        <v>46</v>
      </c>
      <c r="CP226" s="239">
        <v>-187</v>
      </c>
      <c r="CQ226" s="239">
        <v>-42</v>
      </c>
      <c r="CR226" s="239">
        <v>-5</v>
      </c>
      <c r="CS226" s="239">
        <v>0</v>
      </c>
      <c r="CT226" s="239">
        <v>0</v>
      </c>
      <c r="CU226" s="239">
        <v>0</v>
      </c>
      <c r="CV226" s="239">
        <v>0</v>
      </c>
      <c r="CW226" s="239">
        <v>0</v>
      </c>
      <c r="CX226" s="239">
        <v>0</v>
      </c>
      <c r="CY226" s="239">
        <v>0</v>
      </c>
      <c r="CZ226" s="239">
        <v>0</v>
      </c>
      <c r="DA226" s="239">
        <v>0</v>
      </c>
      <c r="DB226" s="239">
        <v>0</v>
      </c>
      <c r="DC226" s="239">
        <v>0</v>
      </c>
      <c r="DD226" s="239">
        <v>0</v>
      </c>
      <c r="DE226" s="239">
        <v>0</v>
      </c>
      <c r="DF226" s="239">
        <v>0</v>
      </c>
      <c r="DG226" s="239">
        <v>0</v>
      </c>
      <c r="DH226" s="239">
        <v>18190</v>
      </c>
      <c r="DI226" s="239">
        <v>4093</v>
      </c>
      <c r="DJ226" s="239">
        <v>455</v>
      </c>
      <c r="DK226" s="239">
        <v>19895</v>
      </c>
      <c r="DL226" s="239">
        <v>4476</v>
      </c>
      <c r="DM226" s="239">
        <v>497</v>
      </c>
      <c r="DN226" s="239">
        <v>-1705</v>
      </c>
      <c r="DO226" s="239">
        <v>-383</v>
      </c>
      <c r="DP226" s="239">
        <v>-42</v>
      </c>
      <c r="DQ226" s="239">
        <v>609</v>
      </c>
      <c r="DR226" s="239">
        <v>137</v>
      </c>
      <c r="DS226" s="239">
        <v>15</v>
      </c>
      <c r="DT226" s="239">
        <v>609</v>
      </c>
      <c r="DU226" s="239">
        <v>137</v>
      </c>
      <c r="DV226" s="239">
        <v>15</v>
      </c>
      <c r="DW226" s="239">
        <v>0</v>
      </c>
      <c r="DX226" s="239">
        <v>0</v>
      </c>
      <c r="DY226" s="239">
        <v>0</v>
      </c>
      <c r="DZ226" s="239">
        <v>14229</v>
      </c>
      <c r="EA226" s="239">
        <v>3201</v>
      </c>
      <c r="EB226" s="239">
        <v>356</v>
      </c>
      <c r="EC226" s="239">
        <v>17763</v>
      </c>
      <c r="ED226" s="239">
        <v>0</v>
      </c>
      <c r="EE226" s="239">
        <v>0</v>
      </c>
      <c r="EF226" s="239">
        <v>-3534</v>
      </c>
      <c r="EG226" s="239">
        <v>3201</v>
      </c>
      <c r="EH226" s="239">
        <v>356</v>
      </c>
      <c r="EI226" s="239">
        <v>84239</v>
      </c>
      <c r="EJ226" s="239">
        <v>18954</v>
      </c>
      <c r="EK226" s="239">
        <v>2106</v>
      </c>
      <c r="EL226" s="239">
        <v>116607</v>
      </c>
      <c r="EM226" s="239">
        <v>0</v>
      </c>
      <c r="EN226" s="239">
        <v>0</v>
      </c>
      <c r="EO226" s="239">
        <v>-32368</v>
      </c>
      <c r="EP226" s="239">
        <v>18954</v>
      </c>
      <c r="EQ226" s="239">
        <v>2106</v>
      </c>
      <c r="ER226" s="239">
        <v>21840</v>
      </c>
      <c r="ES226" s="239">
        <v>4914</v>
      </c>
      <c r="ET226" s="239">
        <v>546</v>
      </c>
      <c r="EU226" s="239">
        <v>29182</v>
      </c>
      <c r="EV226" s="239">
        <v>0</v>
      </c>
      <c r="EW226" s="239">
        <v>0</v>
      </c>
      <c r="EX226" s="239">
        <v>-7342</v>
      </c>
      <c r="EY226" s="239">
        <v>4914</v>
      </c>
      <c r="EZ226" s="239">
        <v>546</v>
      </c>
      <c r="FA226" s="239">
        <v>96984</v>
      </c>
      <c r="FB226" s="239">
        <v>21701</v>
      </c>
      <c r="FC226" s="239">
        <v>2411</v>
      </c>
      <c r="FD226" s="239">
        <v>102383</v>
      </c>
      <c r="FE226" s="239">
        <v>22871</v>
      </c>
      <c r="FF226" s="239">
        <v>2541</v>
      </c>
      <c r="FG226" s="239">
        <v>-5399</v>
      </c>
      <c r="FH226" s="239">
        <v>-1170</v>
      </c>
      <c r="FI226" s="239">
        <v>-130</v>
      </c>
      <c r="FJ226" s="239">
        <v>0</v>
      </c>
      <c r="FK226" s="239">
        <v>0</v>
      </c>
      <c r="FL226" s="239">
        <v>0</v>
      </c>
      <c r="FM226" s="239">
        <v>0</v>
      </c>
      <c r="FN226" s="239">
        <v>0</v>
      </c>
      <c r="FO226" s="239">
        <v>0</v>
      </c>
      <c r="FP226" s="239">
        <v>0</v>
      </c>
      <c r="FQ226" s="239">
        <v>0</v>
      </c>
      <c r="FR226" s="239">
        <v>0</v>
      </c>
      <c r="FS226" s="239">
        <v>0</v>
      </c>
      <c r="FT226" s="239">
        <v>0</v>
      </c>
      <c r="FU226" s="239">
        <v>0</v>
      </c>
      <c r="FV226" s="239">
        <v>1110736</v>
      </c>
      <c r="FW226" s="239">
        <v>249795</v>
      </c>
      <c r="FX226" s="239">
        <v>27755</v>
      </c>
      <c r="FY226" s="834">
        <v>0.5</v>
      </c>
      <c r="FZ226" s="834">
        <v>0.4</v>
      </c>
      <c r="GA226" s="834">
        <v>0.09</v>
      </c>
      <c r="GB226" s="834">
        <v>0.01</v>
      </c>
      <c r="GC226" s="214" t="s">
        <v>1158</v>
      </c>
    </row>
    <row r="227" spans="1:185" s="214" customFormat="1" x14ac:dyDescent="0.2">
      <c r="B227" s="602" t="s">
        <v>537</v>
      </c>
      <c r="C227" s="602" t="s">
        <v>536</v>
      </c>
      <c r="D227" s="239">
        <v>-5871498</v>
      </c>
      <c r="E227" s="239">
        <v>0</v>
      </c>
      <c r="F227" s="239">
        <v>-5871498</v>
      </c>
      <c r="G227" s="239">
        <v>-6411141</v>
      </c>
      <c r="H227" s="239">
        <v>0</v>
      </c>
      <c r="I227" s="239">
        <v>-6411141</v>
      </c>
      <c r="J227" s="239">
        <v>539643</v>
      </c>
      <c r="K227" s="239">
        <v>0</v>
      </c>
      <c r="L227" s="239">
        <v>539643</v>
      </c>
      <c r="M227" s="239">
        <v>449977</v>
      </c>
      <c r="N227" s="239">
        <v>449977</v>
      </c>
      <c r="O227" s="239">
        <v>0</v>
      </c>
      <c r="P227" s="239">
        <v>0</v>
      </c>
      <c r="Q227" s="239">
        <v>0</v>
      </c>
      <c r="R227" s="239">
        <v>0</v>
      </c>
      <c r="S227" s="239">
        <v>0</v>
      </c>
      <c r="T227" s="239">
        <v>0</v>
      </c>
      <c r="U227" s="239">
        <v>0</v>
      </c>
      <c r="V227" s="239">
        <v>0</v>
      </c>
      <c r="W227" s="239">
        <v>0</v>
      </c>
      <c r="X227" s="239">
        <v>0</v>
      </c>
      <c r="Y227" s="239">
        <v>0</v>
      </c>
      <c r="Z227" s="239">
        <v>0</v>
      </c>
      <c r="AA227" s="239">
        <v>0</v>
      </c>
      <c r="AB227" s="239">
        <v>0</v>
      </c>
      <c r="AC227" s="239">
        <v>0</v>
      </c>
      <c r="AD227" s="239">
        <v>0</v>
      </c>
      <c r="AE227" s="239">
        <v>0</v>
      </c>
      <c r="AF227" s="239">
        <v>0</v>
      </c>
      <c r="AG227" s="239">
        <v>0</v>
      </c>
      <c r="AH227" s="239">
        <v>0</v>
      </c>
      <c r="AI227" s="239">
        <v>0</v>
      </c>
      <c r="AJ227" s="239">
        <v>0</v>
      </c>
      <c r="AK227" s="239">
        <v>0</v>
      </c>
      <c r="AL227" s="239">
        <v>0</v>
      </c>
      <c r="AM227" s="239">
        <v>0</v>
      </c>
      <c r="AN227" s="239">
        <v>0</v>
      </c>
      <c r="AO227" s="239">
        <v>0</v>
      </c>
      <c r="AP227" s="239">
        <v>0</v>
      </c>
      <c r="AQ227" s="239">
        <v>0</v>
      </c>
      <c r="AR227" s="239">
        <v>0</v>
      </c>
      <c r="AS227" s="239">
        <v>0</v>
      </c>
      <c r="AT227" s="239">
        <v>0</v>
      </c>
      <c r="AU227" s="239">
        <v>0</v>
      </c>
      <c r="AV227" s="239">
        <v>0</v>
      </c>
      <c r="AW227" s="239">
        <v>0</v>
      </c>
      <c r="AX227" s="239">
        <v>0</v>
      </c>
      <c r="AY227" s="239">
        <v>0</v>
      </c>
      <c r="AZ227" s="239">
        <v>0</v>
      </c>
      <c r="BA227" s="239">
        <v>0</v>
      </c>
      <c r="BB227" s="239">
        <v>0</v>
      </c>
      <c r="BC227" s="239">
        <v>5245182</v>
      </c>
      <c r="BD227" s="239">
        <v>0</v>
      </c>
      <c r="BE227" s="239">
        <v>52982</v>
      </c>
      <c r="BF227" s="239">
        <v>5113937.6408008579</v>
      </c>
      <c r="BG227" s="239">
        <v>0</v>
      </c>
      <c r="BH227" s="239">
        <v>51655.935765665236</v>
      </c>
      <c r="BI227" s="239">
        <v>395954.64185407717</v>
      </c>
      <c r="BJ227" s="239">
        <v>0</v>
      </c>
      <c r="BK227" s="239">
        <v>3999.5418369098707</v>
      </c>
      <c r="BL227" s="239">
        <v>4204493</v>
      </c>
      <c r="BM227" s="239">
        <v>0</v>
      </c>
      <c r="BN227" s="239">
        <v>30870</v>
      </c>
      <c r="BO227" s="239">
        <v>1040689</v>
      </c>
      <c r="BP227" s="239">
        <v>0</v>
      </c>
      <c r="BQ227" s="239">
        <v>22112</v>
      </c>
      <c r="BR227" s="239">
        <v>18932</v>
      </c>
      <c r="BS227" s="239">
        <v>0</v>
      </c>
      <c r="BT227" s="239">
        <v>191</v>
      </c>
      <c r="BU227" s="239">
        <v>0</v>
      </c>
      <c r="BV227" s="239">
        <v>0</v>
      </c>
      <c r="BW227" s="239">
        <v>0</v>
      </c>
      <c r="BX227" s="239">
        <v>18932</v>
      </c>
      <c r="BY227" s="239">
        <v>0</v>
      </c>
      <c r="BZ227" s="239">
        <v>191</v>
      </c>
      <c r="CA227" s="239">
        <v>76388</v>
      </c>
      <c r="CB227" s="239">
        <v>0</v>
      </c>
      <c r="CC227" s="239">
        <v>772</v>
      </c>
      <c r="CD227" s="239">
        <v>0</v>
      </c>
      <c r="CE227" s="239">
        <v>0</v>
      </c>
      <c r="CF227" s="239">
        <v>0</v>
      </c>
      <c r="CG227" s="239">
        <v>76388</v>
      </c>
      <c r="CH227" s="239">
        <v>0</v>
      </c>
      <c r="CI227" s="239">
        <v>772</v>
      </c>
      <c r="CJ227" s="239">
        <v>0</v>
      </c>
      <c r="CK227" s="239">
        <v>0</v>
      </c>
      <c r="CL227" s="239">
        <v>0</v>
      </c>
      <c r="CM227" s="239">
        <v>0</v>
      </c>
      <c r="CN227" s="239">
        <v>0</v>
      </c>
      <c r="CO227" s="239">
        <v>0</v>
      </c>
      <c r="CP227" s="239">
        <v>0</v>
      </c>
      <c r="CQ227" s="239">
        <v>0</v>
      </c>
      <c r="CR227" s="239">
        <v>0</v>
      </c>
      <c r="CS227" s="239">
        <v>-32141</v>
      </c>
      <c r="CT227" s="239">
        <v>0</v>
      </c>
      <c r="CU227" s="239">
        <v>-325</v>
      </c>
      <c r="CV227" s="239">
        <v>-8174</v>
      </c>
      <c r="CW227" s="239">
        <v>0</v>
      </c>
      <c r="CX227" s="239">
        <v>-83</v>
      </c>
      <c r="CY227" s="239">
        <v>0</v>
      </c>
      <c r="CZ227" s="239">
        <v>0</v>
      </c>
      <c r="DA227" s="239">
        <v>0</v>
      </c>
      <c r="DB227" s="239">
        <v>-8174</v>
      </c>
      <c r="DC227" s="239">
        <v>0</v>
      </c>
      <c r="DD227" s="239">
        <v>-83</v>
      </c>
      <c r="DE227" s="239">
        <v>-484</v>
      </c>
      <c r="DF227" s="239">
        <v>0</v>
      </c>
      <c r="DG227" s="239">
        <v>-5</v>
      </c>
      <c r="DH227" s="239">
        <v>0</v>
      </c>
      <c r="DI227" s="239">
        <v>0</v>
      </c>
      <c r="DJ227" s="239">
        <v>0</v>
      </c>
      <c r="DK227" s="239">
        <v>0</v>
      </c>
      <c r="DL227" s="239">
        <v>0</v>
      </c>
      <c r="DM227" s="239">
        <v>0</v>
      </c>
      <c r="DN227" s="239">
        <v>0</v>
      </c>
      <c r="DO227" s="239">
        <v>0</v>
      </c>
      <c r="DP227" s="239">
        <v>0</v>
      </c>
      <c r="DQ227" s="239">
        <v>0</v>
      </c>
      <c r="DR227" s="239">
        <v>0</v>
      </c>
      <c r="DS227" s="239">
        <v>0</v>
      </c>
      <c r="DT227" s="239">
        <v>0</v>
      </c>
      <c r="DU227" s="239">
        <v>0</v>
      </c>
      <c r="DV227" s="239">
        <v>0</v>
      </c>
      <c r="DW227" s="239">
        <v>0</v>
      </c>
      <c r="DX227" s="239">
        <v>0</v>
      </c>
      <c r="DY227" s="239">
        <v>0</v>
      </c>
      <c r="DZ227" s="239">
        <v>9998</v>
      </c>
      <c r="EA227" s="239">
        <v>0</v>
      </c>
      <c r="EB227" s="239">
        <v>101</v>
      </c>
      <c r="EC227" s="239">
        <v>11789</v>
      </c>
      <c r="ED227" s="239">
        <v>0</v>
      </c>
      <c r="EE227" s="239">
        <v>0</v>
      </c>
      <c r="EF227" s="239">
        <v>-1791</v>
      </c>
      <c r="EG227" s="239">
        <v>0</v>
      </c>
      <c r="EH227" s="239">
        <v>101</v>
      </c>
      <c r="EI227" s="239">
        <v>289090</v>
      </c>
      <c r="EJ227" s="239">
        <v>0</v>
      </c>
      <c r="EK227" s="239">
        <v>2920</v>
      </c>
      <c r="EL227" s="239">
        <v>290426</v>
      </c>
      <c r="EM227" s="239">
        <v>0</v>
      </c>
      <c r="EN227" s="239">
        <v>0</v>
      </c>
      <c r="EO227" s="239">
        <v>-1336</v>
      </c>
      <c r="EP227" s="239">
        <v>0</v>
      </c>
      <c r="EQ227" s="239">
        <v>2920</v>
      </c>
      <c r="ER227" s="239">
        <v>55601</v>
      </c>
      <c r="ES227" s="239">
        <v>0</v>
      </c>
      <c r="ET227" s="239">
        <v>562</v>
      </c>
      <c r="EU227" s="239">
        <v>59634</v>
      </c>
      <c r="EV227" s="239">
        <v>0</v>
      </c>
      <c r="EW227" s="239">
        <v>0</v>
      </c>
      <c r="EX227" s="239">
        <v>-4033</v>
      </c>
      <c r="EY227" s="239">
        <v>0</v>
      </c>
      <c r="EZ227" s="239">
        <v>562</v>
      </c>
      <c r="FA227" s="239">
        <v>1280201</v>
      </c>
      <c r="FB227" s="239">
        <v>0</v>
      </c>
      <c r="FC227" s="239">
        <v>12931</v>
      </c>
      <c r="FD227" s="239">
        <v>1299364</v>
      </c>
      <c r="FE227" s="239">
        <v>0</v>
      </c>
      <c r="FF227" s="239">
        <v>13125</v>
      </c>
      <c r="FG227" s="239">
        <v>-19163</v>
      </c>
      <c r="FH227" s="239">
        <v>0</v>
      </c>
      <c r="FI227" s="239">
        <v>-194</v>
      </c>
      <c r="FJ227" s="239">
        <v>0</v>
      </c>
      <c r="FK227" s="239">
        <v>0</v>
      </c>
      <c r="FL227" s="239">
        <v>0</v>
      </c>
      <c r="FM227" s="239">
        <v>0</v>
      </c>
      <c r="FN227" s="239">
        <v>0</v>
      </c>
      <c r="FO227" s="239">
        <v>0</v>
      </c>
      <c r="FP227" s="239">
        <v>0</v>
      </c>
      <c r="FQ227" s="239">
        <v>0</v>
      </c>
      <c r="FR227" s="239">
        <v>0</v>
      </c>
      <c r="FS227" s="239">
        <v>0</v>
      </c>
      <c r="FT227" s="239">
        <v>0</v>
      </c>
      <c r="FU227" s="239">
        <v>0</v>
      </c>
      <c r="FV227" s="239">
        <v>6934593</v>
      </c>
      <c r="FW227" s="239">
        <v>0</v>
      </c>
      <c r="FX227" s="239">
        <v>70046</v>
      </c>
      <c r="FY227" s="834">
        <v>0</v>
      </c>
      <c r="FZ227" s="834">
        <v>0.99</v>
      </c>
      <c r="GA227" s="834">
        <v>0</v>
      </c>
      <c r="GB227" s="834">
        <v>0.01</v>
      </c>
      <c r="GC227" s="214" t="s">
        <v>1160</v>
      </c>
    </row>
    <row r="228" spans="1:185" s="214" customFormat="1" x14ac:dyDescent="0.2">
      <c r="B228" s="602" t="s">
        <v>539</v>
      </c>
      <c r="C228" s="602" t="s">
        <v>538</v>
      </c>
      <c r="D228" s="239">
        <v>-3536377</v>
      </c>
      <c r="E228" s="239">
        <v>0</v>
      </c>
      <c r="F228" s="239">
        <v>-3536377</v>
      </c>
      <c r="G228" s="239">
        <v>-3625539</v>
      </c>
      <c r="H228" s="239">
        <v>0</v>
      </c>
      <c r="I228" s="239">
        <v>-3625539</v>
      </c>
      <c r="J228" s="239">
        <v>89162</v>
      </c>
      <c r="K228" s="239">
        <v>0</v>
      </c>
      <c r="L228" s="239">
        <v>89162</v>
      </c>
      <c r="M228" s="239">
        <v>443826</v>
      </c>
      <c r="N228" s="239">
        <v>443826</v>
      </c>
      <c r="O228" s="239">
        <v>0</v>
      </c>
      <c r="P228" s="239">
        <v>0</v>
      </c>
      <c r="Q228" s="239">
        <v>0</v>
      </c>
      <c r="R228" s="239">
        <v>0</v>
      </c>
      <c r="S228" s="239">
        <v>0</v>
      </c>
      <c r="T228" s="239">
        <v>0</v>
      </c>
      <c r="U228" s="239">
        <v>0</v>
      </c>
      <c r="V228" s="239">
        <v>0</v>
      </c>
      <c r="W228" s="239">
        <v>0</v>
      </c>
      <c r="X228" s="239">
        <v>0</v>
      </c>
      <c r="Y228" s="239">
        <v>0</v>
      </c>
      <c r="Z228" s="239">
        <v>0</v>
      </c>
      <c r="AA228" s="239">
        <v>0</v>
      </c>
      <c r="AB228" s="239">
        <v>0</v>
      </c>
      <c r="AC228" s="239">
        <v>0</v>
      </c>
      <c r="AD228" s="239">
        <v>0</v>
      </c>
      <c r="AE228" s="239">
        <v>0</v>
      </c>
      <c r="AF228" s="239">
        <v>0</v>
      </c>
      <c r="AG228" s="239">
        <v>0</v>
      </c>
      <c r="AH228" s="239">
        <v>0</v>
      </c>
      <c r="AI228" s="239">
        <v>0</v>
      </c>
      <c r="AJ228" s="239">
        <v>0</v>
      </c>
      <c r="AK228" s="239">
        <v>0</v>
      </c>
      <c r="AL228" s="239">
        <v>0</v>
      </c>
      <c r="AM228" s="239">
        <v>0</v>
      </c>
      <c r="AN228" s="239">
        <v>0</v>
      </c>
      <c r="AO228" s="239">
        <v>0</v>
      </c>
      <c r="AP228" s="239">
        <v>0</v>
      </c>
      <c r="AQ228" s="239">
        <v>0</v>
      </c>
      <c r="AR228" s="239">
        <v>0</v>
      </c>
      <c r="AS228" s="239">
        <v>0</v>
      </c>
      <c r="AT228" s="239">
        <v>0</v>
      </c>
      <c r="AU228" s="239">
        <v>0</v>
      </c>
      <c r="AV228" s="239">
        <v>0</v>
      </c>
      <c r="AW228" s="239">
        <v>0</v>
      </c>
      <c r="AX228" s="239">
        <v>0</v>
      </c>
      <c r="AY228" s="239">
        <v>0</v>
      </c>
      <c r="AZ228" s="239">
        <v>0</v>
      </c>
      <c r="BA228" s="239">
        <v>0</v>
      </c>
      <c r="BB228" s="239">
        <v>0</v>
      </c>
      <c r="BC228" s="239">
        <v>8615476</v>
      </c>
      <c r="BD228" s="239">
        <v>0</v>
      </c>
      <c r="BE228" s="239">
        <v>87025</v>
      </c>
      <c r="BF228" s="239">
        <v>8443089.1788031552</v>
      </c>
      <c r="BG228" s="239">
        <v>0</v>
      </c>
      <c r="BH228" s="239">
        <v>85283.729078819742</v>
      </c>
      <c r="BI228" s="239">
        <v>488311.36513570813</v>
      </c>
      <c r="BJ228" s="239">
        <v>0</v>
      </c>
      <c r="BK228" s="239">
        <v>4932.4380316738198</v>
      </c>
      <c r="BL228" s="239">
        <v>7431257</v>
      </c>
      <c r="BM228" s="239">
        <v>0</v>
      </c>
      <c r="BN228" s="239">
        <v>54481</v>
      </c>
      <c r="BO228" s="239">
        <v>1184219</v>
      </c>
      <c r="BP228" s="239">
        <v>0</v>
      </c>
      <c r="BQ228" s="239">
        <v>32544</v>
      </c>
      <c r="BR228" s="239">
        <v>54698</v>
      </c>
      <c r="BS228" s="239">
        <v>0</v>
      </c>
      <c r="BT228" s="239">
        <v>553</v>
      </c>
      <c r="BU228" s="239">
        <v>24210</v>
      </c>
      <c r="BV228" s="239">
        <v>0</v>
      </c>
      <c r="BW228" s="239">
        <v>245</v>
      </c>
      <c r="BX228" s="239">
        <v>30488</v>
      </c>
      <c r="BY228" s="239">
        <v>0</v>
      </c>
      <c r="BZ228" s="239">
        <v>308</v>
      </c>
      <c r="CA228" s="239">
        <v>0</v>
      </c>
      <c r="CB228" s="239">
        <v>0</v>
      </c>
      <c r="CC228" s="239">
        <v>0</v>
      </c>
      <c r="CD228" s="239">
        <v>0</v>
      </c>
      <c r="CE228" s="239">
        <v>0</v>
      </c>
      <c r="CF228" s="239">
        <v>0</v>
      </c>
      <c r="CG228" s="239">
        <v>0</v>
      </c>
      <c r="CH228" s="239">
        <v>0</v>
      </c>
      <c r="CI228" s="239">
        <v>0</v>
      </c>
      <c r="CJ228" s="239">
        <v>3118</v>
      </c>
      <c r="CK228" s="239">
        <v>0</v>
      </c>
      <c r="CL228" s="239">
        <v>31</v>
      </c>
      <c r="CM228" s="239">
        <v>9902</v>
      </c>
      <c r="CN228" s="239">
        <v>0</v>
      </c>
      <c r="CO228" s="239">
        <v>100</v>
      </c>
      <c r="CP228" s="239">
        <v>-6784</v>
      </c>
      <c r="CQ228" s="239">
        <v>0</v>
      </c>
      <c r="CR228" s="239">
        <v>-69</v>
      </c>
      <c r="CS228" s="239">
        <v>-5368</v>
      </c>
      <c r="CT228" s="239">
        <v>0</v>
      </c>
      <c r="CU228" s="239">
        <v>-54</v>
      </c>
      <c r="CV228" s="239">
        <v>0</v>
      </c>
      <c r="CW228" s="239">
        <v>0</v>
      </c>
      <c r="CX228" s="239">
        <v>0</v>
      </c>
      <c r="CY228" s="239">
        <v>0</v>
      </c>
      <c r="CZ228" s="239">
        <v>0</v>
      </c>
      <c r="DA228" s="239">
        <v>0</v>
      </c>
      <c r="DB228" s="239">
        <v>0</v>
      </c>
      <c r="DC228" s="239">
        <v>0</v>
      </c>
      <c r="DD228" s="239">
        <v>0</v>
      </c>
      <c r="DE228" s="239">
        <v>529</v>
      </c>
      <c r="DF228" s="239">
        <v>0</v>
      </c>
      <c r="DG228" s="239">
        <v>5</v>
      </c>
      <c r="DH228" s="239">
        <v>0</v>
      </c>
      <c r="DI228" s="239">
        <v>0</v>
      </c>
      <c r="DJ228" s="239">
        <v>0</v>
      </c>
      <c r="DK228" s="239">
        <v>0</v>
      </c>
      <c r="DL228" s="239">
        <v>0</v>
      </c>
      <c r="DM228" s="239">
        <v>0</v>
      </c>
      <c r="DN228" s="239">
        <v>0</v>
      </c>
      <c r="DO228" s="239">
        <v>0</v>
      </c>
      <c r="DP228" s="239">
        <v>0</v>
      </c>
      <c r="DQ228" s="239">
        <v>1507</v>
      </c>
      <c r="DR228" s="239">
        <v>0</v>
      </c>
      <c r="DS228" s="239">
        <v>15</v>
      </c>
      <c r="DT228" s="239">
        <v>3015</v>
      </c>
      <c r="DU228" s="239">
        <v>0</v>
      </c>
      <c r="DV228" s="239">
        <v>30</v>
      </c>
      <c r="DW228" s="239">
        <v>-1508</v>
      </c>
      <c r="DX228" s="239">
        <v>0</v>
      </c>
      <c r="DY228" s="239">
        <v>-15</v>
      </c>
      <c r="DZ228" s="239">
        <v>43814</v>
      </c>
      <c r="EA228" s="239">
        <v>0</v>
      </c>
      <c r="EB228" s="239">
        <v>443</v>
      </c>
      <c r="EC228" s="239">
        <v>46135</v>
      </c>
      <c r="ED228" s="239">
        <v>0</v>
      </c>
      <c r="EE228" s="239">
        <v>0</v>
      </c>
      <c r="EF228" s="239">
        <v>-2321</v>
      </c>
      <c r="EG228" s="239">
        <v>0</v>
      </c>
      <c r="EH228" s="239">
        <v>443</v>
      </c>
      <c r="EI228" s="239">
        <v>355039</v>
      </c>
      <c r="EJ228" s="239">
        <v>0</v>
      </c>
      <c r="EK228" s="239">
        <v>3586</v>
      </c>
      <c r="EL228" s="239">
        <v>380004</v>
      </c>
      <c r="EM228" s="239">
        <v>0</v>
      </c>
      <c r="EN228" s="239">
        <v>0</v>
      </c>
      <c r="EO228" s="239">
        <v>-24965</v>
      </c>
      <c r="EP228" s="239">
        <v>0</v>
      </c>
      <c r="EQ228" s="239">
        <v>3586</v>
      </c>
      <c r="ER228" s="239">
        <v>49197</v>
      </c>
      <c r="ES228" s="239">
        <v>0</v>
      </c>
      <c r="ET228" s="239">
        <v>497</v>
      </c>
      <c r="EU228" s="239">
        <v>40240</v>
      </c>
      <c r="EV228" s="239">
        <v>0</v>
      </c>
      <c r="EW228" s="239">
        <v>0</v>
      </c>
      <c r="EX228" s="239">
        <v>8957</v>
      </c>
      <c r="EY228" s="239">
        <v>0</v>
      </c>
      <c r="EZ228" s="239">
        <v>497</v>
      </c>
      <c r="FA228" s="239">
        <v>1321970</v>
      </c>
      <c r="FB228" s="239">
        <v>0</v>
      </c>
      <c r="FC228" s="239">
        <v>13353</v>
      </c>
      <c r="FD228" s="239">
        <v>1462959</v>
      </c>
      <c r="FE228" s="239">
        <v>0</v>
      </c>
      <c r="FF228" s="239">
        <v>14777</v>
      </c>
      <c r="FG228" s="239">
        <v>-140989</v>
      </c>
      <c r="FH228" s="239">
        <v>0</v>
      </c>
      <c r="FI228" s="239">
        <v>-1424</v>
      </c>
      <c r="FJ228" s="239">
        <v>0</v>
      </c>
      <c r="FK228" s="239">
        <v>0</v>
      </c>
      <c r="FL228" s="239">
        <v>0</v>
      </c>
      <c r="FM228" s="239">
        <v>0</v>
      </c>
      <c r="FN228" s="239">
        <v>0</v>
      </c>
      <c r="FO228" s="239">
        <v>0</v>
      </c>
      <c r="FP228" s="239">
        <v>0</v>
      </c>
      <c r="FQ228" s="239">
        <v>0</v>
      </c>
      <c r="FR228" s="239">
        <v>0</v>
      </c>
      <c r="FS228" s="239">
        <v>0</v>
      </c>
      <c r="FT228" s="239">
        <v>0</v>
      </c>
      <c r="FU228" s="239">
        <v>0</v>
      </c>
      <c r="FV228" s="239">
        <v>10439980</v>
      </c>
      <c r="FW228" s="239">
        <v>0</v>
      </c>
      <c r="FX228" s="239">
        <v>105454</v>
      </c>
      <c r="FY228" s="834">
        <v>0</v>
      </c>
      <c r="FZ228" s="834">
        <v>0.99</v>
      </c>
      <c r="GA228" s="834">
        <v>0</v>
      </c>
      <c r="GB228" s="834">
        <v>0.01</v>
      </c>
      <c r="GC228" s="214" t="s">
        <v>1160</v>
      </c>
    </row>
    <row r="229" spans="1:185" s="214" customFormat="1" x14ac:dyDescent="0.2">
      <c r="B229" s="602" t="s">
        <v>541</v>
      </c>
      <c r="C229" s="602" t="s">
        <v>540</v>
      </c>
      <c r="D229" s="239">
        <v>2688444</v>
      </c>
      <c r="E229" s="239">
        <v>0</v>
      </c>
      <c r="F229" s="239">
        <v>2688444</v>
      </c>
      <c r="G229" s="239">
        <v>3537381</v>
      </c>
      <c r="H229" s="239">
        <v>0</v>
      </c>
      <c r="I229" s="239">
        <v>3537381</v>
      </c>
      <c r="J229" s="239">
        <v>-848937</v>
      </c>
      <c r="K229" s="239">
        <v>0</v>
      </c>
      <c r="L229" s="239">
        <v>-848937</v>
      </c>
      <c r="M229" s="239">
        <v>259507</v>
      </c>
      <c r="N229" s="239">
        <v>259507</v>
      </c>
      <c r="O229" s="239">
        <v>0</v>
      </c>
      <c r="P229" s="239">
        <v>0</v>
      </c>
      <c r="Q229" s="239">
        <v>0</v>
      </c>
      <c r="R229" s="239">
        <v>0</v>
      </c>
      <c r="S229" s="239">
        <v>0</v>
      </c>
      <c r="T229" s="239">
        <v>0</v>
      </c>
      <c r="U229" s="239">
        <v>0</v>
      </c>
      <c r="V229" s="239">
        <v>0</v>
      </c>
      <c r="W229" s="239">
        <v>0</v>
      </c>
      <c r="X229" s="239">
        <v>0</v>
      </c>
      <c r="Y229" s="239">
        <v>0</v>
      </c>
      <c r="Z229" s="239">
        <v>0</v>
      </c>
      <c r="AA229" s="239">
        <v>0</v>
      </c>
      <c r="AB229" s="239">
        <v>0</v>
      </c>
      <c r="AC229" s="239">
        <v>0</v>
      </c>
      <c r="AD229" s="239">
        <v>0</v>
      </c>
      <c r="AE229" s="239">
        <v>0</v>
      </c>
      <c r="AF229" s="239">
        <v>0</v>
      </c>
      <c r="AG229" s="239">
        <v>0</v>
      </c>
      <c r="AH229" s="239">
        <v>0</v>
      </c>
      <c r="AI229" s="239">
        <v>0</v>
      </c>
      <c r="AJ229" s="239">
        <v>0</v>
      </c>
      <c r="AK229" s="239">
        <v>0</v>
      </c>
      <c r="AL229" s="239">
        <v>0</v>
      </c>
      <c r="AM229" s="239">
        <v>0</v>
      </c>
      <c r="AN229" s="239">
        <v>0</v>
      </c>
      <c r="AO229" s="239">
        <v>0</v>
      </c>
      <c r="AP229" s="239">
        <v>0</v>
      </c>
      <c r="AQ229" s="239">
        <v>0</v>
      </c>
      <c r="AR229" s="239">
        <v>0</v>
      </c>
      <c r="AS229" s="239">
        <v>0</v>
      </c>
      <c r="AT229" s="239">
        <v>0</v>
      </c>
      <c r="AU229" s="239">
        <v>0</v>
      </c>
      <c r="AV229" s="239">
        <v>0</v>
      </c>
      <c r="AW229" s="239">
        <v>0</v>
      </c>
      <c r="AX229" s="239">
        <v>0</v>
      </c>
      <c r="AY229" s="239">
        <v>0</v>
      </c>
      <c r="AZ229" s="239">
        <v>0</v>
      </c>
      <c r="BA229" s="239">
        <v>0</v>
      </c>
      <c r="BB229" s="239">
        <v>0</v>
      </c>
      <c r="BC229" s="239">
        <v>1945462</v>
      </c>
      <c r="BD229" s="239">
        <v>437729</v>
      </c>
      <c r="BE229" s="239">
        <v>48637</v>
      </c>
      <c r="BF229" s="239">
        <v>1916065.7056927038</v>
      </c>
      <c r="BG229" s="239">
        <v>431114.78378085839</v>
      </c>
      <c r="BH229" s="239">
        <v>47901.642642317594</v>
      </c>
      <c r="BI229" s="239">
        <v>92551.422789699558</v>
      </c>
      <c r="BJ229" s="239">
        <v>20824.0701276824</v>
      </c>
      <c r="BK229" s="239">
        <v>2313.7855697424889</v>
      </c>
      <c r="BL229" s="239">
        <v>1596002</v>
      </c>
      <c r="BM229" s="239">
        <v>263077</v>
      </c>
      <c r="BN229" s="239">
        <v>29231</v>
      </c>
      <c r="BO229" s="239">
        <v>349460</v>
      </c>
      <c r="BP229" s="239">
        <v>174652</v>
      </c>
      <c r="BQ229" s="239">
        <v>19406</v>
      </c>
      <c r="BR229" s="239">
        <v>11218</v>
      </c>
      <c r="BS229" s="239">
        <v>2524</v>
      </c>
      <c r="BT229" s="239">
        <v>280</v>
      </c>
      <c r="BU229" s="239">
        <v>7</v>
      </c>
      <c r="BV229" s="239">
        <v>2</v>
      </c>
      <c r="BW229" s="239">
        <v>0</v>
      </c>
      <c r="BX229" s="239">
        <v>11211</v>
      </c>
      <c r="BY229" s="239">
        <v>2522</v>
      </c>
      <c r="BZ229" s="239">
        <v>280</v>
      </c>
      <c r="CA229" s="239">
        <v>0</v>
      </c>
      <c r="CB229" s="239">
        <v>0</v>
      </c>
      <c r="CC229" s="239">
        <v>0</v>
      </c>
      <c r="CD229" s="239">
        <v>0</v>
      </c>
      <c r="CE229" s="239">
        <v>0</v>
      </c>
      <c r="CF229" s="239">
        <v>0</v>
      </c>
      <c r="CG229" s="239">
        <v>0</v>
      </c>
      <c r="CH229" s="239">
        <v>0</v>
      </c>
      <c r="CI229" s="239">
        <v>0</v>
      </c>
      <c r="CJ229" s="239">
        <v>87</v>
      </c>
      <c r="CK229" s="239">
        <v>20</v>
      </c>
      <c r="CL229" s="239">
        <v>2</v>
      </c>
      <c r="CM229" s="239">
        <v>407</v>
      </c>
      <c r="CN229" s="239">
        <v>91</v>
      </c>
      <c r="CO229" s="239">
        <v>10</v>
      </c>
      <c r="CP229" s="239">
        <v>-320</v>
      </c>
      <c r="CQ229" s="239">
        <v>-71</v>
      </c>
      <c r="CR229" s="239">
        <v>-8</v>
      </c>
      <c r="CS229" s="239">
        <v>-2540</v>
      </c>
      <c r="CT229" s="239">
        <v>-572</v>
      </c>
      <c r="CU229" s="239">
        <v>-64</v>
      </c>
      <c r="CV229" s="239">
        <v>-607</v>
      </c>
      <c r="CW229" s="239">
        <v>-137</v>
      </c>
      <c r="CX229" s="239">
        <v>-15</v>
      </c>
      <c r="CY229" s="239">
        <v>0</v>
      </c>
      <c r="CZ229" s="239">
        <v>0</v>
      </c>
      <c r="DA229" s="239">
        <v>0</v>
      </c>
      <c r="DB229" s="239">
        <v>-607</v>
      </c>
      <c r="DC229" s="239">
        <v>-137</v>
      </c>
      <c r="DD229" s="239">
        <v>-15</v>
      </c>
      <c r="DE229" s="239">
        <v>0</v>
      </c>
      <c r="DF229" s="239">
        <v>0</v>
      </c>
      <c r="DG229" s="239">
        <v>0</v>
      </c>
      <c r="DH229" s="239">
        <v>11942</v>
      </c>
      <c r="DI229" s="239">
        <v>2687</v>
      </c>
      <c r="DJ229" s="239">
        <v>299</v>
      </c>
      <c r="DK229" s="239">
        <v>12062</v>
      </c>
      <c r="DL229" s="239">
        <v>2714</v>
      </c>
      <c r="DM229" s="239">
        <v>302</v>
      </c>
      <c r="DN229" s="239">
        <v>-120</v>
      </c>
      <c r="DO229" s="239">
        <v>-27</v>
      </c>
      <c r="DP229" s="239">
        <v>-3</v>
      </c>
      <c r="DQ229" s="239">
        <v>0</v>
      </c>
      <c r="DR229" s="239">
        <v>0</v>
      </c>
      <c r="DS229" s="239">
        <v>0</v>
      </c>
      <c r="DT229" s="239">
        <v>609</v>
      </c>
      <c r="DU229" s="239">
        <v>137</v>
      </c>
      <c r="DV229" s="239">
        <v>15</v>
      </c>
      <c r="DW229" s="239">
        <v>-609</v>
      </c>
      <c r="DX229" s="239">
        <v>-137</v>
      </c>
      <c r="DY229" s="239">
        <v>-15</v>
      </c>
      <c r="DZ229" s="239">
        <v>43251</v>
      </c>
      <c r="EA229" s="239">
        <v>9732</v>
      </c>
      <c r="EB229" s="239">
        <v>1081</v>
      </c>
      <c r="EC229" s="239">
        <v>56558</v>
      </c>
      <c r="ED229" s="239">
        <v>0</v>
      </c>
      <c r="EE229" s="239">
        <v>0</v>
      </c>
      <c r="EF229" s="239">
        <v>-13307</v>
      </c>
      <c r="EG229" s="239">
        <v>9732</v>
      </c>
      <c r="EH229" s="239">
        <v>1081</v>
      </c>
      <c r="EI229" s="239">
        <v>231342</v>
      </c>
      <c r="EJ229" s="239">
        <v>52052</v>
      </c>
      <c r="EK229" s="239">
        <v>5784</v>
      </c>
      <c r="EL229" s="239">
        <v>324051</v>
      </c>
      <c r="EM229" s="239">
        <v>0</v>
      </c>
      <c r="EN229" s="239">
        <v>0</v>
      </c>
      <c r="EO229" s="239">
        <v>-92709</v>
      </c>
      <c r="EP229" s="239">
        <v>52052</v>
      </c>
      <c r="EQ229" s="239">
        <v>5784</v>
      </c>
      <c r="ER229" s="239">
        <v>38667</v>
      </c>
      <c r="ES229" s="239">
        <v>8700</v>
      </c>
      <c r="ET229" s="239">
        <v>967</v>
      </c>
      <c r="EU229" s="239">
        <v>48970</v>
      </c>
      <c r="EV229" s="239">
        <v>0</v>
      </c>
      <c r="EW229" s="239">
        <v>0</v>
      </c>
      <c r="EX229" s="239">
        <v>-10303</v>
      </c>
      <c r="EY229" s="239">
        <v>8700</v>
      </c>
      <c r="EZ229" s="239">
        <v>967</v>
      </c>
      <c r="FA229" s="239">
        <v>213295</v>
      </c>
      <c r="FB229" s="239">
        <v>47991</v>
      </c>
      <c r="FC229" s="239">
        <v>5332</v>
      </c>
      <c r="FD229" s="239">
        <v>215056</v>
      </c>
      <c r="FE229" s="239">
        <v>48388</v>
      </c>
      <c r="FF229" s="239">
        <v>5376</v>
      </c>
      <c r="FG229" s="239">
        <v>-1761</v>
      </c>
      <c r="FH229" s="239">
        <v>-397</v>
      </c>
      <c r="FI229" s="239">
        <v>-44</v>
      </c>
      <c r="FJ229" s="239">
        <v>0</v>
      </c>
      <c r="FK229" s="239">
        <v>0</v>
      </c>
      <c r="FL229" s="239">
        <v>0</v>
      </c>
      <c r="FM229" s="239">
        <v>0</v>
      </c>
      <c r="FN229" s="239">
        <v>0</v>
      </c>
      <c r="FO229" s="239">
        <v>0</v>
      </c>
      <c r="FP229" s="239">
        <v>0</v>
      </c>
      <c r="FQ229" s="239">
        <v>0</v>
      </c>
      <c r="FR229" s="239">
        <v>0</v>
      </c>
      <c r="FS229" s="239">
        <v>0</v>
      </c>
      <c r="FT229" s="239">
        <v>0</v>
      </c>
      <c r="FU229" s="239">
        <v>0</v>
      </c>
      <c r="FV229" s="239">
        <v>2492117</v>
      </c>
      <c r="FW229" s="239">
        <v>560726</v>
      </c>
      <c r="FX229" s="239">
        <v>62303</v>
      </c>
      <c r="FY229" s="834">
        <v>0.5</v>
      </c>
      <c r="FZ229" s="834">
        <v>0.4</v>
      </c>
      <c r="GA229" s="834">
        <v>0.09</v>
      </c>
      <c r="GB229" s="834">
        <v>0.01</v>
      </c>
      <c r="GC229" s="214" t="s">
        <v>1158</v>
      </c>
    </row>
    <row r="230" spans="1:185" s="214" customFormat="1" x14ac:dyDescent="0.2">
      <c r="B230" s="602" t="s">
        <v>543</v>
      </c>
      <c r="C230" s="602" t="s">
        <v>542</v>
      </c>
      <c r="D230" s="239">
        <v>-641481</v>
      </c>
      <c r="E230" s="239">
        <v>0</v>
      </c>
      <c r="F230" s="239">
        <v>-641481</v>
      </c>
      <c r="G230" s="239">
        <v>-328911</v>
      </c>
      <c r="H230" s="239">
        <v>0</v>
      </c>
      <c r="I230" s="239">
        <v>-328911</v>
      </c>
      <c r="J230" s="239">
        <v>-312570</v>
      </c>
      <c r="K230" s="239">
        <v>0</v>
      </c>
      <c r="L230" s="239">
        <v>-312570</v>
      </c>
      <c r="M230" s="239">
        <v>163085</v>
      </c>
      <c r="N230" s="239">
        <v>163085</v>
      </c>
      <c r="O230" s="239">
        <v>0</v>
      </c>
      <c r="P230" s="239">
        <v>0</v>
      </c>
      <c r="Q230" s="239">
        <v>0</v>
      </c>
      <c r="R230" s="239">
        <v>0</v>
      </c>
      <c r="S230" s="239">
        <v>461552</v>
      </c>
      <c r="T230" s="239">
        <v>0</v>
      </c>
      <c r="U230" s="239">
        <v>208290</v>
      </c>
      <c r="V230" s="239">
        <v>0</v>
      </c>
      <c r="W230" s="239">
        <v>253262</v>
      </c>
      <c r="X230" s="239">
        <v>0</v>
      </c>
      <c r="Y230" s="239">
        <v>0</v>
      </c>
      <c r="Z230" s="239">
        <v>0</v>
      </c>
      <c r="AA230" s="239">
        <v>0</v>
      </c>
      <c r="AB230" s="239">
        <v>0</v>
      </c>
      <c r="AC230" s="239">
        <v>0</v>
      </c>
      <c r="AD230" s="239">
        <v>0</v>
      </c>
      <c r="AE230" s="239">
        <v>0</v>
      </c>
      <c r="AF230" s="239">
        <v>0</v>
      </c>
      <c r="AG230" s="239">
        <v>0</v>
      </c>
      <c r="AH230" s="239">
        <v>0</v>
      </c>
      <c r="AI230" s="239">
        <v>0</v>
      </c>
      <c r="AJ230" s="239">
        <v>0</v>
      </c>
      <c r="AK230" s="239">
        <v>0</v>
      </c>
      <c r="AL230" s="239">
        <v>0</v>
      </c>
      <c r="AM230" s="239">
        <v>0</v>
      </c>
      <c r="AN230" s="239">
        <v>0</v>
      </c>
      <c r="AO230" s="239">
        <v>0</v>
      </c>
      <c r="AP230" s="239">
        <v>0</v>
      </c>
      <c r="AQ230" s="239">
        <v>0</v>
      </c>
      <c r="AR230" s="239">
        <v>0</v>
      </c>
      <c r="AS230" s="239">
        <v>0</v>
      </c>
      <c r="AT230" s="239">
        <v>0</v>
      </c>
      <c r="AU230" s="239">
        <v>0</v>
      </c>
      <c r="AV230" s="239">
        <v>0</v>
      </c>
      <c r="AW230" s="239">
        <v>0</v>
      </c>
      <c r="AX230" s="239">
        <v>0</v>
      </c>
      <c r="AY230" s="239">
        <v>0</v>
      </c>
      <c r="AZ230" s="239">
        <v>0</v>
      </c>
      <c r="BA230" s="239">
        <v>0</v>
      </c>
      <c r="BB230" s="239">
        <v>0</v>
      </c>
      <c r="BC230" s="239">
        <v>1153568</v>
      </c>
      <c r="BD230" s="239">
        <v>258783</v>
      </c>
      <c r="BE230" s="239">
        <v>28754</v>
      </c>
      <c r="BF230" s="239">
        <v>1126779.5977678113</v>
      </c>
      <c r="BG230" s="239">
        <v>252773.35723525751</v>
      </c>
      <c r="BH230" s="239">
        <v>28085.92858169528</v>
      </c>
      <c r="BI230" s="239">
        <v>81398.45631759656</v>
      </c>
      <c r="BJ230" s="239">
        <v>18314.652671459226</v>
      </c>
      <c r="BK230" s="239">
        <v>2034.9614079399139</v>
      </c>
      <c r="BL230" s="239">
        <v>1205341</v>
      </c>
      <c r="BM230" s="239">
        <v>183655</v>
      </c>
      <c r="BN230" s="239">
        <v>20406</v>
      </c>
      <c r="BO230" s="239">
        <v>-51773</v>
      </c>
      <c r="BP230" s="239">
        <v>75128</v>
      </c>
      <c r="BQ230" s="239">
        <v>8348</v>
      </c>
      <c r="BR230" s="239">
        <v>4889</v>
      </c>
      <c r="BS230" s="239">
        <v>1100</v>
      </c>
      <c r="BT230" s="239">
        <v>122</v>
      </c>
      <c r="BU230" s="239">
        <v>763</v>
      </c>
      <c r="BV230" s="239">
        <v>172</v>
      </c>
      <c r="BW230" s="239">
        <v>19</v>
      </c>
      <c r="BX230" s="239">
        <v>4126</v>
      </c>
      <c r="BY230" s="239">
        <v>928</v>
      </c>
      <c r="BZ230" s="239">
        <v>103</v>
      </c>
      <c r="CA230" s="239">
        <v>4261</v>
      </c>
      <c r="CB230" s="239">
        <v>959</v>
      </c>
      <c r="CC230" s="239">
        <v>107</v>
      </c>
      <c r="CD230" s="239">
        <v>5776</v>
      </c>
      <c r="CE230" s="239">
        <v>1299</v>
      </c>
      <c r="CF230" s="239">
        <v>144</v>
      </c>
      <c r="CG230" s="239">
        <v>-1515</v>
      </c>
      <c r="CH230" s="239">
        <v>-340</v>
      </c>
      <c r="CI230" s="239">
        <v>-37</v>
      </c>
      <c r="CJ230" s="239">
        <v>115</v>
      </c>
      <c r="CK230" s="239">
        <v>26</v>
      </c>
      <c r="CL230" s="239">
        <v>3</v>
      </c>
      <c r="CM230" s="239">
        <v>115</v>
      </c>
      <c r="CN230" s="239">
        <v>26</v>
      </c>
      <c r="CO230" s="239">
        <v>3</v>
      </c>
      <c r="CP230" s="239">
        <v>0</v>
      </c>
      <c r="CQ230" s="239">
        <v>0</v>
      </c>
      <c r="CR230" s="239">
        <v>0</v>
      </c>
      <c r="CS230" s="239">
        <v>-2240</v>
      </c>
      <c r="CT230" s="239">
        <v>-504</v>
      </c>
      <c r="CU230" s="239">
        <v>-56</v>
      </c>
      <c r="CV230" s="239">
        <v>0</v>
      </c>
      <c r="CW230" s="239">
        <v>0</v>
      </c>
      <c r="CX230" s="239">
        <v>0</v>
      </c>
      <c r="CY230" s="239">
        <v>0</v>
      </c>
      <c r="CZ230" s="239">
        <v>0</v>
      </c>
      <c r="DA230" s="239">
        <v>0</v>
      </c>
      <c r="DB230" s="239">
        <v>0</v>
      </c>
      <c r="DC230" s="239">
        <v>0</v>
      </c>
      <c r="DD230" s="239">
        <v>0</v>
      </c>
      <c r="DE230" s="239">
        <v>-360</v>
      </c>
      <c r="DF230" s="239">
        <v>-81</v>
      </c>
      <c r="DG230" s="239">
        <v>-9</v>
      </c>
      <c r="DH230" s="239">
        <v>23942</v>
      </c>
      <c r="DI230" s="239">
        <v>5387</v>
      </c>
      <c r="DJ230" s="239">
        <v>599</v>
      </c>
      <c r="DK230" s="239">
        <v>25833</v>
      </c>
      <c r="DL230" s="239">
        <v>5813</v>
      </c>
      <c r="DM230" s="239">
        <v>646</v>
      </c>
      <c r="DN230" s="239">
        <v>-1891</v>
      </c>
      <c r="DO230" s="239">
        <v>-426</v>
      </c>
      <c r="DP230" s="239">
        <v>-47</v>
      </c>
      <c r="DQ230" s="239">
        <v>0</v>
      </c>
      <c r="DR230" s="239">
        <v>0</v>
      </c>
      <c r="DS230" s="239">
        <v>0</v>
      </c>
      <c r="DT230" s="239">
        <v>1219</v>
      </c>
      <c r="DU230" s="239">
        <v>274</v>
      </c>
      <c r="DV230" s="239">
        <v>30</v>
      </c>
      <c r="DW230" s="239">
        <v>-1219</v>
      </c>
      <c r="DX230" s="239">
        <v>-274</v>
      </c>
      <c r="DY230" s="239">
        <v>-30</v>
      </c>
      <c r="DZ230" s="239">
        <v>19871</v>
      </c>
      <c r="EA230" s="239">
        <v>4471</v>
      </c>
      <c r="EB230" s="239">
        <v>497</v>
      </c>
      <c r="EC230" s="239">
        <v>24868</v>
      </c>
      <c r="ED230" s="239">
        <v>0</v>
      </c>
      <c r="EE230" s="239">
        <v>0</v>
      </c>
      <c r="EF230" s="239">
        <v>-4997</v>
      </c>
      <c r="EG230" s="239">
        <v>4471</v>
      </c>
      <c r="EH230" s="239">
        <v>497</v>
      </c>
      <c r="EI230" s="239">
        <v>117765</v>
      </c>
      <c r="EJ230" s="239">
        <v>26497</v>
      </c>
      <c r="EK230" s="239">
        <v>2944</v>
      </c>
      <c r="EL230" s="239">
        <v>152618</v>
      </c>
      <c r="EM230" s="239">
        <v>0</v>
      </c>
      <c r="EN230" s="239">
        <v>0</v>
      </c>
      <c r="EO230" s="239">
        <v>-34853</v>
      </c>
      <c r="EP230" s="239">
        <v>26497</v>
      </c>
      <c r="EQ230" s="239">
        <v>2944</v>
      </c>
      <c r="ER230" s="239">
        <v>20717</v>
      </c>
      <c r="ES230" s="239">
        <v>4661</v>
      </c>
      <c r="ET230" s="239">
        <v>518</v>
      </c>
      <c r="EU230" s="239">
        <v>25883</v>
      </c>
      <c r="EV230" s="239">
        <v>0</v>
      </c>
      <c r="EW230" s="239">
        <v>0</v>
      </c>
      <c r="EX230" s="239">
        <v>-5166</v>
      </c>
      <c r="EY230" s="239">
        <v>4661</v>
      </c>
      <c r="EZ230" s="239">
        <v>518</v>
      </c>
      <c r="FA230" s="239">
        <v>237603</v>
      </c>
      <c r="FB230" s="239">
        <v>51901</v>
      </c>
      <c r="FC230" s="239">
        <v>5767</v>
      </c>
      <c r="FD230" s="239">
        <v>233804</v>
      </c>
      <c r="FE230" s="239">
        <v>51902</v>
      </c>
      <c r="FF230" s="239">
        <v>5767</v>
      </c>
      <c r="FG230" s="239">
        <v>3799</v>
      </c>
      <c r="FH230" s="239">
        <v>-1</v>
      </c>
      <c r="FI230" s="239">
        <v>0</v>
      </c>
      <c r="FJ230" s="239">
        <v>0</v>
      </c>
      <c r="FK230" s="239">
        <v>0</v>
      </c>
      <c r="FL230" s="239">
        <v>0</v>
      </c>
      <c r="FM230" s="239">
        <v>0</v>
      </c>
      <c r="FN230" s="239">
        <v>0</v>
      </c>
      <c r="FO230" s="239">
        <v>0</v>
      </c>
      <c r="FP230" s="239">
        <v>0</v>
      </c>
      <c r="FQ230" s="239">
        <v>0</v>
      </c>
      <c r="FR230" s="239">
        <v>0</v>
      </c>
      <c r="FS230" s="239">
        <v>0</v>
      </c>
      <c r="FT230" s="239">
        <v>0</v>
      </c>
      <c r="FU230" s="239">
        <v>0</v>
      </c>
      <c r="FV230" s="239">
        <v>1580131</v>
      </c>
      <c r="FW230" s="239">
        <v>353200</v>
      </c>
      <c r="FX230" s="239">
        <v>39246</v>
      </c>
      <c r="FY230" s="834">
        <v>0.5</v>
      </c>
      <c r="FZ230" s="834">
        <v>0.4</v>
      </c>
      <c r="GA230" s="834">
        <v>0.09</v>
      </c>
      <c r="GB230" s="834">
        <v>0.01</v>
      </c>
      <c r="GC230" s="214" t="s">
        <v>1158</v>
      </c>
    </row>
    <row r="231" spans="1:185" s="214" customFormat="1" x14ac:dyDescent="0.2">
      <c r="B231" s="602" t="s">
        <v>545</v>
      </c>
      <c r="C231" s="602" t="s">
        <v>544</v>
      </c>
      <c r="D231" s="239">
        <v>-1990385</v>
      </c>
      <c r="E231" s="239">
        <v>0</v>
      </c>
      <c r="F231" s="239">
        <v>-1990385</v>
      </c>
      <c r="G231" s="239">
        <v>-1825745</v>
      </c>
      <c r="H231" s="239">
        <v>0</v>
      </c>
      <c r="I231" s="239">
        <v>-1825745</v>
      </c>
      <c r="J231" s="239">
        <v>-164640</v>
      </c>
      <c r="K231" s="239">
        <v>0</v>
      </c>
      <c r="L231" s="239">
        <v>-164640</v>
      </c>
      <c r="M231" s="239">
        <v>321434</v>
      </c>
      <c r="N231" s="239">
        <v>321434</v>
      </c>
      <c r="O231" s="239">
        <v>0</v>
      </c>
      <c r="P231" s="239">
        <v>0</v>
      </c>
      <c r="Q231" s="239">
        <v>0</v>
      </c>
      <c r="R231" s="239">
        <v>0</v>
      </c>
      <c r="S231" s="239">
        <v>0</v>
      </c>
      <c r="T231" s="239">
        <v>0</v>
      </c>
      <c r="U231" s="239">
        <v>0</v>
      </c>
      <c r="V231" s="239">
        <v>0</v>
      </c>
      <c r="W231" s="239">
        <v>0</v>
      </c>
      <c r="X231" s="239">
        <v>0</v>
      </c>
      <c r="Y231" s="239">
        <v>0</v>
      </c>
      <c r="Z231" s="239">
        <v>0</v>
      </c>
      <c r="AA231" s="239">
        <v>0</v>
      </c>
      <c r="AB231" s="239">
        <v>0</v>
      </c>
      <c r="AC231" s="239">
        <v>0</v>
      </c>
      <c r="AD231" s="239">
        <v>0</v>
      </c>
      <c r="AE231" s="239">
        <v>0</v>
      </c>
      <c r="AF231" s="239">
        <v>0</v>
      </c>
      <c r="AG231" s="239">
        <v>0</v>
      </c>
      <c r="AH231" s="239">
        <v>0</v>
      </c>
      <c r="AI231" s="239">
        <v>0</v>
      </c>
      <c r="AJ231" s="239">
        <v>0</v>
      </c>
      <c r="AK231" s="239">
        <v>0</v>
      </c>
      <c r="AL231" s="239">
        <v>0</v>
      </c>
      <c r="AM231" s="239">
        <v>0</v>
      </c>
      <c r="AN231" s="239">
        <v>0</v>
      </c>
      <c r="AO231" s="239">
        <v>0</v>
      </c>
      <c r="AP231" s="239">
        <v>0</v>
      </c>
      <c r="AQ231" s="239">
        <v>0</v>
      </c>
      <c r="AR231" s="239">
        <v>0</v>
      </c>
      <c r="AS231" s="239">
        <v>0</v>
      </c>
      <c r="AT231" s="239">
        <v>0</v>
      </c>
      <c r="AU231" s="239">
        <v>0</v>
      </c>
      <c r="AV231" s="239">
        <v>0</v>
      </c>
      <c r="AW231" s="239">
        <v>0</v>
      </c>
      <c r="AX231" s="239">
        <v>0</v>
      </c>
      <c r="AY231" s="239">
        <v>0</v>
      </c>
      <c r="AZ231" s="239">
        <v>0</v>
      </c>
      <c r="BA231" s="239">
        <v>0</v>
      </c>
      <c r="BB231" s="239">
        <v>0</v>
      </c>
      <c r="BC231" s="239">
        <v>5632168</v>
      </c>
      <c r="BD231" s="239">
        <v>0</v>
      </c>
      <c r="BE231" s="239">
        <v>56891</v>
      </c>
      <c r="BF231" s="239">
        <v>5510031.5618289281</v>
      </c>
      <c r="BG231" s="239">
        <v>0</v>
      </c>
      <c r="BH231" s="239">
        <v>55656.88446291846</v>
      </c>
      <c r="BI231" s="239">
        <v>322441.03504120169</v>
      </c>
      <c r="BJ231" s="239">
        <v>0</v>
      </c>
      <c r="BK231" s="239">
        <v>3256.9801519313301</v>
      </c>
      <c r="BL231" s="239">
        <v>5174232</v>
      </c>
      <c r="BM231" s="239">
        <v>0</v>
      </c>
      <c r="BN231" s="239">
        <v>37879</v>
      </c>
      <c r="BO231" s="239">
        <v>457936</v>
      </c>
      <c r="BP231" s="239">
        <v>0</v>
      </c>
      <c r="BQ231" s="239">
        <v>19012</v>
      </c>
      <c r="BR231" s="239">
        <v>14869</v>
      </c>
      <c r="BS231" s="239">
        <v>0</v>
      </c>
      <c r="BT231" s="239">
        <v>150</v>
      </c>
      <c r="BU231" s="239">
        <v>8843</v>
      </c>
      <c r="BV231" s="239">
        <v>0</v>
      </c>
      <c r="BW231" s="239">
        <v>89</v>
      </c>
      <c r="BX231" s="239">
        <v>6026</v>
      </c>
      <c r="BY231" s="239">
        <v>0</v>
      </c>
      <c r="BZ231" s="239">
        <v>61</v>
      </c>
      <c r="CA231" s="239">
        <v>-27760</v>
      </c>
      <c r="CB231" s="239">
        <v>0</v>
      </c>
      <c r="CC231" s="239">
        <v>-280</v>
      </c>
      <c r="CD231" s="239">
        <v>60292</v>
      </c>
      <c r="CE231" s="239">
        <v>0</v>
      </c>
      <c r="CF231" s="239">
        <v>609</v>
      </c>
      <c r="CG231" s="239">
        <v>-88052</v>
      </c>
      <c r="CH231" s="239">
        <v>0</v>
      </c>
      <c r="CI231" s="239">
        <v>-889</v>
      </c>
      <c r="CJ231" s="239">
        <v>25625</v>
      </c>
      <c r="CK231" s="239">
        <v>0</v>
      </c>
      <c r="CL231" s="239">
        <v>259</v>
      </c>
      <c r="CM231" s="239">
        <v>55268</v>
      </c>
      <c r="CN231" s="239">
        <v>0</v>
      </c>
      <c r="CO231" s="239">
        <v>558</v>
      </c>
      <c r="CP231" s="239">
        <v>-29643</v>
      </c>
      <c r="CQ231" s="239">
        <v>0</v>
      </c>
      <c r="CR231" s="239">
        <v>-299</v>
      </c>
      <c r="CS231" s="239">
        <v>-540</v>
      </c>
      <c r="CT231" s="239">
        <v>0</v>
      </c>
      <c r="CU231" s="239">
        <v>-5</v>
      </c>
      <c r="CV231" s="239">
        <v>0</v>
      </c>
      <c r="CW231" s="239">
        <v>0</v>
      </c>
      <c r="CX231" s="239">
        <v>0</v>
      </c>
      <c r="CY231" s="239">
        <v>0</v>
      </c>
      <c r="CZ231" s="239">
        <v>0</v>
      </c>
      <c r="DA231" s="239">
        <v>0</v>
      </c>
      <c r="DB231" s="239">
        <v>0</v>
      </c>
      <c r="DC231" s="239">
        <v>0</v>
      </c>
      <c r="DD231" s="239">
        <v>0</v>
      </c>
      <c r="DE231" s="239">
        <v>0</v>
      </c>
      <c r="DF231" s="239">
        <v>0</v>
      </c>
      <c r="DG231" s="239">
        <v>0</v>
      </c>
      <c r="DH231" s="239">
        <v>0</v>
      </c>
      <c r="DI231" s="239">
        <v>0</v>
      </c>
      <c r="DJ231" s="239">
        <v>0</v>
      </c>
      <c r="DK231" s="239">
        <v>0</v>
      </c>
      <c r="DL231" s="239">
        <v>0</v>
      </c>
      <c r="DM231" s="239">
        <v>0</v>
      </c>
      <c r="DN231" s="239">
        <v>0</v>
      </c>
      <c r="DO231" s="239">
        <v>0</v>
      </c>
      <c r="DP231" s="239">
        <v>0</v>
      </c>
      <c r="DQ231" s="239">
        <v>3015</v>
      </c>
      <c r="DR231" s="239">
        <v>0</v>
      </c>
      <c r="DS231" s="239">
        <v>30</v>
      </c>
      <c r="DT231" s="239">
        <v>1508</v>
      </c>
      <c r="DU231" s="239">
        <v>0</v>
      </c>
      <c r="DV231" s="239">
        <v>15</v>
      </c>
      <c r="DW231" s="239">
        <v>1507</v>
      </c>
      <c r="DX231" s="239">
        <v>0</v>
      </c>
      <c r="DY231" s="239">
        <v>15</v>
      </c>
      <c r="DZ231" s="239">
        <v>63405</v>
      </c>
      <c r="EA231" s="239">
        <v>0</v>
      </c>
      <c r="EB231" s="239">
        <v>640</v>
      </c>
      <c r="EC231" s="239">
        <v>64613</v>
      </c>
      <c r="ED231" s="239">
        <v>0</v>
      </c>
      <c r="EE231" s="239">
        <v>0</v>
      </c>
      <c r="EF231" s="239">
        <v>-1208</v>
      </c>
      <c r="EG231" s="239">
        <v>0</v>
      </c>
      <c r="EH231" s="239">
        <v>640</v>
      </c>
      <c r="EI231" s="239">
        <v>551499</v>
      </c>
      <c r="EJ231" s="239">
        <v>0</v>
      </c>
      <c r="EK231" s="239">
        <v>5571</v>
      </c>
      <c r="EL231" s="239">
        <v>551739</v>
      </c>
      <c r="EM231" s="239">
        <v>0</v>
      </c>
      <c r="EN231" s="239">
        <v>0</v>
      </c>
      <c r="EO231" s="239">
        <v>-240</v>
      </c>
      <c r="EP231" s="239">
        <v>0</v>
      </c>
      <c r="EQ231" s="239">
        <v>5571</v>
      </c>
      <c r="ER231" s="239">
        <v>57784</v>
      </c>
      <c r="ES231" s="239">
        <v>0</v>
      </c>
      <c r="ET231" s="239">
        <v>584</v>
      </c>
      <c r="EU231" s="239">
        <v>103385</v>
      </c>
      <c r="EV231" s="239">
        <v>0</v>
      </c>
      <c r="EW231" s="239">
        <v>0</v>
      </c>
      <c r="EX231" s="239">
        <v>-45601</v>
      </c>
      <c r="EY231" s="239">
        <v>0</v>
      </c>
      <c r="EZ231" s="239">
        <v>584</v>
      </c>
      <c r="FA231" s="239">
        <v>1046856</v>
      </c>
      <c r="FB231" s="239">
        <v>0</v>
      </c>
      <c r="FC231" s="239">
        <v>10574</v>
      </c>
      <c r="FD231" s="239">
        <v>945670</v>
      </c>
      <c r="FE231" s="239">
        <v>0</v>
      </c>
      <c r="FF231" s="239">
        <v>9552</v>
      </c>
      <c r="FG231" s="239">
        <v>101186</v>
      </c>
      <c r="FH231" s="239">
        <v>0</v>
      </c>
      <c r="FI231" s="239">
        <v>1022</v>
      </c>
      <c r="FJ231" s="239">
        <v>0</v>
      </c>
      <c r="FK231" s="239">
        <v>0</v>
      </c>
      <c r="FL231" s="239">
        <v>0</v>
      </c>
      <c r="FM231" s="239">
        <v>0</v>
      </c>
      <c r="FN231" s="239">
        <v>0</v>
      </c>
      <c r="FO231" s="239">
        <v>0</v>
      </c>
      <c r="FP231" s="239">
        <v>0</v>
      </c>
      <c r="FQ231" s="239">
        <v>0</v>
      </c>
      <c r="FR231" s="239">
        <v>0</v>
      </c>
      <c r="FS231" s="239">
        <v>0</v>
      </c>
      <c r="FT231" s="239">
        <v>0</v>
      </c>
      <c r="FU231" s="239">
        <v>0</v>
      </c>
      <c r="FV231" s="239">
        <v>7366921</v>
      </c>
      <c r="FW231" s="239">
        <v>0</v>
      </c>
      <c r="FX231" s="239">
        <v>74414</v>
      </c>
      <c r="FY231" s="834">
        <v>0</v>
      </c>
      <c r="FZ231" s="834">
        <v>0.99</v>
      </c>
      <c r="GA231" s="834">
        <v>0</v>
      </c>
      <c r="GB231" s="834">
        <v>0.01</v>
      </c>
      <c r="GC231" s="214" t="s">
        <v>1160</v>
      </c>
    </row>
    <row r="232" spans="1:185" s="214" customFormat="1" x14ac:dyDescent="0.2">
      <c r="B232" s="602" t="s">
        <v>547</v>
      </c>
      <c r="C232" s="602" t="s">
        <v>546</v>
      </c>
      <c r="D232" s="239">
        <v>-5163415</v>
      </c>
      <c r="E232" s="239">
        <v>0</v>
      </c>
      <c r="F232" s="239">
        <v>-5163415</v>
      </c>
      <c r="G232" s="239">
        <v>-3154014</v>
      </c>
      <c r="H232" s="239">
        <v>0</v>
      </c>
      <c r="I232" s="239">
        <v>-3154014</v>
      </c>
      <c r="J232" s="239">
        <v>-2009401</v>
      </c>
      <c r="K232" s="239">
        <v>0</v>
      </c>
      <c r="L232" s="239">
        <v>-2009401</v>
      </c>
      <c r="M232" s="239">
        <v>112514</v>
      </c>
      <c r="N232" s="239">
        <v>112514</v>
      </c>
      <c r="O232" s="239">
        <v>0</v>
      </c>
      <c r="P232" s="239">
        <v>0</v>
      </c>
      <c r="Q232" s="239">
        <v>0</v>
      </c>
      <c r="R232" s="239">
        <v>0</v>
      </c>
      <c r="S232" s="239">
        <v>7596528</v>
      </c>
      <c r="T232" s="239">
        <v>0</v>
      </c>
      <c r="U232" s="239">
        <v>7862212</v>
      </c>
      <c r="V232" s="239">
        <v>0</v>
      </c>
      <c r="W232" s="239">
        <v>-265684</v>
      </c>
      <c r="X232" s="239">
        <v>0</v>
      </c>
      <c r="Y232" s="239">
        <v>0</v>
      </c>
      <c r="Z232" s="239">
        <v>0</v>
      </c>
      <c r="AA232" s="239">
        <v>0</v>
      </c>
      <c r="AB232" s="239">
        <v>0</v>
      </c>
      <c r="AC232" s="239">
        <v>0</v>
      </c>
      <c r="AD232" s="239">
        <v>0</v>
      </c>
      <c r="AE232" s="239">
        <v>0</v>
      </c>
      <c r="AF232" s="239">
        <v>0</v>
      </c>
      <c r="AG232" s="239">
        <v>0</v>
      </c>
      <c r="AH232" s="239">
        <v>0</v>
      </c>
      <c r="AI232" s="239">
        <v>0</v>
      </c>
      <c r="AJ232" s="239">
        <v>0</v>
      </c>
      <c r="AK232" s="239">
        <v>0</v>
      </c>
      <c r="AL232" s="239">
        <v>0</v>
      </c>
      <c r="AM232" s="239">
        <v>0</v>
      </c>
      <c r="AN232" s="239">
        <v>0</v>
      </c>
      <c r="AO232" s="239">
        <v>0</v>
      </c>
      <c r="AP232" s="239">
        <v>0</v>
      </c>
      <c r="AQ232" s="239">
        <v>0</v>
      </c>
      <c r="AR232" s="239">
        <v>0</v>
      </c>
      <c r="AS232" s="239">
        <v>0</v>
      </c>
      <c r="AT232" s="239">
        <v>0</v>
      </c>
      <c r="AU232" s="239">
        <v>0</v>
      </c>
      <c r="AV232" s="239">
        <v>0</v>
      </c>
      <c r="AW232" s="239">
        <v>0</v>
      </c>
      <c r="AX232" s="239">
        <v>0</v>
      </c>
      <c r="AY232" s="239">
        <v>0</v>
      </c>
      <c r="AZ232" s="239">
        <v>0</v>
      </c>
      <c r="BA232" s="239">
        <v>0</v>
      </c>
      <c r="BB232" s="239">
        <v>0</v>
      </c>
      <c r="BC232" s="239">
        <v>671559</v>
      </c>
      <c r="BD232" s="239">
        <v>151101</v>
      </c>
      <c r="BE232" s="239">
        <v>16789</v>
      </c>
      <c r="BF232" s="239">
        <v>658236.89946351934</v>
      </c>
      <c r="BG232" s="239">
        <v>148103.30237929182</v>
      </c>
      <c r="BH232" s="239">
        <v>16455.922486587984</v>
      </c>
      <c r="BI232" s="239">
        <v>50697.581330472101</v>
      </c>
      <c r="BJ232" s="239">
        <v>11406.955799356223</v>
      </c>
      <c r="BK232" s="239">
        <v>1267.4395332618026</v>
      </c>
      <c r="BL232" s="239">
        <v>704226</v>
      </c>
      <c r="BM232" s="239">
        <v>105810</v>
      </c>
      <c r="BN232" s="239">
        <v>11757</v>
      </c>
      <c r="BO232" s="239">
        <v>-32667</v>
      </c>
      <c r="BP232" s="239">
        <v>45291</v>
      </c>
      <c r="BQ232" s="239">
        <v>5032</v>
      </c>
      <c r="BR232" s="239">
        <v>8300</v>
      </c>
      <c r="BS232" s="239">
        <v>1868</v>
      </c>
      <c r="BT232" s="239">
        <v>208</v>
      </c>
      <c r="BU232" s="239">
        <v>439</v>
      </c>
      <c r="BV232" s="239">
        <v>99</v>
      </c>
      <c r="BW232" s="239">
        <v>11</v>
      </c>
      <c r="BX232" s="239">
        <v>7861</v>
      </c>
      <c r="BY232" s="239">
        <v>1769</v>
      </c>
      <c r="BZ232" s="239">
        <v>197</v>
      </c>
      <c r="CA232" s="239">
        <v>-85</v>
      </c>
      <c r="CB232" s="239">
        <v>-19</v>
      </c>
      <c r="CC232" s="239">
        <v>-2</v>
      </c>
      <c r="CD232" s="239">
        <v>0</v>
      </c>
      <c r="CE232" s="239">
        <v>0</v>
      </c>
      <c r="CF232" s="239">
        <v>0</v>
      </c>
      <c r="CG232" s="239">
        <v>-85</v>
      </c>
      <c r="CH232" s="239">
        <v>-19</v>
      </c>
      <c r="CI232" s="239">
        <v>-2</v>
      </c>
      <c r="CJ232" s="239">
        <v>-17</v>
      </c>
      <c r="CK232" s="239">
        <v>-4</v>
      </c>
      <c r="CL232" s="239">
        <v>0</v>
      </c>
      <c r="CM232" s="239">
        <v>380</v>
      </c>
      <c r="CN232" s="239">
        <v>85</v>
      </c>
      <c r="CO232" s="239">
        <v>9</v>
      </c>
      <c r="CP232" s="239">
        <v>-397</v>
      </c>
      <c r="CQ232" s="239">
        <v>-89</v>
      </c>
      <c r="CR232" s="239">
        <v>-9</v>
      </c>
      <c r="CS232" s="239">
        <v>-1015</v>
      </c>
      <c r="CT232" s="239">
        <v>-228</v>
      </c>
      <c r="CU232" s="239">
        <v>-25</v>
      </c>
      <c r="CV232" s="239">
        <v>1118</v>
      </c>
      <c r="CW232" s="239">
        <v>252</v>
      </c>
      <c r="CX232" s="239">
        <v>28</v>
      </c>
      <c r="CY232" s="239">
        <v>0</v>
      </c>
      <c r="CZ232" s="239">
        <v>0</v>
      </c>
      <c r="DA232" s="239">
        <v>0</v>
      </c>
      <c r="DB232" s="239">
        <v>1118</v>
      </c>
      <c r="DC232" s="239">
        <v>252</v>
      </c>
      <c r="DD232" s="239">
        <v>28</v>
      </c>
      <c r="DE232" s="239">
        <v>0</v>
      </c>
      <c r="DF232" s="239">
        <v>0</v>
      </c>
      <c r="DG232" s="239">
        <v>0</v>
      </c>
      <c r="DH232" s="239">
        <v>0</v>
      </c>
      <c r="DI232" s="239">
        <v>0</v>
      </c>
      <c r="DJ232" s="239">
        <v>0</v>
      </c>
      <c r="DK232" s="239">
        <v>8518</v>
      </c>
      <c r="DL232" s="239">
        <v>1917</v>
      </c>
      <c r="DM232" s="239">
        <v>213</v>
      </c>
      <c r="DN232" s="239">
        <v>-8518</v>
      </c>
      <c r="DO232" s="239">
        <v>-1917</v>
      </c>
      <c r="DP232" s="239">
        <v>-213</v>
      </c>
      <c r="DQ232" s="239">
        <v>609</v>
      </c>
      <c r="DR232" s="239">
        <v>137</v>
      </c>
      <c r="DS232" s="239">
        <v>15</v>
      </c>
      <c r="DT232" s="239">
        <v>609</v>
      </c>
      <c r="DU232" s="239">
        <v>137</v>
      </c>
      <c r="DV232" s="239">
        <v>15</v>
      </c>
      <c r="DW232" s="239">
        <v>0</v>
      </c>
      <c r="DX232" s="239">
        <v>0</v>
      </c>
      <c r="DY232" s="239">
        <v>0</v>
      </c>
      <c r="DZ232" s="239">
        <v>13920</v>
      </c>
      <c r="EA232" s="239">
        <v>3132</v>
      </c>
      <c r="EB232" s="239">
        <v>348</v>
      </c>
      <c r="EC232" s="239">
        <v>16754</v>
      </c>
      <c r="ED232" s="239">
        <v>0</v>
      </c>
      <c r="EE232" s="239">
        <v>0</v>
      </c>
      <c r="EF232" s="239">
        <v>-2834</v>
      </c>
      <c r="EG232" s="239">
        <v>3132</v>
      </c>
      <c r="EH232" s="239">
        <v>348</v>
      </c>
      <c r="EI232" s="239">
        <v>70034</v>
      </c>
      <c r="EJ232" s="239">
        <v>15758</v>
      </c>
      <c r="EK232" s="239">
        <v>1751</v>
      </c>
      <c r="EL232" s="239">
        <v>92691</v>
      </c>
      <c r="EM232" s="239">
        <v>0</v>
      </c>
      <c r="EN232" s="239">
        <v>0</v>
      </c>
      <c r="EO232" s="239">
        <v>-22657</v>
      </c>
      <c r="EP232" s="239">
        <v>15758</v>
      </c>
      <c r="EQ232" s="239">
        <v>1751</v>
      </c>
      <c r="ER232" s="239">
        <v>18235</v>
      </c>
      <c r="ES232" s="239">
        <v>4103</v>
      </c>
      <c r="ET232" s="239">
        <v>456</v>
      </c>
      <c r="EU232" s="239">
        <v>21411</v>
      </c>
      <c r="EV232" s="239">
        <v>0</v>
      </c>
      <c r="EW232" s="239">
        <v>0</v>
      </c>
      <c r="EX232" s="239">
        <v>-3176</v>
      </c>
      <c r="EY232" s="239">
        <v>4103</v>
      </c>
      <c r="EZ232" s="239">
        <v>456</v>
      </c>
      <c r="FA232" s="239">
        <v>287911</v>
      </c>
      <c r="FB232" s="239">
        <v>39105</v>
      </c>
      <c r="FC232" s="239">
        <v>4345</v>
      </c>
      <c r="FD232" s="239">
        <v>273636</v>
      </c>
      <c r="FE232" s="239">
        <v>34995</v>
      </c>
      <c r="FF232" s="239">
        <v>3888</v>
      </c>
      <c r="FG232" s="239">
        <v>14275</v>
      </c>
      <c r="FH232" s="239">
        <v>4110</v>
      </c>
      <c r="FI232" s="239">
        <v>457</v>
      </c>
      <c r="FJ232" s="239">
        <v>0</v>
      </c>
      <c r="FK232" s="239">
        <v>0</v>
      </c>
      <c r="FL232" s="239">
        <v>0</v>
      </c>
      <c r="FM232" s="239">
        <v>0</v>
      </c>
      <c r="FN232" s="239">
        <v>0</v>
      </c>
      <c r="FO232" s="239">
        <v>0</v>
      </c>
      <c r="FP232" s="239">
        <v>0</v>
      </c>
      <c r="FQ232" s="239">
        <v>0</v>
      </c>
      <c r="FR232" s="239">
        <v>0</v>
      </c>
      <c r="FS232" s="239">
        <v>0</v>
      </c>
      <c r="FT232" s="239">
        <v>0</v>
      </c>
      <c r="FU232" s="239">
        <v>0</v>
      </c>
      <c r="FV232" s="239">
        <v>1070569</v>
      </c>
      <c r="FW232" s="239">
        <v>215205</v>
      </c>
      <c r="FX232" s="239">
        <v>23913</v>
      </c>
      <c r="FY232" s="834">
        <v>0.5</v>
      </c>
      <c r="FZ232" s="834">
        <v>0.4</v>
      </c>
      <c r="GA232" s="834">
        <v>0.09</v>
      </c>
      <c r="GB232" s="834">
        <v>0.01</v>
      </c>
      <c r="GC232" s="214" t="s">
        <v>1158</v>
      </c>
    </row>
    <row r="233" spans="1:185" s="214" customFormat="1" x14ac:dyDescent="0.2">
      <c r="B233" s="602" t="s">
        <v>549</v>
      </c>
      <c r="C233" s="602" t="s">
        <v>548</v>
      </c>
      <c r="D233" s="239">
        <v>181881</v>
      </c>
      <c r="E233" s="239">
        <v>0</v>
      </c>
      <c r="F233" s="239">
        <v>181881</v>
      </c>
      <c r="G233" s="239">
        <v>317286</v>
      </c>
      <c r="H233" s="239">
        <v>0</v>
      </c>
      <c r="I233" s="239">
        <v>317286</v>
      </c>
      <c r="J233" s="239">
        <v>-135405</v>
      </c>
      <c r="K233" s="239">
        <v>0</v>
      </c>
      <c r="L233" s="239">
        <v>-135405</v>
      </c>
      <c r="M233" s="239">
        <v>163555</v>
      </c>
      <c r="N233" s="239">
        <v>163555</v>
      </c>
      <c r="O233" s="239">
        <v>0</v>
      </c>
      <c r="P233" s="239">
        <v>0</v>
      </c>
      <c r="Q233" s="239">
        <v>0</v>
      </c>
      <c r="R233" s="239">
        <v>0</v>
      </c>
      <c r="S233" s="239">
        <v>0</v>
      </c>
      <c r="T233" s="239">
        <v>0</v>
      </c>
      <c r="U233" s="239">
        <v>0</v>
      </c>
      <c r="V233" s="239">
        <v>0</v>
      </c>
      <c r="W233" s="239">
        <v>0</v>
      </c>
      <c r="X233" s="239">
        <v>0</v>
      </c>
      <c r="Y233" s="239">
        <v>0</v>
      </c>
      <c r="Z233" s="239">
        <v>0</v>
      </c>
      <c r="AA233" s="239">
        <v>0</v>
      </c>
      <c r="AB233" s="239">
        <v>0</v>
      </c>
      <c r="AC233" s="239">
        <v>0</v>
      </c>
      <c r="AD233" s="239">
        <v>0</v>
      </c>
      <c r="AE233" s="239">
        <v>0</v>
      </c>
      <c r="AF233" s="239">
        <v>0</v>
      </c>
      <c r="AG233" s="239">
        <v>0</v>
      </c>
      <c r="AH233" s="239">
        <v>0</v>
      </c>
      <c r="AI233" s="239">
        <v>0</v>
      </c>
      <c r="AJ233" s="239">
        <v>0</v>
      </c>
      <c r="AK233" s="239">
        <v>0</v>
      </c>
      <c r="AL233" s="239">
        <v>0</v>
      </c>
      <c r="AM233" s="239">
        <v>0</v>
      </c>
      <c r="AN233" s="239">
        <v>0</v>
      </c>
      <c r="AO233" s="239">
        <v>0</v>
      </c>
      <c r="AP233" s="239">
        <v>0</v>
      </c>
      <c r="AQ233" s="239">
        <v>0</v>
      </c>
      <c r="AR233" s="239">
        <v>0</v>
      </c>
      <c r="AS233" s="239">
        <v>0</v>
      </c>
      <c r="AT233" s="239">
        <v>0</v>
      </c>
      <c r="AU233" s="239">
        <v>0</v>
      </c>
      <c r="AV233" s="239">
        <v>0</v>
      </c>
      <c r="AW233" s="239">
        <v>0</v>
      </c>
      <c r="AX233" s="239">
        <v>0</v>
      </c>
      <c r="AY233" s="239">
        <v>0</v>
      </c>
      <c r="AZ233" s="239">
        <v>0</v>
      </c>
      <c r="BA233" s="239">
        <v>0</v>
      </c>
      <c r="BB233" s="239">
        <v>0</v>
      </c>
      <c r="BC233" s="239">
        <v>1190642</v>
      </c>
      <c r="BD233" s="239">
        <v>267894</v>
      </c>
      <c r="BE233" s="239">
        <v>29766</v>
      </c>
      <c r="BF233" s="239">
        <v>1160298.342646352</v>
      </c>
      <c r="BG233" s="239">
        <v>261067.12709542917</v>
      </c>
      <c r="BH233" s="239">
        <v>29007.458566158795</v>
      </c>
      <c r="BI233" s="239">
        <v>88738.251072961371</v>
      </c>
      <c r="BJ233" s="239">
        <v>19966.106491416307</v>
      </c>
      <c r="BK233" s="239">
        <v>2218.4562768240344</v>
      </c>
      <c r="BL233" s="239">
        <v>1336759</v>
      </c>
      <c r="BM233" s="239">
        <v>193422</v>
      </c>
      <c r="BN233" s="239">
        <v>21491</v>
      </c>
      <c r="BO233" s="239">
        <v>-146117</v>
      </c>
      <c r="BP233" s="239">
        <v>74472</v>
      </c>
      <c r="BQ233" s="239">
        <v>8275</v>
      </c>
      <c r="BR233" s="239">
        <v>5358</v>
      </c>
      <c r="BS233" s="239">
        <v>1205</v>
      </c>
      <c r="BT233" s="239">
        <v>134</v>
      </c>
      <c r="BU233" s="239">
        <v>7795</v>
      </c>
      <c r="BV233" s="239">
        <v>1754</v>
      </c>
      <c r="BW233" s="239">
        <v>195</v>
      </c>
      <c r="BX233" s="239">
        <v>-2437</v>
      </c>
      <c r="BY233" s="239">
        <v>-549</v>
      </c>
      <c r="BZ233" s="239">
        <v>-61</v>
      </c>
      <c r="CA233" s="239">
        <v>0</v>
      </c>
      <c r="CB233" s="239">
        <v>0</v>
      </c>
      <c r="CC233" s="239">
        <v>0</v>
      </c>
      <c r="CD233" s="239">
        <v>5446</v>
      </c>
      <c r="CE233" s="239">
        <v>1225</v>
      </c>
      <c r="CF233" s="239">
        <v>136</v>
      </c>
      <c r="CG233" s="239">
        <v>-5446</v>
      </c>
      <c r="CH233" s="239">
        <v>-1225</v>
      </c>
      <c r="CI233" s="239">
        <v>-136</v>
      </c>
      <c r="CJ233" s="239">
        <v>697</v>
      </c>
      <c r="CK233" s="239">
        <v>157</v>
      </c>
      <c r="CL233" s="239">
        <v>17</v>
      </c>
      <c r="CM233" s="239">
        <v>1631</v>
      </c>
      <c r="CN233" s="239">
        <v>367</v>
      </c>
      <c r="CO233" s="239">
        <v>41</v>
      </c>
      <c r="CP233" s="239">
        <v>-934</v>
      </c>
      <c r="CQ233" s="239">
        <v>-210</v>
      </c>
      <c r="CR233" s="239">
        <v>-24</v>
      </c>
      <c r="CS233" s="239">
        <v>-884</v>
      </c>
      <c r="CT233" s="239">
        <v>-199</v>
      </c>
      <c r="CU233" s="239">
        <v>-22</v>
      </c>
      <c r="CV233" s="239">
        <v>0</v>
      </c>
      <c r="CW233" s="239">
        <v>0</v>
      </c>
      <c r="CX233" s="239">
        <v>0</v>
      </c>
      <c r="CY233" s="239">
        <v>0</v>
      </c>
      <c r="CZ233" s="239">
        <v>0</v>
      </c>
      <c r="DA233" s="239">
        <v>0</v>
      </c>
      <c r="DB233" s="239">
        <v>0</v>
      </c>
      <c r="DC233" s="239">
        <v>0</v>
      </c>
      <c r="DD233" s="239">
        <v>0</v>
      </c>
      <c r="DE233" s="239">
        <v>0</v>
      </c>
      <c r="DF233" s="239">
        <v>0</v>
      </c>
      <c r="DG233" s="239">
        <v>0</v>
      </c>
      <c r="DH233" s="239">
        <v>5708</v>
      </c>
      <c r="DI233" s="239">
        <v>1284</v>
      </c>
      <c r="DJ233" s="239">
        <v>143</v>
      </c>
      <c r="DK233" s="239">
        <v>4198</v>
      </c>
      <c r="DL233" s="239">
        <v>944</v>
      </c>
      <c r="DM233" s="239">
        <v>105</v>
      </c>
      <c r="DN233" s="239">
        <v>1510</v>
      </c>
      <c r="DO233" s="239">
        <v>340</v>
      </c>
      <c r="DP233" s="239">
        <v>38</v>
      </c>
      <c r="DQ233" s="239">
        <v>609</v>
      </c>
      <c r="DR233" s="239">
        <v>137</v>
      </c>
      <c r="DS233" s="239">
        <v>15</v>
      </c>
      <c r="DT233" s="239">
        <v>609</v>
      </c>
      <c r="DU233" s="239">
        <v>137</v>
      </c>
      <c r="DV233" s="239">
        <v>15</v>
      </c>
      <c r="DW233" s="239">
        <v>0</v>
      </c>
      <c r="DX233" s="239">
        <v>0</v>
      </c>
      <c r="DY233" s="239">
        <v>0</v>
      </c>
      <c r="DZ233" s="239">
        <v>9249</v>
      </c>
      <c r="EA233" s="239">
        <v>2081</v>
      </c>
      <c r="EB233" s="239">
        <v>231</v>
      </c>
      <c r="EC233" s="239">
        <v>11324</v>
      </c>
      <c r="ED233" s="239">
        <v>0</v>
      </c>
      <c r="EE233" s="239">
        <v>0</v>
      </c>
      <c r="EF233" s="239">
        <v>-2075</v>
      </c>
      <c r="EG233" s="239">
        <v>2081</v>
      </c>
      <c r="EH233" s="239">
        <v>231</v>
      </c>
      <c r="EI233" s="239">
        <v>111946</v>
      </c>
      <c r="EJ233" s="239">
        <v>25188</v>
      </c>
      <c r="EK233" s="239">
        <v>2799</v>
      </c>
      <c r="EL233" s="239">
        <v>141787</v>
      </c>
      <c r="EM233" s="239">
        <v>0</v>
      </c>
      <c r="EN233" s="239">
        <v>0</v>
      </c>
      <c r="EO233" s="239">
        <v>-29841</v>
      </c>
      <c r="EP233" s="239">
        <v>25188</v>
      </c>
      <c r="EQ233" s="239">
        <v>2799</v>
      </c>
      <c r="ER233" s="239">
        <v>25141</v>
      </c>
      <c r="ES233" s="239">
        <v>5657</v>
      </c>
      <c r="ET233" s="239">
        <v>629</v>
      </c>
      <c r="EU233" s="239">
        <v>37112</v>
      </c>
      <c r="EV233" s="239">
        <v>0</v>
      </c>
      <c r="EW233" s="239">
        <v>0</v>
      </c>
      <c r="EX233" s="239">
        <v>-11971</v>
      </c>
      <c r="EY233" s="239">
        <v>5657</v>
      </c>
      <c r="EZ233" s="239">
        <v>629</v>
      </c>
      <c r="FA233" s="239">
        <v>205954</v>
      </c>
      <c r="FB233" s="239">
        <v>46340</v>
      </c>
      <c r="FC233" s="239">
        <v>5149</v>
      </c>
      <c r="FD233" s="239">
        <v>202867</v>
      </c>
      <c r="FE233" s="239">
        <v>45645</v>
      </c>
      <c r="FF233" s="239">
        <v>5072</v>
      </c>
      <c r="FG233" s="239">
        <v>3087</v>
      </c>
      <c r="FH233" s="239">
        <v>695</v>
      </c>
      <c r="FI233" s="239">
        <v>77</v>
      </c>
      <c r="FJ233" s="239">
        <v>0</v>
      </c>
      <c r="FK233" s="239">
        <v>0</v>
      </c>
      <c r="FL233" s="239">
        <v>0</v>
      </c>
      <c r="FM233" s="239">
        <v>0</v>
      </c>
      <c r="FN233" s="239">
        <v>0</v>
      </c>
      <c r="FO233" s="239">
        <v>0</v>
      </c>
      <c r="FP233" s="239">
        <v>0</v>
      </c>
      <c r="FQ233" s="239">
        <v>0</v>
      </c>
      <c r="FR233" s="239">
        <v>0</v>
      </c>
      <c r="FS233" s="239">
        <v>0</v>
      </c>
      <c r="FT233" s="239">
        <v>0</v>
      </c>
      <c r="FU233" s="239">
        <v>0</v>
      </c>
      <c r="FV233" s="239">
        <v>1554420</v>
      </c>
      <c r="FW233" s="239">
        <v>349744</v>
      </c>
      <c r="FX233" s="239">
        <v>38861</v>
      </c>
      <c r="FY233" s="834">
        <v>0.5</v>
      </c>
      <c r="FZ233" s="834">
        <v>0.4</v>
      </c>
      <c r="GA233" s="834">
        <v>0.09</v>
      </c>
      <c r="GB233" s="834">
        <v>0.01</v>
      </c>
      <c r="GC233" s="214" t="s">
        <v>1158</v>
      </c>
    </row>
    <row r="234" spans="1:185" s="214" customFormat="1" x14ac:dyDescent="0.2">
      <c r="B234" s="602" t="s">
        <v>551</v>
      </c>
      <c r="C234" s="602" t="s">
        <v>550</v>
      </c>
      <c r="D234" s="239">
        <v>-11201867</v>
      </c>
      <c r="E234" s="239">
        <v>-264551</v>
      </c>
      <c r="F234" s="239">
        <v>-11466418</v>
      </c>
      <c r="G234" s="239">
        <v>-13644403</v>
      </c>
      <c r="H234" s="239">
        <v>-291051</v>
      </c>
      <c r="I234" s="239">
        <v>-13935454</v>
      </c>
      <c r="J234" s="239">
        <v>2442536</v>
      </c>
      <c r="K234" s="239">
        <v>26500</v>
      </c>
      <c r="L234" s="239">
        <v>2469036</v>
      </c>
      <c r="M234" s="239">
        <v>765222</v>
      </c>
      <c r="N234" s="239">
        <v>765222</v>
      </c>
      <c r="O234" s="239">
        <v>0</v>
      </c>
      <c r="P234" s="239">
        <v>757817</v>
      </c>
      <c r="Q234" s="239">
        <v>904151</v>
      </c>
      <c r="R234" s="239">
        <v>-146334</v>
      </c>
      <c r="S234" s="239">
        <v>1072960</v>
      </c>
      <c r="T234" s="239">
        <v>0</v>
      </c>
      <c r="U234" s="239">
        <v>1043840</v>
      </c>
      <c r="V234" s="239">
        <v>0</v>
      </c>
      <c r="W234" s="239">
        <v>29120</v>
      </c>
      <c r="X234" s="239">
        <v>0</v>
      </c>
      <c r="Y234" s="239">
        <v>-4230</v>
      </c>
      <c r="Z234" s="239">
        <v>-4230</v>
      </c>
      <c r="AA234" s="239">
        <v>0</v>
      </c>
      <c r="AB234" s="239">
        <v>0</v>
      </c>
      <c r="AC234" s="239">
        <v>57198</v>
      </c>
      <c r="AD234" s="239">
        <v>57198</v>
      </c>
      <c r="AE234" s="239">
        <v>0</v>
      </c>
      <c r="AF234" s="239">
        <v>0</v>
      </c>
      <c r="AG234" s="239">
        <v>-61428</v>
      </c>
      <c r="AH234" s="239">
        <v>-61428</v>
      </c>
      <c r="AI234" s="239">
        <v>0</v>
      </c>
      <c r="AJ234" s="239">
        <v>0</v>
      </c>
      <c r="AK234" s="239">
        <v>0</v>
      </c>
      <c r="AL234" s="239">
        <v>0</v>
      </c>
      <c r="AM234" s="239">
        <v>0</v>
      </c>
      <c r="AN234" s="239">
        <v>0</v>
      </c>
      <c r="AO234" s="239">
        <v>0</v>
      </c>
      <c r="AP234" s="239">
        <v>0</v>
      </c>
      <c r="AQ234" s="239">
        <v>0</v>
      </c>
      <c r="AR234" s="239">
        <v>0</v>
      </c>
      <c r="AS234" s="239">
        <v>0</v>
      </c>
      <c r="AT234" s="239">
        <v>0</v>
      </c>
      <c r="AU234" s="239">
        <v>0</v>
      </c>
      <c r="AV234" s="239">
        <v>0</v>
      </c>
      <c r="AW234" s="239">
        <v>0</v>
      </c>
      <c r="AX234" s="239">
        <v>0</v>
      </c>
      <c r="AY234" s="239">
        <v>0</v>
      </c>
      <c r="AZ234" s="239">
        <v>0</v>
      </c>
      <c r="BA234" s="239">
        <v>0</v>
      </c>
      <c r="BB234" s="239">
        <v>0</v>
      </c>
      <c r="BC234" s="239">
        <v>5782619</v>
      </c>
      <c r="BD234" s="239">
        <v>0</v>
      </c>
      <c r="BE234" s="239">
        <v>117549</v>
      </c>
      <c r="BF234" s="239">
        <v>5651129.5120504731</v>
      </c>
      <c r="BG234" s="239">
        <v>0</v>
      </c>
      <c r="BH234" s="239">
        <v>114876.01767484981</v>
      </c>
      <c r="BI234" s="239">
        <v>387832.49241094413</v>
      </c>
      <c r="BJ234" s="239">
        <v>0</v>
      </c>
      <c r="BK234" s="239">
        <v>7883.0377929184542</v>
      </c>
      <c r="BL234" s="239">
        <v>5510616</v>
      </c>
      <c r="BM234" s="239">
        <v>0</v>
      </c>
      <c r="BN234" s="239">
        <v>79851</v>
      </c>
      <c r="BO234" s="239">
        <v>272003</v>
      </c>
      <c r="BP234" s="239">
        <v>0</v>
      </c>
      <c r="BQ234" s="239">
        <v>37698</v>
      </c>
      <c r="BR234" s="239">
        <v>22169</v>
      </c>
      <c r="BS234" s="239">
        <v>0</v>
      </c>
      <c r="BT234" s="239">
        <v>452</v>
      </c>
      <c r="BU234" s="239">
        <v>32328</v>
      </c>
      <c r="BV234" s="239">
        <v>0</v>
      </c>
      <c r="BW234" s="239">
        <v>660</v>
      </c>
      <c r="BX234" s="239">
        <v>-10159</v>
      </c>
      <c r="BY234" s="239">
        <v>0</v>
      </c>
      <c r="BZ234" s="239">
        <v>-208</v>
      </c>
      <c r="CA234" s="239">
        <v>0</v>
      </c>
      <c r="CB234" s="239">
        <v>0</v>
      </c>
      <c r="CC234" s="239">
        <v>0</v>
      </c>
      <c r="CD234" s="239">
        <v>0</v>
      </c>
      <c r="CE234" s="239">
        <v>0</v>
      </c>
      <c r="CF234" s="239">
        <v>0</v>
      </c>
      <c r="CG234" s="239">
        <v>0</v>
      </c>
      <c r="CH234" s="239">
        <v>0</v>
      </c>
      <c r="CI234" s="239">
        <v>0</v>
      </c>
      <c r="CJ234" s="239">
        <v>-3272</v>
      </c>
      <c r="CK234" s="239">
        <v>0</v>
      </c>
      <c r="CL234" s="239">
        <v>-67</v>
      </c>
      <c r="CM234" s="239">
        <v>57991</v>
      </c>
      <c r="CN234" s="239">
        <v>0</v>
      </c>
      <c r="CO234" s="239">
        <v>1183</v>
      </c>
      <c r="CP234" s="239">
        <v>-61263</v>
      </c>
      <c r="CQ234" s="239">
        <v>0</v>
      </c>
      <c r="CR234" s="239">
        <v>-1250</v>
      </c>
      <c r="CS234" s="239">
        <v>-1600</v>
      </c>
      <c r="CT234" s="239">
        <v>0</v>
      </c>
      <c r="CU234" s="239">
        <v>-33</v>
      </c>
      <c r="CV234" s="239">
        <v>0</v>
      </c>
      <c r="CW234" s="239">
        <v>0</v>
      </c>
      <c r="CX234" s="239">
        <v>0</v>
      </c>
      <c r="CY234" s="239">
        <v>0</v>
      </c>
      <c r="CZ234" s="239">
        <v>0</v>
      </c>
      <c r="DA234" s="239">
        <v>0</v>
      </c>
      <c r="DB234" s="239">
        <v>0</v>
      </c>
      <c r="DC234" s="239">
        <v>0</v>
      </c>
      <c r="DD234" s="239">
        <v>0</v>
      </c>
      <c r="DE234" s="239">
        <v>-18559</v>
      </c>
      <c r="DF234" s="239">
        <v>0</v>
      </c>
      <c r="DG234" s="239">
        <v>-379</v>
      </c>
      <c r="DH234" s="239">
        <v>0</v>
      </c>
      <c r="DI234" s="239">
        <v>0</v>
      </c>
      <c r="DJ234" s="239">
        <v>0</v>
      </c>
      <c r="DK234" s="239">
        <v>0</v>
      </c>
      <c r="DL234" s="239">
        <v>0</v>
      </c>
      <c r="DM234" s="239">
        <v>0</v>
      </c>
      <c r="DN234" s="239">
        <v>0</v>
      </c>
      <c r="DO234" s="239">
        <v>0</v>
      </c>
      <c r="DP234" s="239">
        <v>0</v>
      </c>
      <c r="DQ234" s="239">
        <v>0</v>
      </c>
      <c r="DR234" s="239">
        <v>0</v>
      </c>
      <c r="DS234" s="239">
        <v>0</v>
      </c>
      <c r="DT234" s="239">
        <v>1493</v>
      </c>
      <c r="DU234" s="239">
        <v>0</v>
      </c>
      <c r="DV234" s="239">
        <v>30</v>
      </c>
      <c r="DW234" s="239">
        <v>-1493</v>
      </c>
      <c r="DX234" s="239">
        <v>0</v>
      </c>
      <c r="DY234" s="239">
        <v>-30</v>
      </c>
      <c r="DZ234" s="239">
        <v>34931</v>
      </c>
      <c r="EA234" s="239">
        <v>0</v>
      </c>
      <c r="EB234" s="239">
        <v>713</v>
      </c>
      <c r="EC234" s="239">
        <v>36033</v>
      </c>
      <c r="ED234" s="239">
        <v>0</v>
      </c>
      <c r="EE234" s="239">
        <v>0</v>
      </c>
      <c r="EF234" s="239">
        <v>-1102</v>
      </c>
      <c r="EG234" s="239">
        <v>0</v>
      </c>
      <c r="EH234" s="239">
        <v>713</v>
      </c>
      <c r="EI234" s="239">
        <v>405609</v>
      </c>
      <c r="EJ234" s="239">
        <v>0</v>
      </c>
      <c r="EK234" s="239">
        <v>8278</v>
      </c>
      <c r="EL234" s="239">
        <v>466808</v>
      </c>
      <c r="EM234" s="239">
        <v>0</v>
      </c>
      <c r="EN234" s="239">
        <v>0</v>
      </c>
      <c r="EO234" s="239">
        <v>-61199</v>
      </c>
      <c r="EP234" s="239">
        <v>0</v>
      </c>
      <c r="EQ234" s="239">
        <v>8278</v>
      </c>
      <c r="ER234" s="239">
        <v>71954</v>
      </c>
      <c r="ES234" s="239">
        <v>0</v>
      </c>
      <c r="ET234" s="239">
        <v>1448</v>
      </c>
      <c r="EU234" s="239">
        <v>91352</v>
      </c>
      <c r="EV234" s="239">
        <v>0</v>
      </c>
      <c r="EW234" s="239">
        <v>0</v>
      </c>
      <c r="EX234" s="239">
        <v>-19398</v>
      </c>
      <c r="EY234" s="239">
        <v>0</v>
      </c>
      <c r="EZ234" s="239">
        <v>1448</v>
      </c>
      <c r="FA234" s="239">
        <v>1414281</v>
      </c>
      <c r="FB234" s="239">
        <v>0</v>
      </c>
      <c r="FC234" s="239">
        <v>28302</v>
      </c>
      <c r="FD234" s="239">
        <v>1467707</v>
      </c>
      <c r="FE234" s="239">
        <v>0</v>
      </c>
      <c r="FF234" s="239">
        <v>29338</v>
      </c>
      <c r="FG234" s="239">
        <v>-53426</v>
      </c>
      <c r="FH234" s="239">
        <v>0</v>
      </c>
      <c r="FI234" s="239">
        <v>-1036</v>
      </c>
      <c r="FJ234" s="239">
        <v>0</v>
      </c>
      <c r="FK234" s="239">
        <v>0</v>
      </c>
      <c r="FL234" s="239">
        <v>0</v>
      </c>
      <c r="FM234" s="239">
        <v>0</v>
      </c>
      <c r="FN234" s="239">
        <v>0</v>
      </c>
      <c r="FO234" s="239">
        <v>0</v>
      </c>
      <c r="FP234" s="239">
        <v>0</v>
      </c>
      <c r="FQ234" s="239">
        <v>0</v>
      </c>
      <c r="FR234" s="239">
        <v>0</v>
      </c>
      <c r="FS234" s="239">
        <v>0</v>
      </c>
      <c r="FT234" s="239">
        <v>0</v>
      </c>
      <c r="FU234" s="239">
        <v>0</v>
      </c>
      <c r="FV234" s="239">
        <v>7708132</v>
      </c>
      <c r="FW234" s="239">
        <v>0</v>
      </c>
      <c r="FX234" s="239">
        <v>156263</v>
      </c>
      <c r="FY234" s="834">
        <v>0.5</v>
      </c>
      <c r="FZ234" s="834">
        <v>0.49</v>
      </c>
      <c r="GA234" s="834">
        <v>0</v>
      </c>
      <c r="GB234" s="834">
        <v>0.01</v>
      </c>
      <c r="GC234" s="214" t="s">
        <v>1160</v>
      </c>
    </row>
    <row r="235" spans="1:185" s="214" customFormat="1" x14ac:dyDescent="0.2">
      <c r="B235" s="602" t="s">
        <v>553</v>
      </c>
      <c r="C235" s="602" t="s">
        <v>552</v>
      </c>
      <c r="D235" s="239">
        <v>-620613</v>
      </c>
      <c r="E235" s="239">
        <v>0</v>
      </c>
      <c r="F235" s="239">
        <v>-620613</v>
      </c>
      <c r="G235" s="239">
        <v>-2139399</v>
      </c>
      <c r="H235" s="239">
        <v>0</v>
      </c>
      <c r="I235" s="239">
        <v>-2139399</v>
      </c>
      <c r="J235" s="239">
        <v>1518786</v>
      </c>
      <c r="K235" s="239">
        <v>0</v>
      </c>
      <c r="L235" s="239">
        <v>1518786</v>
      </c>
      <c r="M235" s="239">
        <v>147234</v>
      </c>
      <c r="N235" s="239">
        <v>147234</v>
      </c>
      <c r="O235" s="239">
        <v>0</v>
      </c>
      <c r="P235" s="239">
        <v>0</v>
      </c>
      <c r="Q235" s="239">
        <v>0</v>
      </c>
      <c r="R235" s="239">
        <v>0</v>
      </c>
      <c r="S235" s="239">
        <v>0</v>
      </c>
      <c r="T235" s="239">
        <v>0</v>
      </c>
      <c r="U235" s="239">
        <v>0</v>
      </c>
      <c r="V235" s="239">
        <v>0</v>
      </c>
      <c r="W235" s="239">
        <v>0</v>
      </c>
      <c r="X235" s="239">
        <v>0</v>
      </c>
      <c r="Y235" s="239">
        <v>0</v>
      </c>
      <c r="Z235" s="239">
        <v>0</v>
      </c>
      <c r="AA235" s="239">
        <v>0</v>
      </c>
      <c r="AB235" s="239">
        <v>0</v>
      </c>
      <c r="AC235" s="239">
        <v>0</v>
      </c>
      <c r="AD235" s="239">
        <v>0</v>
      </c>
      <c r="AE235" s="239">
        <v>0</v>
      </c>
      <c r="AF235" s="239">
        <v>0</v>
      </c>
      <c r="AG235" s="239">
        <v>0</v>
      </c>
      <c r="AH235" s="239">
        <v>0</v>
      </c>
      <c r="AI235" s="239">
        <v>0</v>
      </c>
      <c r="AJ235" s="239">
        <v>0</v>
      </c>
      <c r="AK235" s="239">
        <v>0</v>
      </c>
      <c r="AL235" s="239">
        <v>0</v>
      </c>
      <c r="AM235" s="239">
        <v>0</v>
      </c>
      <c r="AN235" s="239">
        <v>0</v>
      </c>
      <c r="AO235" s="239">
        <v>0</v>
      </c>
      <c r="AP235" s="239">
        <v>0</v>
      </c>
      <c r="AQ235" s="239">
        <v>0</v>
      </c>
      <c r="AR235" s="239">
        <v>0</v>
      </c>
      <c r="AS235" s="239">
        <v>0</v>
      </c>
      <c r="AT235" s="239">
        <v>0</v>
      </c>
      <c r="AU235" s="239">
        <v>0</v>
      </c>
      <c r="AV235" s="239">
        <v>0</v>
      </c>
      <c r="AW235" s="239">
        <v>0</v>
      </c>
      <c r="AX235" s="239">
        <v>0</v>
      </c>
      <c r="AY235" s="239">
        <v>0</v>
      </c>
      <c r="AZ235" s="239">
        <v>0</v>
      </c>
      <c r="BA235" s="239">
        <v>0</v>
      </c>
      <c r="BB235" s="239">
        <v>0</v>
      </c>
      <c r="BC235" s="239">
        <v>1095072</v>
      </c>
      <c r="BD235" s="239">
        <v>246391</v>
      </c>
      <c r="BE235" s="239">
        <v>27377</v>
      </c>
      <c r="BF235" s="239">
        <v>1074509.8076772531</v>
      </c>
      <c r="BG235" s="239">
        <v>241764.70672738194</v>
      </c>
      <c r="BH235" s="239">
        <v>26862.745191931332</v>
      </c>
      <c r="BI235" s="239">
        <v>49852.027854077256</v>
      </c>
      <c r="BJ235" s="239">
        <v>11216.706267167381</v>
      </c>
      <c r="BK235" s="239">
        <v>1246.3006963519313</v>
      </c>
      <c r="BL235" s="239">
        <v>1086154</v>
      </c>
      <c r="BM235" s="239">
        <v>170007</v>
      </c>
      <c r="BN235" s="239">
        <v>18890</v>
      </c>
      <c r="BO235" s="239">
        <v>8918</v>
      </c>
      <c r="BP235" s="239">
        <v>76384</v>
      </c>
      <c r="BQ235" s="239">
        <v>8487</v>
      </c>
      <c r="BR235" s="239">
        <v>9703</v>
      </c>
      <c r="BS235" s="239">
        <v>2183</v>
      </c>
      <c r="BT235" s="239">
        <v>243</v>
      </c>
      <c r="BU235" s="239">
        <v>6255</v>
      </c>
      <c r="BV235" s="239">
        <v>1407</v>
      </c>
      <c r="BW235" s="239">
        <v>156</v>
      </c>
      <c r="BX235" s="239">
        <v>3448</v>
      </c>
      <c r="BY235" s="239">
        <v>776</v>
      </c>
      <c r="BZ235" s="239">
        <v>87</v>
      </c>
      <c r="CA235" s="239">
        <v>0</v>
      </c>
      <c r="CB235" s="239">
        <v>0</v>
      </c>
      <c r="CC235" s="239">
        <v>0</v>
      </c>
      <c r="CD235" s="239">
        <v>0</v>
      </c>
      <c r="CE235" s="239">
        <v>0</v>
      </c>
      <c r="CF235" s="239">
        <v>0</v>
      </c>
      <c r="CG235" s="239">
        <v>0</v>
      </c>
      <c r="CH235" s="239">
        <v>0</v>
      </c>
      <c r="CI235" s="239">
        <v>0</v>
      </c>
      <c r="CJ235" s="239">
        <v>2</v>
      </c>
      <c r="CK235" s="239">
        <v>0</v>
      </c>
      <c r="CL235" s="239">
        <v>0</v>
      </c>
      <c r="CM235" s="239">
        <v>1845</v>
      </c>
      <c r="CN235" s="239">
        <v>415</v>
      </c>
      <c r="CO235" s="239">
        <v>46</v>
      </c>
      <c r="CP235" s="239">
        <v>-1843</v>
      </c>
      <c r="CQ235" s="239">
        <v>-415</v>
      </c>
      <c r="CR235" s="239">
        <v>-46</v>
      </c>
      <c r="CS235" s="239">
        <v>-4633</v>
      </c>
      <c r="CT235" s="239">
        <v>-1043</v>
      </c>
      <c r="CU235" s="239">
        <v>-116</v>
      </c>
      <c r="CV235" s="239">
        <v>0</v>
      </c>
      <c r="CW235" s="239">
        <v>0</v>
      </c>
      <c r="CX235" s="239">
        <v>0</v>
      </c>
      <c r="CY235" s="239">
        <v>0</v>
      </c>
      <c r="CZ235" s="239">
        <v>0</v>
      </c>
      <c r="DA235" s="239">
        <v>0</v>
      </c>
      <c r="DB235" s="239">
        <v>0</v>
      </c>
      <c r="DC235" s="239">
        <v>0</v>
      </c>
      <c r="DD235" s="239">
        <v>0</v>
      </c>
      <c r="DE235" s="239">
        <v>0</v>
      </c>
      <c r="DF235" s="239">
        <v>0</v>
      </c>
      <c r="DG235" s="239">
        <v>0</v>
      </c>
      <c r="DH235" s="239">
        <v>8580</v>
      </c>
      <c r="DI235" s="239">
        <v>1930</v>
      </c>
      <c r="DJ235" s="239">
        <v>214</v>
      </c>
      <c r="DK235" s="239">
        <v>9003</v>
      </c>
      <c r="DL235" s="239">
        <v>2025</v>
      </c>
      <c r="DM235" s="239">
        <v>225</v>
      </c>
      <c r="DN235" s="239">
        <v>-423</v>
      </c>
      <c r="DO235" s="239">
        <v>-95</v>
      </c>
      <c r="DP235" s="239">
        <v>-11</v>
      </c>
      <c r="DQ235" s="239">
        <v>609</v>
      </c>
      <c r="DR235" s="239">
        <v>137</v>
      </c>
      <c r="DS235" s="239">
        <v>15</v>
      </c>
      <c r="DT235" s="239">
        <v>609</v>
      </c>
      <c r="DU235" s="239">
        <v>137</v>
      </c>
      <c r="DV235" s="239">
        <v>15</v>
      </c>
      <c r="DW235" s="239">
        <v>0</v>
      </c>
      <c r="DX235" s="239">
        <v>0</v>
      </c>
      <c r="DY235" s="239">
        <v>0</v>
      </c>
      <c r="DZ235" s="239">
        <v>15586</v>
      </c>
      <c r="EA235" s="239">
        <v>3507</v>
      </c>
      <c r="EB235" s="239">
        <v>390</v>
      </c>
      <c r="EC235" s="239">
        <v>20300</v>
      </c>
      <c r="ED235" s="239">
        <v>0</v>
      </c>
      <c r="EE235" s="239">
        <v>0</v>
      </c>
      <c r="EF235" s="239">
        <v>-4714</v>
      </c>
      <c r="EG235" s="239">
        <v>3507</v>
      </c>
      <c r="EH235" s="239">
        <v>390</v>
      </c>
      <c r="EI235" s="239">
        <v>56859</v>
      </c>
      <c r="EJ235" s="239">
        <v>12793</v>
      </c>
      <c r="EK235" s="239">
        <v>1421</v>
      </c>
      <c r="EL235" s="239">
        <v>106303</v>
      </c>
      <c r="EM235" s="239">
        <v>0</v>
      </c>
      <c r="EN235" s="239">
        <v>0</v>
      </c>
      <c r="EO235" s="239">
        <v>-49444</v>
      </c>
      <c r="EP235" s="239">
        <v>12793</v>
      </c>
      <c r="EQ235" s="239">
        <v>1421</v>
      </c>
      <c r="ER235" s="239">
        <v>20050</v>
      </c>
      <c r="ES235" s="239">
        <v>4511</v>
      </c>
      <c r="ET235" s="239">
        <v>501</v>
      </c>
      <c r="EU235" s="239">
        <v>26391</v>
      </c>
      <c r="EV235" s="239">
        <v>0</v>
      </c>
      <c r="EW235" s="239">
        <v>0</v>
      </c>
      <c r="EX235" s="239">
        <v>-6341</v>
      </c>
      <c r="EY235" s="239">
        <v>4511</v>
      </c>
      <c r="EZ235" s="239">
        <v>501</v>
      </c>
      <c r="FA235" s="239">
        <v>155984</v>
      </c>
      <c r="FB235" s="239">
        <v>35096</v>
      </c>
      <c r="FC235" s="239">
        <v>3900</v>
      </c>
      <c r="FD235" s="239">
        <v>163380</v>
      </c>
      <c r="FE235" s="239">
        <v>36760</v>
      </c>
      <c r="FF235" s="239">
        <v>4084</v>
      </c>
      <c r="FG235" s="239">
        <v>-7396</v>
      </c>
      <c r="FH235" s="239">
        <v>-1664</v>
      </c>
      <c r="FI235" s="239">
        <v>-184</v>
      </c>
      <c r="FJ235" s="239">
        <v>0</v>
      </c>
      <c r="FK235" s="239">
        <v>0</v>
      </c>
      <c r="FL235" s="239">
        <v>0</v>
      </c>
      <c r="FM235" s="239">
        <v>0</v>
      </c>
      <c r="FN235" s="239">
        <v>0</v>
      </c>
      <c r="FO235" s="239">
        <v>0</v>
      </c>
      <c r="FP235" s="239">
        <v>0</v>
      </c>
      <c r="FQ235" s="239">
        <v>0</v>
      </c>
      <c r="FR235" s="239">
        <v>0</v>
      </c>
      <c r="FS235" s="239">
        <v>0</v>
      </c>
      <c r="FT235" s="239">
        <v>0</v>
      </c>
      <c r="FU235" s="239">
        <v>0</v>
      </c>
      <c r="FV235" s="239">
        <v>1357812</v>
      </c>
      <c r="FW235" s="239">
        <v>305505</v>
      </c>
      <c r="FX235" s="239">
        <v>33945</v>
      </c>
      <c r="FY235" s="834">
        <v>0.5</v>
      </c>
      <c r="FZ235" s="834">
        <v>0.4</v>
      </c>
      <c r="GA235" s="834">
        <v>0.09</v>
      </c>
      <c r="GB235" s="834">
        <v>0.01</v>
      </c>
      <c r="GC235" s="214" t="s">
        <v>1158</v>
      </c>
    </row>
    <row r="236" spans="1:185" s="214" customFormat="1" x14ac:dyDescent="0.2">
      <c r="B236" s="602" t="s">
        <v>555</v>
      </c>
      <c r="C236" s="602" t="s">
        <v>554</v>
      </c>
      <c r="D236" s="239">
        <v>4031435</v>
      </c>
      <c r="E236" s="239">
        <v>0</v>
      </c>
      <c r="F236" s="239">
        <v>4031435</v>
      </c>
      <c r="G236" s="239">
        <v>4522012</v>
      </c>
      <c r="H236" s="239">
        <v>0</v>
      </c>
      <c r="I236" s="239">
        <v>4522012</v>
      </c>
      <c r="J236" s="239">
        <v>-490577</v>
      </c>
      <c r="K236" s="239">
        <v>0</v>
      </c>
      <c r="L236" s="239">
        <v>-490577</v>
      </c>
      <c r="M236" s="239">
        <v>462690</v>
      </c>
      <c r="N236" s="239">
        <v>462690</v>
      </c>
      <c r="O236" s="239">
        <v>0</v>
      </c>
      <c r="P236" s="239">
        <v>0</v>
      </c>
      <c r="Q236" s="239">
        <v>0</v>
      </c>
      <c r="R236" s="239">
        <v>0</v>
      </c>
      <c r="S236" s="239">
        <v>533724</v>
      </c>
      <c r="T236" s="239">
        <v>0</v>
      </c>
      <c r="U236" s="239">
        <v>467024</v>
      </c>
      <c r="V236" s="239">
        <v>0</v>
      </c>
      <c r="W236" s="239">
        <v>66700</v>
      </c>
      <c r="X236" s="239">
        <v>0</v>
      </c>
      <c r="Y236" s="239">
        <v>0</v>
      </c>
      <c r="Z236" s="239">
        <v>0</v>
      </c>
      <c r="AA236" s="239">
        <v>0</v>
      </c>
      <c r="AB236" s="239">
        <v>0</v>
      </c>
      <c r="AC236" s="239">
        <v>0</v>
      </c>
      <c r="AD236" s="239">
        <v>0</v>
      </c>
      <c r="AE236" s="239">
        <v>0</v>
      </c>
      <c r="AF236" s="239">
        <v>0</v>
      </c>
      <c r="AG236" s="239">
        <v>0</v>
      </c>
      <c r="AH236" s="239">
        <v>0</v>
      </c>
      <c r="AI236" s="239">
        <v>0</v>
      </c>
      <c r="AJ236" s="239">
        <v>0</v>
      </c>
      <c r="AK236" s="239">
        <v>0</v>
      </c>
      <c r="AL236" s="239">
        <v>0</v>
      </c>
      <c r="AM236" s="239">
        <v>0</v>
      </c>
      <c r="AN236" s="239">
        <v>0</v>
      </c>
      <c r="AO236" s="239">
        <v>0</v>
      </c>
      <c r="AP236" s="239">
        <v>0</v>
      </c>
      <c r="AQ236" s="239">
        <v>0</v>
      </c>
      <c r="AR236" s="239">
        <v>0</v>
      </c>
      <c r="AS236" s="239">
        <v>0</v>
      </c>
      <c r="AT236" s="239">
        <v>0</v>
      </c>
      <c r="AU236" s="239">
        <v>0</v>
      </c>
      <c r="AV236" s="239">
        <v>0</v>
      </c>
      <c r="AW236" s="239">
        <v>0</v>
      </c>
      <c r="AX236" s="239">
        <v>0</v>
      </c>
      <c r="AY236" s="239">
        <v>0</v>
      </c>
      <c r="AZ236" s="239">
        <v>0</v>
      </c>
      <c r="BA236" s="239">
        <v>0</v>
      </c>
      <c r="BB236" s="239">
        <v>0</v>
      </c>
      <c r="BC236" s="239">
        <v>4082847</v>
      </c>
      <c r="BD236" s="239">
        <v>0</v>
      </c>
      <c r="BE236" s="239">
        <v>83323</v>
      </c>
      <c r="BF236" s="239">
        <v>4002008.511365837</v>
      </c>
      <c r="BG236" s="239">
        <v>0</v>
      </c>
      <c r="BH236" s="239">
        <v>81673.643089098725</v>
      </c>
      <c r="BI236" s="239">
        <v>245417.10003969955</v>
      </c>
      <c r="BJ236" s="239">
        <v>0</v>
      </c>
      <c r="BK236" s="239">
        <v>5008.5122457081552</v>
      </c>
      <c r="BL236" s="239">
        <v>3733158</v>
      </c>
      <c r="BM236" s="239">
        <v>0</v>
      </c>
      <c r="BN236" s="239">
        <v>54899</v>
      </c>
      <c r="BO236" s="239">
        <v>349689</v>
      </c>
      <c r="BP236" s="239">
        <v>0</v>
      </c>
      <c r="BQ236" s="239">
        <v>28424</v>
      </c>
      <c r="BR236" s="239">
        <v>21507</v>
      </c>
      <c r="BS236" s="239">
        <v>0</v>
      </c>
      <c r="BT236" s="239">
        <v>439</v>
      </c>
      <c r="BU236" s="239">
        <v>11939</v>
      </c>
      <c r="BV236" s="239">
        <v>0</v>
      </c>
      <c r="BW236" s="239">
        <v>244</v>
      </c>
      <c r="BX236" s="239">
        <v>9568</v>
      </c>
      <c r="BY236" s="239">
        <v>0</v>
      </c>
      <c r="BZ236" s="239">
        <v>195</v>
      </c>
      <c r="CA236" s="239">
        <v>-131</v>
      </c>
      <c r="CB236" s="239">
        <v>0</v>
      </c>
      <c r="CC236" s="239">
        <v>-3</v>
      </c>
      <c r="CD236" s="239">
        <v>0</v>
      </c>
      <c r="CE236" s="239">
        <v>0</v>
      </c>
      <c r="CF236" s="239">
        <v>0</v>
      </c>
      <c r="CG236" s="239">
        <v>-131</v>
      </c>
      <c r="CH236" s="239">
        <v>0</v>
      </c>
      <c r="CI236" s="239">
        <v>-3</v>
      </c>
      <c r="CJ236" s="239">
        <v>25701</v>
      </c>
      <c r="CK236" s="239">
        <v>0</v>
      </c>
      <c r="CL236" s="239">
        <v>525</v>
      </c>
      <c r="CM236" s="239">
        <v>0</v>
      </c>
      <c r="CN236" s="239">
        <v>0</v>
      </c>
      <c r="CO236" s="239">
        <v>0</v>
      </c>
      <c r="CP236" s="239">
        <v>25701</v>
      </c>
      <c r="CQ236" s="239">
        <v>0</v>
      </c>
      <c r="CR236" s="239">
        <v>525</v>
      </c>
      <c r="CS236" s="239">
        <v>-1345</v>
      </c>
      <c r="CT236" s="239">
        <v>0</v>
      </c>
      <c r="CU236" s="239">
        <v>-27</v>
      </c>
      <c r="CV236" s="239">
        <v>0</v>
      </c>
      <c r="CW236" s="239">
        <v>0</v>
      </c>
      <c r="CX236" s="239">
        <v>0</v>
      </c>
      <c r="CY236" s="239">
        <v>0</v>
      </c>
      <c r="CZ236" s="239">
        <v>0</v>
      </c>
      <c r="DA236" s="239">
        <v>0</v>
      </c>
      <c r="DB236" s="239">
        <v>0</v>
      </c>
      <c r="DC236" s="239">
        <v>0</v>
      </c>
      <c r="DD236" s="239">
        <v>0</v>
      </c>
      <c r="DE236" s="239">
        <v>0</v>
      </c>
      <c r="DF236" s="239">
        <v>0</v>
      </c>
      <c r="DG236" s="239">
        <v>0</v>
      </c>
      <c r="DH236" s="239">
        <v>17021</v>
      </c>
      <c r="DI236" s="239">
        <v>0</v>
      </c>
      <c r="DJ236" s="239">
        <v>347</v>
      </c>
      <c r="DK236" s="239">
        <v>19397</v>
      </c>
      <c r="DL236" s="239">
        <v>0</v>
      </c>
      <c r="DM236" s="239">
        <v>396</v>
      </c>
      <c r="DN236" s="239">
        <v>-2376</v>
      </c>
      <c r="DO236" s="239">
        <v>0</v>
      </c>
      <c r="DP236" s="239">
        <v>-49</v>
      </c>
      <c r="DQ236" s="239">
        <v>0</v>
      </c>
      <c r="DR236" s="239">
        <v>0</v>
      </c>
      <c r="DS236" s="239">
        <v>0</v>
      </c>
      <c r="DT236" s="239">
        <v>0</v>
      </c>
      <c r="DU236" s="239">
        <v>0</v>
      </c>
      <c r="DV236" s="239">
        <v>0</v>
      </c>
      <c r="DW236" s="239">
        <v>0</v>
      </c>
      <c r="DX236" s="239">
        <v>0</v>
      </c>
      <c r="DY236" s="239">
        <v>0</v>
      </c>
      <c r="DZ236" s="239">
        <v>101871</v>
      </c>
      <c r="EA236" s="239">
        <v>0</v>
      </c>
      <c r="EB236" s="239">
        <v>2079</v>
      </c>
      <c r="EC236" s="239">
        <v>111076</v>
      </c>
      <c r="ED236" s="239">
        <v>0</v>
      </c>
      <c r="EE236" s="239">
        <v>0</v>
      </c>
      <c r="EF236" s="239">
        <v>-9205</v>
      </c>
      <c r="EG236" s="239">
        <v>0</v>
      </c>
      <c r="EH236" s="239">
        <v>2079</v>
      </c>
      <c r="EI236" s="239">
        <v>645640</v>
      </c>
      <c r="EJ236" s="239">
        <v>0</v>
      </c>
      <c r="EK236" s="239">
        <v>13176</v>
      </c>
      <c r="EL236" s="239">
        <v>654141</v>
      </c>
      <c r="EM236" s="239">
        <v>0</v>
      </c>
      <c r="EN236" s="239">
        <v>0</v>
      </c>
      <c r="EO236" s="239">
        <v>-8501</v>
      </c>
      <c r="EP236" s="239">
        <v>0</v>
      </c>
      <c r="EQ236" s="239">
        <v>13176</v>
      </c>
      <c r="ER236" s="239">
        <v>88856</v>
      </c>
      <c r="ES236" s="239">
        <v>0</v>
      </c>
      <c r="ET236" s="239">
        <v>1813</v>
      </c>
      <c r="EU236" s="239">
        <v>93665</v>
      </c>
      <c r="EV236" s="239">
        <v>0</v>
      </c>
      <c r="EW236" s="239">
        <v>0</v>
      </c>
      <c r="EX236" s="239">
        <v>-4809</v>
      </c>
      <c r="EY236" s="239">
        <v>0</v>
      </c>
      <c r="EZ236" s="239">
        <v>1813</v>
      </c>
      <c r="FA236" s="239">
        <v>577581</v>
      </c>
      <c r="FB236" s="239">
        <v>0</v>
      </c>
      <c r="FC236" s="239">
        <v>11624</v>
      </c>
      <c r="FD236" s="239">
        <v>632225</v>
      </c>
      <c r="FE236" s="239">
        <v>0</v>
      </c>
      <c r="FF236" s="239">
        <v>12759</v>
      </c>
      <c r="FG236" s="239">
        <v>-54644</v>
      </c>
      <c r="FH236" s="239">
        <v>0</v>
      </c>
      <c r="FI236" s="239">
        <v>-1135</v>
      </c>
      <c r="FJ236" s="239">
        <v>0</v>
      </c>
      <c r="FK236" s="239">
        <v>0</v>
      </c>
      <c r="FL236" s="239">
        <v>0</v>
      </c>
      <c r="FM236" s="239">
        <v>0</v>
      </c>
      <c r="FN236" s="239">
        <v>0</v>
      </c>
      <c r="FO236" s="239">
        <v>0</v>
      </c>
      <c r="FP236" s="239">
        <v>0</v>
      </c>
      <c r="FQ236" s="239">
        <v>0</v>
      </c>
      <c r="FR236" s="239">
        <v>0</v>
      </c>
      <c r="FS236" s="239">
        <v>0</v>
      </c>
      <c r="FT236" s="239">
        <v>0</v>
      </c>
      <c r="FU236" s="239">
        <v>0</v>
      </c>
      <c r="FV236" s="239">
        <v>5559548</v>
      </c>
      <c r="FW236" s="239">
        <v>0</v>
      </c>
      <c r="FX236" s="239">
        <v>113296</v>
      </c>
      <c r="FY236" s="834">
        <v>0.5</v>
      </c>
      <c r="FZ236" s="834">
        <v>0.49</v>
      </c>
      <c r="GA236" s="834">
        <v>0</v>
      </c>
      <c r="GB236" s="834">
        <v>0.01</v>
      </c>
      <c r="GC236" s="214" t="s">
        <v>746</v>
      </c>
    </row>
    <row r="237" spans="1:185" s="214" customFormat="1" x14ac:dyDescent="0.2">
      <c r="B237" s="602" t="s">
        <v>557</v>
      </c>
      <c r="C237" s="602" t="s">
        <v>556</v>
      </c>
      <c r="D237" s="239">
        <v>-1576123</v>
      </c>
      <c r="E237" s="239">
        <v>0</v>
      </c>
      <c r="F237" s="239">
        <v>-1576123</v>
      </c>
      <c r="G237" s="239">
        <v>-505049</v>
      </c>
      <c r="H237" s="239">
        <v>0</v>
      </c>
      <c r="I237" s="239">
        <v>-505049</v>
      </c>
      <c r="J237" s="239">
        <v>-1071074</v>
      </c>
      <c r="K237" s="239">
        <v>0</v>
      </c>
      <c r="L237" s="239">
        <v>-1071074</v>
      </c>
      <c r="M237" s="239">
        <v>207734</v>
      </c>
      <c r="N237" s="239">
        <v>207734</v>
      </c>
      <c r="O237" s="239">
        <v>0</v>
      </c>
      <c r="P237" s="239">
        <v>0</v>
      </c>
      <c r="Q237" s="239">
        <v>0</v>
      </c>
      <c r="R237" s="239">
        <v>0</v>
      </c>
      <c r="S237" s="239">
        <v>0</v>
      </c>
      <c r="T237" s="239">
        <v>0</v>
      </c>
      <c r="U237" s="239">
        <v>0</v>
      </c>
      <c r="V237" s="239">
        <v>0</v>
      </c>
      <c r="W237" s="239">
        <v>0</v>
      </c>
      <c r="X237" s="239">
        <v>0</v>
      </c>
      <c r="Y237" s="239">
        <v>0</v>
      </c>
      <c r="Z237" s="239">
        <v>0</v>
      </c>
      <c r="AA237" s="239">
        <v>0</v>
      </c>
      <c r="AB237" s="239">
        <v>0</v>
      </c>
      <c r="AC237" s="239">
        <v>0</v>
      </c>
      <c r="AD237" s="239">
        <v>0</v>
      </c>
      <c r="AE237" s="239">
        <v>0</v>
      </c>
      <c r="AF237" s="239">
        <v>0</v>
      </c>
      <c r="AG237" s="239">
        <v>0</v>
      </c>
      <c r="AH237" s="239">
        <v>0</v>
      </c>
      <c r="AI237" s="239">
        <v>0</v>
      </c>
      <c r="AJ237" s="239">
        <v>0</v>
      </c>
      <c r="AK237" s="239">
        <v>0</v>
      </c>
      <c r="AL237" s="239">
        <v>0</v>
      </c>
      <c r="AM237" s="239">
        <v>0</v>
      </c>
      <c r="AN237" s="239">
        <v>0</v>
      </c>
      <c r="AO237" s="239">
        <v>0</v>
      </c>
      <c r="AP237" s="239">
        <v>0</v>
      </c>
      <c r="AQ237" s="239">
        <v>0</v>
      </c>
      <c r="AR237" s="239">
        <v>0</v>
      </c>
      <c r="AS237" s="239">
        <v>0</v>
      </c>
      <c r="AT237" s="239">
        <v>0</v>
      </c>
      <c r="AU237" s="239">
        <v>0</v>
      </c>
      <c r="AV237" s="239">
        <v>0</v>
      </c>
      <c r="AW237" s="239">
        <v>0</v>
      </c>
      <c r="AX237" s="239">
        <v>0</v>
      </c>
      <c r="AY237" s="239">
        <v>0</v>
      </c>
      <c r="AZ237" s="239">
        <v>0</v>
      </c>
      <c r="BA237" s="239">
        <v>0</v>
      </c>
      <c r="BB237" s="239">
        <v>0</v>
      </c>
      <c r="BC237" s="239">
        <v>969371</v>
      </c>
      <c r="BD237" s="239">
        <v>0</v>
      </c>
      <c r="BE237" s="239">
        <v>19783</v>
      </c>
      <c r="BF237" s="239">
        <v>926273.45233665232</v>
      </c>
      <c r="BG237" s="239">
        <v>0</v>
      </c>
      <c r="BH237" s="239">
        <v>18903.539843605155</v>
      </c>
      <c r="BI237" s="239">
        <v>133307.26529291846</v>
      </c>
      <c r="BJ237" s="239">
        <v>0</v>
      </c>
      <c r="BK237" s="239">
        <v>2720.5564345493563</v>
      </c>
      <c r="BL237" s="239">
        <v>815180</v>
      </c>
      <c r="BM237" s="239">
        <v>0</v>
      </c>
      <c r="BN237" s="239">
        <v>10332</v>
      </c>
      <c r="BO237" s="239">
        <v>154191</v>
      </c>
      <c r="BP237" s="239">
        <v>0</v>
      </c>
      <c r="BQ237" s="239">
        <v>9451</v>
      </c>
      <c r="BR237" s="239">
        <v>2031</v>
      </c>
      <c r="BS237" s="239">
        <v>0</v>
      </c>
      <c r="BT237" s="239">
        <v>41</v>
      </c>
      <c r="BU237" s="239">
        <v>5423</v>
      </c>
      <c r="BV237" s="239">
        <v>0</v>
      </c>
      <c r="BW237" s="239">
        <v>111</v>
      </c>
      <c r="BX237" s="239">
        <v>-3392</v>
      </c>
      <c r="BY237" s="239">
        <v>0</v>
      </c>
      <c r="BZ237" s="239">
        <v>-70</v>
      </c>
      <c r="CA237" s="239">
        <v>0</v>
      </c>
      <c r="CB237" s="239">
        <v>0</v>
      </c>
      <c r="CC237" s="239">
        <v>0</v>
      </c>
      <c r="CD237" s="239">
        <v>0</v>
      </c>
      <c r="CE237" s="239">
        <v>0</v>
      </c>
      <c r="CF237" s="239">
        <v>0</v>
      </c>
      <c r="CG237" s="239">
        <v>0</v>
      </c>
      <c r="CH237" s="239">
        <v>0</v>
      </c>
      <c r="CI237" s="239">
        <v>0</v>
      </c>
      <c r="CJ237" s="239">
        <v>-12490</v>
      </c>
      <c r="CK237" s="239">
        <v>0</v>
      </c>
      <c r="CL237" s="239">
        <v>-255</v>
      </c>
      <c r="CM237" s="239">
        <v>8923</v>
      </c>
      <c r="CN237" s="239">
        <v>0</v>
      </c>
      <c r="CO237" s="239">
        <v>182</v>
      </c>
      <c r="CP237" s="239">
        <v>-21413</v>
      </c>
      <c r="CQ237" s="239">
        <v>0</v>
      </c>
      <c r="CR237" s="239">
        <v>-437</v>
      </c>
      <c r="CS237" s="239">
        <v>-1552</v>
      </c>
      <c r="CT237" s="239">
        <v>0</v>
      </c>
      <c r="CU237" s="239">
        <v>-32</v>
      </c>
      <c r="CV237" s="239">
        <v>0</v>
      </c>
      <c r="CW237" s="239">
        <v>0</v>
      </c>
      <c r="CX237" s="239">
        <v>0</v>
      </c>
      <c r="CY237" s="239">
        <v>0</v>
      </c>
      <c r="CZ237" s="239">
        <v>0</v>
      </c>
      <c r="DA237" s="239">
        <v>0</v>
      </c>
      <c r="DB237" s="239">
        <v>0</v>
      </c>
      <c r="DC237" s="239">
        <v>0</v>
      </c>
      <c r="DD237" s="239">
        <v>0</v>
      </c>
      <c r="DE237" s="239">
        <v>-383</v>
      </c>
      <c r="DF237" s="239">
        <v>0</v>
      </c>
      <c r="DG237" s="239">
        <v>-8</v>
      </c>
      <c r="DH237" s="239">
        <v>0</v>
      </c>
      <c r="DI237" s="239">
        <v>0</v>
      </c>
      <c r="DJ237" s="239">
        <v>0</v>
      </c>
      <c r="DK237" s="239">
        <v>0</v>
      </c>
      <c r="DL237" s="239">
        <v>0</v>
      </c>
      <c r="DM237" s="239">
        <v>0</v>
      </c>
      <c r="DN237" s="239">
        <v>0</v>
      </c>
      <c r="DO237" s="239">
        <v>0</v>
      </c>
      <c r="DP237" s="239">
        <v>0</v>
      </c>
      <c r="DQ237" s="239">
        <v>0</v>
      </c>
      <c r="DR237" s="239">
        <v>0</v>
      </c>
      <c r="DS237" s="239">
        <v>0</v>
      </c>
      <c r="DT237" s="239">
        <v>0</v>
      </c>
      <c r="DU237" s="239">
        <v>0</v>
      </c>
      <c r="DV237" s="239">
        <v>0</v>
      </c>
      <c r="DW237" s="239">
        <v>0</v>
      </c>
      <c r="DX237" s="239">
        <v>0</v>
      </c>
      <c r="DY237" s="239">
        <v>0</v>
      </c>
      <c r="DZ237" s="239">
        <v>8762</v>
      </c>
      <c r="EA237" s="239">
        <v>0</v>
      </c>
      <c r="EB237" s="239">
        <v>179</v>
      </c>
      <c r="EC237" s="239">
        <v>8940</v>
      </c>
      <c r="ED237" s="239">
        <v>0</v>
      </c>
      <c r="EE237" s="239">
        <v>0</v>
      </c>
      <c r="EF237" s="239">
        <v>-178</v>
      </c>
      <c r="EG237" s="239">
        <v>0</v>
      </c>
      <c r="EH237" s="239">
        <v>179</v>
      </c>
      <c r="EI237" s="239">
        <v>152293</v>
      </c>
      <c r="EJ237" s="239">
        <v>0</v>
      </c>
      <c r="EK237" s="239">
        <v>3108</v>
      </c>
      <c r="EL237" s="239">
        <v>174964</v>
      </c>
      <c r="EM237" s="239">
        <v>0</v>
      </c>
      <c r="EN237" s="239">
        <v>0</v>
      </c>
      <c r="EO237" s="239">
        <v>-22671</v>
      </c>
      <c r="EP237" s="239">
        <v>0</v>
      </c>
      <c r="EQ237" s="239">
        <v>3108</v>
      </c>
      <c r="ER237" s="239">
        <v>5610</v>
      </c>
      <c r="ES237" s="239">
        <v>0</v>
      </c>
      <c r="ET237" s="239">
        <v>114</v>
      </c>
      <c r="EU237" s="239">
        <v>5932</v>
      </c>
      <c r="EV237" s="239">
        <v>0</v>
      </c>
      <c r="EW237" s="239">
        <v>0</v>
      </c>
      <c r="EX237" s="239">
        <v>-322</v>
      </c>
      <c r="EY237" s="239">
        <v>0</v>
      </c>
      <c r="EZ237" s="239">
        <v>114</v>
      </c>
      <c r="FA237" s="239">
        <v>734856</v>
      </c>
      <c r="FB237" s="239">
        <v>0</v>
      </c>
      <c r="FC237" s="239">
        <v>14997</v>
      </c>
      <c r="FD237" s="239">
        <v>750555</v>
      </c>
      <c r="FE237" s="239">
        <v>0</v>
      </c>
      <c r="FF237" s="239">
        <v>15317</v>
      </c>
      <c r="FG237" s="239">
        <v>-15699</v>
      </c>
      <c r="FH237" s="239">
        <v>0</v>
      </c>
      <c r="FI237" s="239">
        <v>-320</v>
      </c>
      <c r="FJ237" s="239">
        <v>0</v>
      </c>
      <c r="FK237" s="239">
        <v>0</v>
      </c>
      <c r="FL237" s="239">
        <v>0</v>
      </c>
      <c r="FM237" s="239">
        <v>0</v>
      </c>
      <c r="FN237" s="239">
        <v>0</v>
      </c>
      <c r="FO237" s="239">
        <v>0</v>
      </c>
      <c r="FP237" s="239">
        <v>0</v>
      </c>
      <c r="FQ237" s="239">
        <v>0</v>
      </c>
      <c r="FR237" s="239">
        <v>0</v>
      </c>
      <c r="FS237" s="239">
        <v>0</v>
      </c>
      <c r="FT237" s="239">
        <v>0</v>
      </c>
      <c r="FU237" s="239">
        <v>0</v>
      </c>
      <c r="FV237" s="239">
        <v>1858498</v>
      </c>
      <c r="FW237" s="239">
        <v>0</v>
      </c>
      <c r="FX237" s="239">
        <v>37927</v>
      </c>
      <c r="FY237" s="834">
        <v>0.5</v>
      </c>
      <c r="FZ237" s="834">
        <v>0.49</v>
      </c>
      <c r="GA237" s="834">
        <v>0</v>
      </c>
      <c r="GB237" s="834">
        <v>0.01</v>
      </c>
      <c r="GC237" s="214" t="s">
        <v>746</v>
      </c>
    </row>
    <row r="238" spans="1:185" s="214" customFormat="1" x14ac:dyDescent="0.2">
      <c r="B238" s="602" t="s">
        <v>559</v>
      </c>
      <c r="C238" s="602" t="s">
        <v>558</v>
      </c>
      <c r="D238" s="239">
        <v>-6501453</v>
      </c>
      <c r="E238" s="239">
        <v>0</v>
      </c>
      <c r="F238" s="239">
        <v>-6501453</v>
      </c>
      <c r="G238" s="239">
        <v>-7380918</v>
      </c>
      <c r="H238" s="239">
        <v>0</v>
      </c>
      <c r="I238" s="239">
        <v>-7380918</v>
      </c>
      <c r="J238" s="239">
        <v>879465</v>
      </c>
      <c r="K238" s="239">
        <v>0</v>
      </c>
      <c r="L238" s="239">
        <v>879465</v>
      </c>
      <c r="M238" s="239">
        <v>246543</v>
      </c>
      <c r="N238" s="239">
        <v>246543</v>
      </c>
      <c r="O238" s="239">
        <v>0</v>
      </c>
      <c r="P238" s="239">
        <v>0</v>
      </c>
      <c r="Q238" s="239">
        <v>0</v>
      </c>
      <c r="R238" s="239">
        <v>0</v>
      </c>
      <c r="S238" s="239">
        <v>0</v>
      </c>
      <c r="T238" s="239">
        <v>0</v>
      </c>
      <c r="U238" s="239">
        <v>0</v>
      </c>
      <c r="V238" s="239">
        <v>0</v>
      </c>
      <c r="W238" s="239">
        <v>0</v>
      </c>
      <c r="X238" s="239">
        <v>0</v>
      </c>
      <c r="Y238" s="239">
        <v>0</v>
      </c>
      <c r="Z238" s="239">
        <v>0</v>
      </c>
      <c r="AA238" s="239">
        <v>0</v>
      </c>
      <c r="AB238" s="239">
        <v>0</v>
      </c>
      <c r="AC238" s="239">
        <v>0</v>
      </c>
      <c r="AD238" s="239">
        <v>0</v>
      </c>
      <c r="AE238" s="239">
        <v>0</v>
      </c>
      <c r="AF238" s="239">
        <v>0</v>
      </c>
      <c r="AG238" s="239">
        <v>0</v>
      </c>
      <c r="AH238" s="239">
        <v>0</v>
      </c>
      <c r="AI238" s="239">
        <v>0</v>
      </c>
      <c r="AJ238" s="239">
        <v>0</v>
      </c>
      <c r="AK238" s="239">
        <v>0</v>
      </c>
      <c r="AL238" s="239">
        <v>0</v>
      </c>
      <c r="AM238" s="239">
        <v>0</v>
      </c>
      <c r="AN238" s="239">
        <v>0</v>
      </c>
      <c r="AO238" s="239">
        <v>0</v>
      </c>
      <c r="AP238" s="239">
        <v>0</v>
      </c>
      <c r="AQ238" s="239">
        <v>0</v>
      </c>
      <c r="AR238" s="239">
        <v>0</v>
      </c>
      <c r="AS238" s="239">
        <v>0</v>
      </c>
      <c r="AT238" s="239">
        <v>0</v>
      </c>
      <c r="AU238" s="239">
        <v>0</v>
      </c>
      <c r="AV238" s="239">
        <v>0</v>
      </c>
      <c r="AW238" s="239">
        <v>0</v>
      </c>
      <c r="AX238" s="239">
        <v>0</v>
      </c>
      <c r="AY238" s="239">
        <v>0</v>
      </c>
      <c r="AZ238" s="239">
        <v>0</v>
      </c>
      <c r="BA238" s="239">
        <v>0</v>
      </c>
      <c r="BB238" s="239">
        <v>0</v>
      </c>
      <c r="BC238" s="239">
        <v>2852835</v>
      </c>
      <c r="BD238" s="239">
        <v>0</v>
      </c>
      <c r="BE238" s="239">
        <v>28817</v>
      </c>
      <c r="BF238" s="239">
        <v>2744318.6632390553</v>
      </c>
      <c r="BG238" s="239">
        <v>0</v>
      </c>
      <c r="BH238" s="239">
        <v>27720.390537768239</v>
      </c>
      <c r="BI238" s="239">
        <v>338238.90729077253</v>
      </c>
      <c r="BJ238" s="239">
        <v>0</v>
      </c>
      <c r="BK238" s="239">
        <v>3416.5546190987125</v>
      </c>
      <c r="BL238" s="239">
        <v>2499564</v>
      </c>
      <c r="BM238" s="239">
        <v>0</v>
      </c>
      <c r="BN238" s="239">
        <v>16981</v>
      </c>
      <c r="BO238" s="239">
        <v>353271</v>
      </c>
      <c r="BP238" s="239">
        <v>0</v>
      </c>
      <c r="BQ238" s="239">
        <v>11836</v>
      </c>
      <c r="BR238" s="239">
        <v>25519</v>
      </c>
      <c r="BS238" s="239">
        <v>0</v>
      </c>
      <c r="BT238" s="239">
        <v>258</v>
      </c>
      <c r="BU238" s="239">
        <v>3015</v>
      </c>
      <c r="BV238" s="239">
        <v>0</v>
      </c>
      <c r="BW238" s="239">
        <v>30</v>
      </c>
      <c r="BX238" s="239">
        <v>22504</v>
      </c>
      <c r="BY238" s="239">
        <v>0</v>
      </c>
      <c r="BZ238" s="239">
        <v>228</v>
      </c>
      <c r="CA238" s="239">
        <v>-61132</v>
      </c>
      <c r="CB238" s="239">
        <v>0</v>
      </c>
      <c r="CC238" s="239">
        <v>-617</v>
      </c>
      <c r="CD238" s="239">
        <v>1439</v>
      </c>
      <c r="CE238" s="239">
        <v>0</v>
      </c>
      <c r="CF238" s="239">
        <v>15</v>
      </c>
      <c r="CG238" s="239">
        <v>-62571</v>
      </c>
      <c r="CH238" s="239">
        <v>0</v>
      </c>
      <c r="CI238" s="239">
        <v>-632</v>
      </c>
      <c r="CJ238" s="239">
        <v>13798</v>
      </c>
      <c r="CK238" s="239">
        <v>0</v>
      </c>
      <c r="CL238" s="239">
        <v>139</v>
      </c>
      <c r="CM238" s="239">
        <v>2905</v>
      </c>
      <c r="CN238" s="239">
        <v>0</v>
      </c>
      <c r="CO238" s="239">
        <v>29</v>
      </c>
      <c r="CP238" s="239">
        <v>10893</v>
      </c>
      <c r="CQ238" s="239">
        <v>0</v>
      </c>
      <c r="CR238" s="239">
        <v>110</v>
      </c>
      <c r="CS238" s="239">
        <v>-9018</v>
      </c>
      <c r="CT238" s="239">
        <v>0</v>
      </c>
      <c r="CU238" s="239">
        <v>-91</v>
      </c>
      <c r="CV238" s="239">
        <v>0</v>
      </c>
      <c r="CW238" s="239">
        <v>0</v>
      </c>
      <c r="CX238" s="239">
        <v>0</v>
      </c>
      <c r="CY238" s="239">
        <v>0</v>
      </c>
      <c r="CZ238" s="239">
        <v>0</v>
      </c>
      <c r="DA238" s="239">
        <v>0</v>
      </c>
      <c r="DB238" s="239">
        <v>0</v>
      </c>
      <c r="DC238" s="239">
        <v>0</v>
      </c>
      <c r="DD238" s="239">
        <v>0</v>
      </c>
      <c r="DE238" s="239">
        <v>0</v>
      </c>
      <c r="DF238" s="239">
        <v>0</v>
      </c>
      <c r="DG238" s="239">
        <v>0</v>
      </c>
      <c r="DH238" s="239">
        <v>1079</v>
      </c>
      <c r="DI238" s="239">
        <v>0</v>
      </c>
      <c r="DJ238" s="239">
        <v>11</v>
      </c>
      <c r="DK238" s="239">
        <v>1396</v>
      </c>
      <c r="DL238" s="239">
        <v>0</v>
      </c>
      <c r="DM238" s="239">
        <v>14</v>
      </c>
      <c r="DN238" s="239">
        <v>-317</v>
      </c>
      <c r="DO238" s="239">
        <v>0</v>
      </c>
      <c r="DP238" s="239">
        <v>-3</v>
      </c>
      <c r="DQ238" s="239">
        <v>0</v>
      </c>
      <c r="DR238" s="239">
        <v>0</v>
      </c>
      <c r="DS238" s="239">
        <v>0</v>
      </c>
      <c r="DT238" s="239">
        <v>0</v>
      </c>
      <c r="DU238" s="239">
        <v>0</v>
      </c>
      <c r="DV238" s="239">
        <v>0</v>
      </c>
      <c r="DW238" s="239">
        <v>0</v>
      </c>
      <c r="DX238" s="239">
        <v>0</v>
      </c>
      <c r="DY238" s="239">
        <v>0</v>
      </c>
      <c r="DZ238" s="239">
        <v>22492</v>
      </c>
      <c r="EA238" s="239">
        <v>0</v>
      </c>
      <c r="EB238" s="239">
        <v>227</v>
      </c>
      <c r="EC238" s="239">
        <v>22823</v>
      </c>
      <c r="ED238" s="239">
        <v>0</v>
      </c>
      <c r="EE238" s="239">
        <v>0</v>
      </c>
      <c r="EF238" s="239">
        <v>-331</v>
      </c>
      <c r="EG238" s="239">
        <v>0</v>
      </c>
      <c r="EH238" s="239">
        <v>227</v>
      </c>
      <c r="EI238" s="239">
        <v>228692</v>
      </c>
      <c r="EJ238" s="239">
        <v>0</v>
      </c>
      <c r="EK238" s="239">
        <v>2310</v>
      </c>
      <c r="EL238" s="239">
        <v>227583</v>
      </c>
      <c r="EM238" s="239">
        <v>0</v>
      </c>
      <c r="EN238" s="239">
        <v>0</v>
      </c>
      <c r="EO238" s="239">
        <v>1109</v>
      </c>
      <c r="EP238" s="239">
        <v>0</v>
      </c>
      <c r="EQ238" s="239">
        <v>2310</v>
      </c>
      <c r="ER238" s="239">
        <v>22300</v>
      </c>
      <c r="ES238" s="239">
        <v>0</v>
      </c>
      <c r="ET238" s="239">
        <v>225</v>
      </c>
      <c r="EU238" s="239">
        <v>22748</v>
      </c>
      <c r="EV238" s="239">
        <v>0</v>
      </c>
      <c r="EW238" s="239">
        <v>0</v>
      </c>
      <c r="EX238" s="239">
        <v>-448</v>
      </c>
      <c r="EY238" s="239">
        <v>0</v>
      </c>
      <c r="EZ238" s="239">
        <v>225</v>
      </c>
      <c r="FA238" s="239">
        <v>1576564</v>
      </c>
      <c r="FB238" s="239">
        <v>0</v>
      </c>
      <c r="FC238" s="239">
        <v>15925</v>
      </c>
      <c r="FD238" s="239">
        <v>1585240</v>
      </c>
      <c r="FE238" s="239">
        <v>0</v>
      </c>
      <c r="FF238" s="239">
        <v>16013</v>
      </c>
      <c r="FG238" s="239">
        <v>-8676</v>
      </c>
      <c r="FH238" s="239">
        <v>0</v>
      </c>
      <c r="FI238" s="239">
        <v>-88</v>
      </c>
      <c r="FJ238" s="239">
        <v>0</v>
      </c>
      <c r="FK238" s="239">
        <v>0</v>
      </c>
      <c r="FL238" s="239">
        <v>0</v>
      </c>
      <c r="FM238" s="239">
        <v>0</v>
      </c>
      <c r="FN238" s="239">
        <v>0</v>
      </c>
      <c r="FO238" s="239">
        <v>0</v>
      </c>
      <c r="FP238" s="239">
        <v>0</v>
      </c>
      <c r="FQ238" s="239">
        <v>0</v>
      </c>
      <c r="FR238" s="239">
        <v>0</v>
      </c>
      <c r="FS238" s="239">
        <v>0</v>
      </c>
      <c r="FT238" s="239">
        <v>0</v>
      </c>
      <c r="FU238" s="239">
        <v>0</v>
      </c>
      <c r="FV238" s="239">
        <v>4673129</v>
      </c>
      <c r="FW238" s="239">
        <v>0</v>
      </c>
      <c r="FX238" s="239">
        <v>47204</v>
      </c>
      <c r="FY238" s="834">
        <v>0</v>
      </c>
      <c r="FZ238" s="834">
        <v>0.99</v>
      </c>
      <c r="GA238" s="834">
        <v>0</v>
      </c>
      <c r="GB238" s="834">
        <v>0.01</v>
      </c>
      <c r="GC238" s="214" t="s">
        <v>1160</v>
      </c>
    </row>
    <row r="239" spans="1:185" s="214" customFormat="1" x14ac:dyDescent="0.2">
      <c r="B239" s="602" t="s">
        <v>561</v>
      </c>
      <c r="C239" s="602" t="s">
        <v>560</v>
      </c>
      <c r="D239" s="239">
        <v>90072</v>
      </c>
      <c r="E239" s="239">
        <v>0</v>
      </c>
      <c r="F239" s="239">
        <v>90072</v>
      </c>
      <c r="G239" s="239">
        <v>-222751</v>
      </c>
      <c r="H239" s="239">
        <v>0</v>
      </c>
      <c r="I239" s="239">
        <v>-222751</v>
      </c>
      <c r="J239" s="239">
        <v>312823</v>
      </c>
      <c r="K239" s="239">
        <v>0</v>
      </c>
      <c r="L239" s="239">
        <v>312823</v>
      </c>
      <c r="M239" s="239">
        <v>95679</v>
      </c>
      <c r="N239" s="239">
        <v>95679</v>
      </c>
      <c r="O239" s="239">
        <v>0</v>
      </c>
      <c r="P239" s="239">
        <v>0</v>
      </c>
      <c r="Q239" s="239">
        <v>0</v>
      </c>
      <c r="R239" s="239">
        <v>0</v>
      </c>
      <c r="S239" s="239">
        <v>0</v>
      </c>
      <c r="T239" s="239">
        <v>0</v>
      </c>
      <c r="U239" s="239">
        <v>0</v>
      </c>
      <c r="V239" s="239">
        <v>0</v>
      </c>
      <c r="W239" s="239">
        <v>0</v>
      </c>
      <c r="X239" s="239">
        <v>0</v>
      </c>
      <c r="Y239" s="239">
        <v>0</v>
      </c>
      <c r="Z239" s="239">
        <v>0</v>
      </c>
      <c r="AA239" s="239">
        <v>0</v>
      </c>
      <c r="AB239" s="239">
        <v>0</v>
      </c>
      <c r="AC239" s="239">
        <v>0</v>
      </c>
      <c r="AD239" s="239">
        <v>0</v>
      </c>
      <c r="AE239" s="239">
        <v>0</v>
      </c>
      <c r="AF239" s="239">
        <v>0</v>
      </c>
      <c r="AG239" s="239">
        <v>0</v>
      </c>
      <c r="AH239" s="239">
        <v>0</v>
      </c>
      <c r="AI239" s="239">
        <v>0</v>
      </c>
      <c r="AJ239" s="239">
        <v>0</v>
      </c>
      <c r="AK239" s="239">
        <v>0</v>
      </c>
      <c r="AL239" s="239">
        <v>0</v>
      </c>
      <c r="AM239" s="239">
        <v>0</v>
      </c>
      <c r="AN239" s="239">
        <v>0</v>
      </c>
      <c r="AO239" s="239">
        <v>0</v>
      </c>
      <c r="AP239" s="239">
        <v>0</v>
      </c>
      <c r="AQ239" s="239">
        <v>0</v>
      </c>
      <c r="AR239" s="239">
        <v>0</v>
      </c>
      <c r="AS239" s="239">
        <v>0</v>
      </c>
      <c r="AT239" s="239">
        <v>0</v>
      </c>
      <c r="AU239" s="239">
        <v>0</v>
      </c>
      <c r="AV239" s="239">
        <v>0</v>
      </c>
      <c r="AW239" s="239">
        <v>0</v>
      </c>
      <c r="AX239" s="239">
        <v>0</v>
      </c>
      <c r="AY239" s="239">
        <v>0</v>
      </c>
      <c r="AZ239" s="239">
        <v>0</v>
      </c>
      <c r="BA239" s="239">
        <v>0</v>
      </c>
      <c r="BB239" s="239">
        <v>0</v>
      </c>
      <c r="BC239" s="239">
        <v>486102</v>
      </c>
      <c r="BD239" s="239">
        <v>109373</v>
      </c>
      <c r="BE239" s="239">
        <v>12153</v>
      </c>
      <c r="BF239" s="239">
        <v>465920.34793648066</v>
      </c>
      <c r="BG239" s="239">
        <v>104832.07828570816</v>
      </c>
      <c r="BH239" s="239">
        <v>11648.008698412017</v>
      </c>
      <c r="BI239" s="239">
        <v>65226.639098712447</v>
      </c>
      <c r="BJ239" s="239">
        <v>14675.9937972103</v>
      </c>
      <c r="BK239" s="239">
        <v>1630.6659774678112</v>
      </c>
      <c r="BL239" s="239">
        <v>451364</v>
      </c>
      <c r="BM239" s="239">
        <v>62497</v>
      </c>
      <c r="BN239" s="239">
        <v>6944</v>
      </c>
      <c r="BO239" s="239">
        <v>34738</v>
      </c>
      <c r="BP239" s="239">
        <v>46876</v>
      </c>
      <c r="BQ239" s="239">
        <v>5209</v>
      </c>
      <c r="BR239" s="239">
        <v>589</v>
      </c>
      <c r="BS239" s="239">
        <v>133</v>
      </c>
      <c r="BT239" s="239">
        <v>15</v>
      </c>
      <c r="BU239" s="239">
        <v>588</v>
      </c>
      <c r="BV239" s="239">
        <v>133</v>
      </c>
      <c r="BW239" s="239">
        <v>15</v>
      </c>
      <c r="BX239" s="239">
        <v>1</v>
      </c>
      <c r="BY239" s="239">
        <v>0</v>
      </c>
      <c r="BZ239" s="239">
        <v>0</v>
      </c>
      <c r="CA239" s="239">
        <v>0</v>
      </c>
      <c r="CB239" s="239">
        <v>0</v>
      </c>
      <c r="CC239" s="239">
        <v>0</v>
      </c>
      <c r="CD239" s="239">
        <v>0</v>
      </c>
      <c r="CE239" s="239">
        <v>0</v>
      </c>
      <c r="CF239" s="239">
        <v>0</v>
      </c>
      <c r="CG239" s="239">
        <v>0</v>
      </c>
      <c r="CH239" s="239">
        <v>0</v>
      </c>
      <c r="CI239" s="239">
        <v>0</v>
      </c>
      <c r="CJ239" s="239">
        <v>0</v>
      </c>
      <c r="CK239" s="239">
        <v>0</v>
      </c>
      <c r="CL239" s="239">
        <v>0</v>
      </c>
      <c r="CM239" s="239">
        <v>0</v>
      </c>
      <c r="CN239" s="239">
        <v>0</v>
      </c>
      <c r="CO239" s="239">
        <v>0</v>
      </c>
      <c r="CP239" s="239">
        <v>0</v>
      </c>
      <c r="CQ239" s="239">
        <v>0</v>
      </c>
      <c r="CR239" s="239">
        <v>0</v>
      </c>
      <c r="CS239" s="239">
        <v>0</v>
      </c>
      <c r="CT239" s="239">
        <v>0</v>
      </c>
      <c r="CU239" s="239">
        <v>0</v>
      </c>
      <c r="CV239" s="239">
        <v>0</v>
      </c>
      <c r="CW239" s="239">
        <v>0</v>
      </c>
      <c r="CX239" s="239">
        <v>0</v>
      </c>
      <c r="CY239" s="239">
        <v>0</v>
      </c>
      <c r="CZ239" s="239">
        <v>0</v>
      </c>
      <c r="DA239" s="239">
        <v>0</v>
      </c>
      <c r="DB239" s="239">
        <v>0</v>
      </c>
      <c r="DC239" s="239">
        <v>0</v>
      </c>
      <c r="DD239" s="239">
        <v>0</v>
      </c>
      <c r="DE239" s="239">
        <v>0</v>
      </c>
      <c r="DF239" s="239">
        <v>0</v>
      </c>
      <c r="DG239" s="239">
        <v>0</v>
      </c>
      <c r="DH239" s="239">
        <v>0</v>
      </c>
      <c r="DI239" s="239">
        <v>0</v>
      </c>
      <c r="DJ239" s="239">
        <v>0</v>
      </c>
      <c r="DK239" s="239">
        <v>0</v>
      </c>
      <c r="DL239" s="239">
        <v>0</v>
      </c>
      <c r="DM239" s="239">
        <v>0</v>
      </c>
      <c r="DN239" s="239">
        <v>0</v>
      </c>
      <c r="DO239" s="239">
        <v>0</v>
      </c>
      <c r="DP239" s="239">
        <v>0</v>
      </c>
      <c r="DQ239" s="239">
        <v>0</v>
      </c>
      <c r="DR239" s="239">
        <v>0</v>
      </c>
      <c r="DS239" s="239">
        <v>0</v>
      </c>
      <c r="DT239" s="239">
        <v>0</v>
      </c>
      <c r="DU239" s="239">
        <v>0</v>
      </c>
      <c r="DV239" s="239">
        <v>0</v>
      </c>
      <c r="DW239" s="239">
        <v>0</v>
      </c>
      <c r="DX239" s="239">
        <v>0</v>
      </c>
      <c r="DY239" s="239">
        <v>0</v>
      </c>
      <c r="DZ239" s="239">
        <v>3070</v>
      </c>
      <c r="EA239" s="239">
        <v>691</v>
      </c>
      <c r="EB239" s="239">
        <v>77</v>
      </c>
      <c r="EC239" s="239">
        <v>3942</v>
      </c>
      <c r="ED239" s="239">
        <v>0</v>
      </c>
      <c r="EE239" s="239">
        <v>0</v>
      </c>
      <c r="EF239" s="239">
        <v>-872</v>
      </c>
      <c r="EG239" s="239">
        <v>691</v>
      </c>
      <c r="EH239" s="239">
        <v>77</v>
      </c>
      <c r="EI239" s="239">
        <v>53874</v>
      </c>
      <c r="EJ239" s="239">
        <v>12122</v>
      </c>
      <c r="EK239" s="239">
        <v>1347</v>
      </c>
      <c r="EL239" s="239">
        <v>81925</v>
      </c>
      <c r="EM239" s="239">
        <v>0</v>
      </c>
      <c r="EN239" s="239">
        <v>0</v>
      </c>
      <c r="EO239" s="239">
        <v>-28051</v>
      </c>
      <c r="EP239" s="239">
        <v>12122</v>
      </c>
      <c r="EQ239" s="239">
        <v>1347</v>
      </c>
      <c r="ER239" s="239">
        <v>11890</v>
      </c>
      <c r="ES239" s="239">
        <v>2675</v>
      </c>
      <c r="ET239" s="239">
        <v>297</v>
      </c>
      <c r="EU239" s="239">
        <v>15022</v>
      </c>
      <c r="EV239" s="239">
        <v>0</v>
      </c>
      <c r="EW239" s="239">
        <v>0</v>
      </c>
      <c r="EX239" s="239">
        <v>-3132</v>
      </c>
      <c r="EY239" s="239">
        <v>2675</v>
      </c>
      <c r="EZ239" s="239">
        <v>297</v>
      </c>
      <c r="FA239" s="239">
        <v>198802</v>
      </c>
      <c r="FB239" s="239">
        <v>44731</v>
      </c>
      <c r="FC239" s="239">
        <v>4970</v>
      </c>
      <c r="FD239" s="239">
        <v>183096</v>
      </c>
      <c r="FE239" s="239">
        <v>41197</v>
      </c>
      <c r="FF239" s="239">
        <v>4577</v>
      </c>
      <c r="FG239" s="239">
        <v>15706</v>
      </c>
      <c r="FH239" s="239">
        <v>3534</v>
      </c>
      <c r="FI239" s="239">
        <v>393</v>
      </c>
      <c r="FJ239" s="239">
        <v>0</v>
      </c>
      <c r="FK239" s="239">
        <v>0</v>
      </c>
      <c r="FL239" s="239">
        <v>0</v>
      </c>
      <c r="FM239" s="239">
        <v>0</v>
      </c>
      <c r="FN239" s="239">
        <v>0</v>
      </c>
      <c r="FO239" s="239">
        <v>0</v>
      </c>
      <c r="FP239" s="239">
        <v>0</v>
      </c>
      <c r="FQ239" s="239">
        <v>0</v>
      </c>
      <c r="FR239" s="239">
        <v>0</v>
      </c>
      <c r="FS239" s="239">
        <v>0</v>
      </c>
      <c r="FT239" s="239">
        <v>0</v>
      </c>
      <c r="FU239" s="239">
        <v>0</v>
      </c>
      <c r="FV239" s="239">
        <v>754327</v>
      </c>
      <c r="FW239" s="239">
        <v>169725</v>
      </c>
      <c r="FX239" s="239">
        <v>18859</v>
      </c>
      <c r="FY239" s="834">
        <v>0.5</v>
      </c>
      <c r="FZ239" s="834">
        <v>0.4</v>
      </c>
      <c r="GA239" s="834">
        <v>0.09</v>
      </c>
      <c r="GB239" s="834">
        <v>0.01</v>
      </c>
      <c r="GC239" s="214" t="s">
        <v>1158</v>
      </c>
    </row>
    <row r="240" spans="1:185" s="214" customFormat="1" x14ac:dyDescent="0.2">
      <c r="A240" s="215" t="s">
        <v>1667</v>
      </c>
      <c r="B240" s="602" t="s">
        <v>563</v>
      </c>
      <c r="C240" s="602" t="s">
        <v>562</v>
      </c>
      <c r="D240" s="239">
        <v>-323273</v>
      </c>
      <c r="E240" s="239">
        <v>0</v>
      </c>
      <c r="F240" s="239">
        <v>-323273</v>
      </c>
      <c r="G240" s="239">
        <v>-53865</v>
      </c>
      <c r="H240" s="239">
        <v>0</v>
      </c>
      <c r="I240" s="239">
        <v>-53865</v>
      </c>
      <c r="J240" s="239">
        <v>-269408</v>
      </c>
      <c r="K240" s="239">
        <v>0</v>
      </c>
      <c r="L240" s="239">
        <v>-269408</v>
      </c>
      <c r="M240" s="239">
        <v>229729</v>
      </c>
      <c r="N240" s="239">
        <v>229729</v>
      </c>
      <c r="O240" s="239">
        <v>0</v>
      </c>
      <c r="P240" s="239">
        <v>560807</v>
      </c>
      <c r="Q240" s="239">
        <v>701750</v>
      </c>
      <c r="R240" s="239">
        <v>-140943</v>
      </c>
      <c r="S240" s="239">
        <v>981382</v>
      </c>
      <c r="T240" s="239">
        <v>0</v>
      </c>
      <c r="U240" s="239">
        <v>877024</v>
      </c>
      <c r="V240" s="239">
        <v>0</v>
      </c>
      <c r="W240" s="239">
        <v>104358</v>
      </c>
      <c r="X240" s="239">
        <v>0</v>
      </c>
      <c r="Y240" s="239">
        <v>0</v>
      </c>
      <c r="Z240" s="239">
        <v>0</v>
      </c>
      <c r="AA240" s="239">
        <v>0</v>
      </c>
      <c r="AB240" s="239">
        <v>0</v>
      </c>
      <c r="AC240" s="239">
        <v>165000</v>
      </c>
      <c r="AD240" s="239">
        <v>165000</v>
      </c>
      <c r="AE240" s="239">
        <v>0</v>
      </c>
      <c r="AF240" s="239">
        <v>0</v>
      </c>
      <c r="AG240" s="239">
        <v>-165000</v>
      </c>
      <c r="AH240" s="239">
        <v>-165000</v>
      </c>
      <c r="AI240" s="239">
        <v>0</v>
      </c>
      <c r="AJ240" s="239">
        <v>0</v>
      </c>
      <c r="AK240" s="239">
        <v>1277058</v>
      </c>
      <c r="AL240" s="239">
        <v>1021646</v>
      </c>
      <c r="AM240" s="239">
        <v>229870</v>
      </c>
      <c r="AN240" s="239">
        <v>25541</v>
      </c>
      <c r="AO240" s="239">
        <v>0</v>
      </c>
      <c r="AP240" s="239">
        <v>0</v>
      </c>
      <c r="AQ240" s="239">
        <v>0</v>
      </c>
      <c r="AR240" s="239">
        <v>0</v>
      </c>
      <c r="AS240" s="239">
        <v>1277058</v>
      </c>
      <c r="AT240" s="239">
        <v>1021646</v>
      </c>
      <c r="AU240" s="239">
        <v>229870</v>
      </c>
      <c r="AV240" s="239">
        <v>25541</v>
      </c>
      <c r="AW240" s="239">
        <v>0</v>
      </c>
      <c r="AX240" s="239">
        <v>0</v>
      </c>
      <c r="AY240" s="239">
        <v>0</v>
      </c>
      <c r="AZ240" s="239">
        <v>0</v>
      </c>
      <c r="BA240" s="239">
        <v>0</v>
      </c>
      <c r="BB240" s="239">
        <v>0</v>
      </c>
      <c r="BC240" s="239">
        <v>1265020</v>
      </c>
      <c r="BD240" s="239">
        <v>284629</v>
      </c>
      <c r="BE240" s="239">
        <v>31625</v>
      </c>
      <c r="BF240" s="239">
        <v>1223404.1581493563</v>
      </c>
      <c r="BG240" s="239">
        <v>275265.93558360508</v>
      </c>
      <c r="BH240" s="239">
        <v>30585.103953733902</v>
      </c>
      <c r="BI240" s="239">
        <v>138325.88776137336</v>
      </c>
      <c r="BJ240" s="239">
        <v>30763.341041909865</v>
      </c>
      <c r="BK240" s="239">
        <v>3418.1490046566519</v>
      </c>
      <c r="BL240" s="239">
        <v>1971668</v>
      </c>
      <c r="BM240" s="239">
        <v>288068</v>
      </c>
      <c r="BN240" s="239">
        <v>32008</v>
      </c>
      <c r="BO240" s="239">
        <v>-706648</v>
      </c>
      <c r="BP240" s="239">
        <v>-3439</v>
      </c>
      <c r="BQ240" s="239">
        <v>-383</v>
      </c>
      <c r="BR240" s="239">
        <v>1836</v>
      </c>
      <c r="BS240" s="239">
        <v>413</v>
      </c>
      <c r="BT240" s="239">
        <v>46</v>
      </c>
      <c r="BU240" s="239">
        <v>7609</v>
      </c>
      <c r="BV240" s="239">
        <v>1712</v>
      </c>
      <c r="BW240" s="239">
        <v>190</v>
      </c>
      <c r="BX240" s="239">
        <v>-5773</v>
      </c>
      <c r="BY240" s="239">
        <v>-1299</v>
      </c>
      <c r="BZ240" s="239">
        <v>-144</v>
      </c>
      <c r="CA240" s="239">
        <v>118119</v>
      </c>
      <c r="CB240" s="239">
        <v>6624</v>
      </c>
      <c r="CC240" s="239">
        <v>736</v>
      </c>
      <c r="CD240" s="239">
        <v>8140</v>
      </c>
      <c r="CE240" s="239">
        <v>1832</v>
      </c>
      <c r="CF240" s="239">
        <v>204</v>
      </c>
      <c r="CG240" s="239">
        <v>109979</v>
      </c>
      <c r="CH240" s="239">
        <v>4792</v>
      </c>
      <c r="CI240" s="239">
        <v>532</v>
      </c>
      <c r="CJ240" s="239">
        <v>0</v>
      </c>
      <c r="CK240" s="239">
        <v>0</v>
      </c>
      <c r="CL240" s="239">
        <v>0</v>
      </c>
      <c r="CM240" s="239">
        <v>0</v>
      </c>
      <c r="CN240" s="239">
        <v>0</v>
      </c>
      <c r="CO240" s="239">
        <v>0</v>
      </c>
      <c r="CP240" s="239">
        <v>0</v>
      </c>
      <c r="CQ240" s="239">
        <v>0</v>
      </c>
      <c r="CR240" s="239">
        <v>0</v>
      </c>
      <c r="CS240" s="239">
        <v>0</v>
      </c>
      <c r="CT240" s="239">
        <v>0</v>
      </c>
      <c r="CU240" s="239">
        <v>0</v>
      </c>
      <c r="CV240" s="239">
        <v>0</v>
      </c>
      <c r="CW240" s="239">
        <v>0</v>
      </c>
      <c r="CX240" s="239">
        <v>0</v>
      </c>
      <c r="CY240" s="239">
        <v>0</v>
      </c>
      <c r="CZ240" s="239">
        <v>0</v>
      </c>
      <c r="DA240" s="239">
        <v>0</v>
      </c>
      <c r="DB240" s="239">
        <v>0</v>
      </c>
      <c r="DC240" s="239">
        <v>0</v>
      </c>
      <c r="DD240" s="239">
        <v>0</v>
      </c>
      <c r="DE240" s="239">
        <v>-74</v>
      </c>
      <c r="DF240" s="239">
        <v>-17</v>
      </c>
      <c r="DG240" s="239">
        <v>-2</v>
      </c>
      <c r="DH240" s="239">
        <v>22521</v>
      </c>
      <c r="DI240" s="239">
        <v>5067</v>
      </c>
      <c r="DJ240" s="239">
        <v>563</v>
      </c>
      <c r="DK240" s="239">
        <v>29640</v>
      </c>
      <c r="DL240" s="239">
        <v>6669</v>
      </c>
      <c r="DM240" s="239">
        <v>741</v>
      </c>
      <c r="DN240" s="239">
        <v>-7119</v>
      </c>
      <c r="DO240" s="239">
        <v>-1602</v>
      </c>
      <c r="DP240" s="239">
        <v>-178</v>
      </c>
      <c r="DQ240" s="239">
        <v>482</v>
      </c>
      <c r="DR240" s="239">
        <v>109</v>
      </c>
      <c r="DS240" s="239">
        <v>12</v>
      </c>
      <c r="DT240" s="239">
        <v>609</v>
      </c>
      <c r="DU240" s="239">
        <v>137</v>
      </c>
      <c r="DV240" s="239">
        <v>15</v>
      </c>
      <c r="DW240" s="239">
        <v>-127</v>
      </c>
      <c r="DX240" s="239">
        <v>-28</v>
      </c>
      <c r="DY240" s="239">
        <v>-3</v>
      </c>
      <c r="DZ240" s="239">
        <v>13441</v>
      </c>
      <c r="EA240" s="239">
        <v>3024</v>
      </c>
      <c r="EB240" s="239">
        <v>336</v>
      </c>
      <c r="EC240" s="239">
        <v>18326</v>
      </c>
      <c r="ED240" s="239">
        <v>0</v>
      </c>
      <c r="EE240" s="239">
        <v>0</v>
      </c>
      <c r="EF240" s="239">
        <v>-4885</v>
      </c>
      <c r="EG240" s="239">
        <v>3024</v>
      </c>
      <c r="EH240" s="239">
        <v>336</v>
      </c>
      <c r="EI240" s="239">
        <v>184978</v>
      </c>
      <c r="EJ240" s="239">
        <v>41620</v>
      </c>
      <c r="EK240" s="239">
        <v>4624</v>
      </c>
      <c r="EL240" s="239">
        <v>247652</v>
      </c>
      <c r="EM240" s="239">
        <v>0</v>
      </c>
      <c r="EN240" s="239">
        <v>0</v>
      </c>
      <c r="EO240" s="239">
        <v>-62674</v>
      </c>
      <c r="EP240" s="239">
        <v>41620</v>
      </c>
      <c r="EQ240" s="239">
        <v>4624</v>
      </c>
      <c r="ER240" s="239">
        <v>26465</v>
      </c>
      <c r="ES240" s="239">
        <v>5955</v>
      </c>
      <c r="ET240" s="239">
        <v>662</v>
      </c>
      <c r="EU240" s="239">
        <v>28960</v>
      </c>
      <c r="EV240" s="239">
        <v>0</v>
      </c>
      <c r="EW240" s="239">
        <v>0</v>
      </c>
      <c r="EX240" s="239">
        <v>-2495</v>
      </c>
      <c r="EY240" s="239">
        <v>5955</v>
      </c>
      <c r="EZ240" s="239">
        <v>662</v>
      </c>
      <c r="FA240" s="239">
        <v>490059</v>
      </c>
      <c r="FB240" s="239">
        <v>105051</v>
      </c>
      <c r="FC240" s="239">
        <v>11672</v>
      </c>
      <c r="FD240" s="239">
        <v>436928</v>
      </c>
      <c r="FE240" s="239">
        <v>92415</v>
      </c>
      <c r="FF240" s="239">
        <v>10268</v>
      </c>
      <c r="FG240" s="239">
        <v>53131</v>
      </c>
      <c r="FH240" s="239">
        <v>12636</v>
      </c>
      <c r="FI240" s="239">
        <v>1404</v>
      </c>
      <c r="FJ240" s="239">
        <v>0</v>
      </c>
      <c r="FK240" s="239">
        <v>0</v>
      </c>
      <c r="FL240" s="239">
        <v>0</v>
      </c>
      <c r="FM240" s="239">
        <v>0</v>
      </c>
      <c r="FN240" s="239">
        <v>0</v>
      </c>
      <c r="FO240" s="239">
        <v>0</v>
      </c>
      <c r="FP240" s="239">
        <v>0</v>
      </c>
      <c r="FQ240" s="239">
        <v>0</v>
      </c>
      <c r="FR240" s="239">
        <v>0</v>
      </c>
      <c r="FS240" s="239">
        <v>0</v>
      </c>
      <c r="FT240" s="239">
        <v>0</v>
      </c>
      <c r="FU240" s="239">
        <v>0</v>
      </c>
      <c r="FV240" s="239">
        <v>2122847</v>
      </c>
      <c r="FW240" s="239">
        <v>452475</v>
      </c>
      <c r="FX240" s="239">
        <v>50274</v>
      </c>
      <c r="FY240" s="834">
        <v>0.5</v>
      </c>
      <c r="FZ240" s="834">
        <v>0.4</v>
      </c>
      <c r="GA240" s="834">
        <v>0.09</v>
      </c>
      <c r="GB240" s="834">
        <v>0.01</v>
      </c>
      <c r="GC240" s="214" t="s">
        <v>1158</v>
      </c>
    </row>
    <row r="241" spans="2:185" s="214" customFormat="1" x14ac:dyDescent="0.2">
      <c r="B241" s="602" t="s">
        <v>565</v>
      </c>
      <c r="C241" s="602" t="s">
        <v>564</v>
      </c>
      <c r="D241" s="239">
        <v>590262</v>
      </c>
      <c r="E241" s="239">
        <v>0</v>
      </c>
      <c r="F241" s="239">
        <v>590262</v>
      </c>
      <c r="G241" s="239">
        <v>665961</v>
      </c>
      <c r="H241" s="239">
        <v>0</v>
      </c>
      <c r="I241" s="239">
        <v>665961</v>
      </c>
      <c r="J241" s="239">
        <v>-75699</v>
      </c>
      <c r="K241" s="239">
        <v>0</v>
      </c>
      <c r="L241" s="239">
        <v>-75699</v>
      </c>
      <c r="M241" s="239">
        <v>90800</v>
      </c>
      <c r="N241" s="239">
        <v>90800</v>
      </c>
      <c r="O241" s="239">
        <v>0</v>
      </c>
      <c r="P241" s="239">
        <v>0</v>
      </c>
      <c r="Q241" s="239">
        <v>0</v>
      </c>
      <c r="R241" s="239">
        <v>0</v>
      </c>
      <c r="S241" s="239">
        <v>0</v>
      </c>
      <c r="T241" s="239">
        <v>0</v>
      </c>
      <c r="U241" s="239">
        <v>0</v>
      </c>
      <c r="V241" s="239">
        <v>0</v>
      </c>
      <c r="W241" s="239">
        <v>0</v>
      </c>
      <c r="X241" s="239">
        <v>0</v>
      </c>
      <c r="Y241" s="239">
        <v>0</v>
      </c>
      <c r="Z241" s="239">
        <v>0</v>
      </c>
      <c r="AA241" s="239">
        <v>0</v>
      </c>
      <c r="AB241" s="239">
        <v>0</v>
      </c>
      <c r="AC241" s="239">
        <v>0</v>
      </c>
      <c r="AD241" s="239">
        <v>0</v>
      </c>
      <c r="AE241" s="239">
        <v>0</v>
      </c>
      <c r="AF241" s="239">
        <v>0</v>
      </c>
      <c r="AG241" s="239">
        <v>0</v>
      </c>
      <c r="AH241" s="239">
        <v>0</v>
      </c>
      <c r="AI241" s="239">
        <v>0</v>
      </c>
      <c r="AJ241" s="239">
        <v>0</v>
      </c>
      <c r="AK241" s="239">
        <v>0</v>
      </c>
      <c r="AL241" s="239">
        <v>0</v>
      </c>
      <c r="AM241" s="239">
        <v>0</v>
      </c>
      <c r="AN241" s="239">
        <v>0</v>
      </c>
      <c r="AO241" s="239">
        <v>0</v>
      </c>
      <c r="AP241" s="239">
        <v>0</v>
      </c>
      <c r="AQ241" s="239">
        <v>0</v>
      </c>
      <c r="AR241" s="239">
        <v>0</v>
      </c>
      <c r="AS241" s="239">
        <v>0</v>
      </c>
      <c r="AT241" s="239">
        <v>0</v>
      </c>
      <c r="AU241" s="239">
        <v>0</v>
      </c>
      <c r="AV241" s="239">
        <v>0</v>
      </c>
      <c r="AW241" s="239">
        <v>0</v>
      </c>
      <c r="AX241" s="239">
        <v>0</v>
      </c>
      <c r="AY241" s="239">
        <v>0</v>
      </c>
      <c r="AZ241" s="239">
        <v>0</v>
      </c>
      <c r="BA241" s="239">
        <v>0</v>
      </c>
      <c r="BB241" s="239">
        <v>0</v>
      </c>
      <c r="BC241" s="239">
        <v>647441</v>
      </c>
      <c r="BD241" s="239">
        <v>145674</v>
      </c>
      <c r="BE241" s="239">
        <v>16186</v>
      </c>
      <c r="BF241" s="239">
        <v>635981.70663004299</v>
      </c>
      <c r="BG241" s="239">
        <v>143095.88399175965</v>
      </c>
      <c r="BH241" s="239">
        <v>15899.542665751072</v>
      </c>
      <c r="BI241" s="239">
        <v>39339.085193133047</v>
      </c>
      <c r="BJ241" s="239">
        <v>8851.2941684549351</v>
      </c>
      <c r="BK241" s="239">
        <v>983.47712982832616</v>
      </c>
      <c r="BL241" s="239">
        <v>583849</v>
      </c>
      <c r="BM241" s="239">
        <v>86567</v>
      </c>
      <c r="BN241" s="239">
        <v>9619</v>
      </c>
      <c r="BO241" s="239">
        <v>63592</v>
      </c>
      <c r="BP241" s="239">
        <v>59107</v>
      </c>
      <c r="BQ241" s="239">
        <v>6567</v>
      </c>
      <c r="BR241" s="239">
        <v>567</v>
      </c>
      <c r="BS241" s="239">
        <v>128</v>
      </c>
      <c r="BT241" s="239">
        <v>14</v>
      </c>
      <c r="BU241" s="239">
        <v>2517</v>
      </c>
      <c r="BV241" s="239">
        <v>566</v>
      </c>
      <c r="BW241" s="239">
        <v>63</v>
      </c>
      <c r="BX241" s="239">
        <v>-1950</v>
      </c>
      <c r="BY241" s="239">
        <v>-438</v>
      </c>
      <c r="BZ241" s="239">
        <v>-49</v>
      </c>
      <c r="CA241" s="239">
        <v>0</v>
      </c>
      <c r="CB241" s="239">
        <v>0</v>
      </c>
      <c r="CC241" s="239">
        <v>0</v>
      </c>
      <c r="CD241" s="239">
        <v>0</v>
      </c>
      <c r="CE241" s="239">
        <v>0</v>
      </c>
      <c r="CF241" s="239">
        <v>0</v>
      </c>
      <c r="CG241" s="239">
        <v>0</v>
      </c>
      <c r="CH241" s="239">
        <v>0</v>
      </c>
      <c r="CI241" s="239">
        <v>0</v>
      </c>
      <c r="CJ241" s="239">
        <v>0</v>
      </c>
      <c r="CK241" s="239">
        <v>0</v>
      </c>
      <c r="CL241" s="239">
        <v>0</v>
      </c>
      <c r="CM241" s="239">
        <v>3418</v>
      </c>
      <c r="CN241" s="239">
        <v>769</v>
      </c>
      <c r="CO241" s="239">
        <v>85</v>
      </c>
      <c r="CP241" s="239">
        <v>-3418</v>
      </c>
      <c r="CQ241" s="239">
        <v>-769</v>
      </c>
      <c r="CR241" s="239">
        <v>-85</v>
      </c>
      <c r="CS241" s="239">
        <v>-244</v>
      </c>
      <c r="CT241" s="239">
        <v>-55</v>
      </c>
      <c r="CU241" s="239">
        <v>-6</v>
      </c>
      <c r="CV241" s="239">
        <v>0</v>
      </c>
      <c r="CW241" s="239">
        <v>0</v>
      </c>
      <c r="CX241" s="239">
        <v>0</v>
      </c>
      <c r="CY241" s="239">
        <v>0</v>
      </c>
      <c r="CZ241" s="239">
        <v>0</v>
      </c>
      <c r="DA241" s="239">
        <v>0</v>
      </c>
      <c r="DB241" s="239">
        <v>0</v>
      </c>
      <c r="DC241" s="239">
        <v>0</v>
      </c>
      <c r="DD241" s="239">
        <v>0</v>
      </c>
      <c r="DE241" s="239">
        <v>0</v>
      </c>
      <c r="DF241" s="239">
        <v>0</v>
      </c>
      <c r="DG241" s="239">
        <v>0</v>
      </c>
      <c r="DH241" s="239">
        <v>8977</v>
      </c>
      <c r="DI241" s="239">
        <v>2020</v>
      </c>
      <c r="DJ241" s="239">
        <v>224</v>
      </c>
      <c r="DK241" s="239">
        <v>9414</v>
      </c>
      <c r="DL241" s="239">
        <v>2118</v>
      </c>
      <c r="DM241" s="239">
        <v>235</v>
      </c>
      <c r="DN241" s="239">
        <v>-437</v>
      </c>
      <c r="DO241" s="239">
        <v>-98</v>
      </c>
      <c r="DP241" s="239">
        <v>-11</v>
      </c>
      <c r="DQ241" s="239">
        <v>0</v>
      </c>
      <c r="DR241" s="239">
        <v>0</v>
      </c>
      <c r="DS241" s="239">
        <v>0</v>
      </c>
      <c r="DT241" s="239">
        <v>0</v>
      </c>
      <c r="DU241" s="239">
        <v>0</v>
      </c>
      <c r="DV241" s="239">
        <v>0</v>
      </c>
      <c r="DW241" s="239">
        <v>0</v>
      </c>
      <c r="DX241" s="239">
        <v>0</v>
      </c>
      <c r="DY241" s="239">
        <v>0</v>
      </c>
      <c r="DZ241" s="239">
        <v>19945</v>
      </c>
      <c r="EA241" s="239">
        <v>4488</v>
      </c>
      <c r="EB241" s="239">
        <v>499</v>
      </c>
      <c r="EC241" s="239">
        <v>29566</v>
      </c>
      <c r="ED241" s="239">
        <v>0</v>
      </c>
      <c r="EE241" s="239">
        <v>0</v>
      </c>
      <c r="EF241" s="239">
        <v>-9621</v>
      </c>
      <c r="EG241" s="239">
        <v>4488</v>
      </c>
      <c r="EH241" s="239">
        <v>499</v>
      </c>
      <c r="EI241" s="239">
        <v>72301</v>
      </c>
      <c r="EJ241" s="239">
        <v>16268</v>
      </c>
      <c r="EK241" s="239">
        <v>1808</v>
      </c>
      <c r="EL241" s="239">
        <v>100832</v>
      </c>
      <c r="EM241" s="239">
        <v>0</v>
      </c>
      <c r="EN241" s="239">
        <v>0</v>
      </c>
      <c r="EO241" s="239">
        <v>-28531</v>
      </c>
      <c r="EP241" s="239">
        <v>16268</v>
      </c>
      <c r="EQ241" s="239">
        <v>1808</v>
      </c>
      <c r="ER241" s="239">
        <v>14302</v>
      </c>
      <c r="ES241" s="239">
        <v>3218</v>
      </c>
      <c r="ET241" s="239">
        <v>358</v>
      </c>
      <c r="EU241" s="239">
        <v>15403</v>
      </c>
      <c r="EV241" s="239">
        <v>0</v>
      </c>
      <c r="EW241" s="239">
        <v>0</v>
      </c>
      <c r="EX241" s="239">
        <v>-1101</v>
      </c>
      <c r="EY241" s="239">
        <v>3218</v>
      </c>
      <c r="EZ241" s="239">
        <v>358</v>
      </c>
      <c r="FA241" s="239">
        <v>151652</v>
      </c>
      <c r="FB241" s="239">
        <v>34122</v>
      </c>
      <c r="FC241" s="239">
        <v>3791</v>
      </c>
      <c r="FD241" s="239">
        <v>149040</v>
      </c>
      <c r="FE241" s="239">
        <v>33534</v>
      </c>
      <c r="FF241" s="239">
        <v>3726</v>
      </c>
      <c r="FG241" s="239">
        <v>2612</v>
      </c>
      <c r="FH241" s="239">
        <v>588</v>
      </c>
      <c r="FI241" s="239">
        <v>65</v>
      </c>
      <c r="FJ241" s="239">
        <v>0</v>
      </c>
      <c r="FK241" s="239">
        <v>0</v>
      </c>
      <c r="FL241" s="239">
        <v>0</v>
      </c>
      <c r="FM241" s="239">
        <v>0</v>
      </c>
      <c r="FN241" s="239">
        <v>0</v>
      </c>
      <c r="FO241" s="239">
        <v>0</v>
      </c>
      <c r="FP241" s="239">
        <v>0</v>
      </c>
      <c r="FQ241" s="239">
        <v>0</v>
      </c>
      <c r="FR241" s="239">
        <v>0</v>
      </c>
      <c r="FS241" s="239">
        <v>0</v>
      </c>
      <c r="FT241" s="239">
        <v>0</v>
      </c>
      <c r="FU241" s="239">
        <v>0</v>
      </c>
      <c r="FV241" s="239">
        <v>914941</v>
      </c>
      <c r="FW241" s="239">
        <v>205863</v>
      </c>
      <c r="FX241" s="239">
        <v>22874</v>
      </c>
      <c r="FY241" s="834">
        <v>0.5</v>
      </c>
      <c r="FZ241" s="834">
        <v>0.4</v>
      </c>
      <c r="GA241" s="834">
        <v>0.09</v>
      </c>
      <c r="GB241" s="834">
        <v>0.01</v>
      </c>
      <c r="GC241" s="214" t="s">
        <v>1158</v>
      </c>
    </row>
    <row r="242" spans="2:185" s="214" customFormat="1" x14ac:dyDescent="0.2">
      <c r="B242" s="602" t="s">
        <v>567</v>
      </c>
      <c r="C242" s="602" t="s">
        <v>566</v>
      </c>
      <c r="D242" s="239">
        <v>-6916324</v>
      </c>
      <c r="E242" s="239">
        <v>-158993</v>
      </c>
      <c r="F242" s="239">
        <v>-7075317</v>
      </c>
      <c r="G242" s="239">
        <v>-7207621</v>
      </c>
      <c r="H242" s="239">
        <v>64834</v>
      </c>
      <c r="I242" s="239">
        <v>-7142787</v>
      </c>
      <c r="J242" s="239">
        <v>291297</v>
      </c>
      <c r="K242" s="239">
        <v>-223827</v>
      </c>
      <c r="L242" s="239">
        <v>67470</v>
      </c>
      <c r="M242" s="239">
        <v>333796</v>
      </c>
      <c r="N242" s="239">
        <v>333796</v>
      </c>
      <c r="O242" s="239">
        <v>0</v>
      </c>
      <c r="P242" s="239">
        <v>9162958</v>
      </c>
      <c r="Q242" s="239">
        <v>5248696</v>
      </c>
      <c r="R242" s="239">
        <v>3914262</v>
      </c>
      <c r="S242" s="239">
        <v>556346</v>
      </c>
      <c r="T242" s="239">
        <v>0</v>
      </c>
      <c r="U242" s="239">
        <v>218667</v>
      </c>
      <c r="V242" s="239">
        <v>0</v>
      </c>
      <c r="W242" s="239">
        <v>337679</v>
      </c>
      <c r="X242" s="239">
        <v>0</v>
      </c>
      <c r="Y242" s="239">
        <v>0</v>
      </c>
      <c r="Z242" s="239">
        <v>0</v>
      </c>
      <c r="AA242" s="239">
        <v>0</v>
      </c>
      <c r="AB242" s="239">
        <v>0</v>
      </c>
      <c r="AC242" s="239">
        <v>0</v>
      </c>
      <c r="AD242" s="239">
        <v>0</v>
      </c>
      <c r="AE242" s="239">
        <v>0</v>
      </c>
      <c r="AF242" s="239">
        <v>0</v>
      </c>
      <c r="AG242" s="239">
        <v>0</v>
      </c>
      <c r="AH242" s="239">
        <v>0</v>
      </c>
      <c r="AI242" s="239">
        <v>0</v>
      </c>
      <c r="AJ242" s="239">
        <v>0</v>
      </c>
      <c r="AK242" s="239">
        <v>0</v>
      </c>
      <c r="AL242" s="239">
        <v>0</v>
      </c>
      <c r="AM242" s="239">
        <v>0</v>
      </c>
      <c r="AN242" s="239">
        <v>0</v>
      </c>
      <c r="AO242" s="239">
        <v>0</v>
      </c>
      <c r="AP242" s="239">
        <v>0</v>
      </c>
      <c r="AQ242" s="239">
        <v>0</v>
      </c>
      <c r="AR242" s="239">
        <v>0</v>
      </c>
      <c r="AS242" s="239">
        <v>0</v>
      </c>
      <c r="AT242" s="239">
        <v>0</v>
      </c>
      <c r="AU242" s="239">
        <v>0</v>
      </c>
      <c r="AV242" s="239">
        <v>0</v>
      </c>
      <c r="AW242" s="239">
        <v>0</v>
      </c>
      <c r="AX242" s="239">
        <v>0</v>
      </c>
      <c r="AY242" s="239">
        <v>0</v>
      </c>
      <c r="AZ242" s="239">
        <v>0</v>
      </c>
      <c r="BA242" s="239">
        <v>0</v>
      </c>
      <c r="BB242" s="239">
        <v>0</v>
      </c>
      <c r="BC242" s="239">
        <v>3920520</v>
      </c>
      <c r="BD242" s="239">
        <v>208099</v>
      </c>
      <c r="BE242" s="239">
        <v>41620</v>
      </c>
      <c r="BF242" s="239">
        <v>3818220.8659770386</v>
      </c>
      <c r="BG242" s="239">
        <v>202670.09932886268</v>
      </c>
      <c r="BH242" s="239">
        <v>40534.019865772534</v>
      </c>
      <c r="BI242" s="239">
        <v>94878.476212446345</v>
      </c>
      <c r="BJ242" s="239">
        <v>4958.2910139484984</v>
      </c>
      <c r="BK242" s="239">
        <v>991.65820278969966</v>
      </c>
      <c r="BL242" s="239">
        <v>3315217</v>
      </c>
      <c r="BM242" s="239">
        <v>122656</v>
      </c>
      <c r="BN242" s="239">
        <v>24531</v>
      </c>
      <c r="BO242" s="239">
        <v>605303</v>
      </c>
      <c r="BP242" s="239">
        <v>85443</v>
      </c>
      <c r="BQ242" s="239">
        <v>17089</v>
      </c>
      <c r="BR242" s="239">
        <v>35971</v>
      </c>
      <c r="BS242" s="239">
        <v>1913</v>
      </c>
      <c r="BT242" s="239">
        <v>383</v>
      </c>
      <c r="BU242" s="239">
        <v>34451</v>
      </c>
      <c r="BV242" s="239">
        <v>1833</v>
      </c>
      <c r="BW242" s="239">
        <v>367</v>
      </c>
      <c r="BX242" s="239">
        <v>1520</v>
      </c>
      <c r="BY242" s="239">
        <v>80</v>
      </c>
      <c r="BZ242" s="239">
        <v>16</v>
      </c>
      <c r="CA242" s="239">
        <v>0</v>
      </c>
      <c r="CB242" s="239">
        <v>0</v>
      </c>
      <c r="CC242" s="239">
        <v>0</v>
      </c>
      <c r="CD242" s="239">
        <v>0</v>
      </c>
      <c r="CE242" s="239">
        <v>0</v>
      </c>
      <c r="CF242" s="239">
        <v>0</v>
      </c>
      <c r="CG242" s="239">
        <v>0</v>
      </c>
      <c r="CH242" s="239">
        <v>0</v>
      </c>
      <c r="CI242" s="239">
        <v>0</v>
      </c>
      <c r="CJ242" s="239">
        <v>2322</v>
      </c>
      <c r="CK242" s="239">
        <v>124</v>
      </c>
      <c r="CL242" s="239">
        <v>25</v>
      </c>
      <c r="CM242" s="239">
        <v>7836</v>
      </c>
      <c r="CN242" s="239">
        <v>417</v>
      </c>
      <c r="CO242" s="239">
        <v>83</v>
      </c>
      <c r="CP242" s="239">
        <v>-5514</v>
      </c>
      <c r="CQ242" s="239">
        <v>-293</v>
      </c>
      <c r="CR242" s="239">
        <v>-58</v>
      </c>
      <c r="CS242" s="239">
        <v>-2935</v>
      </c>
      <c r="CT242" s="239">
        <v>-156</v>
      </c>
      <c r="CU242" s="239">
        <v>-31</v>
      </c>
      <c r="CV242" s="239">
        <v>0</v>
      </c>
      <c r="CW242" s="239">
        <v>0</v>
      </c>
      <c r="CX242" s="239">
        <v>0</v>
      </c>
      <c r="CY242" s="239">
        <v>0</v>
      </c>
      <c r="CZ242" s="239">
        <v>0</v>
      </c>
      <c r="DA242" s="239">
        <v>0</v>
      </c>
      <c r="DB242" s="239">
        <v>0</v>
      </c>
      <c r="DC242" s="239">
        <v>0</v>
      </c>
      <c r="DD242" s="239">
        <v>0</v>
      </c>
      <c r="DE242" s="239">
        <v>0</v>
      </c>
      <c r="DF242" s="239">
        <v>0</v>
      </c>
      <c r="DG242" s="239">
        <v>0</v>
      </c>
      <c r="DH242" s="239">
        <v>17260</v>
      </c>
      <c r="DI242" s="239">
        <v>918</v>
      </c>
      <c r="DJ242" s="239">
        <v>184</v>
      </c>
      <c r="DK242" s="239">
        <v>0</v>
      </c>
      <c r="DL242" s="239">
        <v>0</v>
      </c>
      <c r="DM242" s="239">
        <v>0</v>
      </c>
      <c r="DN242" s="239">
        <v>17260</v>
      </c>
      <c r="DO242" s="239">
        <v>918</v>
      </c>
      <c r="DP242" s="239">
        <v>184</v>
      </c>
      <c r="DQ242" s="239">
        <v>0</v>
      </c>
      <c r="DR242" s="239">
        <v>0</v>
      </c>
      <c r="DS242" s="239">
        <v>0</v>
      </c>
      <c r="DT242" s="239">
        <v>0</v>
      </c>
      <c r="DU242" s="239">
        <v>0</v>
      </c>
      <c r="DV242" s="239">
        <v>0</v>
      </c>
      <c r="DW242" s="239">
        <v>0</v>
      </c>
      <c r="DX242" s="239">
        <v>0</v>
      </c>
      <c r="DY242" s="239">
        <v>0</v>
      </c>
      <c r="DZ242" s="239">
        <v>28931</v>
      </c>
      <c r="EA242" s="239">
        <v>1539</v>
      </c>
      <c r="EB242" s="239">
        <v>308</v>
      </c>
      <c r="EC242" s="239">
        <v>30002</v>
      </c>
      <c r="ED242" s="239">
        <v>0</v>
      </c>
      <c r="EE242" s="239">
        <v>0</v>
      </c>
      <c r="EF242" s="239">
        <v>-1071</v>
      </c>
      <c r="EG242" s="239">
        <v>1539</v>
      </c>
      <c r="EH242" s="239">
        <v>308</v>
      </c>
      <c r="EI242" s="239">
        <v>286407</v>
      </c>
      <c r="EJ242" s="239">
        <v>14346</v>
      </c>
      <c r="EK242" s="239">
        <v>2869</v>
      </c>
      <c r="EL242" s="239">
        <v>437545</v>
      </c>
      <c r="EM242" s="239">
        <v>0</v>
      </c>
      <c r="EN242" s="239">
        <v>0</v>
      </c>
      <c r="EO242" s="239">
        <v>-151138</v>
      </c>
      <c r="EP242" s="239">
        <v>14346</v>
      </c>
      <c r="EQ242" s="239">
        <v>2869</v>
      </c>
      <c r="ER242" s="239">
        <v>85385</v>
      </c>
      <c r="ES242" s="239">
        <v>4542</v>
      </c>
      <c r="ET242" s="239">
        <v>908</v>
      </c>
      <c r="EU242" s="239">
        <v>92534</v>
      </c>
      <c r="EV242" s="239">
        <v>0</v>
      </c>
      <c r="EW242" s="239">
        <v>0</v>
      </c>
      <c r="EX242" s="239">
        <v>-7149</v>
      </c>
      <c r="EY242" s="239">
        <v>4542</v>
      </c>
      <c r="EZ242" s="239">
        <v>908</v>
      </c>
      <c r="FA242" s="239">
        <v>1935365</v>
      </c>
      <c r="FB242" s="239">
        <v>95179</v>
      </c>
      <c r="FC242" s="239">
        <v>19036</v>
      </c>
      <c r="FD242" s="239">
        <v>1947144</v>
      </c>
      <c r="FE242" s="239">
        <v>99203</v>
      </c>
      <c r="FF242" s="239">
        <v>19841</v>
      </c>
      <c r="FG242" s="239">
        <v>-11779</v>
      </c>
      <c r="FH242" s="239">
        <v>-4024</v>
      </c>
      <c r="FI242" s="239">
        <v>-805</v>
      </c>
      <c r="FJ242" s="239">
        <v>0</v>
      </c>
      <c r="FK242" s="239">
        <v>0</v>
      </c>
      <c r="FL242" s="239">
        <v>0</v>
      </c>
      <c r="FM242" s="239">
        <v>0</v>
      </c>
      <c r="FN242" s="239">
        <v>0</v>
      </c>
      <c r="FO242" s="239">
        <v>0</v>
      </c>
      <c r="FP242" s="239">
        <v>0</v>
      </c>
      <c r="FQ242" s="239">
        <v>0</v>
      </c>
      <c r="FR242" s="239">
        <v>0</v>
      </c>
      <c r="FS242" s="239">
        <v>0</v>
      </c>
      <c r="FT242" s="239">
        <v>0</v>
      </c>
      <c r="FU242" s="239">
        <v>0</v>
      </c>
      <c r="FV242" s="239">
        <v>6309226</v>
      </c>
      <c r="FW242" s="239">
        <v>326504</v>
      </c>
      <c r="FX242" s="239">
        <v>65302</v>
      </c>
      <c r="FY242" s="834">
        <v>0</v>
      </c>
      <c r="FZ242" s="834">
        <v>0.94</v>
      </c>
      <c r="GA242" s="834">
        <v>0.05</v>
      </c>
      <c r="GB242" s="834">
        <v>0.01</v>
      </c>
      <c r="GC242" s="214" t="s">
        <v>746</v>
      </c>
    </row>
    <row r="243" spans="2:185" s="214" customFormat="1" x14ac:dyDescent="0.2">
      <c r="B243" s="602" t="s">
        <v>569</v>
      </c>
      <c r="C243" s="602" t="s">
        <v>568</v>
      </c>
      <c r="D243" s="239">
        <v>-485573</v>
      </c>
      <c r="E243" s="239">
        <v>0</v>
      </c>
      <c r="F243" s="239">
        <v>-485573</v>
      </c>
      <c r="G243" s="239">
        <v>-567743</v>
      </c>
      <c r="H243" s="239">
        <v>0</v>
      </c>
      <c r="I243" s="239">
        <v>-567743</v>
      </c>
      <c r="J243" s="239">
        <v>82170</v>
      </c>
      <c r="K243" s="239">
        <v>0</v>
      </c>
      <c r="L243" s="239">
        <v>82170</v>
      </c>
      <c r="M243" s="239">
        <v>205674</v>
      </c>
      <c r="N243" s="239">
        <v>205674</v>
      </c>
      <c r="O243" s="239">
        <v>0</v>
      </c>
      <c r="P243" s="239">
        <v>0</v>
      </c>
      <c r="Q243" s="239">
        <v>0</v>
      </c>
      <c r="R243" s="239">
        <v>0</v>
      </c>
      <c r="S243" s="239">
        <v>0</v>
      </c>
      <c r="T243" s="239">
        <v>0</v>
      </c>
      <c r="U243" s="239">
        <v>0</v>
      </c>
      <c r="V243" s="239">
        <v>0</v>
      </c>
      <c r="W243" s="239">
        <v>0</v>
      </c>
      <c r="X243" s="239">
        <v>0</v>
      </c>
      <c r="Y243" s="239">
        <v>0</v>
      </c>
      <c r="Z243" s="239">
        <v>0</v>
      </c>
      <c r="AA243" s="239">
        <v>0</v>
      </c>
      <c r="AB243" s="239">
        <v>0</v>
      </c>
      <c r="AC243" s="239">
        <v>0</v>
      </c>
      <c r="AD243" s="239">
        <v>0</v>
      </c>
      <c r="AE243" s="239">
        <v>0</v>
      </c>
      <c r="AF243" s="239">
        <v>0</v>
      </c>
      <c r="AG243" s="239">
        <v>0</v>
      </c>
      <c r="AH243" s="239">
        <v>0</v>
      </c>
      <c r="AI243" s="239">
        <v>0</v>
      </c>
      <c r="AJ243" s="239">
        <v>0</v>
      </c>
      <c r="AK243" s="239">
        <v>0</v>
      </c>
      <c r="AL243" s="239">
        <v>0</v>
      </c>
      <c r="AM243" s="239">
        <v>0</v>
      </c>
      <c r="AN243" s="239">
        <v>0</v>
      </c>
      <c r="AO243" s="239">
        <v>0</v>
      </c>
      <c r="AP243" s="239">
        <v>0</v>
      </c>
      <c r="AQ243" s="239">
        <v>0</v>
      </c>
      <c r="AR243" s="239">
        <v>0</v>
      </c>
      <c r="AS243" s="239">
        <v>0</v>
      </c>
      <c r="AT243" s="239">
        <v>0</v>
      </c>
      <c r="AU243" s="239">
        <v>0</v>
      </c>
      <c r="AV243" s="239">
        <v>0</v>
      </c>
      <c r="AW243" s="239">
        <v>0</v>
      </c>
      <c r="AX243" s="239">
        <v>0</v>
      </c>
      <c r="AY243" s="239">
        <v>0</v>
      </c>
      <c r="AZ243" s="239">
        <v>0</v>
      </c>
      <c r="BA243" s="239">
        <v>0</v>
      </c>
      <c r="BB243" s="239">
        <v>0</v>
      </c>
      <c r="BC243" s="239">
        <v>1715438</v>
      </c>
      <c r="BD243" s="239">
        <v>385973</v>
      </c>
      <c r="BE243" s="239">
        <v>42886</v>
      </c>
      <c r="BF243" s="239">
        <v>1687687.0836180258</v>
      </c>
      <c r="BG243" s="239">
        <v>379729.59381405584</v>
      </c>
      <c r="BH243" s="239">
        <v>42192.177090450648</v>
      </c>
      <c r="BI243" s="239">
        <v>87011.91272532189</v>
      </c>
      <c r="BJ243" s="239">
        <v>19577.680363197422</v>
      </c>
      <c r="BK243" s="239">
        <v>2175.2978181330473</v>
      </c>
      <c r="BL243" s="239">
        <v>1788391</v>
      </c>
      <c r="BM243" s="239">
        <v>289488</v>
      </c>
      <c r="BN243" s="239">
        <v>32165</v>
      </c>
      <c r="BO243" s="239">
        <v>-72953</v>
      </c>
      <c r="BP243" s="239">
        <v>96485</v>
      </c>
      <c r="BQ243" s="239">
        <v>10721</v>
      </c>
      <c r="BR243" s="239">
        <v>0</v>
      </c>
      <c r="BS243" s="239">
        <v>0</v>
      </c>
      <c r="BT243" s="239">
        <v>0</v>
      </c>
      <c r="BU243" s="239">
        <v>0</v>
      </c>
      <c r="BV243" s="239">
        <v>0</v>
      </c>
      <c r="BW243" s="239">
        <v>0</v>
      </c>
      <c r="BX243" s="239">
        <v>0</v>
      </c>
      <c r="BY243" s="239">
        <v>0</v>
      </c>
      <c r="BZ243" s="239">
        <v>0</v>
      </c>
      <c r="CA243" s="239">
        <v>163</v>
      </c>
      <c r="CB243" s="239">
        <v>37</v>
      </c>
      <c r="CC243" s="239">
        <v>4</v>
      </c>
      <c r="CD243" s="239">
        <v>16240</v>
      </c>
      <c r="CE243" s="239">
        <v>3654</v>
      </c>
      <c r="CF243" s="239">
        <v>406</v>
      </c>
      <c r="CG243" s="239">
        <v>-16077</v>
      </c>
      <c r="CH243" s="239">
        <v>-3617</v>
      </c>
      <c r="CI243" s="239">
        <v>-402</v>
      </c>
      <c r="CJ243" s="239">
        <v>0</v>
      </c>
      <c r="CK243" s="239">
        <v>0</v>
      </c>
      <c r="CL243" s="239">
        <v>0</v>
      </c>
      <c r="CM243" s="239">
        <v>4059</v>
      </c>
      <c r="CN243" s="239">
        <v>914</v>
      </c>
      <c r="CO243" s="239">
        <v>102</v>
      </c>
      <c r="CP243" s="239">
        <v>-4059</v>
      </c>
      <c r="CQ243" s="239">
        <v>-914</v>
      </c>
      <c r="CR243" s="239">
        <v>-102</v>
      </c>
      <c r="CS243" s="239">
        <v>-5105</v>
      </c>
      <c r="CT243" s="239">
        <v>-1149</v>
      </c>
      <c r="CU243" s="239">
        <v>-128</v>
      </c>
      <c r="CV243" s="239">
        <v>0</v>
      </c>
      <c r="CW243" s="239">
        <v>0</v>
      </c>
      <c r="CX243" s="239">
        <v>0</v>
      </c>
      <c r="CY243" s="239">
        <v>0</v>
      </c>
      <c r="CZ243" s="239">
        <v>0</v>
      </c>
      <c r="DA243" s="239">
        <v>0</v>
      </c>
      <c r="DB243" s="239">
        <v>0</v>
      </c>
      <c r="DC243" s="239">
        <v>0</v>
      </c>
      <c r="DD243" s="239">
        <v>0</v>
      </c>
      <c r="DE243" s="239">
        <v>0</v>
      </c>
      <c r="DF243" s="239">
        <v>0</v>
      </c>
      <c r="DG243" s="239">
        <v>0</v>
      </c>
      <c r="DH243" s="239">
        <v>15154</v>
      </c>
      <c r="DI243" s="239">
        <v>3410</v>
      </c>
      <c r="DJ243" s="239">
        <v>379</v>
      </c>
      <c r="DK243" s="239">
        <v>17968</v>
      </c>
      <c r="DL243" s="239">
        <v>4043</v>
      </c>
      <c r="DM243" s="239">
        <v>449</v>
      </c>
      <c r="DN243" s="239">
        <v>-2814</v>
      </c>
      <c r="DO243" s="239">
        <v>-633</v>
      </c>
      <c r="DP243" s="239">
        <v>-70</v>
      </c>
      <c r="DQ243" s="239">
        <v>609</v>
      </c>
      <c r="DR243" s="239">
        <v>137</v>
      </c>
      <c r="DS243" s="239">
        <v>15</v>
      </c>
      <c r="DT243" s="239">
        <v>0</v>
      </c>
      <c r="DU243" s="239">
        <v>0</v>
      </c>
      <c r="DV243" s="239">
        <v>0</v>
      </c>
      <c r="DW243" s="239">
        <v>609</v>
      </c>
      <c r="DX243" s="239">
        <v>137</v>
      </c>
      <c r="DY243" s="239">
        <v>15</v>
      </c>
      <c r="DZ243" s="239">
        <v>17644</v>
      </c>
      <c r="EA243" s="239">
        <v>3970</v>
      </c>
      <c r="EB243" s="239">
        <v>441</v>
      </c>
      <c r="EC243" s="239">
        <v>36369</v>
      </c>
      <c r="ED243" s="239">
        <v>0</v>
      </c>
      <c r="EE243" s="239">
        <v>0</v>
      </c>
      <c r="EF243" s="239">
        <v>-18725</v>
      </c>
      <c r="EG243" s="239">
        <v>3970</v>
      </c>
      <c r="EH243" s="239">
        <v>441</v>
      </c>
      <c r="EI243" s="239">
        <v>124349</v>
      </c>
      <c r="EJ243" s="239">
        <v>27979</v>
      </c>
      <c r="EK243" s="239">
        <v>3109</v>
      </c>
      <c r="EL243" s="239">
        <v>153436</v>
      </c>
      <c r="EM243" s="239">
        <v>0</v>
      </c>
      <c r="EN243" s="239">
        <v>0</v>
      </c>
      <c r="EO243" s="239">
        <v>-29087</v>
      </c>
      <c r="EP243" s="239">
        <v>27979</v>
      </c>
      <c r="EQ243" s="239">
        <v>3109</v>
      </c>
      <c r="ER243" s="239">
        <v>20581</v>
      </c>
      <c r="ES243" s="239">
        <v>4631</v>
      </c>
      <c r="ET243" s="239">
        <v>515</v>
      </c>
      <c r="EU243" s="239">
        <v>46691</v>
      </c>
      <c r="EV243" s="239">
        <v>0</v>
      </c>
      <c r="EW243" s="239">
        <v>0</v>
      </c>
      <c r="EX243" s="239">
        <v>-26110</v>
      </c>
      <c r="EY243" s="239">
        <v>4631</v>
      </c>
      <c r="EZ243" s="239">
        <v>515</v>
      </c>
      <c r="FA243" s="239">
        <v>160291</v>
      </c>
      <c r="FB243" s="239">
        <v>36065</v>
      </c>
      <c r="FC243" s="239">
        <v>4007</v>
      </c>
      <c r="FD243" s="239">
        <v>145090</v>
      </c>
      <c r="FE243" s="239">
        <v>32645</v>
      </c>
      <c r="FF243" s="239">
        <v>3627</v>
      </c>
      <c r="FG243" s="239">
        <v>15201</v>
      </c>
      <c r="FH243" s="239">
        <v>3420</v>
      </c>
      <c r="FI243" s="239">
        <v>380</v>
      </c>
      <c r="FJ243" s="239">
        <v>0</v>
      </c>
      <c r="FK243" s="239">
        <v>0</v>
      </c>
      <c r="FL243" s="239">
        <v>0</v>
      </c>
      <c r="FM243" s="239">
        <v>0</v>
      </c>
      <c r="FN243" s="239">
        <v>0</v>
      </c>
      <c r="FO243" s="239">
        <v>0</v>
      </c>
      <c r="FP243" s="239">
        <v>0</v>
      </c>
      <c r="FQ243" s="239">
        <v>0</v>
      </c>
      <c r="FR243" s="239">
        <v>0</v>
      </c>
      <c r="FS243" s="239">
        <v>0</v>
      </c>
      <c r="FT243" s="239">
        <v>0</v>
      </c>
      <c r="FU243" s="239">
        <v>0</v>
      </c>
      <c r="FV243" s="239">
        <v>2049124</v>
      </c>
      <c r="FW243" s="239">
        <v>461053</v>
      </c>
      <c r="FX243" s="239">
        <v>51228</v>
      </c>
      <c r="FY243" s="834">
        <v>0.5</v>
      </c>
      <c r="FZ243" s="834">
        <v>0.4</v>
      </c>
      <c r="GA243" s="834">
        <v>0.09</v>
      </c>
      <c r="GB243" s="834">
        <v>0.01</v>
      </c>
      <c r="GC243" s="214" t="s">
        <v>1158</v>
      </c>
    </row>
    <row r="244" spans="2:185" s="214" customFormat="1" x14ac:dyDescent="0.2">
      <c r="B244" s="602" t="s">
        <v>571</v>
      </c>
      <c r="C244" s="602" t="s">
        <v>570</v>
      </c>
      <c r="D244" s="239">
        <v>-2424448</v>
      </c>
      <c r="E244" s="239">
        <v>0</v>
      </c>
      <c r="F244" s="239">
        <v>-2424448</v>
      </c>
      <c r="G244" s="239">
        <v>-2734374</v>
      </c>
      <c r="H244" s="239">
        <v>0</v>
      </c>
      <c r="I244" s="239">
        <v>-2734374</v>
      </c>
      <c r="J244" s="239">
        <v>309926</v>
      </c>
      <c r="K244" s="239">
        <v>0</v>
      </c>
      <c r="L244" s="239">
        <v>309926</v>
      </c>
      <c r="M244" s="239">
        <v>106913</v>
      </c>
      <c r="N244" s="239">
        <v>106913</v>
      </c>
      <c r="O244" s="239">
        <v>0</v>
      </c>
      <c r="P244" s="239">
        <v>0</v>
      </c>
      <c r="Q244" s="239">
        <v>0</v>
      </c>
      <c r="R244" s="239">
        <v>0</v>
      </c>
      <c r="S244" s="239">
        <v>261183</v>
      </c>
      <c r="T244" s="239">
        <v>50774</v>
      </c>
      <c r="U244" s="239">
        <v>243855</v>
      </c>
      <c r="V244" s="239">
        <v>0</v>
      </c>
      <c r="W244" s="239">
        <v>17328</v>
      </c>
      <c r="X244" s="239">
        <v>50774</v>
      </c>
      <c r="Y244" s="239">
        <v>0</v>
      </c>
      <c r="Z244" s="239">
        <v>0</v>
      </c>
      <c r="AA244" s="239">
        <v>0</v>
      </c>
      <c r="AB244" s="239">
        <v>0</v>
      </c>
      <c r="AC244" s="239">
        <v>0</v>
      </c>
      <c r="AD244" s="239">
        <v>0</v>
      </c>
      <c r="AE244" s="239">
        <v>0</v>
      </c>
      <c r="AF244" s="239">
        <v>0</v>
      </c>
      <c r="AG244" s="239">
        <v>0</v>
      </c>
      <c r="AH244" s="239">
        <v>0</v>
      </c>
      <c r="AI244" s="239">
        <v>0</v>
      </c>
      <c r="AJ244" s="239">
        <v>0</v>
      </c>
      <c r="AK244" s="239">
        <v>0</v>
      </c>
      <c r="AL244" s="239">
        <v>0</v>
      </c>
      <c r="AM244" s="239">
        <v>0</v>
      </c>
      <c r="AN244" s="239">
        <v>0</v>
      </c>
      <c r="AO244" s="239">
        <v>0</v>
      </c>
      <c r="AP244" s="239">
        <v>0</v>
      </c>
      <c r="AQ244" s="239">
        <v>0</v>
      </c>
      <c r="AR244" s="239">
        <v>0</v>
      </c>
      <c r="AS244" s="239">
        <v>0</v>
      </c>
      <c r="AT244" s="239">
        <v>0</v>
      </c>
      <c r="AU244" s="239">
        <v>0</v>
      </c>
      <c r="AV244" s="239">
        <v>0</v>
      </c>
      <c r="AW244" s="239">
        <v>0</v>
      </c>
      <c r="AX244" s="239">
        <v>0</v>
      </c>
      <c r="AY244" s="239">
        <v>0</v>
      </c>
      <c r="AZ244" s="239">
        <v>0</v>
      </c>
      <c r="BA244" s="239">
        <v>0</v>
      </c>
      <c r="BB244" s="239">
        <v>0</v>
      </c>
      <c r="BC244" s="239">
        <v>694532</v>
      </c>
      <c r="BD244" s="239">
        <v>173633</v>
      </c>
      <c r="BE244" s="239">
        <v>0</v>
      </c>
      <c r="BF244" s="239">
        <v>680996.03096309013</v>
      </c>
      <c r="BG244" s="239">
        <v>170249.00774077253</v>
      </c>
      <c r="BH244" s="239">
        <v>0</v>
      </c>
      <c r="BI244" s="239">
        <v>49470.948197424892</v>
      </c>
      <c r="BJ244" s="239">
        <v>12367.737049356223</v>
      </c>
      <c r="BK244" s="239">
        <v>0</v>
      </c>
      <c r="BL244" s="239">
        <v>681712</v>
      </c>
      <c r="BM244" s="239">
        <v>119181</v>
      </c>
      <c r="BN244" s="239">
        <v>0</v>
      </c>
      <c r="BO244" s="239">
        <v>12820</v>
      </c>
      <c r="BP244" s="239">
        <v>54452</v>
      </c>
      <c r="BQ244" s="239">
        <v>0</v>
      </c>
      <c r="BR244" s="239">
        <v>797</v>
      </c>
      <c r="BS244" s="239">
        <v>199</v>
      </c>
      <c r="BT244" s="239">
        <v>0</v>
      </c>
      <c r="BU244" s="239">
        <v>0</v>
      </c>
      <c r="BV244" s="239">
        <v>0</v>
      </c>
      <c r="BW244" s="239">
        <v>0</v>
      </c>
      <c r="BX244" s="239">
        <v>797</v>
      </c>
      <c r="BY244" s="239">
        <v>199</v>
      </c>
      <c r="BZ244" s="239">
        <v>0</v>
      </c>
      <c r="CA244" s="239">
        <v>0</v>
      </c>
      <c r="CB244" s="239">
        <v>0</v>
      </c>
      <c r="CC244" s="239">
        <v>0</v>
      </c>
      <c r="CD244" s="239">
        <v>0</v>
      </c>
      <c r="CE244" s="239">
        <v>0</v>
      </c>
      <c r="CF244" s="239">
        <v>0</v>
      </c>
      <c r="CG244" s="239">
        <v>0</v>
      </c>
      <c r="CH244" s="239">
        <v>0</v>
      </c>
      <c r="CI244" s="239">
        <v>0</v>
      </c>
      <c r="CJ244" s="239">
        <v>0</v>
      </c>
      <c r="CK244" s="239">
        <v>0</v>
      </c>
      <c r="CL244" s="239">
        <v>0</v>
      </c>
      <c r="CM244" s="239">
        <v>0</v>
      </c>
      <c r="CN244" s="239">
        <v>0</v>
      </c>
      <c r="CO244" s="239">
        <v>0</v>
      </c>
      <c r="CP244" s="239">
        <v>0</v>
      </c>
      <c r="CQ244" s="239">
        <v>0</v>
      </c>
      <c r="CR244" s="239">
        <v>0</v>
      </c>
      <c r="CS244" s="239">
        <v>-1445</v>
      </c>
      <c r="CT244" s="239">
        <v>-361</v>
      </c>
      <c r="CU244" s="239">
        <v>0</v>
      </c>
      <c r="CV244" s="239">
        <v>0</v>
      </c>
      <c r="CW244" s="239">
        <v>0</v>
      </c>
      <c r="CX244" s="239">
        <v>0</v>
      </c>
      <c r="CY244" s="239">
        <v>0</v>
      </c>
      <c r="CZ244" s="239">
        <v>0</v>
      </c>
      <c r="DA244" s="239">
        <v>0</v>
      </c>
      <c r="DB244" s="239">
        <v>0</v>
      </c>
      <c r="DC244" s="239">
        <v>0</v>
      </c>
      <c r="DD244" s="239">
        <v>0</v>
      </c>
      <c r="DE244" s="239">
        <v>0</v>
      </c>
      <c r="DF244" s="239">
        <v>0</v>
      </c>
      <c r="DG244" s="239">
        <v>0</v>
      </c>
      <c r="DH244" s="239">
        <v>11678</v>
      </c>
      <c r="DI244" s="239">
        <v>2920</v>
      </c>
      <c r="DJ244" s="239">
        <v>0</v>
      </c>
      <c r="DK244" s="239">
        <v>12532</v>
      </c>
      <c r="DL244" s="239">
        <v>3133</v>
      </c>
      <c r="DM244" s="239">
        <v>0</v>
      </c>
      <c r="DN244" s="239">
        <v>-854</v>
      </c>
      <c r="DO244" s="239">
        <v>-213</v>
      </c>
      <c r="DP244" s="239">
        <v>0</v>
      </c>
      <c r="DQ244" s="239">
        <v>609</v>
      </c>
      <c r="DR244" s="239">
        <v>152</v>
      </c>
      <c r="DS244" s="239">
        <v>0</v>
      </c>
      <c r="DT244" s="239">
        <v>609</v>
      </c>
      <c r="DU244" s="239">
        <v>152</v>
      </c>
      <c r="DV244" s="239">
        <v>0</v>
      </c>
      <c r="DW244" s="239">
        <v>0</v>
      </c>
      <c r="DX244" s="239">
        <v>0</v>
      </c>
      <c r="DY244" s="239">
        <v>0</v>
      </c>
      <c r="DZ244" s="239">
        <v>15805</v>
      </c>
      <c r="EA244" s="239">
        <v>3951</v>
      </c>
      <c r="EB244" s="239">
        <v>0</v>
      </c>
      <c r="EC244" s="239">
        <v>24306</v>
      </c>
      <c r="ED244" s="239">
        <v>0</v>
      </c>
      <c r="EE244" s="239">
        <v>0</v>
      </c>
      <c r="EF244" s="239">
        <v>-8501</v>
      </c>
      <c r="EG244" s="239">
        <v>3951</v>
      </c>
      <c r="EH244" s="239">
        <v>0</v>
      </c>
      <c r="EI244" s="239">
        <v>40972</v>
      </c>
      <c r="EJ244" s="239">
        <v>10243</v>
      </c>
      <c r="EK244" s="239">
        <v>0</v>
      </c>
      <c r="EL244" s="239">
        <v>86016</v>
      </c>
      <c r="EM244" s="239">
        <v>0</v>
      </c>
      <c r="EN244" s="239">
        <v>0</v>
      </c>
      <c r="EO244" s="239">
        <v>-45044</v>
      </c>
      <c r="EP244" s="239">
        <v>10243</v>
      </c>
      <c r="EQ244" s="239">
        <v>0</v>
      </c>
      <c r="ER244" s="239">
        <v>8768</v>
      </c>
      <c r="ES244" s="239">
        <v>2192</v>
      </c>
      <c r="ET244" s="239">
        <v>0</v>
      </c>
      <c r="EU244" s="239">
        <v>15173</v>
      </c>
      <c r="EV244" s="239">
        <v>0</v>
      </c>
      <c r="EW244" s="239">
        <v>0</v>
      </c>
      <c r="EX244" s="239">
        <v>-6405</v>
      </c>
      <c r="EY244" s="239">
        <v>2192</v>
      </c>
      <c r="EZ244" s="239">
        <v>0</v>
      </c>
      <c r="FA244" s="239">
        <v>147235</v>
      </c>
      <c r="FB244" s="239">
        <v>36591</v>
      </c>
      <c r="FC244" s="239">
        <v>0</v>
      </c>
      <c r="FD244" s="239">
        <v>137245</v>
      </c>
      <c r="FE244" s="239">
        <v>33395</v>
      </c>
      <c r="FF244" s="239">
        <v>0</v>
      </c>
      <c r="FG244" s="239">
        <v>9990</v>
      </c>
      <c r="FH244" s="239">
        <v>3196</v>
      </c>
      <c r="FI244" s="239">
        <v>0</v>
      </c>
      <c r="FJ244" s="239">
        <v>0</v>
      </c>
      <c r="FK244" s="239">
        <v>0</v>
      </c>
      <c r="FL244" s="239">
        <v>0</v>
      </c>
      <c r="FM244" s="239">
        <v>0</v>
      </c>
      <c r="FN244" s="239">
        <v>0</v>
      </c>
      <c r="FO244" s="239">
        <v>0</v>
      </c>
      <c r="FP244" s="239">
        <v>0</v>
      </c>
      <c r="FQ244" s="239">
        <v>0</v>
      </c>
      <c r="FR244" s="239">
        <v>0</v>
      </c>
      <c r="FS244" s="239">
        <v>0</v>
      </c>
      <c r="FT244" s="239">
        <v>0</v>
      </c>
      <c r="FU244" s="239">
        <v>0</v>
      </c>
      <c r="FV244" s="239">
        <v>918951</v>
      </c>
      <c r="FW244" s="239">
        <v>229520</v>
      </c>
      <c r="FX244" s="239">
        <v>0</v>
      </c>
      <c r="FY244" s="834">
        <v>0.5</v>
      </c>
      <c r="FZ244" s="834">
        <v>0.4</v>
      </c>
      <c r="GA244" s="834">
        <v>0.1</v>
      </c>
      <c r="GB244" s="834">
        <v>0</v>
      </c>
      <c r="GC244" s="214" t="s">
        <v>1158</v>
      </c>
    </row>
    <row r="245" spans="2:185" s="214" customFormat="1" x14ac:dyDescent="0.2">
      <c r="B245" s="602" t="s">
        <v>573</v>
      </c>
      <c r="C245" s="602" t="s">
        <v>572</v>
      </c>
      <c r="D245" s="239">
        <v>-165054</v>
      </c>
      <c r="E245" s="239">
        <v>0</v>
      </c>
      <c r="F245" s="239">
        <v>-165054</v>
      </c>
      <c r="G245" s="239">
        <v>683</v>
      </c>
      <c r="H245" s="239">
        <v>0</v>
      </c>
      <c r="I245" s="239">
        <v>683</v>
      </c>
      <c r="J245" s="239">
        <v>-165737</v>
      </c>
      <c r="K245" s="239">
        <v>0</v>
      </c>
      <c r="L245" s="239">
        <v>-165737</v>
      </c>
      <c r="M245" s="239">
        <v>177446</v>
      </c>
      <c r="N245" s="239">
        <v>177446</v>
      </c>
      <c r="O245" s="239">
        <v>0</v>
      </c>
      <c r="P245" s="239">
        <v>0</v>
      </c>
      <c r="Q245" s="239">
        <v>0</v>
      </c>
      <c r="R245" s="239">
        <v>0</v>
      </c>
      <c r="S245" s="239">
        <v>5905</v>
      </c>
      <c r="T245" s="239">
        <v>0</v>
      </c>
      <c r="U245" s="239">
        <v>201227</v>
      </c>
      <c r="V245" s="239">
        <v>0</v>
      </c>
      <c r="W245" s="239">
        <v>-195322</v>
      </c>
      <c r="X245" s="239">
        <v>0</v>
      </c>
      <c r="Y245" s="239">
        <v>0</v>
      </c>
      <c r="Z245" s="239">
        <v>0</v>
      </c>
      <c r="AA245" s="239">
        <v>0</v>
      </c>
      <c r="AB245" s="239">
        <v>0</v>
      </c>
      <c r="AC245" s="239">
        <v>0</v>
      </c>
      <c r="AD245" s="239">
        <v>0</v>
      </c>
      <c r="AE245" s="239">
        <v>0</v>
      </c>
      <c r="AF245" s="239">
        <v>0</v>
      </c>
      <c r="AG245" s="239">
        <v>0</v>
      </c>
      <c r="AH245" s="239">
        <v>0</v>
      </c>
      <c r="AI245" s="239">
        <v>0</v>
      </c>
      <c r="AJ245" s="239">
        <v>0</v>
      </c>
      <c r="AK245" s="239">
        <v>0</v>
      </c>
      <c r="AL245" s="239">
        <v>0</v>
      </c>
      <c r="AM245" s="239">
        <v>0</v>
      </c>
      <c r="AN245" s="239">
        <v>0</v>
      </c>
      <c r="AO245" s="239">
        <v>0</v>
      </c>
      <c r="AP245" s="239">
        <v>0</v>
      </c>
      <c r="AQ245" s="239">
        <v>0</v>
      </c>
      <c r="AR245" s="239">
        <v>0</v>
      </c>
      <c r="AS245" s="239">
        <v>0</v>
      </c>
      <c r="AT245" s="239">
        <v>0</v>
      </c>
      <c r="AU245" s="239">
        <v>0</v>
      </c>
      <c r="AV245" s="239">
        <v>0</v>
      </c>
      <c r="AW245" s="239">
        <v>0</v>
      </c>
      <c r="AX245" s="239">
        <v>0</v>
      </c>
      <c r="AY245" s="239">
        <v>0</v>
      </c>
      <c r="AZ245" s="239">
        <v>0</v>
      </c>
      <c r="BA245" s="239">
        <v>0</v>
      </c>
      <c r="BB245" s="239">
        <v>0</v>
      </c>
      <c r="BC245" s="239">
        <v>1268059</v>
      </c>
      <c r="BD245" s="239">
        <v>317015</v>
      </c>
      <c r="BE245" s="239">
        <v>0</v>
      </c>
      <c r="BF245" s="239">
        <v>1232883.7590257509</v>
      </c>
      <c r="BG245" s="239">
        <v>308220.93975643773</v>
      </c>
      <c r="BH245" s="239">
        <v>0</v>
      </c>
      <c r="BI245" s="239">
        <v>104007.30008583691</v>
      </c>
      <c r="BJ245" s="239">
        <v>26001.825021459226</v>
      </c>
      <c r="BK245" s="239">
        <v>0</v>
      </c>
      <c r="BL245" s="239">
        <v>1186784</v>
      </c>
      <c r="BM245" s="239">
        <v>191108</v>
      </c>
      <c r="BN245" s="239">
        <v>0</v>
      </c>
      <c r="BO245" s="239">
        <v>81275</v>
      </c>
      <c r="BP245" s="239">
        <v>125907</v>
      </c>
      <c r="BQ245" s="239">
        <v>0</v>
      </c>
      <c r="BR245" s="239">
        <v>0</v>
      </c>
      <c r="BS245" s="239">
        <v>0</v>
      </c>
      <c r="BT245" s="239">
        <v>0</v>
      </c>
      <c r="BU245" s="239">
        <v>0</v>
      </c>
      <c r="BV245" s="239">
        <v>0</v>
      </c>
      <c r="BW245" s="239">
        <v>0</v>
      </c>
      <c r="BX245" s="239">
        <v>0</v>
      </c>
      <c r="BY245" s="239">
        <v>0</v>
      </c>
      <c r="BZ245" s="239">
        <v>0</v>
      </c>
      <c r="CA245" s="239">
        <v>1767</v>
      </c>
      <c r="CB245" s="239">
        <v>442</v>
      </c>
      <c r="CC245" s="239">
        <v>0</v>
      </c>
      <c r="CD245" s="239">
        <v>5422</v>
      </c>
      <c r="CE245" s="239">
        <v>1356</v>
      </c>
      <c r="CF245" s="239">
        <v>0</v>
      </c>
      <c r="CG245" s="239">
        <v>-3655</v>
      </c>
      <c r="CH245" s="239">
        <v>-914</v>
      </c>
      <c r="CI245" s="239">
        <v>0</v>
      </c>
      <c r="CJ245" s="239">
        <v>1259</v>
      </c>
      <c r="CK245" s="239">
        <v>315</v>
      </c>
      <c r="CL245" s="239">
        <v>0</v>
      </c>
      <c r="CM245" s="239">
        <v>18046</v>
      </c>
      <c r="CN245" s="239">
        <v>4512</v>
      </c>
      <c r="CO245" s="239">
        <v>0</v>
      </c>
      <c r="CP245" s="239">
        <v>-16787</v>
      </c>
      <c r="CQ245" s="239">
        <v>-4197</v>
      </c>
      <c r="CR245" s="239">
        <v>0</v>
      </c>
      <c r="CS245" s="239">
        <v>-2159</v>
      </c>
      <c r="CT245" s="239">
        <v>-540</v>
      </c>
      <c r="CU245" s="239">
        <v>0</v>
      </c>
      <c r="CV245" s="239">
        <v>0</v>
      </c>
      <c r="CW245" s="239">
        <v>0</v>
      </c>
      <c r="CX245" s="239">
        <v>0</v>
      </c>
      <c r="CY245" s="239">
        <v>0</v>
      </c>
      <c r="CZ245" s="239">
        <v>0</v>
      </c>
      <c r="DA245" s="239">
        <v>0</v>
      </c>
      <c r="DB245" s="239">
        <v>0</v>
      </c>
      <c r="DC245" s="239">
        <v>0</v>
      </c>
      <c r="DD245" s="239">
        <v>0</v>
      </c>
      <c r="DE245" s="239">
        <v>0</v>
      </c>
      <c r="DF245" s="239">
        <v>0</v>
      </c>
      <c r="DG245" s="239">
        <v>0</v>
      </c>
      <c r="DH245" s="239">
        <v>18179</v>
      </c>
      <c r="DI245" s="239">
        <v>4545</v>
      </c>
      <c r="DJ245" s="239">
        <v>0</v>
      </c>
      <c r="DK245" s="239">
        <v>34105</v>
      </c>
      <c r="DL245" s="239">
        <v>8526</v>
      </c>
      <c r="DM245" s="239">
        <v>0</v>
      </c>
      <c r="DN245" s="239">
        <v>-15926</v>
      </c>
      <c r="DO245" s="239">
        <v>-3981</v>
      </c>
      <c r="DP245" s="239">
        <v>0</v>
      </c>
      <c r="DQ245" s="239">
        <v>1218</v>
      </c>
      <c r="DR245" s="239">
        <v>305</v>
      </c>
      <c r="DS245" s="239">
        <v>0</v>
      </c>
      <c r="DT245" s="239">
        <v>1218</v>
      </c>
      <c r="DU245" s="239">
        <v>305</v>
      </c>
      <c r="DV245" s="239">
        <v>0</v>
      </c>
      <c r="DW245" s="239">
        <v>0</v>
      </c>
      <c r="DX245" s="239">
        <v>0</v>
      </c>
      <c r="DY245" s="239">
        <v>0</v>
      </c>
      <c r="DZ245" s="239">
        <v>9284</v>
      </c>
      <c r="EA245" s="239">
        <v>2321</v>
      </c>
      <c r="EB245" s="239">
        <v>0</v>
      </c>
      <c r="EC245" s="239">
        <v>13238</v>
      </c>
      <c r="ED245" s="239">
        <v>0</v>
      </c>
      <c r="EE245" s="239">
        <v>0</v>
      </c>
      <c r="EF245" s="239">
        <v>-3954</v>
      </c>
      <c r="EG245" s="239">
        <v>2321</v>
      </c>
      <c r="EH245" s="239">
        <v>0</v>
      </c>
      <c r="EI245" s="239">
        <v>128670</v>
      </c>
      <c r="EJ245" s="239">
        <v>32168</v>
      </c>
      <c r="EK245" s="239">
        <v>0</v>
      </c>
      <c r="EL245" s="239">
        <v>165962</v>
      </c>
      <c r="EM245" s="239">
        <v>0</v>
      </c>
      <c r="EN245" s="239">
        <v>0</v>
      </c>
      <c r="EO245" s="239">
        <v>-37292</v>
      </c>
      <c r="EP245" s="239">
        <v>32168</v>
      </c>
      <c r="EQ245" s="239">
        <v>0</v>
      </c>
      <c r="ER245" s="239">
        <v>23191</v>
      </c>
      <c r="ES245" s="239">
        <v>5798</v>
      </c>
      <c r="ET245" s="239">
        <v>0</v>
      </c>
      <c r="EU245" s="239">
        <v>28998</v>
      </c>
      <c r="EV245" s="239">
        <v>0</v>
      </c>
      <c r="EW245" s="239">
        <v>0</v>
      </c>
      <c r="EX245" s="239">
        <v>-5807</v>
      </c>
      <c r="EY245" s="239">
        <v>5798</v>
      </c>
      <c r="EZ245" s="239">
        <v>0</v>
      </c>
      <c r="FA245" s="239">
        <v>238676</v>
      </c>
      <c r="FB245" s="239">
        <v>59647</v>
      </c>
      <c r="FC245" s="239">
        <v>0</v>
      </c>
      <c r="FD245" s="239">
        <v>241898</v>
      </c>
      <c r="FE245" s="239">
        <v>59719</v>
      </c>
      <c r="FF245" s="239">
        <v>0</v>
      </c>
      <c r="FG245" s="239">
        <v>-3222</v>
      </c>
      <c r="FH245" s="239">
        <v>-72</v>
      </c>
      <c r="FI245" s="239">
        <v>0</v>
      </c>
      <c r="FJ245" s="239">
        <v>0</v>
      </c>
      <c r="FK245" s="239">
        <v>0</v>
      </c>
      <c r="FL245" s="239">
        <v>0</v>
      </c>
      <c r="FM245" s="239">
        <v>0</v>
      </c>
      <c r="FN245" s="239">
        <v>0</v>
      </c>
      <c r="FO245" s="239">
        <v>0</v>
      </c>
      <c r="FP245" s="239">
        <v>0</v>
      </c>
      <c r="FQ245" s="239">
        <v>0</v>
      </c>
      <c r="FR245" s="239">
        <v>0</v>
      </c>
      <c r="FS245" s="239">
        <v>0</v>
      </c>
      <c r="FT245" s="239">
        <v>0</v>
      </c>
      <c r="FU245" s="239">
        <v>0</v>
      </c>
      <c r="FV245" s="239">
        <v>1688144</v>
      </c>
      <c r="FW245" s="239">
        <v>422016</v>
      </c>
      <c r="FX245" s="239">
        <v>0</v>
      </c>
      <c r="FY245" s="834">
        <v>0.5</v>
      </c>
      <c r="FZ245" s="834">
        <v>0.4</v>
      </c>
      <c r="GA245" s="834">
        <v>0.1</v>
      </c>
      <c r="GB245" s="834">
        <v>0</v>
      </c>
      <c r="GC245" s="214" t="s">
        <v>1158</v>
      </c>
    </row>
    <row r="246" spans="2:185" s="214" customFormat="1" x14ac:dyDescent="0.2">
      <c r="B246" s="602" t="s">
        <v>575</v>
      </c>
      <c r="C246" s="602" t="s">
        <v>574</v>
      </c>
      <c r="D246" s="239">
        <v>1350521</v>
      </c>
      <c r="E246" s="239">
        <v>0</v>
      </c>
      <c r="F246" s="239">
        <v>1350521</v>
      </c>
      <c r="G246" s="239">
        <v>1235130</v>
      </c>
      <c r="H246" s="239">
        <v>0</v>
      </c>
      <c r="I246" s="239">
        <v>1235130</v>
      </c>
      <c r="J246" s="239">
        <v>115391</v>
      </c>
      <c r="K246" s="239">
        <v>0</v>
      </c>
      <c r="L246" s="239">
        <v>115391</v>
      </c>
      <c r="M246" s="239">
        <v>300847</v>
      </c>
      <c r="N246" s="239">
        <v>300847</v>
      </c>
      <c r="O246" s="239">
        <v>0</v>
      </c>
      <c r="P246" s="239">
        <v>0</v>
      </c>
      <c r="Q246" s="239">
        <v>0</v>
      </c>
      <c r="R246" s="239">
        <v>0</v>
      </c>
      <c r="S246" s="239">
        <v>0</v>
      </c>
      <c r="T246" s="239">
        <v>0</v>
      </c>
      <c r="U246" s="239">
        <v>0</v>
      </c>
      <c r="V246" s="239">
        <v>0</v>
      </c>
      <c r="W246" s="239">
        <v>0</v>
      </c>
      <c r="X246" s="239">
        <v>0</v>
      </c>
      <c r="Y246" s="239">
        <v>0</v>
      </c>
      <c r="Z246" s="239">
        <v>0</v>
      </c>
      <c r="AA246" s="239">
        <v>0</v>
      </c>
      <c r="AB246" s="239">
        <v>0</v>
      </c>
      <c r="AC246" s="239">
        <v>0</v>
      </c>
      <c r="AD246" s="239">
        <v>0</v>
      </c>
      <c r="AE246" s="239">
        <v>0</v>
      </c>
      <c r="AF246" s="239">
        <v>0</v>
      </c>
      <c r="AG246" s="239">
        <v>0</v>
      </c>
      <c r="AH246" s="239">
        <v>0</v>
      </c>
      <c r="AI246" s="239">
        <v>0</v>
      </c>
      <c r="AJ246" s="239">
        <v>0</v>
      </c>
      <c r="AK246" s="239">
        <v>0</v>
      </c>
      <c r="AL246" s="239">
        <v>0</v>
      </c>
      <c r="AM246" s="239">
        <v>0</v>
      </c>
      <c r="AN246" s="239">
        <v>0</v>
      </c>
      <c r="AO246" s="239">
        <v>0</v>
      </c>
      <c r="AP246" s="239">
        <v>0</v>
      </c>
      <c r="AQ246" s="239">
        <v>0</v>
      </c>
      <c r="AR246" s="239">
        <v>0</v>
      </c>
      <c r="AS246" s="239">
        <v>0</v>
      </c>
      <c r="AT246" s="239">
        <v>0</v>
      </c>
      <c r="AU246" s="239">
        <v>0</v>
      </c>
      <c r="AV246" s="239">
        <v>0</v>
      </c>
      <c r="AW246" s="239">
        <v>0</v>
      </c>
      <c r="AX246" s="239">
        <v>0</v>
      </c>
      <c r="AY246" s="239">
        <v>0</v>
      </c>
      <c r="AZ246" s="239">
        <v>0</v>
      </c>
      <c r="BA246" s="239">
        <v>0</v>
      </c>
      <c r="BB246" s="239">
        <v>0</v>
      </c>
      <c r="BC246" s="239">
        <v>2313611</v>
      </c>
      <c r="BD246" s="239">
        <v>578403</v>
      </c>
      <c r="BE246" s="239">
        <v>0</v>
      </c>
      <c r="BF246" s="239">
        <v>2275281.7716927039</v>
      </c>
      <c r="BG246" s="239">
        <v>568820.44292317599</v>
      </c>
      <c r="BH246" s="239">
        <v>0</v>
      </c>
      <c r="BI246" s="239">
        <v>127431.95517167382</v>
      </c>
      <c r="BJ246" s="239">
        <v>31857.988792918455</v>
      </c>
      <c r="BK246" s="239">
        <v>0</v>
      </c>
      <c r="BL246" s="239">
        <v>2695620</v>
      </c>
      <c r="BM246" s="239">
        <v>490113</v>
      </c>
      <c r="BN246" s="239">
        <v>0</v>
      </c>
      <c r="BO246" s="239">
        <v>-382009</v>
      </c>
      <c r="BP246" s="239">
        <v>88290</v>
      </c>
      <c r="BQ246" s="239">
        <v>0</v>
      </c>
      <c r="BR246" s="239">
        <v>3823</v>
      </c>
      <c r="BS246" s="239">
        <v>956</v>
      </c>
      <c r="BT246" s="239">
        <v>0</v>
      </c>
      <c r="BU246" s="239">
        <v>388</v>
      </c>
      <c r="BV246" s="239">
        <v>97</v>
      </c>
      <c r="BW246" s="239">
        <v>0</v>
      </c>
      <c r="BX246" s="239">
        <v>3435</v>
      </c>
      <c r="BY246" s="239">
        <v>859</v>
      </c>
      <c r="BZ246" s="239">
        <v>0</v>
      </c>
      <c r="CA246" s="239">
        <v>73</v>
      </c>
      <c r="CB246" s="239">
        <v>18</v>
      </c>
      <c r="CC246" s="239">
        <v>0</v>
      </c>
      <c r="CD246" s="239">
        <v>358</v>
      </c>
      <c r="CE246" s="239">
        <v>90</v>
      </c>
      <c r="CF246" s="239">
        <v>0</v>
      </c>
      <c r="CG246" s="239">
        <v>-285</v>
      </c>
      <c r="CH246" s="239">
        <v>-72</v>
      </c>
      <c r="CI246" s="239">
        <v>0</v>
      </c>
      <c r="CJ246" s="239">
        <v>6169</v>
      </c>
      <c r="CK246" s="239">
        <v>1542</v>
      </c>
      <c r="CL246" s="239">
        <v>0</v>
      </c>
      <c r="CM246" s="239">
        <v>3293</v>
      </c>
      <c r="CN246" s="239">
        <v>823</v>
      </c>
      <c r="CO246" s="239">
        <v>0</v>
      </c>
      <c r="CP246" s="239">
        <v>2876</v>
      </c>
      <c r="CQ246" s="239">
        <v>719</v>
      </c>
      <c r="CR246" s="239">
        <v>0</v>
      </c>
      <c r="CS246" s="239">
        <v>-449</v>
      </c>
      <c r="CT246" s="239">
        <v>-112</v>
      </c>
      <c r="CU246" s="239">
        <v>0</v>
      </c>
      <c r="CV246" s="239">
        <v>-12048</v>
      </c>
      <c r="CW246" s="239">
        <v>-3012</v>
      </c>
      <c r="CX246" s="239">
        <v>0</v>
      </c>
      <c r="CY246" s="239">
        <v>0</v>
      </c>
      <c r="CZ246" s="239">
        <v>0</v>
      </c>
      <c r="DA246" s="239">
        <v>0</v>
      </c>
      <c r="DB246" s="239">
        <v>-12048</v>
      </c>
      <c r="DC246" s="239">
        <v>-3012</v>
      </c>
      <c r="DD246" s="239">
        <v>0</v>
      </c>
      <c r="DE246" s="239">
        <v>-24</v>
      </c>
      <c r="DF246" s="239">
        <v>-6</v>
      </c>
      <c r="DG246" s="239">
        <v>0</v>
      </c>
      <c r="DH246" s="239">
        <v>7909</v>
      </c>
      <c r="DI246" s="239">
        <v>1977</v>
      </c>
      <c r="DJ246" s="239">
        <v>0</v>
      </c>
      <c r="DK246" s="239">
        <v>8241</v>
      </c>
      <c r="DL246" s="239">
        <v>2060</v>
      </c>
      <c r="DM246" s="239">
        <v>0</v>
      </c>
      <c r="DN246" s="239">
        <v>-332</v>
      </c>
      <c r="DO246" s="239">
        <v>-83</v>
      </c>
      <c r="DP246" s="239">
        <v>0</v>
      </c>
      <c r="DQ246" s="239">
        <v>609</v>
      </c>
      <c r="DR246" s="239">
        <v>152</v>
      </c>
      <c r="DS246" s="239">
        <v>0</v>
      </c>
      <c r="DT246" s="239">
        <v>609</v>
      </c>
      <c r="DU246" s="239">
        <v>152</v>
      </c>
      <c r="DV246" s="239">
        <v>0</v>
      </c>
      <c r="DW246" s="239">
        <v>0</v>
      </c>
      <c r="DX246" s="239">
        <v>0</v>
      </c>
      <c r="DY246" s="239">
        <v>0</v>
      </c>
      <c r="DZ246" s="239">
        <v>27404</v>
      </c>
      <c r="EA246" s="239">
        <v>6851</v>
      </c>
      <c r="EB246" s="239">
        <v>0</v>
      </c>
      <c r="EC246" s="239">
        <v>34320</v>
      </c>
      <c r="ED246" s="239">
        <v>0</v>
      </c>
      <c r="EE246" s="239">
        <v>0</v>
      </c>
      <c r="EF246" s="239">
        <v>-6916</v>
      </c>
      <c r="EG246" s="239">
        <v>6851</v>
      </c>
      <c r="EH246" s="239">
        <v>0</v>
      </c>
      <c r="EI246" s="239">
        <v>136130</v>
      </c>
      <c r="EJ246" s="239">
        <v>34033</v>
      </c>
      <c r="EK246" s="239">
        <v>0</v>
      </c>
      <c r="EL246" s="239">
        <v>241560</v>
      </c>
      <c r="EM246" s="239">
        <v>0</v>
      </c>
      <c r="EN246" s="239">
        <v>0</v>
      </c>
      <c r="EO246" s="239">
        <v>-105430</v>
      </c>
      <c r="EP246" s="239">
        <v>34033</v>
      </c>
      <c r="EQ246" s="239">
        <v>0</v>
      </c>
      <c r="ER246" s="239">
        <v>50103</v>
      </c>
      <c r="ES246" s="239">
        <v>12526</v>
      </c>
      <c r="ET246" s="239">
        <v>0</v>
      </c>
      <c r="EU246" s="239">
        <v>63876</v>
      </c>
      <c r="EV246" s="239">
        <v>0</v>
      </c>
      <c r="EW246" s="239">
        <v>0</v>
      </c>
      <c r="EX246" s="239">
        <v>-13773</v>
      </c>
      <c r="EY246" s="239">
        <v>12526</v>
      </c>
      <c r="EZ246" s="239">
        <v>0</v>
      </c>
      <c r="FA246" s="239">
        <v>247996</v>
      </c>
      <c r="FB246" s="239">
        <v>61999</v>
      </c>
      <c r="FC246" s="239">
        <v>0</v>
      </c>
      <c r="FD246" s="239">
        <v>241682</v>
      </c>
      <c r="FE246" s="239">
        <v>60420</v>
      </c>
      <c r="FF246" s="239">
        <v>0</v>
      </c>
      <c r="FG246" s="239">
        <v>6314</v>
      </c>
      <c r="FH246" s="239">
        <v>1579</v>
      </c>
      <c r="FI246" s="239">
        <v>0</v>
      </c>
      <c r="FJ246" s="239">
        <v>0</v>
      </c>
      <c r="FK246" s="239">
        <v>0</v>
      </c>
      <c r="FL246" s="239">
        <v>0</v>
      </c>
      <c r="FM246" s="239">
        <v>0</v>
      </c>
      <c r="FN246" s="239">
        <v>0</v>
      </c>
      <c r="FO246" s="239">
        <v>0</v>
      </c>
      <c r="FP246" s="239">
        <v>0</v>
      </c>
      <c r="FQ246" s="239">
        <v>0</v>
      </c>
      <c r="FR246" s="239">
        <v>0</v>
      </c>
      <c r="FS246" s="239">
        <v>0</v>
      </c>
      <c r="FT246" s="239">
        <v>0</v>
      </c>
      <c r="FU246" s="239">
        <v>0</v>
      </c>
      <c r="FV246" s="239">
        <v>2781306</v>
      </c>
      <c r="FW246" s="239">
        <v>695327</v>
      </c>
      <c r="FX246" s="239">
        <v>0</v>
      </c>
      <c r="FY246" s="834">
        <v>0.5</v>
      </c>
      <c r="FZ246" s="834">
        <v>0.4</v>
      </c>
      <c r="GA246" s="834">
        <v>0.1</v>
      </c>
      <c r="GB246" s="834">
        <v>0</v>
      </c>
      <c r="GC246" s="214" t="s">
        <v>1158</v>
      </c>
    </row>
    <row r="247" spans="2:185" s="214" customFormat="1" x14ac:dyDescent="0.2">
      <c r="B247" s="602" t="s">
        <v>577</v>
      </c>
      <c r="C247" s="602" t="s">
        <v>576</v>
      </c>
      <c r="D247" s="239">
        <v>-147773</v>
      </c>
      <c r="E247" s="239">
        <v>-11930</v>
      </c>
      <c r="F247" s="239">
        <v>-159703</v>
      </c>
      <c r="G247" s="239">
        <v>-416841</v>
      </c>
      <c r="H247" s="239">
        <v>-5077</v>
      </c>
      <c r="I247" s="239">
        <v>-421918</v>
      </c>
      <c r="J247" s="239">
        <v>269068</v>
      </c>
      <c r="K247" s="239">
        <v>-6853</v>
      </c>
      <c r="L247" s="239">
        <v>262215</v>
      </c>
      <c r="M247" s="239">
        <v>162366</v>
      </c>
      <c r="N247" s="239">
        <v>162366</v>
      </c>
      <c r="O247" s="239">
        <v>0</v>
      </c>
      <c r="P247" s="239">
        <v>0</v>
      </c>
      <c r="Q247" s="239">
        <v>0</v>
      </c>
      <c r="R247" s="239">
        <v>0</v>
      </c>
      <c r="S247" s="239">
        <v>156880</v>
      </c>
      <c r="T247" s="239">
        <v>0</v>
      </c>
      <c r="U247" s="239">
        <v>149872</v>
      </c>
      <c r="V247" s="239">
        <v>0</v>
      </c>
      <c r="W247" s="239">
        <v>7008</v>
      </c>
      <c r="X247" s="239">
        <v>0</v>
      </c>
      <c r="Y247" s="239">
        <v>227686</v>
      </c>
      <c r="Z247" s="239">
        <v>227686</v>
      </c>
      <c r="AA247" s="239">
        <v>0</v>
      </c>
      <c r="AB247" s="239">
        <v>0</v>
      </c>
      <c r="AC247" s="239">
        <v>284686</v>
      </c>
      <c r="AD247" s="239">
        <v>284686</v>
      </c>
      <c r="AE247" s="239">
        <v>0</v>
      </c>
      <c r="AF247" s="239">
        <v>0</v>
      </c>
      <c r="AG247" s="239">
        <v>-57000</v>
      </c>
      <c r="AH247" s="239">
        <v>-57000</v>
      </c>
      <c r="AI247" s="239">
        <v>0</v>
      </c>
      <c r="AJ247" s="239">
        <v>0</v>
      </c>
      <c r="AK247" s="239">
        <v>0</v>
      </c>
      <c r="AL247" s="239">
        <v>0</v>
      </c>
      <c r="AM247" s="239">
        <v>0</v>
      </c>
      <c r="AN247" s="239">
        <v>0</v>
      </c>
      <c r="AO247" s="239">
        <v>0</v>
      </c>
      <c r="AP247" s="239">
        <v>0</v>
      </c>
      <c r="AQ247" s="239">
        <v>0</v>
      </c>
      <c r="AR247" s="239">
        <v>0</v>
      </c>
      <c r="AS247" s="239">
        <v>0</v>
      </c>
      <c r="AT247" s="239">
        <v>0</v>
      </c>
      <c r="AU247" s="239">
        <v>0</v>
      </c>
      <c r="AV247" s="239">
        <v>0</v>
      </c>
      <c r="AW247" s="239">
        <v>0</v>
      </c>
      <c r="AX247" s="239">
        <v>0</v>
      </c>
      <c r="AY247" s="239">
        <v>0</v>
      </c>
      <c r="AZ247" s="239">
        <v>0</v>
      </c>
      <c r="BA247" s="239">
        <v>0</v>
      </c>
      <c r="BB247" s="239">
        <v>0</v>
      </c>
      <c r="BC247" s="239">
        <v>1127603</v>
      </c>
      <c r="BD247" s="239">
        <v>280918</v>
      </c>
      <c r="BE247" s="239">
        <v>0</v>
      </c>
      <c r="BF247" s="239">
        <v>1106442.6085253221</v>
      </c>
      <c r="BG247" s="239">
        <v>275646.85271502152</v>
      </c>
      <c r="BH247" s="239">
        <v>0</v>
      </c>
      <c r="BI247" s="239">
        <v>70023.914721030029</v>
      </c>
      <c r="BJ247" s="239">
        <v>17275.061298283261</v>
      </c>
      <c r="BK247" s="239">
        <v>0</v>
      </c>
      <c r="BL247" s="239">
        <v>1114360</v>
      </c>
      <c r="BM247" s="239">
        <v>189713</v>
      </c>
      <c r="BN247" s="239">
        <v>0</v>
      </c>
      <c r="BO247" s="239">
        <v>13243</v>
      </c>
      <c r="BP247" s="239">
        <v>91205</v>
      </c>
      <c r="BQ247" s="239">
        <v>0</v>
      </c>
      <c r="BR247" s="239">
        <v>0</v>
      </c>
      <c r="BS247" s="239">
        <v>0</v>
      </c>
      <c r="BT247" s="239">
        <v>0</v>
      </c>
      <c r="BU247" s="239">
        <v>0</v>
      </c>
      <c r="BV247" s="239">
        <v>0</v>
      </c>
      <c r="BW247" s="239">
        <v>0</v>
      </c>
      <c r="BX247" s="239">
        <v>0</v>
      </c>
      <c r="BY247" s="239">
        <v>0</v>
      </c>
      <c r="BZ247" s="239">
        <v>0</v>
      </c>
      <c r="CA247" s="239">
        <v>4609</v>
      </c>
      <c r="CB247" s="239">
        <v>1152</v>
      </c>
      <c r="CC247" s="239">
        <v>0</v>
      </c>
      <c r="CD247" s="239">
        <v>8120</v>
      </c>
      <c r="CE247" s="239">
        <v>2030</v>
      </c>
      <c r="CF247" s="239">
        <v>0</v>
      </c>
      <c r="CG247" s="239">
        <v>-3511</v>
      </c>
      <c r="CH247" s="239">
        <v>-878</v>
      </c>
      <c r="CI247" s="239">
        <v>0</v>
      </c>
      <c r="CJ247" s="239">
        <v>123</v>
      </c>
      <c r="CK247" s="239">
        <v>31</v>
      </c>
      <c r="CL247" s="239">
        <v>0</v>
      </c>
      <c r="CM247" s="239">
        <v>0</v>
      </c>
      <c r="CN247" s="239">
        <v>0</v>
      </c>
      <c r="CO247" s="239">
        <v>0</v>
      </c>
      <c r="CP247" s="239">
        <v>123</v>
      </c>
      <c r="CQ247" s="239">
        <v>31</v>
      </c>
      <c r="CR247" s="239">
        <v>0</v>
      </c>
      <c r="CS247" s="239">
        <v>783</v>
      </c>
      <c r="CT247" s="239">
        <v>196</v>
      </c>
      <c r="CU247" s="239">
        <v>0</v>
      </c>
      <c r="CV247" s="239">
        <v>0</v>
      </c>
      <c r="CW247" s="239">
        <v>0</v>
      </c>
      <c r="CX247" s="239">
        <v>0</v>
      </c>
      <c r="CY247" s="239">
        <v>0</v>
      </c>
      <c r="CZ247" s="239">
        <v>0</v>
      </c>
      <c r="DA247" s="239">
        <v>0</v>
      </c>
      <c r="DB247" s="239">
        <v>0</v>
      </c>
      <c r="DC247" s="239">
        <v>0</v>
      </c>
      <c r="DD247" s="239">
        <v>0</v>
      </c>
      <c r="DE247" s="239">
        <v>-870</v>
      </c>
      <c r="DF247" s="239">
        <v>-217</v>
      </c>
      <c r="DG247" s="239">
        <v>0</v>
      </c>
      <c r="DH247" s="239">
        <v>31682</v>
      </c>
      <c r="DI247" s="239">
        <v>7920</v>
      </c>
      <c r="DJ247" s="239">
        <v>0</v>
      </c>
      <c r="DK247" s="239">
        <v>39066</v>
      </c>
      <c r="DL247" s="239">
        <v>9767</v>
      </c>
      <c r="DM247" s="239">
        <v>0</v>
      </c>
      <c r="DN247" s="239">
        <v>-7384</v>
      </c>
      <c r="DO247" s="239">
        <v>-1847</v>
      </c>
      <c r="DP247" s="239">
        <v>0</v>
      </c>
      <c r="DQ247" s="239">
        <v>609</v>
      </c>
      <c r="DR247" s="239">
        <v>152</v>
      </c>
      <c r="DS247" s="239">
        <v>0</v>
      </c>
      <c r="DT247" s="239">
        <v>2507</v>
      </c>
      <c r="DU247" s="239">
        <v>627</v>
      </c>
      <c r="DV247" s="239">
        <v>0</v>
      </c>
      <c r="DW247" s="239">
        <v>-1898</v>
      </c>
      <c r="DX247" s="239">
        <v>-475</v>
      </c>
      <c r="DY247" s="239">
        <v>0</v>
      </c>
      <c r="DZ247" s="239">
        <v>11914</v>
      </c>
      <c r="EA247" s="239">
        <v>2978</v>
      </c>
      <c r="EB247" s="239">
        <v>0</v>
      </c>
      <c r="EC247" s="239">
        <v>14801</v>
      </c>
      <c r="ED247" s="239">
        <v>0</v>
      </c>
      <c r="EE247" s="239">
        <v>0</v>
      </c>
      <c r="EF247" s="239">
        <v>-2887</v>
      </c>
      <c r="EG247" s="239">
        <v>2978</v>
      </c>
      <c r="EH247" s="239">
        <v>0</v>
      </c>
      <c r="EI247" s="239">
        <v>98518</v>
      </c>
      <c r="EJ247" s="239">
        <v>24629</v>
      </c>
      <c r="EK247" s="239">
        <v>0</v>
      </c>
      <c r="EL247" s="239">
        <v>121325</v>
      </c>
      <c r="EM247" s="239">
        <v>0</v>
      </c>
      <c r="EN247" s="239">
        <v>0</v>
      </c>
      <c r="EO247" s="239">
        <v>-22807</v>
      </c>
      <c r="EP247" s="239">
        <v>24629</v>
      </c>
      <c r="EQ247" s="239">
        <v>0</v>
      </c>
      <c r="ER247" s="239">
        <v>20382</v>
      </c>
      <c r="ES247" s="239">
        <v>5095</v>
      </c>
      <c r="ET247" s="239">
        <v>0</v>
      </c>
      <c r="EU247" s="239">
        <v>25467</v>
      </c>
      <c r="EV247" s="239">
        <v>0</v>
      </c>
      <c r="EW247" s="239">
        <v>0</v>
      </c>
      <c r="EX247" s="239">
        <v>-5085</v>
      </c>
      <c r="EY247" s="239">
        <v>5095</v>
      </c>
      <c r="EZ247" s="239">
        <v>0</v>
      </c>
      <c r="FA247" s="239">
        <v>172251</v>
      </c>
      <c r="FB247" s="239">
        <v>42474</v>
      </c>
      <c r="FC247" s="239">
        <v>0</v>
      </c>
      <c r="FD247" s="239">
        <v>183151</v>
      </c>
      <c r="FE247" s="239">
        <v>44156</v>
      </c>
      <c r="FF247" s="239">
        <v>0</v>
      </c>
      <c r="FG247" s="239">
        <v>-10900</v>
      </c>
      <c r="FH247" s="239">
        <v>-1682</v>
      </c>
      <c r="FI247" s="239">
        <v>0</v>
      </c>
      <c r="FJ247" s="239">
        <v>0</v>
      </c>
      <c r="FK247" s="239">
        <v>0</v>
      </c>
      <c r="FL247" s="239">
        <v>0</v>
      </c>
      <c r="FM247" s="239">
        <v>0</v>
      </c>
      <c r="FN247" s="239">
        <v>0</v>
      </c>
      <c r="FO247" s="239">
        <v>0</v>
      </c>
      <c r="FP247" s="239">
        <v>0</v>
      </c>
      <c r="FQ247" s="239">
        <v>0</v>
      </c>
      <c r="FR247" s="239">
        <v>0</v>
      </c>
      <c r="FS247" s="239">
        <v>0</v>
      </c>
      <c r="FT247" s="239">
        <v>0</v>
      </c>
      <c r="FU247" s="239">
        <v>0</v>
      </c>
      <c r="FV247" s="239">
        <v>1467604</v>
      </c>
      <c r="FW247" s="239">
        <v>365328</v>
      </c>
      <c r="FX247" s="239">
        <v>0</v>
      </c>
      <c r="FY247" s="834">
        <v>0.5</v>
      </c>
      <c r="FZ247" s="834">
        <v>0.4</v>
      </c>
      <c r="GA247" s="834">
        <v>0.1</v>
      </c>
      <c r="GB247" s="834">
        <v>0</v>
      </c>
      <c r="GC247" s="214" t="s">
        <v>1158</v>
      </c>
    </row>
    <row r="248" spans="2:185" s="214" customFormat="1" x14ac:dyDescent="0.2">
      <c r="B248" s="602" t="s">
        <v>579</v>
      </c>
      <c r="C248" s="602" t="s">
        <v>578</v>
      </c>
      <c r="D248" s="239">
        <v>238625</v>
      </c>
      <c r="E248" s="239">
        <v>0</v>
      </c>
      <c r="F248" s="239">
        <v>238625</v>
      </c>
      <c r="G248" s="239">
        <v>-2762</v>
      </c>
      <c r="H248" s="239">
        <v>0</v>
      </c>
      <c r="I248" s="239">
        <v>-2762</v>
      </c>
      <c r="J248" s="239">
        <v>241387</v>
      </c>
      <c r="K248" s="239">
        <v>0</v>
      </c>
      <c r="L248" s="239">
        <v>241387</v>
      </c>
      <c r="M248" s="239">
        <v>107996</v>
      </c>
      <c r="N248" s="239">
        <v>107996</v>
      </c>
      <c r="O248" s="239">
        <v>0</v>
      </c>
      <c r="P248" s="239">
        <v>0</v>
      </c>
      <c r="Q248" s="239">
        <v>0</v>
      </c>
      <c r="R248" s="239">
        <v>0</v>
      </c>
      <c r="S248" s="239">
        <v>340967</v>
      </c>
      <c r="T248" s="239">
        <v>0</v>
      </c>
      <c r="U248" s="239">
        <v>234453</v>
      </c>
      <c r="V248" s="239">
        <v>0</v>
      </c>
      <c r="W248" s="239">
        <v>106514</v>
      </c>
      <c r="X248" s="239">
        <v>0</v>
      </c>
      <c r="Y248" s="239">
        <v>0</v>
      </c>
      <c r="Z248" s="239">
        <v>0</v>
      </c>
      <c r="AA248" s="239">
        <v>0</v>
      </c>
      <c r="AB248" s="239">
        <v>0</v>
      </c>
      <c r="AC248" s="239">
        <v>0</v>
      </c>
      <c r="AD248" s="239">
        <v>0</v>
      </c>
      <c r="AE248" s="239">
        <v>0</v>
      </c>
      <c r="AF248" s="239">
        <v>0</v>
      </c>
      <c r="AG248" s="239">
        <v>0</v>
      </c>
      <c r="AH248" s="239">
        <v>0</v>
      </c>
      <c r="AI248" s="239">
        <v>0</v>
      </c>
      <c r="AJ248" s="239">
        <v>0</v>
      </c>
      <c r="AK248" s="239">
        <v>0</v>
      </c>
      <c r="AL248" s="239">
        <v>0</v>
      </c>
      <c r="AM248" s="239">
        <v>0</v>
      </c>
      <c r="AN248" s="239">
        <v>0</v>
      </c>
      <c r="AO248" s="239">
        <v>0</v>
      </c>
      <c r="AP248" s="239">
        <v>0</v>
      </c>
      <c r="AQ248" s="239">
        <v>0</v>
      </c>
      <c r="AR248" s="239">
        <v>0</v>
      </c>
      <c r="AS248" s="239">
        <v>0</v>
      </c>
      <c r="AT248" s="239">
        <v>0</v>
      </c>
      <c r="AU248" s="239">
        <v>0</v>
      </c>
      <c r="AV248" s="239">
        <v>0</v>
      </c>
      <c r="AW248" s="239">
        <v>0</v>
      </c>
      <c r="AX248" s="239">
        <v>0</v>
      </c>
      <c r="AY248" s="239">
        <v>0</v>
      </c>
      <c r="AZ248" s="239">
        <v>0</v>
      </c>
      <c r="BA248" s="239">
        <v>0</v>
      </c>
      <c r="BB248" s="239">
        <v>0</v>
      </c>
      <c r="BC248" s="239">
        <v>856351</v>
      </c>
      <c r="BD248" s="239">
        <v>214088</v>
      </c>
      <c r="BE248" s="239">
        <v>0</v>
      </c>
      <c r="BF248" s="239">
        <v>840654.02384034346</v>
      </c>
      <c r="BG248" s="239">
        <v>210163.50596008587</v>
      </c>
      <c r="BH248" s="239">
        <v>0</v>
      </c>
      <c r="BI248" s="239">
        <v>50730.305622317595</v>
      </c>
      <c r="BJ248" s="239">
        <v>12682.576405579399</v>
      </c>
      <c r="BK248" s="239">
        <v>0</v>
      </c>
      <c r="BL248" s="239">
        <v>803418</v>
      </c>
      <c r="BM248" s="239">
        <v>135028</v>
      </c>
      <c r="BN248" s="239">
        <v>0</v>
      </c>
      <c r="BO248" s="239">
        <v>52933</v>
      </c>
      <c r="BP248" s="239">
        <v>79060</v>
      </c>
      <c r="BQ248" s="239">
        <v>0</v>
      </c>
      <c r="BR248" s="239">
        <v>105</v>
      </c>
      <c r="BS248" s="239">
        <v>26</v>
      </c>
      <c r="BT248" s="239">
        <v>0</v>
      </c>
      <c r="BU248" s="239">
        <v>1022</v>
      </c>
      <c r="BV248" s="239">
        <v>255</v>
      </c>
      <c r="BW248" s="239">
        <v>0</v>
      </c>
      <c r="BX248" s="239">
        <v>-917</v>
      </c>
      <c r="BY248" s="239">
        <v>-229</v>
      </c>
      <c r="BZ248" s="239">
        <v>0</v>
      </c>
      <c r="CA248" s="239">
        <v>0</v>
      </c>
      <c r="CB248" s="239">
        <v>0</v>
      </c>
      <c r="CC248" s="239">
        <v>0</v>
      </c>
      <c r="CD248" s="239">
        <v>0</v>
      </c>
      <c r="CE248" s="239">
        <v>0</v>
      </c>
      <c r="CF248" s="239">
        <v>0</v>
      </c>
      <c r="CG248" s="239">
        <v>0</v>
      </c>
      <c r="CH248" s="239">
        <v>0</v>
      </c>
      <c r="CI248" s="239">
        <v>0</v>
      </c>
      <c r="CJ248" s="239">
        <v>0</v>
      </c>
      <c r="CK248" s="239">
        <v>0</v>
      </c>
      <c r="CL248" s="239">
        <v>0</v>
      </c>
      <c r="CM248" s="239">
        <v>0</v>
      </c>
      <c r="CN248" s="239">
        <v>0</v>
      </c>
      <c r="CO248" s="239">
        <v>0</v>
      </c>
      <c r="CP248" s="239">
        <v>0</v>
      </c>
      <c r="CQ248" s="239">
        <v>0</v>
      </c>
      <c r="CR248" s="239">
        <v>0</v>
      </c>
      <c r="CS248" s="239">
        <v>-239</v>
      </c>
      <c r="CT248" s="239">
        <v>-60</v>
      </c>
      <c r="CU248" s="239">
        <v>0</v>
      </c>
      <c r="CV248" s="239">
        <v>0</v>
      </c>
      <c r="CW248" s="239">
        <v>0</v>
      </c>
      <c r="CX248" s="239">
        <v>0</v>
      </c>
      <c r="CY248" s="239">
        <v>0</v>
      </c>
      <c r="CZ248" s="239">
        <v>0</v>
      </c>
      <c r="DA248" s="239">
        <v>0</v>
      </c>
      <c r="DB248" s="239">
        <v>0</v>
      </c>
      <c r="DC248" s="239">
        <v>0</v>
      </c>
      <c r="DD248" s="239">
        <v>0</v>
      </c>
      <c r="DE248" s="239">
        <v>0</v>
      </c>
      <c r="DF248" s="239">
        <v>0</v>
      </c>
      <c r="DG248" s="239">
        <v>0</v>
      </c>
      <c r="DH248" s="239">
        <v>17959</v>
      </c>
      <c r="DI248" s="239">
        <v>4490</v>
      </c>
      <c r="DJ248" s="239">
        <v>0</v>
      </c>
      <c r="DK248" s="239">
        <v>23419</v>
      </c>
      <c r="DL248" s="239">
        <v>5855</v>
      </c>
      <c r="DM248" s="239">
        <v>0</v>
      </c>
      <c r="DN248" s="239">
        <v>-5460</v>
      </c>
      <c r="DO248" s="239">
        <v>-1365</v>
      </c>
      <c r="DP248" s="239">
        <v>0</v>
      </c>
      <c r="DQ248" s="239">
        <v>0</v>
      </c>
      <c r="DR248" s="239">
        <v>0</v>
      </c>
      <c r="DS248" s="239">
        <v>0</v>
      </c>
      <c r="DT248" s="239">
        <v>0</v>
      </c>
      <c r="DU248" s="239">
        <v>0</v>
      </c>
      <c r="DV248" s="239">
        <v>0</v>
      </c>
      <c r="DW248" s="239">
        <v>0</v>
      </c>
      <c r="DX248" s="239">
        <v>0</v>
      </c>
      <c r="DY248" s="239">
        <v>0</v>
      </c>
      <c r="DZ248" s="239">
        <v>15911</v>
      </c>
      <c r="EA248" s="239">
        <v>3978</v>
      </c>
      <c r="EB248" s="239">
        <v>0</v>
      </c>
      <c r="EC248" s="239">
        <v>20305</v>
      </c>
      <c r="ED248" s="239">
        <v>0</v>
      </c>
      <c r="EE248" s="239">
        <v>0</v>
      </c>
      <c r="EF248" s="239">
        <v>-4394</v>
      </c>
      <c r="EG248" s="239">
        <v>3978</v>
      </c>
      <c r="EH248" s="239">
        <v>0</v>
      </c>
      <c r="EI248" s="239">
        <v>44816</v>
      </c>
      <c r="EJ248" s="239">
        <v>11204</v>
      </c>
      <c r="EK248" s="239">
        <v>0</v>
      </c>
      <c r="EL248" s="239">
        <v>58783</v>
      </c>
      <c r="EM248" s="239">
        <v>0</v>
      </c>
      <c r="EN248" s="239">
        <v>0</v>
      </c>
      <c r="EO248" s="239">
        <v>-13967</v>
      </c>
      <c r="EP248" s="239">
        <v>11204</v>
      </c>
      <c r="EQ248" s="239">
        <v>0</v>
      </c>
      <c r="ER248" s="239">
        <v>17555</v>
      </c>
      <c r="ES248" s="239">
        <v>4389</v>
      </c>
      <c r="ET248" s="239">
        <v>0</v>
      </c>
      <c r="EU248" s="239">
        <v>21272</v>
      </c>
      <c r="EV248" s="239">
        <v>0</v>
      </c>
      <c r="EW248" s="239">
        <v>0</v>
      </c>
      <c r="EX248" s="239">
        <v>-3717</v>
      </c>
      <c r="EY248" s="239">
        <v>4389</v>
      </c>
      <c r="EZ248" s="239">
        <v>0</v>
      </c>
      <c r="FA248" s="239">
        <v>143016</v>
      </c>
      <c r="FB248" s="239">
        <v>34474</v>
      </c>
      <c r="FC248" s="239">
        <v>0</v>
      </c>
      <c r="FD248" s="239">
        <v>131828</v>
      </c>
      <c r="FE248" s="239">
        <v>32077</v>
      </c>
      <c r="FF248" s="239">
        <v>0</v>
      </c>
      <c r="FG248" s="239">
        <v>11188</v>
      </c>
      <c r="FH248" s="239">
        <v>2397</v>
      </c>
      <c r="FI248" s="239">
        <v>0</v>
      </c>
      <c r="FJ248" s="239">
        <v>0</v>
      </c>
      <c r="FK248" s="239">
        <v>0</v>
      </c>
      <c r="FL248" s="239">
        <v>0</v>
      </c>
      <c r="FM248" s="239">
        <v>0</v>
      </c>
      <c r="FN248" s="239">
        <v>0</v>
      </c>
      <c r="FO248" s="239">
        <v>0</v>
      </c>
      <c r="FP248" s="239">
        <v>0</v>
      </c>
      <c r="FQ248" s="239">
        <v>0</v>
      </c>
      <c r="FR248" s="239">
        <v>0</v>
      </c>
      <c r="FS248" s="239">
        <v>0</v>
      </c>
      <c r="FT248" s="239">
        <v>0</v>
      </c>
      <c r="FU248" s="239">
        <v>0</v>
      </c>
      <c r="FV248" s="239">
        <v>1095474</v>
      </c>
      <c r="FW248" s="239">
        <v>272589</v>
      </c>
      <c r="FX248" s="239">
        <v>0</v>
      </c>
      <c r="FY248" s="834">
        <v>0.5</v>
      </c>
      <c r="FZ248" s="834">
        <v>0.4</v>
      </c>
      <c r="GA248" s="834">
        <v>0.1</v>
      </c>
      <c r="GB248" s="834">
        <v>0</v>
      </c>
      <c r="GC248" s="214" t="s">
        <v>1158</v>
      </c>
    </row>
    <row r="249" spans="2:185" s="214" customFormat="1" x14ac:dyDescent="0.2">
      <c r="B249" s="602" t="s">
        <v>581</v>
      </c>
      <c r="C249" s="602" t="s">
        <v>580</v>
      </c>
      <c r="D249" s="239">
        <v>1132916</v>
      </c>
      <c r="E249" s="239">
        <v>-1116</v>
      </c>
      <c r="F249" s="239">
        <v>1131800</v>
      </c>
      <c r="G249" s="239">
        <v>1076846</v>
      </c>
      <c r="H249" s="239">
        <v>-1116</v>
      </c>
      <c r="I249" s="239">
        <v>1075730</v>
      </c>
      <c r="J249" s="239">
        <v>56070</v>
      </c>
      <c r="K249" s="239">
        <v>0</v>
      </c>
      <c r="L249" s="239">
        <v>56070</v>
      </c>
      <c r="M249" s="239">
        <v>183863</v>
      </c>
      <c r="N249" s="239">
        <v>183863</v>
      </c>
      <c r="O249" s="239">
        <v>0</v>
      </c>
      <c r="P249" s="239">
        <v>48442</v>
      </c>
      <c r="Q249" s="239">
        <v>36696</v>
      </c>
      <c r="R249" s="239">
        <v>11746</v>
      </c>
      <c r="S249" s="239">
        <v>90098</v>
      </c>
      <c r="T249" s="239">
        <v>0</v>
      </c>
      <c r="U249" s="239">
        <v>90098</v>
      </c>
      <c r="V249" s="239">
        <v>0</v>
      </c>
      <c r="W249" s="239">
        <v>0</v>
      </c>
      <c r="X249" s="239">
        <v>0</v>
      </c>
      <c r="Y249" s="239">
        <v>0</v>
      </c>
      <c r="Z249" s="239">
        <v>0</v>
      </c>
      <c r="AA249" s="239">
        <v>0</v>
      </c>
      <c r="AB249" s="239">
        <v>0</v>
      </c>
      <c r="AC249" s="239">
        <v>0</v>
      </c>
      <c r="AD249" s="239">
        <v>0</v>
      </c>
      <c r="AE249" s="239">
        <v>0</v>
      </c>
      <c r="AF249" s="239">
        <v>0</v>
      </c>
      <c r="AG249" s="239">
        <v>0</v>
      </c>
      <c r="AH249" s="239">
        <v>0</v>
      </c>
      <c r="AI249" s="239">
        <v>0</v>
      </c>
      <c r="AJ249" s="239">
        <v>0</v>
      </c>
      <c r="AK249" s="239">
        <v>0</v>
      </c>
      <c r="AL249" s="239">
        <v>0</v>
      </c>
      <c r="AM249" s="239">
        <v>0</v>
      </c>
      <c r="AN249" s="239">
        <v>0</v>
      </c>
      <c r="AO249" s="239">
        <v>0</v>
      </c>
      <c r="AP249" s="239">
        <v>0</v>
      </c>
      <c r="AQ249" s="239">
        <v>0</v>
      </c>
      <c r="AR249" s="239">
        <v>0</v>
      </c>
      <c r="AS249" s="239">
        <v>0</v>
      </c>
      <c r="AT249" s="239">
        <v>0</v>
      </c>
      <c r="AU249" s="239">
        <v>0</v>
      </c>
      <c r="AV249" s="239">
        <v>0</v>
      </c>
      <c r="AW249" s="239">
        <v>0</v>
      </c>
      <c r="AX249" s="239">
        <v>0</v>
      </c>
      <c r="AY249" s="239">
        <v>0</v>
      </c>
      <c r="AZ249" s="239">
        <v>0</v>
      </c>
      <c r="BA249" s="239">
        <v>0</v>
      </c>
      <c r="BB249" s="239">
        <v>0</v>
      </c>
      <c r="BC249" s="239">
        <v>1208771</v>
      </c>
      <c r="BD249" s="239">
        <v>302193</v>
      </c>
      <c r="BE249" s="239">
        <v>0</v>
      </c>
      <c r="BF249" s="239">
        <v>1175405.2086884121</v>
      </c>
      <c r="BG249" s="239">
        <v>293851.30217210302</v>
      </c>
      <c r="BH249" s="239">
        <v>0</v>
      </c>
      <c r="BI249" s="239">
        <v>105730.6035193133</v>
      </c>
      <c r="BJ249" s="239">
        <v>26432.650879828325</v>
      </c>
      <c r="BK249" s="239">
        <v>0</v>
      </c>
      <c r="BL249" s="239">
        <v>1153013</v>
      </c>
      <c r="BM249" s="239">
        <v>183894</v>
      </c>
      <c r="BN249" s="239">
        <v>0</v>
      </c>
      <c r="BO249" s="239">
        <v>55758</v>
      </c>
      <c r="BP249" s="239">
        <v>118299</v>
      </c>
      <c r="BQ249" s="239">
        <v>0</v>
      </c>
      <c r="BR249" s="239">
        <v>0</v>
      </c>
      <c r="BS249" s="239">
        <v>0</v>
      </c>
      <c r="BT249" s="239">
        <v>0</v>
      </c>
      <c r="BU249" s="239">
        <v>0</v>
      </c>
      <c r="BV249" s="239">
        <v>0</v>
      </c>
      <c r="BW249" s="239">
        <v>0</v>
      </c>
      <c r="BX249" s="239">
        <v>0</v>
      </c>
      <c r="BY249" s="239">
        <v>0</v>
      </c>
      <c r="BZ249" s="239">
        <v>0</v>
      </c>
      <c r="CA249" s="239">
        <v>0</v>
      </c>
      <c r="CB249" s="239">
        <v>0</v>
      </c>
      <c r="CC249" s="239">
        <v>0</v>
      </c>
      <c r="CD249" s="239">
        <v>0</v>
      </c>
      <c r="CE249" s="239">
        <v>0</v>
      </c>
      <c r="CF249" s="239">
        <v>0</v>
      </c>
      <c r="CG249" s="239">
        <v>0</v>
      </c>
      <c r="CH249" s="239">
        <v>0</v>
      </c>
      <c r="CI249" s="239">
        <v>0</v>
      </c>
      <c r="CJ249" s="239">
        <v>0</v>
      </c>
      <c r="CK249" s="239">
        <v>0</v>
      </c>
      <c r="CL249" s="239">
        <v>0</v>
      </c>
      <c r="CM249" s="239">
        <v>0</v>
      </c>
      <c r="CN249" s="239">
        <v>0</v>
      </c>
      <c r="CO249" s="239">
        <v>0</v>
      </c>
      <c r="CP249" s="239">
        <v>0</v>
      </c>
      <c r="CQ249" s="239">
        <v>0</v>
      </c>
      <c r="CR249" s="239">
        <v>0</v>
      </c>
      <c r="CS249" s="239">
        <v>-807</v>
      </c>
      <c r="CT249" s="239">
        <v>-202</v>
      </c>
      <c r="CU249" s="239">
        <v>0</v>
      </c>
      <c r="CV249" s="239">
        <v>0</v>
      </c>
      <c r="CW249" s="239">
        <v>0</v>
      </c>
      <c r="CX249" s="239">
        <v>0</v>
      </c>
      <c r="CY249" s="239">
        <v>0</v>
      </c>
      <c r="CZ249" s="239">
        <v>0</v>
      </c>
      <c r="DA249" s="239">
        <v>0</v>
      </c>
      <c r="DB249" s="239">
        <v>0</v>
      </c>
      <c r="DC249" s="239">
        <v>0</v>
      </c>
      <c r="DD249" s="239">
        <v>0</v>
      </c>
      <c r="DE249" s="239">
        <v>0</v>
      </c>
      <c r="DF249" s="239">
        <v>0</v>
      </c>
      <c r="DG249" s="239">
        <v>0</v>
      </c>
      <c r="DH249" s="239">
        <v>15108</v>
      </c>
      <c r="DI249" s="239">
        <v>3777</v>
      </c>
      <c r="DJ249" s="239">
        <v>0</v>
      </c>
      <c r="DK249" s="239">
        <v>14106</v>
      </c>
      <c r="DL249" s="239">
        <v>3526</v>
      </c>
      <c r="DM249" s="239">
        <v>0</v>
      </c>
      <c r="DN249" s="239">
        <v>1002</v>
      </c>
      <c r="DO249" s="239">
        <v>251</v>
      </c>
      <c r="DP249" s="239">
        <v>0</v>
      </c>
      <c r="DQ249" s="239">
        <v>609</v>
      </c>
      <c r="DR249" s="239">
        <v>152</v>
      </c>
      <c r="DS249" s="239">
        <v>0</v>
      </c>
      <c r="DT249" s="239">
        <v>0</v>
      </c>
      <c r="DU249" s="239">
        <v>0</v>
      </c>
      <c r="DV249" s="239">
        <v>0</v>
      </c>
      <c r="DW249" s="239">
        <v>609</v>
      </c>
      <c r="DX249" s="239">
        <v>152</v>
      </c>
      <c r="DY249" s="239">
        <v>0</v>
      </c>
      <c r="DZ249" s="239">
        <v>19097</v>
      </c>
      <c r="EA249" s="239">
        <v>4774</v>
      </c>
      <c r="EB249" s="239">
        <v>0</v>
      </c>
      <c r="EC249" s="239">
        <v>23645</v>
      </c>
      <c r="ED249" s="239">
        <v>0</v>
      </c>
      <c r="EE249" s="239">
        <v>0</v>
      </c>
      <c r="EF249" s="239">
        <v>-4548</v>
      </c>
      <c r="EG249" s="239">
        <v>4774</v>
      </c>
      <c r="EH249" s="239">
        <v>0</v>
      </c>
      <c r="EI249" s="239">
        <v>149294</v>
      </c>
      <c r="EJ249" s="239">
        <v>37323</v>
      </c>
      <c r="EK249" s="239">
        <v>0</v>
      </c>
      <c r="EL249" s="239">
        <v>188013</v>
      </c>
      <c r="EM249" s="239">
        <v>0</v>
      </c>
      <c r="EN249" s="239">
        <v>0</v>
      </c>
      <c r="EO249" s="239">
        <v>-38719</v>
      </c>
      <c r="EP249" s="239">
        <v>37323</v>
      </c>
      <c r="EQ249" s="239">
        <v>0</v>
      </c>
      <c r="ER249" s="239">
        <v>27855</v>
      </c>
      <c r="ES249" s="239">
        <v>6964</v>
      </c>
      <c r="ET249" s="239">
        <v>0</v>
      </c>
      <c r="EU249" s="239">
        <v>57349</v>
      </c>
      <c r="EV249" s="239">
        <v>0</v>
      </c>
      <c r="EW249" s="239">
        <v>0</v>
      </c>
      <c r="EX249" s="239">
        <v>-29494</v>
      </c>
      <c r="EY249" s="239">
        <v>6964</v>
      </c>
      <c r="EZ249" s="239">
        <v>0</v>
      </c>
      <c r="FA249" s="239">
        <v>251997</v>
      </c>
      <c r="FB249" s="239">
        <v>62479</v>
      </c>
      <c r="FC249" s="239">
        <v>0</v>
      </c>
      <c r="FD249" s="239">
        <v>261136</v>
      </c>
      <c r="FE249" s="239">
        <v>64808</v>
      </c>
      <c r="FF249" s="239">
        <v>0</v>
      </c>
      <c r="FG249" s="239">
        <v>-9139</v>
      </c>
      <c r="FH249" s="239">
        <v>-2329</v>
      </c>
      <c r="FI249" s="239">
        <v>0</v>
      </c>
      <c r="FJ249" s="239">
        <v>0</v>
      </c>
      <c r="FK249" s="239">
        <v>0</v>
      </c>
      <c r="FL249" s="239">
        <v>0</v>
      </c>
      <c r="FM249" s="239">
        <v>0</v>
      </c>
      <c r="FN249" s="239">
        <v>0</v>
      </c>
      <c r="FO249" s="239">
        <v>0</v>
      </c>
      <c r="FP249" s="239">
        <v>0</v>
      </c>
      <c r="FQ249" s="239">
        <v>0</v>
      </c>
      <c r="FR249" s="239">
        <v>0</v>
      </c>
      <c r="FS249" s="239">
        <v>0</v>
      </c>
      <c r="FT249" s="239">
        <v>0</v>
      </c>
      <c r="FU249" s="239">
        <v>0</v>
      </c>
      <c r="FV249" s="239">
        <v>1671924</v>
      </c>
      <c r="FW249" s="239">
        <v>417460</v>
      </c>
      <c r="FX249" s="239">
        <v>0</v>
      </c>
      <c r="FY249" s="834">
        <v>0.5</v>
      </c>
      <c r="FZ249" s="834">
        <v>0.4</v>
      </c>
      <c r="GA249" s="834">
        <v>0.1</v>
      </c>
      <c r="GB249" s="834">
        <v>0</v>
      </c>
      <c r="GC249" s="214" t="s">
        <v>1158</v>
      </c>
    </row>
    <row r="250" spans="2:185" s="214" customFormat="1" x14ac:dyDescent="0.2">
      <c r="B250" s="602" t="s">
        <v>583</v>
      </c>
      <c r="C250" s="602" t="s">
        <v>582</v>
      </c>
      <c r="D250" s="239">
        <v>-2989736</v>
      </c>
      <c r="E250" s="239">
        <v>0</v>
      </c>
      <c r="F250" s="239">
        <v>-2989736</v>
      </c>
      <c r="G250" s="239">
        <v>-3041181</v>
      </c>
      <c r="H250" s="239">
        <v>0</v>
      </c>
      <c r="I250" s="239">
        <v>-3041181</v>
      </c>
      <c r="J250" s="239">
        <v>51445</v>
      </c>
      <c r="K250" s="239">
        <v>0</v>
      </c>
      <c r="L250" s="239">
        <v>51445</v>
      </c>
      <c r="M250" s="239">
        <v>124370</v>
      </c>
      <c r="N250" s="239">
        <v>124370</v>
      </c>
      <c r="O250" s="239">
        <v>0</v>
      </c>
      <c r="P250" s="239">
        <v>0</v>
      </c>
      <c r="Q250" s="239">
        <v>0</v>
      </c>
      <c r="R250" s="239">
        <v>0</v>
      </c>
      <c r="S250" s="239">
        <v>9302</v>
      </c>
      <c r="T250" s="239">
        <v>0</v>
      </c>
      <c r="U250" s="239">
        <v>0</v>
      </c>
      <c r="V250" s="239">
        <v>0</v>
      </c>
      <c r="W250" s="239">
        <v>9302</v>
      </c>
      <c r="X250" s="239">
        <v>0</v>
      </c>
      <c r="Y250" s="239">
        <v>0</v>
      </c>
      <c r="Z250" s="239">
        <v>0</v>
      </c>
      <c r="AA250" s="239">
        <v>0</v>
      </c>
      <c r="AB250" s="239">
        <v>0</v>
      </c>
      <c r="AC250" s="239">
        <v>0</v>
      </c>
      <c r="AD250" s="239">
        <v>0</v>
      </c>
      <c r="AE250" s="239">
        <v>0</v>
      </c>
      <c r="AF250" s="239">
        <v>0</v>
      </c>
      <c r="AG250" s="239">
        <v>0</v>
      </c>
      <c r="AH250" s="239">
        <v>0</v>
      </c>
      <c r="AI250" s="239">
        <v>0</v>
      </c>
      <c r="AJ250" s="239">
        <v>0</v>
      </c>
      <c r="AK250" s="239">
        <v>0</v>
      </c>
      <c r="AL250" s="239">
        <v>0</v>
      </c>
      <c r="AM250" s="239">
        <v>0</v>
      </c>
      <c r="AN250" s="239">
        <v>0</v>
      </c>
      <c r="AO250" s="239">
        <v>0</v>
      </c>
      <c r="AP250" s="239">
        <v>0</v>
      </c>
      <c r="AQ250" s="239">
        <v>0</v>
      </c>
      <c r="AR250" s="239">
        <v>0</v>
      </c>
      <c r="AS250" s="239">
        <v>0</v>
      </c>
      <c r="AT250" s="239">
        <v>0</v>
      </c>
      <c r="AU250" s="239">
        <v>0</v>
      </c>
      <c r="AV250" s="239">
        <v>0</v>
      </c>
      <c r="AW250" s="239">
        <v>0</v>
      </c>
      <c r="AX250" s="239">
        <v>0</v>
      </c>
      <c r="AY250" s="239">
        <v>0</v>
      </c>
      <c r="AZ250" s="239">
        <v>0</v>
      </c>
      <c r="BA250" s="239">
        <v>0</v>
      </c>
      <c r="BB250" s="239">
        <v>0</v>
      </c>
      <c r="BC250" s="239">
        <v>982431</v>
      </c>
      <c r="BD250" s="239">
        <v>221047</v>
      </c>
      <c r="BE250" s="239">
        <v>24561</v>
      </c>
      <c r="BF250" s="239">
        <v>960024.42969957087</v>
      </c>
      <c r="BG250" s="239">
        <v>216005.49668240343</v>
      </c>
      <c r="BH250" s="239">
        <v>24000.610742489273</v>
      </c>
      <c r="BI250" s="239">
        <v>67697.587038626603</v>
      </c>
      <c r="BJ250" s="239">
        <v>15231.957083690984</v>
      </c>
      <c r="BK250" s="239">
        <v>1692.4396759656652</v>
      </c>
      <c r="BL250" s="239">
        <v>877434</v>
      </c>
      <c r="BM250" s="239">
        <v>134301</v>
      </c>
      <c r="BN250" s="239">
        <v>14922</v>
      </c>
      <c r="BO250" s="239">
        <v>104997</v>
      </c>
      <c r="BP250" s="239">
        <v>86746</v>
      </c>
      <c r="BQ250" s="239">
        <v>9639</v>
      </c>
      <c r="BR250" s="239">
        <v>3475</v>
      </c>
      <c r="BS250" s="239">
        <v>782</v>
      </c>
      <c r="BT250" s="239">
        <v>87</v>
      </c>
      <c r="BU250" s="239">
        <v>3474</v>
      </c>
      <c r="BV250" s="239">
        <v>782</v>
      </c>
      <c r="BW250" s="239">
        <v>87</v>
      </c>
      <c r="BX250" s="239">
        <v>1</v>
      </c>
      <c r="BY250" s="239">
        <v>0</v>
      </c>
      <c r="BZ250" s="239">
        <v>0</v>
      </c>
      <c r="CA250" s="239">
        <v>7684</v>
      </c>
      <c r="CB250" s="239">
        <v>1729</v>
      </c>
      <c r="CC250" s="239">
        <v>192</v>
      </c>
      <c r="CD250" s="239">
        <v>0</v>
      </c>
      <c r="CE250" s="239">
        <v>0</v>
      </c>
      <c r="CF250" s="239">
        <v>0</v>
      </c>
      <c r="CG250" s="239">
        <v>7684</v>
      </c>
      <c r="CH250" s="239">
        <v>1729</v>
      </c>
      <c r="CI250" s="239">
        <v>192</v>
      </c>
      <c r="CJ250" s="239">
        <v>0</v>
      </c>
      <c r="CK250" s="239">
        <v>0</v>
      </c>
      <c r="CL250" s="239">
        <v>0</v>
      </c>
      <c r="CM250" s="239">
        <v>2672</v>
      </c>
      <c r="CN250" s="239">
        <v>601</v>
      </c>
      <c r="CO250" s="239">
        <v>67</v>
      </c>
      <c r="CP250" s="239">
        <v>-2672</v>
      </c>
      <c r="CQ250" s="239">
        <v>-601</v>
      </c>
      <c r="CR250" s="239">
        <v>-67</v>
      </c>
      <c r="CS250" s="239">
        <v>-53</v>
      </c>
      <c r="CT250" s="239">
        <v>-12</v>
      </c>
      <c r="CU250" s="239">
        <v>-1</v>
      </c>
      <c r="CV250" s="239">
        <v>0</v>
      </c>
      <c r="CW250" s="239">
        <v>0</v>
      </c>
      <c r="CX250" s="239">
        <v>0</v>
      </c>
      <c r="CY250" s="239">
        <v>0</v>
      </c>
      <c r="CZ250" s="239">
        <v>0</v>
      </c>
      <c r="DA250" s="239">
        <v>0</v>
      </c>
      <c r="DB250" s="239">
        <v>0</v>
      </c>
      <c r="DC250" s="239">
        <v>0</v>
      </c>
      <c r="DD250" s="239">
        <v>0</v>
      </c>
      <c r="DE250" s="239">
        <v>0</v>
      </c>
      <c r="DF250" s="239">
        <v>0</v>
      </c>
      <c r="DG250" s="239">
        <v>0</v>
      </c>
      <c r="DH250" s="239">
        <v>1649</v>
      </c>
      <c r="DI250" s="239">
        <v>371</v>
      </c>
      <c r="DJ250" s="239">
        <v>41</v>
      </c>
      <c r="DK250" s="239">
        <v>1649</v>
      </c>
      <c r="DL250" s="239">
        <v>371</v>
      </c>
      <c r="DM250" s="239">
        <v>41</v>
      </c>
      <c r="DN250" s="239">
        <v>0</v>
      </c>
      <c r="DO250" s="239">
        <v>0</v>
      </c>
      <c r="DP250" s="239">
        <v>0</v>
      </c>
      <c r="DQ250" s="239">
        <v>0</v>
      </c>
      <c r="DR250" s="239">
        <v>0</v>
      </c>
      <c r="DS250" s="239">
        <v>0</v>
      </c>
      <c r="DT250" s="239">
        <v>0</v>
      </c>
      <c r="DU250" s="239">
        <v>0</v>
      </c>
      <c r="DV250" s="239">
        <v>0</v>
      </c>
      <c r="DW250" s="239">
        <v>0</v>
      </c>
      <c r="DX250" s="239">
        <v>0</v>
      </c>
      <c r="DY250" s="239">
        <v>0</v>
      </c>
      <c r="DZ250" s="239">
        <v>4681</v>
      </c>
      <c r="EA250" s="239">
        <v>1053</v>
      </c>
      <c r="EB250" s="239">
        <v>117</v>
      </c>
      <c r="EC250" s="239">
        <v>3839</v>
      </c>
      <c r="ED250" s="239">
        <v>0</v>
      </c>
      <c r="EE250" s="239">
        <v>0</v>
      </c>
      <c r="EF250" s="239">
        <v>842</v>
      </c>
      <c r="EG250" s="239">
        <v>1053</v>
      </c>
      <c r="EH250" s="239">
        <v>117</v>
      </c>
      <c r="EI250" s="239">
        <v>38384</v>
      </c>
      <c r="EJ250" s="239">
        <v>8637</v>
      </c>
      <c r="EK250" s="239">
        <v>960</v>
      </c>
      <c r="EL250" s="239">
        <v>50000</v>
      </c>
      <c r="EM250" s="239">
        <v>0</v>
      </c>
      <c r="EN250" s="239">
        <v>0</v>
      </c>
      <c r="EO250" s="239">
        <v>-11616</v>
      </c>
      <c r="EP250" s="239">
        <v>8637</v>
      </c>
      <c r="EQ250" s="239">
        <v>960</v>
      </c>
      <c r="ER250" s="239">
        <v>14888</v>
      </c>
      <c r="ES250" s="239">
        <v>3350</v>
      </c>
      <c r="ET250" s="239">
        <v>372</v>
      </c>
      <c r="EU250" s="239">
        <v>15097</v>
      </c>
      <c r="EV250" s="239">
        <v>0</v>
      </c>
      <c r="EW250" s="239">
        <v>0</v>
      </c>
      <c r="EX250" s="239">
        <v>-209</v>
      </c>
      <c r="EY250" s="239">
        <v>3350</v>
      </c>
      <c r="EZ250" s="239">
        <v>372</v>
      </c>
      <c r="FA250" s="239">
        <v>199507</v>
      </c>
      <c r="FB250" s="239">
        <v>44858</v>
      </c>
      <c r="FC250" s="239">
        <v>4984</v>
      </c>
      <c r="FD250" s="239">
        <v>196745</v>
      </c>
      <c r="FE250" s="239">
        <v>44268</v>
      </c>
      <c r="FF250" s="239">
        <v>4919</v>
      </c>
      <c r="FG250" s="239">
        <v>2762</v>
      </c>
      <c r="FH250" s="239">
        <v>590</v>
      </c>
      <c r="FI250" s="239">
        <v>65</v>
      </c>
      <c r="FJ250" s="239">
        <v>0</v>
      </c>
      <c r="FK250" s="239">
        <v>0</v>
      </c>
      <c r="FL250" s="239">
        <v>0</v>
      </c>
      <c r="FM250" s="239">
        <v>0</v>
      </c>
      <c r="FN250" s="239">
        <v>0</v>
      </c>
      <c r="FO250" s="239">
        <v>0</v>
      </c>
      <c r="FP250" s="239">
        <v>0</v>
      </c>
      <c r="FQ250" s="239">
        <v>0</v>
      </c>
      <c r="FR250" s="239">
        <v>0</v>
      </c>
      <c r="FS250" s="239">
        <v>0</v>
      </c>
      <c r="FT250" s="239">
        <v>0</v>
      </c>
      <c r="FU250" s="239">
        <v>0</v>
      </c>
      <c r="FV250" s="239">
        <v>1252646</v>
      </c>
      <c r="FW250" s="239">
        <v>281815</v>
      </c>
      <c r="FX250" s="239">
        <v>31313</v>
      </c>
      <c r="FY250" s="834">
        <v>0.5</v>
      </c>
      <c r="FZ250" s="834">
        <v>0.4</v>
      </c>
      <c r="GA250" s="834">
        <v>0.09</v>
      </c>
      <c r="GB250" s="834">
        <v>0.01</v>
      </c>
      <c r="GC250" s="214" t="s">
        <v>1158</v>
      </c>
    </row>
    <row r="251" spans="2:185" s="214" customFormat="1" x14ac:dyDescent="0.2">
      <c r="B251" s="602" t="s">
        <v>585</v>
      </c>
      <c r="C251" s="602" t="s">
        <v>584</v>
      </c>
      <c r="D251" s="239">
        <v>-1543093</v>
      </c>
      <c r="E251" s="239">
        <v>0</v>
      </c>
      <c r="F251" s="239">
        <v>-1543093</v>
      </c>
      <c r="G251" s="239">
        <v>-1262789</v>
      </c>
      <c r="H251" s="239">
        <v>0</v>
      </c>
      <c r="I251" s="239">
        <v>-1262789</v>
      </c>
      <c r="J251" s="239">
        <v>-280304</v>
      </c>
      <c r="K251" s="239">
        <v>0</v>
      </c>
      <c r="L251" s="239">
        <v>-280304</v>
      </c>
      <c r="M251" s="239">
        <v>223868</v>
      </c>
      <c r="N251" s="239">
        <v>223868</v>
      </c>
      <c r="O251" s="239">
        <v>0</v>
      </c>
      <c r="P251" s="239">
        <v>0</v>
      </c>
      <c r="Q251" s="239">
        <v>0</v>
      </c>
      <c r="R251" s="239">
        <v>0</v>
      </c>
      <c r="S251" s="239">
        <v>521513</v>
      </c>
      <c r="T251" s="239">
        <v>0</v>
      </c>
      <c r="U251" s="239">
        <v>455039</v>
      </c>
      <c r="V251" s="239">
        <v>0</v>
      </c>
      <c r="W251" s="239">
        <v>66474</v>
      </c>
      <c r="X251" s="239">
        <v>0</v>
      </c>
      <c r="Y251" s="239">
        <v>0</v>
      </c>
      <c r="Z251" s="239">
        <v>0</v>
      </c>
      <c r="AA251" s="239">
        <v>0</v>
      </c>
      <c r="AB251" s="239">
        <v>0</v>
      </c>
      <c r="AC251" s="239">
        <v>0</v>
      </c>
      <c r="AD251" s="239">
        <v>0</v>
      </c>
      <c r="AE251" s="239">
        <v>0</v>
      </c>
      <c r="AF251" s="239">
        <v>0</v>
      </c>
      <c r="AG251" s="239">
        <v>0</v>
      </c>
      <c r="AH251" s="239">
        <v>0</v>
      </c>
      <c r="AI251" s="239">
        <v>0</v>
      </c>
      <c r="AJ251" s="239">
        <v>0</v>
      </c>
      <c r="AK251" s="239">
        <v>0</v>
      </c>
      <c r="AL251" s="239">
        <v>0</v>
      </c>
      <c r="AM251" s="239">
        <v>0</v>
      </c>
      <c r="AN251" s="239">
        <v>0</v>
      </c>
      <c r="AO251" s="239">
        <v>0</v>
      </c>
      <c r="AP251" s="239">
        <v>0</v>
      </c>
      <c r="AQ251" s="239">
        <v>0</v>
      </c>
      <c r="AR251" s="239">
        <v>0</v>
      </c>
      <c r="AS251" s="239">
        <v>0</v>
      </c>
      <c r="AT251" s="239">
        <v>0</v>
      </c>
      <c r="AU251" s="239">
        <v>0</v>
      </c>
      <c r="AV251" s="239">
        <v>0</v>
      </c>
      <c r="AW251" s="239">
        <v>0</v>
      </c>
      <c r="AX251" s="239">
        <v>0</v>
      </c>
      <c r="AY251" s="239">
        <v>0</v>
      </c>
      <c r="AZ251" s="239">
        <v>0</v>
      </c>
      <c r="BA251" s="239">
        <v>0</v>
      </c>
      <c r="BB251" s="239">
        <v>0</v>
      </c>
      <c r="BC251" s="239">
        <v>1698434</v>
      </c>
      <c r="BD251" s="239">
        <v>382148</v>
      </c>
      <c r="BE251" s="239">
        <v>42461</v>
      </c>
      <c r="BF251" s="239">
        <v>1663235.8845493561</v>
      </c>
      <c r="BG251" s="239">
        <v>374228.07402360509</v>
      </c>
      <c r="BH251" s="239">
        <v>41580.897113733903</v>
      </c>
      <c r="BI251" s="239">
        <v>106307.50111587982</v>
      </c>
      <c r="BJ251" s="239">
        <v>23919.187751072957</v>
      </c>
      <c r="BK251" s="239">
        <v>2657.6875278969956</v>
      </c>
      <c r="BL251" s="239">
        <v>1477504</v>
      </c>
      <c r="BM251" s="239">
        <v>227308</v>
      </c>
      <c r="BN251" s="239">
        <v>25256</v>
      </c>
      <c r="BO251" s="239">
        <v>220930</v>
      </c>
      <c r="BP251" s="239">
        <v>154840</v>
      </c>
      <c r="BQ251" s="239">
        <v>17205</v>
      </c>
      <c r="BR251" s="239">
        <v>10940</v>
      </c>
      <c r="BS251" s="239">
        <v>2461</v>
      </c>
      <c r="BT251" s="239">
        <v>273</v>
      </c>
      <c r="BU251" s="239">
        <v>5324</v>
      </c>
      <c r="BV251" s="239">
        <v>1198</v>
      </c>
      <c r="BW251" s="239">
        <v>133</v>
      </c>
      <c r="BX251" s="239">
        <v>5616</v>
      </c>
      <c r="BY251" s="239">
        <v>1263</v>
      </c>
      <c r="BZ251" s="239">
        <v>140</v>
      </c>
      <c r="CA251" s="239">
        <v>0</v>
      </c>
      <c r="CB251" s="239">
        <v>0</v>
      </c>
      <c r="CC251" s="239">
        <v>0</v>
      </c>
      <c r="CD251" s="239">
        <v>0</v>
      </c>
      <c r="CE251" s="239">
        <v>0</v>
      </c>
      <c r="CF251" s="239">
        <v>0</v>
      </c>
      <c r="CG251" s="239">
        <v>0</v>
      </c>
      <c r="CH251" s="239">
        <v>0</v>
      </c>
      <c r="CI251" s="239">
        <v>0</v>
      </c>
      <c r="CJ251" s="239">
        <v>1240</v>
      </c>
      <c r="CK251" s="239">
        <v>279</v>
      </c>
      <c r="CL251" s="239">
        <v>31</v>
      </c>
      <c r="CM251" s="239">
        <v>3724</v>
      </c>
      <c r="CN251" s="239">
        <v>838</v>
      </c>
      <c r="CO251" s="239">
        <v>93</v>
      </c>
      <c r="CP251" s="239">
        <v>-2484</v>
      </c>
      <c r="CQ251" s="239">
        <v>-559</v>
      </c>
      <c r="CR251" s="239">
        <v>-62</v>
      </c>
      <c r="CS251" s="239">
        <v>-779</v>
      </c>
      <c r="CT251" s="239">
        <v>-175</v>
      </c>
      <c r="CU251" s="239">
        <v>-19</v>
      </c>
      <c r="CV251" s="239">
        <v>0</v>
      </c>
      <c r="CW251" s="239">
        <v>0</v>
      </c>
      <c r="CX251" s="239">
        <v>0</v>
      </c>
      <c r="CY251" s="239">
        <v>0</v>
      </c>
      <c r="CZ251" s="239">
        <v>0</v>
      </c>
      <c r="DA251" s="239">
        <v>0</v>
      </c>
      <c r="DB251" s="239">
        <v>0</v>
      </c>
      <c r="DC251" s="239">
        <v>0</v>
      </c>
      <c r="DD251" s="239">
        <v>0</v>
      </c>
      <c r="DE251" s="239">
        <v>0</v>
      </c>
      <c r="DF251" s="239">
        <v>0</v>
      </c>
      <c r="DG251" s="239">
        <v>0</v>
      </c>
      <c r="DH251" s="239">
        <v>30718</v>
      </c>
      <c r="DI251" s="239">
        <v>6912</v>
      </c>
      <c r="DJ251" s="239">
        <v>768</v>
      </c>
      <c r="DK251" s="239">
        <v>37805</v>
      </c>
      <c r="DL251" s="239">
        <v>8506</v>
      </c>
      <c r="DM251" s="239">
        <v>945</v>
      </c>
      <c r="DN251" s="239">
        <v>-7087</v>
      </c>
      <c r="DO251" s="239">
        <v>-1594</v>
      </c>
      <c r="DP251" s="239">
        <v>-177</v>
      </c>
      <c r="DQ251" s="239">
        <v>609</v>
      </c>
      <c r="DR251" s="239">
        <v>137</v>
      </c>
      <c r="DS251" s="239">
        <v>15</v>
      </c>
      <c r="DT251" s="239">
        <v>609</v>
      </c>
      <c r="DU251" s="239">
        <v>137</v>
      </c>
      <c r="DV251" s="239">
        <v>15</v>
      </c>
      <c r="DW251" s="239">
        <v>0</v>
      </c>
      <c r="DX251" s="239">
        <v>0</v>
      </c>
      <c r="DY251" s="239">
        <v>0</v>
      </c>
      <c r="DZ251" s="239">
        <v>18963</v>
      </c>
      <c r="EA251" s="239">
        <v>4267</v>
      </c>
      <c r="EB251" s="239">
        <v>474</v>
      </c>
      <c r="EC251" s="239">
        <v>28498</v>
      </c>
      <c r="ED251" s="239">
        <v>0</v>
      </c>
      <c r="EE251" s="239">
        <v>0</v>
      </c>
      <c r="EF251" s="239">
        <v>-9535</v>
      </c>
      <c r="EG251" s="239">
        <v>4267</v>
      </c>
      <c r="EH251" s="239">
        <v>474</v>
      </c>
      <c r="EI251" s="239">
        <v>161736</v>
      </c>
      <c r="EJ251" s="239">
        <v>36390</v>
      </c>
      <c r="EK251" s="239">
        <v>4043</v>
      </c>
      <c r="EL251" s="239">
        <v>262988</v>
      </c>
      <c r="EM251" s="239">
        <v>0</v>
      </c>
      <c r="EN251" s="239">
        <v>0</v>
      </c>
      <c r="EO251" s="239">
        <v>-101252</v>
      </c>
      <c r="EP251" s="239">
        <v>36390</v>
      </c>
      <c r="EQ251" s="239">
        <v>4043</v>
      </c>
      <c r="ER251" s="239">
        <v>37194</v>
      </c>
      <c r="ES251" s="239">
        <v>8369</v>
      </c>
      <c r="ET251" s="239">
        <v>930</v>
      </c>
      <c r="EU251" s="239">
        <v>58249</v>
      </c>
      <c r="EV251" s="239">
        <v>0</v>
      </c>
      <c r="EW251" s="239">
        <v>0</v>
      </c>
      <c r="EX251" s="239">
        <v>-21055</v>
      </c>
      <c r="EY251" s="239">
        <v>8369</v>
      </c>
      <c r="EZ251" s="239">
        <v>930</v>
      </c>
      <c r="FA251" s="239">
        <v>241410</v>
      </c>
      <c r="FB251" s="239">
        <v>52555</v>
      </c>
      <c r="FC251" s="239">
        <v>5839</v>
      </c>
      <c r="FD251" s="239">
        <v>257034</v>
      </c>
      <c r="FE251" s="239">
        <v>56295</v>
      </c>
      <c r="FF251" s="239">
        <v>6255</v>
      </c>
      <c r="FG251" s="239">
        <v>-15624</v>
      </c>
      <c r="FH251" s="239">
        <v>-3740</v>
      </c>
      <c r="FI251" s="239">
        <v>-416</v>
      </c>
      <c r="FJ251" s="239">
        <v>0</v>
      </c>
      <c r="FK251" s="239">
        <v>0</v>
      </c>
      <c r="FL251" s="239">
        <v>0</v>
      </c>
      <c r="FM251" s="239">
        <v>0</v>
      </c>
      <c r="FN251" s="239">
        <v>0</v>
      </c>
      <c r="FO251" s="239">
        <v>0</v>
      </c>
      <c r="FP251" s="239">
        <v>0</v>
      </c>
      <c r="FQ251" s="239">
        <v>0</v>
      </c>
      <c r="FR251" s="239">
        <v>0</v>
      </c>
      <c r="FS251" s="239">
        <v>0</v>
      </c>
      <c r="FT251" s="239">
        <v>0</v>
      </c>
      <c r="FU251" s="239">
        <v>0</v>
      </c>
      <c r="FV251" s="239">
        <v>2200465</v>
      </c>
      <c r="FW251" s="239">
        <v>493343</v>
      </c>
      <c r="FX251" s="239">
        <v>54815</v>
      </c>
      <c r="FY251" s="834">
        <v>0.5</v>
      </c>
      <c r="FZ251" s="834">
        <v>0.4</v>
      </c>
      <c r="GA251" s="834">
        <v>0.09</v>
      </c>
      <c r="GB251" s="834">
        <v>0.01</v>
      </c>
      <c r="GC251" s="214" t="s">
        <v>1158</v>
      </c>
    </row>
    <row r="252" spans="2:185" s="214" customFormat="1" x14ac:dyDescent="0.2">
      <c r="B252" s="602" t="s">
        <v>587</v>
      </c>
      <c r="C252" s="602" t="s">
        <v>586</v>
      </c>
      <c r="D252" s="239">
        <v>223961</v>
      </c>
      <c r="E252" s="239">
        <v>-146019</v>
      </c>
      <c r="F252" s="239">
        <v>77942</v>
      </c>
      <c r="G252" s="239">
        <v>228508</v>
      </c>
      <c r="H252" s="239">
        <v>-146019</v>
      </c>
      <c r="I252" s="239">
        <v>82489</v>
      </c>
      <c r="J252" s="239">
        <v>-4547</v>
      </c>
      <c r="K252" s="239">
        <v>0</v>
      </c>
      <c r="L252" s="239">
        <v>-4547</v>
      </c>
      <c r="M252" s="239">
        <v>104320</v>
      </c>
      <c r="N252" s="239">
        <v>104320</v>
      </c>
      <c r="O252" s="239">
        <v>0</v>
      </c>
      <c r="P252" s="239">
        <v>2367446</v>
      </c>
      <c r="Q252" s="239">
        <v>2467483</v>
      </c>
      <c r="R252" s="239">
        <v>-100037</v>
      </c>
      <c r="S252" s="239">
        <v>42172</v>
      </c>
      <c r="T252" s="239">
        <v>185612</v>
      </c>
      <c r="U252" s="239">
        <v>14236</v>
      </c>
      <c r="V252" s="239">
        <v>192777</v>
      </c>
      <c r="W252" s="239">
        <v>27936</v>
      </c>
      <c r="X252" s="239">
        <v>-7165</v>
      </c>
      <c r="Y252" s="239">
        <v>77645</v>
      </c>
      <c r="Z252" s="239">
        <v>77645</v>
      </c>
      <c r="AA252" s="239">
        <v>0</v>
      </c>
      <c r="AB252" s="239">
        <v>0</v>
      </c>
      <c r="AC252" s="239">
        <v>52387</v>
      </c>
      <c r="AD252" s="239">
        <v>52387</v>
      </c>
      <c r="AE252" s="239">
        <v>0</v>
      </c>
      <c r="AF252" s="239">
        <v>0</v>
      </c>
      <c r="AG252" s="239">
        <v>25258</v>
      </c>
      <c r="AH252" s="239">
        <v>25258</v>
      </c>
      <c r="AI252" s="239">
        <v>0</v>
      </c>
      <c r="AJ252" s="239">
        <v>0</v>
      </c>
      <c r="AK252" s="239">
        <v>0</v>
      </c>
      <c r="AL252" s="239">
        <v>0</v>
      </c>
      <c r="AM252" s="239">
        <v>0</v>
      </c>
      <c r="AN252" s="239">
        <v>0</v>
      </c>
      <c r="AO252" s="239">
        <v>0</v>
      </c>
      <c r="AP252" s="239">
        <v>0</v>
      </c>
      <c r="AQ252" s="239">
        <v>0</v>
      </c>
      <c r="AR252" s="239">
        <v>0</v>
      </c>
      <c r="AS252" s="239">
        <v>0</v>
      </c>
      <c r="AT252" s="239">
        <v>0</v>
      </c>
      <c r="AU252" s="239">
        <v>0</v>
      </c>
      <c r="AV252" s="239">
        <v>0</v>
      </c>
      <c r="AW252" s="239">
        <v>0</v>
      </c>
      <c r="AX252" s="239">
        <v>0</v>
      </c>
      <c r="AY252" s="239">
        <v>0</v>
      </c>
      <c r="AZ252" s="239">
        <v>0</v>
      </c>
      <c r="BA252" s="239">
        <v>0</v>
      </c>
      <c r="BB252" s="239">
        <v>0</v>
      </c>
      <c r="BC252" s="239">
        <v>838953</v>
      </c>
      <c r="BD252" s="239">
        <v>188764</v>
      </c>
      <c r="BE252" s="239">
        <v>20974</v>
      </c>
      <c r="BF252" s="239">
        <v>825745.02405150211</v>
      </c>
      <c r="BG252" s="239">
        <v>185792.63041158798</v>
      </c>
      <c r="BH252" s="239">
        <v>20643.625601287556</v>
      </c>
      <c r="BI252" s="239">
        <v>42528.516072961378</v>
      </c>
      <c r="BJ252" s="239">
        <v>9568.9161164163088</v>
      </c>
      <c r="BK252" s="239">
        <v>1063.2129018240341</v>
      </c>
      <c r="BL252" s="239">
        <v>872842</v>
      </c>
      <c r="BM252" s="239">
        <v>134744</v>
      </c>
      <c r="BN252" s="239">
        <v>14972</v>
      </c>
      <c r="BO252" s="239">
        <v>-33889</v>
      </c>
      <c r="BP252" s="239">
        <v>54020</v>
      </c>
      <c r="BQ252" s="239">
        <v>6002</v>
      </c>
      <c r="BR252" s="239">
        <v>40</v>
      </c>
      <c r="BS252" s="239">
        <v>9</v>
      </c>
      <c r="BT252" s="239">
        <v>1</v>
      </c>
      <c r="BU252" s="239">
        <v>0</v>
      </c>
      <c r="BV252" s="239">
        <v>0</v>
      </c>
      <c r="BW252" s="239">
        <v>0</v>
      </c>
      <c r="BX252" s="239">
        <v>40</v>
      </c>
      <c r="BY252" s="239">
        <v>9</v>
      </c>
      <c r="BZ252" s="239">
        <v>1</v>
      </c>
      <c r="CA252" s="239">
        <v>0</v>
      </c>
      <c r="CB252" s="239">
        <v>0</v>
      </c>
      <c r="CC252" s="239">
        <v>0</v>
      </c>
      <c r="CD252" s="239">
        <v>0</v>
      </c>
      <c r="CE252" s="239">
        <v>0</v>
      </c>
      <c r="CF252" s="239">
        <v>0</v>
      </c>
      <c r="CG252" s="239">
        <v>0</v>
      </c>
      <c r="CH252" s="239">
        <v>0</v>
      </c>
      <c r="CI252" s="239">
        <v>0</v>
      </c>
      <c r="CJ252" s="239">
        <v>0</v>
      </c>
      <c r="CK252" s="239">
        <v>0</v>
      </c>
      <c r="CL252" s="239">
        <v>0</v>
      </c>
      <c r="CM252" s="239">
        <v>0</v>
      </c>
      <c r="CN252" s="239">
        <v>0</v>
      </c>
      <c r="CO252" s="239">
        <v>0</v>
      </c>
      <c r="CP252" s="239">
        <v>0</v>
      </c>
      <c r="CQ252" s="239">
        <v>0</v>
      </c>
      <c r="CR252" s="239">
        <v>0</v>
      </c>
      <c r="CS252" s="239">
        <v>-374</v>
      </c>
      <c r="CT252" s="239">
        <v>-84</v>
      </c>
      <c r="CU252" s="239">
        <v>-9</v>
      </c>
      <c r="CV252" s="239">
        <v>0</v>
      </c>
      <c r="CW252" s="239">
        <v>0</v>
      </c>
      <c r="CX252" s="239">
        <v>0</v>
      </c>
      <c r="CY252" s="239">
        <v>0</v>
      </c>
      <c r="CZ252" s="239">
        <v>0</v>
      </c>
      <c r="DA252" s="239">
        <v>0</v>
      </c>
      <c r="DB252" s="239">
        <v>0</v>
      </c>
      <c r="DC252" s="239">
        <v>0</v>
      </c>
      <c r="DD252" s="239">
        <v>0</v>
      </c>
      <c r="DE252" s="239">
        <v>0</v>
      </c>
      <c r="DF252" s="239">
        <v>0</v>
      </c>
      <c r="DG252" s="239">
        <v>0</v>
      </c>
      <c r="DH252" s="239">
        <v>2648</v>
      </c>
      <c r="DI252" s="239">
        <v>596</v>
      </c>
      <c r="DJ252" s="239">
        <v>66</v>
      </c>
      <c r="DK252" s="239">
        <v>2648</v>
      </c>
      <c r="DL252" s="239">
        <v>596</v>
      </c>
      <c r="DM252" s="239">
        <v>66</v>
      </c>
      <c r="DN252" s="239">
        <v>0</v>
      </c>
      <c r="DO252" s="239">
        <v>0</v>
      </c>
      <c r="DP252" s="239">
        <v>0</v>
      </c>
      <c r="DQ252" s="239">
        <v>0</v>
      </c>
      <c r="DR252" s="239">
        <v>0</v>
      </c>
      <c r="DS252" s="239">
        <v>0</v>
      </c>
      <c r="DT252" s="239">
        <v>0</v>
      </c>
      <c r="DU252" s="239">
        <v>0</v>
      </c>
      <c r="DV252" s="239">
        <v>0</v>
      </c>
      <c r="DW252" s="239">
        <v>0</v>
      </c>
      <c r="DX252" s="239">
        <v>0</v>
      </c>
      <c r="DY252" s="239">
        <v>0</v>
      </c>
      <c r="DZ252" s="239">
        <v>8942</v>
      </c>
      <c r="EA252" s="239">
        <v>2012</v>
      </c>
      <c r="EB252" s="239">
        <v>224</v>
      </c>
      <c r="EC252" s="239">
        <v>9960</v>
      </c>
      <c r="ED252" s="239">
        <v>0</v>
      </c>
      <c r="EE252" s="239">
        <v>0</v>
      </c>
      <c r="EF252" s="239">
        <v>-1018</v>
      </c>
      <c r="EG252" s="239">
        <v>2012</v>
      </c>
      <c r="EH252" s="239">
        <v>224</v>
      </c>
      <c r="EI252" s="239">
        <v>71108</v>
      </c>
      <c r="EJ252" s="239">
        <v>15999</v>
      </c>
      <c r="EK252" s="239">
        <v>1778</v>
      </c>
      <c r="EL252" s="239">
        <v>91730</v>
      </c>
      <c r="EM252" s="239">
        <v>0</v>
      </c>
      <c r="EN252" s="239">
        <v>0</v>
      </c>
      <c r="EO252" s="239">
        <v>-20622</v>
      </c>
      <c r="EP252" s="239">
        <v>15999</v>
      </c>
      <c r="EQ252" s="239">
        <v>1778</v>
      </c>
      <c r="ER252" s="239">
        <v>19304</v>
      </c>
      <c r="ES252" s="239">
        <v>4343</v>
      </c>
      <c r="ET252" s="239">
        <v>483</v>
      </c>
      <c r="EU252" s="239">
        <v>22510</v>
      </c>
      <c r="EV252" s="239">
        <v>0</v>
      </c>
      <c r="EW252" s="239">
        <v>0</v>
      </c>
      <c r="EX252" s="239">
        <v>-3206</v>
      </c>
      <c r="EY252" s="239">
        <v>4343</v>
      </c>
      <c r="EZ252" s="239">
        <v>483</v>
      </c>
      <c r="FA252" s="239">
        <v>170733</v>
      </c>
      <c r="FB252" s="239">
        <v>33059</v>
      </c>
      <c r="FC252" s="239">
        <v>3363</v>
      </c>
      <c r="FD252" s="239">
        <v>164930</v>
      </c>
      <c r="FE252" s="239">
        <v>31440</v>
      </c>
      <c r="FF252" s="239">
        <v>3172</v>
      </c>
      <c r="FG252" s="239">
        <v>5803</v>
      </c>
      <c r="FH252" s="239">
        <v>1619</v>
      </c>
      <c r="FI252" s="239">
        <v>191</v>
      </c>
      <c r="FJ252" s="239">
        <v>0</v>
      </c>
      <c r="FK252" s="239">
        <v>0</v>
      </c>
      <c r="FL252" s="239">
        <v>0</v>
      </c>
      <c r="FM252" s="239">
        <v>0</v>
      </c>
      <c r="FN252" s="239">
        <v>0</v>
      </c>
      <c r="FO252" s="239">
        <v>0</v>
      </c>
      <c r="FP252" s="239">
        <v>0</v>
      </c>
      <c r="FQ252" s="239">
        <v>0</v>
      </c>
      <c r="FR252" s="239">
        <v>0</v>
      </c>
      <c r="FS252" s="239">
        <v>0</v>
      </c>
      <c r="FT252" s="239">
        <v>0</v>
      </c>
      <c r="FU252" s="239">
        <v>0</v>
      </c>
      <c r="FV252" s="239">
        <v>1111354</v>
      </c>
      <c r="FW252" s="239">
        <v>244698</v>
      </c>
      <c r="FX252" s="239">
        <v>26880</v>
      </c>
      <c r="FY252" s="834">
        <v>0.5</v>
      </c>
      <c r="FZ252" s="834">
        <v>0.4</v>
      </c>
      <c r="GA252" s="834">
        <v>0.09</v>
      </c>
      <c r="GB252" s="834">
        <v>0.01</v>
      </c>
      <c r="GC252" s="214" t="s">
        <v>1158</v>
      </c>
    </row>
    <row r="253" spans="2:185" s="214" customFormat="1" x14ac:dyDescent="0.2">
      <c r="B253" s="602" t="s">
        <v>589</v>
      </c>
      <c r="C253" s="602" t="s">
        <v>588</v>
      </c>
      <c r="D253" s="239">
        <v>-1975298</v>
      </c>
      <c r="E253" s="239">
        <v>0</v>
      </c>
      <c r="F253" s="239">
        <v>-1975298</v>
      </c>
      <c r="G253" s="239">
        <v>-1706502</v>
      </c>
      <c r="H253" s="239">
        <v>0</v>
      </c>
      <c r="I253" s="239">
        <v>-1706502</v>
      </c>
      <c r="J253" s="239">
        <v>-268796</v>
      </c>
      <c r="K253" s="239">
        <v>0</v>
      </c>
      <c r="L253" s="239">
        <v>-268796</v>
      </c>
      <c r="M253" s="239">
        <v>150198</v>
      </c>
      <c r="N253" s="239">
        <v>150198</v>
      </c>
      <c r="O253" s="239">
        <v>0</v>
      </c>
      <c r="P253" s="239">
        <v>0</v>
      </c>
      <c r="Q253" s="239">
        <v>0</v>
      </c>
      <c r="R253" s="239">
        <v>0</v>
      </c>
      <c r="S253" s="239">
        <v>0</v>
      </c>
      <c r="T253" s="239">
        <v>0</v>
      </c>
      <c r="U253" s="239">
        <v>0</v>
      </c>
      <c r="V253" s="239">
        <v>0</v>
      </c>
      <c r="W253" s="239">
        <v>0</v>
      </c>
      <c r="X253" s="239">
        <v>0</v>
      </c>
      <c r="Y253" s="239">
        <v>0</v>
      </c>
      <c r="Z253" s="239">
        <v>0</v>
      </c>
      <c r="AA253" s="239">
        <v>0</v>
      </c>
      <c r="AB253" s="239">
        <v>0</v>
      </c>
      <c r="AC253" s="239">
        <v>0</v>
      </c>
      <c r="AD253" s="239">
        <v>0</v>
      </c>
      <c r="AE253" s="239">
        <v>0</v>
      </c>
      <c r="AF253" s="239">
        <v>0</v>
      </c>
      <c r="AG253" s="239">
        <v>0</v>
      </c>
      <c r="AH253" s="239">
        <v>0</v>
      </c>
      <c r="AI253" s="239">
        <v>0</v>
      </c>
      <c r="AJ253" s="239">
        <v>0</v>
      </c>
      <c r="AK253" s="239">
        <v>0</v>
      </c>
      <c r="AL253" s="239">
        <v>0</v>
      </c>
      <c r="AM253" s="239">
        <v>0</v>
      </c>
      <c r="AN253" s="239">
        <v>0</v>
      </c>
      <c r="AO253" s="239">
        <v>0</v>
      </c>
      <c r="AP253" s="239">
        <v>0</v>
      </c>
      <c r="AQ253" s="239">
        <v>0</v>
      </c>
      <c r="AR253" s="239">
        <v>0</v>
      </c>
      <c r="AS253" s="239">
        <v>0</v>
      </c>
      <c r="AT253" s="239">
        <v>0</v>
      </c>
      <c r="AU253" s="239">
        <v>0</v>
      </c>
      <c r="AV253" s="239">
        <v>0</v>
      </c>
      <c r="AW253" s="239">
        <v>0</v>
      </c>
      <c r="AX253" s="239">
        <v>0</v>
      </c>
      <c r="AY253" s="239">
        <v>0</v>
      </c>
      <c r="AZ253" s="239">
        <v>0</v>
      </c>
      <c r="BA253" s="239">
        <v>0</v>
      </c>
      <c r="BB253" s="239">
        <v>0</v>
      </c>
      <c r="BC253" s="239">
        <v>1293587</v>
      </c>
      <c r="BD253" s="239">
        <v>0</v>
      </c>
      <c r="BE253" s="239">
        <v>26400</v>
      </c>
      <c r="BF253" s="239">
        <v>1265460.1524801287</v>
      </c>
      <c r="BG253" s="239">
        <v>0</v>
      </c>
      <c r="BH253" s="239">
        <v>25825.71739755365</v>
      </c>
      <c r="BI253" s="239">
        <v>78938.275725321888</v>
      </c>
      <c r="BJ253" s="239">
        <v>0</v>
      </c>
      <c r="BK253" s="239">
        <v>1610.9852188841201</v>
      </c>
      <c r="BL253" s="239">
        <v>1117082</v>
      </c>
      <c r="BM253" s="239">
        <v>0</v>
      </c>
      <c r="BN253" s="239">
        <v>16748</v>
      </c>
      <c r="BO253" s="239">
        <v>176505</v>
      </c>
      <c r="BP253" s="239">
        <v>0</v>
      </c>
      <c r="BQ253" s="239">
        <v>9652</v>
      </c>
      <c r="BR253" s="239">
        <v>8678</v>
      </c>
      <c r="BS253" s="239">
        <v>0</v>
      </c>
      <c r="BT253" s="239">
        <v>177</v>
      </c>
      <c r="BU253" s="239">
        <v>0</v>
      </c>
      <c r="BV253" s="239">
        <v>0</v>
      </c>
      <c r="BW253" s="239">
        <v>0</v>
      </c>
      <c r="BX253" s="239">
        <v>8678</v>
      </c>
      <c r="BY253" s="239">
        <v>0</v>
      </c>
      <c r="BZ253" s="239">
        <v>177</v>
      </c>
      <c r="CA253" s="239">
        <v>0</v>
      </c>
      <c r="CB253" s="239">
        <v>0</v>
      </c>
      <c r="CC253" s="239">
        <v>0</v>
      </c>
      <c r="CD253" s="239">
        <v>0</v>
      </c>
      <c r="CE253" s="239">
        <v>0</v>
      </c>
      <c r="CF253" s="239">
        <v>0</v>
      </c>
      <c r="CG253" s="239">
        <v>0</v>
      </c>
      <c r="CH253" s="239">
        <v>0</v>
      </c>
      <c r="CI253" s="239">
        <v>0</v>
      </c>
      <c r="CJ253" s="239">
        <v>4598</v>
      </c>
      <c r="CK253" s="239">
        <v>0</v>
      </c>
      <c r="CL253" s="239">
        <v>94</v>
      </c>
      <c r="CM253" s="239">
        <v>12434</v>
      </c>
      <c r="CN253" s="239">
        <v>0</v>
      </c>
      <c r="CO253" s="239">
        <v>254</v>
      </c>
      <c r="CP253" s="239">
        <v>-7836</v>
      </c>
      <c r="CQ253" s="239">
        <v>0</v>
      </c>
      <c r="CR253" s="239">
        <v>-160</v>
      </c>
      <c r="CS253" s="239">
        <v>-2771</v>
      </c>
      <c r="CT253" s="239">
        <v>0</v>
      </c>
      <c r="CU253" s="239">
        <v>-57</v>
      </c>
      <c r="CV253" s="239">
        <v>0</v>
      </c>
      <c r="CW253" s="239">
        <v>0</v>
      </c>
      <c r="CX253" s="239">
        <v>0</v>
      </c>
      <c r="CY253" s="239">
        <v>0</v>
      </c>
      <c r="CZ253" s="239">
        <v>0</v>
      </c>
      <c r="DA253" s="239">
        <v>0</v>
      </c>
      <c r="DB253" s="239">
        <v>0</v>
      </c>
      <c r="DC253" s="239">
        <v>0</v>
      </c>
      <c r="DD253" s="239">
        <v>0</v>
      </c>
      <c r="DE253" s="239">
        <v>0</v>
      </c>
      <c r="DF253" s="239">
        <v>0</v>
      </c>
      <c r="DG253" s="239">
        <v>0</v>
      </c>
      <c r="DH253" s="239">
        <v>0</v>
      </c>
      <c r="DI253" s="239">
        <v>0</v>
      </c>
      <c r="DJ253" s="239">
        <v>0</v>
      </c>
      <c r="DK253" s="239">
        <v>0</v>
      </c>
      <c r="DL253" s="239">
        <v>0</v>
      </c>
      <c r="DM253" s="239">
        <v>0</v>
      </c>
      <c r="DN253" s="239">
        <v>0</v>
      </c>
      <c r="DO253" s="239">
        <v>0</v>
      </c>
      <c r="DP253" s="239">
        <v>0</v>
      </c>
      <c r="DQ253" s="239">
        <v>0</v>
      </c>
      <c r="DR253" s="239">
        <v>0</v>
      </c>
      <c r="DS253" s="239">
        <v>0</v>
      </c>
      <c r="DT253" s="239">
        <v>0</v>
      </c>
      <c r="DU253" s="239">
        <v>0</v>
      </c>
      <c r="DV253" s="239">
        <v>0</v>
      </c>
      <c r="DW253" s="239">
        <v>0</v>
      </c>
      <c r="DX253" s="239">
        <v>0</v>
      </c>
      <c r="DY253" s="239">
        <v>0</v>
      </c>
      <c r="DZ253" s="239">
        <v>7869</v>
      </c>
      <c r="EA253" s="239">
        <v>0</v>
      </c>
      <c r="EB253" s="239">
        <v>161</v>
      </c>
      <c r="EC253" s="239">
        <v>9643</v>
      </c>
      <c r="ED253" s="239">
        <v>0</v>
      </c>
      <c r="EE253" s="239">
        <v>0</v>
      </c>
      <c r="EF253" s="239">
        <v>-1774</v>
      </c>
      <c r="EG253" s="239">
        <v>0</v>
      </c>
      <c r="EH253" s="239">
        <v>161</v>
      </c>
      <c r="EI253" s="239">
        <v>101647</v>
      </c>
      <c r="EJ253" s="239">
        <v>0</v>
      </c>
      <c r="EK253" s="239">
        <v>2074</v>
      </c>
      <c r="EL253" s="239">
        <v>109273</v>
      </c>
      <c r="EM253" s="239">
        <v>0</v>
      </c>
      <c r="EN253" s="239">
        <v>0</v>
      </c>
      <c r="EO253" s="239">
        <v>-7626</v>
      </c>
      <c r="EP253" s="239">
        <v>0</v>
      </c>
      <c r="EQ253" s="239">
        <v>2074</v>
      </c>
      <c r="ER253" s="239">
        <v>35373</v>
      </c>
      <c r="ES253" s="239">
        <v>0</v>
      </c>
      <c r="ET253" s="239">
        <v>722</v>
      </c>
      <c r="EU253" s="239">
        <v>42123</v>
      </c>
      <c r="EV253" s="239">
        <v>0</v>
      </c>
      <c r="EW253" s="239">
        <v>0</v>
      </c>
      <c r="EX253" s="239">
        <v>-6750</v>
      </c>
      <c r="EY253" s="239">
        <v>0</v>
      </c>
      <c r="EZ253" s="239">
        <v>722</v>
      </c>
      <c r="FA253" s="239">
        <v>201818</v>
      </c>
      <c r="FB253" s="239">
        <v>0</v>
      </c>
      <c r="FC253" s="239">
        <v>4119</v>
      </c>
      <c r="FD253" s="239">
        <v>215653</v>
      </c>
      <c r="FE253" s="239">
        <v>0</v>
      </c>
      <c r="FF253" s="239">
        <v>4401</v>
      </c>
      <c r="FG253" s="239">
        <v>-13835</v>
      </c>
      <c r="FH253" s="239">
        <v>0</v>
      </c>
      <c r="FI253" s="239">
        <v>-282</v>
      </c>
      <c r="FJ253" s="239">
        <v>0</v>
      </c>
      <c r="FK253" s="239">
        <v>0</v>
      </c>
      <c r="FL253" s="239">
        <v>0</v>
      </c>
      <c r="FM253" s="239">
        <v>0</v>
      </c>
      <c r="FN253" s="239">
        <v>0</v>
      </c>
      <c r="FO253" s="239">
        <v>0</v>
      </c>
      <c r="FP253" s="239">
        <v>0</v>
      </c>
      <c r="FQ253" s="239">
        <v>0</v>
      </c>
      <c r="FR253" s="239">
        <v>0</v>
      </c>
      <c r="FS253" s="239">
        <v>0</v>
      </c>
      <c r="FT253" s="239">
        <v>0</v>
      </c>
      <c r="FU253" s="239">
        <v>0</v>
      </c>
      <c r="FV253" s="239">
        <v>1650799</v>
      </c>
      <c r="FW253" s="239">
        <v>0</v>
      </c>
      <c r="FX253" s="239">
        <v>33690</v>
      </c>
      <c r="FY253" s="834">
        <v>0.5</v>
      </c>
      <c r="FZ253" s="834">
        <v>0.49</v>
      </c>
      <c r="GA253" s="834">
        <v>0</v>
      </c>
      <c r="GB253" s="834">
        <v>0.01</v>
      </c>
      <c r="GC253" s="214" t="s">
        <v>1160</v>
      </c>
    </row>
    <row r="254" spans="2:185" s="214" customFormat="1" x14ac:dyDescent="0.2">
      <c r="B254" s="602" t="s">
        <v>591</v>
      </c>
      <c r="C254" s="602" t="s">
        <v>590</v>
      </c>
      <c r="D254" s="239">
        <v>-3018386</v>
      </c>
      <c r="E254" s="239">
        <v>0</v>
      </c>
      <c r="F254" s="239">
        <v>-3018386</v>
      </c>
      <c r="G254" s="239">
        <v>-2147453</v>
      </c>
      <c r="H254" s="239">
        <v>0</v>
      </c>
      <c r="I254" s="239">
        <v>-2147453</v>
      </c>
      <c r="J254" s="239">
        <v>-870933</v>
      </c>
      <c r="K254" s="239">
        <v>0</v>
      </c>
      <c r="L254" s="239">
        <v>-870933</v>
      </c>
      <c r="M254" s="239">
        <v>310662</v>
      </c>
      <c r="N254" s="239">
        <v>310662</v>
      </c>
      <c r="O254" s="239">
        <v>0</v>
      </c>
      <c r="P254" s="239">
        <v>0</v>
      </c>
      <c r="Q254" s="239">
        <v>0</v>
      </c>
      <c r="R254" s="239">
        <v>0</v>
      </c>
      <c r="S254" s="239">
        <v>0</v>
      </c>
      <c r="T254" s="239">
        <v>0</v>
      </c>
      <c r="U254" s="239">
        <v>0</v>
      </c>
      <c r="V254" s="239">
        <v>0</v>
      </c>
      <c r="W254" s="239">
        <v>0</v>
      </c>
      <c r="X254" s="239">
        <v>0</v>
      </c>
      <c r="Y254" s="239">
        <v>0</v>
      </c>
      <c r="Z254" s="239">
        <v>0</v>
      </c>
      <c r="AA254" s="239">
        <v>0</v>
      </c>
      <c r="AB254" s="239">
        <v>0</v>
      </c>
      <c r="AC254" s="239">
        <v>0</v>
      </c>
      <c r="AD254" s="239">
        <v>0</v>
      </c>
      <c r="AE254" s="239">
        <v>0</v>
      </c>
      <c r="AF254" s="239">
        <v>0</v>
      </c>
      <c r="AG254" s="239">
        <v>0</v>
      </c>
      <c r="AH254" s="239">
        <v>0</v>
      </c>
      <c r="AI254" s="239">
        <v>0</v>
      </c>
      <c r="AJ254" s="239">
        <v>0</v>
      </c>
      <c r="AK254" s="239">
        <v>0</v>
      </c>
      <c r="AL254" s="239">
        <v>0</v>
      </c>
      <c r="AM254" s="239">
        <v>0</v>
      </c>
      <c r="AN254" s="239">
        <v>0</v>
      </c>
      <c r="AO254" s="239">
        <v>0</v>
      </c>
      <c r="AP254" s="239">
        <v>0</v>
      </c>
      <c r="AQ254" s="239">
        <v>0</v>
      </c>
      <c r="AR254" s="239">
        <v>0</v>
      </c>
      <c r="AS254" s="239">
        <v>0</v>
      </c>
      <c r="AT254" s="239">
        <v>0</v>
      </c>
      <c r="AU254" s="239">
        <v>0</v>
      </c>
      <c r="AV254" s="239">
        <v>0</v>
      </c>
      <c r="AW254" s="239">
        <v>0</v>
      </c>
      <c r="AX254" s="239">
        <v>0</v>
      </c>
      <c r="AY254" s="239">
        <v>0</v>
      </c>
      <c r="AZ254" s="239">
        <v>0</v>
      </c>
      <c r="BA254" s="239">
        <v>0</v>
      </c>
      <c r="BB254" s="239">
        <v>0</v>
      </c>
      <c r="BC254" s="239">
        <v>2065165</v>
      </c>
      <c r="BD254" s="239">
        <v>0</v>
      </c>
      <c r="BE254" s="239">
        <v>42146</v>
      </c>
      <c r="BF254" s="239">
        <v>1997489.4327965663</v>
      </c>
      <c r="BG254" s="239">
        <v>0</v>
      </c>
      <c r="BH254" s="239">
        <v>40765.090465236055</v>
      </c>
      <c r="BI254" s="239">
        <v>194666.30874678108</v>
      </c>
      <c r="BJ254" s="239">
        <v>0</v>
      </c>
      <c r="BK254" s="239">
        <v>3972.7818111587981</v>
      </c>
      <c r="BL254" s="239">
        <v>1859372</v>
      </c>
      <c r="BM254" s="239">
        <v>0</v>
      </c>
      <c r="BN254" s="239">
        <v>25897</v>
      </c>
      <c r="BO254" s="239">
        <v>205793</v>
      </c>
      <c r="BP254" s="239">
        <v>0</v>
      </c>
      <c r="BQ254" s="239">
        <v>16249</v>
      </c>
      <c r="BR254" s="239">
        <v>4136</v>
      </c>
      <c r="BS254" s="239">
        <v>0</v>
      </c>
      <c r="BT254" s="239">
        <v>84</v>
      </c>
      <c r="BU254" s="239">
        <v>11715</v>
      </c>
      <c r="BV254" s="239">
        <v>0</v>
      </c>
      <c r="BW254" s="239">
        <v>239</v>
      </c>
      <c r="BX254" s="239">
        <v>-7579</v>
      </c>
      <c r="BY254" s="239">
        <v>0</v>
      </c>
      <c r="BZ254" s="239">
        <v>-155</v>
      </c>
      <c r="CA254" s="239">
        <v>10540</v>
      </c>
      <c r="CB254" s="239">
        <v>0</v>
      </c>
      <c r="CC254" s="239">
        <v>215</v>
      </c>
      <c r="CD254" s="239">
        <v>21536</v>
      </c>
      <c r="CE254" s="239">
        <v>0</v>
      </c>
      <c r="CF254" s="239">
        <v>440</v>
      </c>
      <c r="CG254" s="239">
        <v>-10996</v>
      </c>
      <c r="CH254" s="239">
        <v>0</v>
      </c>
      <c r="CI254" s="239">
        <v>-225</v>
      </c>
      <c r="CJ254" s="239">
        <v>21589</v>
      </c>
      <c r="CK254" s="239">
        <v>0</v>
      </c>
      <c r="CL254" s="239">
        <v>441</v>
      </c>
      <c r="CM254" s="239">
        <v>3084</v>
      </c>
      <c r="CN254" s="239">
        <v>0</v>
      </c>
      <c r="CO254" s="239">
        <v>63</v>
      </c>
      <c r="CP254" s="239">
        <v>18505</v>
      </c>
      <c r="CQ254" s="239">
        <v>0</v>
      </c>
      <c r="CR254" s="239">
        <v>378</v>
      </c>
      <c r="CS254" s="239">
        <v>-515</v>
      </c>
      <c r="CT254" s="239">
        <v>0</v>
      </c>
      <c r="CU254" s="239">
        <v>-11</v>
      </c>
      <c r="CV254" s="239">
        <v>0</v>
      </c>
      <c r="CW254" s="239">
        <v>0</v>
      </c>
      <c r="CX254" s="239">
        <v>0</v>
      </c>
      <c r="CY254" s="239">
        <v>0</v>
      </c>
      <c r="CZ254" s="239">
        <v>0</v>
      </c>
      <c r="DA254" s="239">
        <v>0</v>
      </c>
      <c r="DB254" s="239">
        <v>0</v>
      </c>
      <c r="DC254" s="239">
        <v>0</v>
      </c>
      <c r="DD254" s="239">
        <v>0</v>
      </c>
      <c r="DE254" s="239">
        <v>1</v>
      </c>
      <c r="DF254" s="239">
        <v>0</v>
      </c>
      <c r="DG254" s="239">
        <v>0</v>
      </c>
      <c r="DH254" s="239">
        <v>0</v>
      </c>
      <c r="DI254" s="239">
        <v>0</v>
      </c>
      <c r="DJ254" s="239">
        <v>0</v>
      </c>
      <c r="DK254" s="239">
        <v>0</v>
      </c>
      <c r="DL254" s="239">
        <v>0</v>
      </c>
      <c r="DM254" s="239">
        <v>0</v>
      </c>
      <c r="DN254" s="239">
        <v>0</v>
      </c>
      <c r="DO254" s="239">
        <v>0</v>
      </c>
      <c r="DP254" s="239">
        <v>0</v>
      </c>
      <c r="DQ254" s="239">
        <v>0</v>
      </c>
      <c r="DR254" s="239">
        <v>0</v>
      </c>
      <c r="DS254" s="239">
        <v>0</v>
      </c>
      <c r="DT254" s="239">
        <v>0</v>
      </c>
      <c r="DU254" s="239">
        <v>0</v>
      </c>
      <c r="DV254" s="239">
        <v>0</v>
      </c>
      <c r="DW254" s="239">
        <v>0</v>
      </c>
      <c r="DX254" s="239">
        <v>0</v>
      </c>
      <c r="DY254" s="239">
        <v>0</v>
      </c>
      <c r="DZ254" s="239">
        <v>7482</v>
      </c>
      <c r="EA254" s="239">
        <v>0</v>
      </c>
      <c r="EB254" s="239">
        <v>153</v>
      </c>
      <c r="EC254" s="239">
        <v>8107</v>
      </c>
      <c r="ED254" s="239">
        <v>0</v>
      </c>
      <c r="EE254" s="239">
        <v>0</v>
      </c>
      <c r="EF254" s="239">
        <v>-625</v>
      </c>
      <c r="EG254" s="239">
        <v>0</v>
      </c>
      <c r="EH254" s="239">
        <v>153</v>
      </c>
      <c r="EI254" s="239">
        <v>168055</v>
      </c>
      <c r="EJ254" s="239">
        <v>0</v>
      </c>
      <c r="EK254" s="239">
        <v>3430</v>
      </c>
      <c r="EL254" s="239">
        <v>209901</v>
      </c>
      <c r="EM254" s="239">
        <v>0</v>
      </c>
      <c r="EN254" s="239">
        <v>0</v>
      </c>
      <c r="EO254" s="239">
        <v>-41846</v>
      </c>
      <c r="EP254" s="239">
        <v>0</v>
      </c>
      <c r="EQ254" s="239">
        <v>3430</v>
      </c>
      <c r="ER254" s="239">
        <v>43091</v>
      </c>
      <c r="ES254" s="239">
        <v>0</v>
      </c>
      <c r="ET254" s="239">
        <v>879</v>
      </c>
      <c r="EU254" s="239">
        <v>44477</v>
      </c>
      <c r="EV254" s="239">
        <v>0</v>
      </c>
      <c r="EW254" s="239">
        <v>0</v>
      </c>
      <c r="EX254" s="239">
        <v>-1386</v>
      </c>
      <c r="EY254" s="239">
        <v>0</v>
      </c>
      <c r="EZ254" s="239">
        <v>879</v>
      </c>
      <c r="FA254" s="239">
        <v>735249</v>
      </c>
      <c r="FB254" s="239">
        <v>0</v>
      </c>
      <c r="FC254" s="239">
        <v>15005</v>
      </c>
      <c r="FD254" s="239">
        <v>719741</v>
      </c>
      <c r="FE254" s="239">
        <v>0</v>
      </c>
      <c r="FF254" s="239">
        <v>14689</v>
      </c>
      <c r="FG254" s="239">
        <v>15508</v>
      </c>
      <c r="FH254" s="239">
        <v>0</v>
      </c>
      <c r="FI254" s="239">
        <v>316</v>
      </c>
      <c r="FJ254" s="239">
        <v>0</v>
      </c>
      <c r="FK254" s="239">
        <v>0</v>
      </c>
      <c r="FL254" s="239">
        <v>0</v>
      </c>
      <c r="FM254" s="239">
        <v>0</v>
      </c>
      <c r="FN254" s="239">
        <v>0</v>
      </c>
      <c r="FO254" s="239">
        <v>0</v>
      </c>
      <c r="FP254" s="239">
        <v>0</v>
      </c>
      <c r="FQ254" s="239">
        <v>0</v>
      </c>
      <c r="FR254" s="239">
        <v>0</v>
      </c>
      <c r="FS254" s="239">
        <v>0</v>
      </c>
      <c r="FT254" s="239">
        <v>0</v>
      </c>
      <c r="FU254" s="239">
        <v>0</v>
      </c>
      <c r="FV254" s="239">
        <v>3054793</v>
      </c>
      <c r="FW254" s="239">
        <v>0</v>
      </c>
      <c r="FX254" s="239">
        <v>62342</v>
      </c>
      <c r="FY254" s="834">
        <v>0.5</v>
      </c>
      <c r="FZ254" s="834">
        <v>0.49</v>
      </c>
      <c r="GA254" s="834">
        <v>0</v>
      </c>
      <c r="GB254" s="834">
        <v>0.01</v>
      </c>
      <c r="GC254" s="214" t="s">
        <v>746</v>
      </c>
    </row>
    <row r="255" spans="2:185" s="214" customFormat="1" x14ac:dyDescent="0.2">
      <c r="B255" s="602" t="s">
        <v>593</v>
      </c>
      <c r="C255" s="602" t="s">
        <v>592</v>
      </c>
      <c r="D255" s="239">
        <v>-1985298</v>
      </c>
      <c r="E255" s="239">
        <v>0</v>
      </c>
      <c r="F255" s="239">
        <v>-1985298</v>
      </c>
      <c r="G255" s="239">
        <v>-2195152</v>
      </c>
      <c r="H255" s="239">
        <v>0</v>
      </c>
      <c r="I255" s="239">
        <v>-2195152</v>
      </c>
      <c r="J255" s="239">
        <v>209854</v>
      </c>
      <c r="K255" s="239">
        <v>0</v>
      </c>
      <c r="L255" s="239">
        <v>209854</v>
      </c>
      <c r="M255" s="239">
        <v>234382</v>
      </c>
      <c r="N255" s="239">
        <v>234382</v>
      </c>
      <c r="O255" s="239">
        <v>0</v>
      </c>
      <c r="P255" s="239">
        <v>0</v>
      </c>
      <c r="Q255" s="239">
        <v>0</v>
      </c>
      <c r="R255" s="239">
        <v>0</v>
      </c>
      <c r="S255" s="239">
        <v>0</v>
      </c>
      <c r="T255" s="239">
        <v>0</v>
      </c>
      <c r="U255" s="239">
        <v>0</v>
      </c>
      <c r="V255" s="239">
        <v>0</v>
      </c>
      <c r="W255" s="239">
        <v>0</v>
      </c>
      <c r="X255" s="239">
        <v>0</v>
      </c>
      <c r="Y255" s="239">
        <v>0</v>
      </c>
      <c r="Z255" s="239">
        <v>0</v>
      </c>
      <c r="AA255" s="239">
        <v>0</v>
      </c>
      <c r="AB255" s="239">
        <v>0</v>
      </c>
      <c r="AC255" s="239">
        <v>0</v>
      </c>
      <c r="AD255" s="239">
        <v>0</v>
      </c>
      <c r="AE255" s="239">
        <v>0</v>
      </c>
      <c r="AF255" s="239">
        <v>0</v>
      </c>
      <c r="AG255" s="239">
        <v>0</v>
      </c>
      <c r="AH255" s="239">
        <v>0</v>
      </c>
      <c r="AI255" s="239">
        <v>0</v>
      </c>
      <c r="AJ255" s="239">
        <v>0</v>
      </c>
      <c r="AK255" s="239">
        <v>0</v>
      </c>
      <c r="AL255" s="239">
        <v>0</v>
      </c>
      <c r="AM255" s="239">
        <v>0</v>
      </c>
      <c r="AN255" s="239">
        <v>0</v>
      </c>
      <c r="AO255" s="239">
        <v>0</v>
      </c>
      <c r="AP255" s="239">
        <v>0</v>
      </c>
      <c r="AQ255" s="239">
        <v>0</v>
      </c>
      <c r="AR255" s="239">
        <v>0</v>
      </c>
      <c r="AS255" s="239">
        <v>0</v>
      </c>
      <c r="AT255" s="239">
        <v>0</v>
      </c>
      <c r="AU255" s="239">
        <v>0</v>
      </c>
      <c r="AV255" s="239">
        <v>0</v>
      </c>
      <c r="AW255" s="239">
        <v>0</v>
      </c>
      <c r="AX255" s="239">
        <v>0</v>
      </c>
      <c r="AY255" s="239">
        <v>0</v>
      </c>
      <c r="AZ255" s="239">
        <v>0</v>
      </c>
      <c r="BA255" s="239">
        <v>0</v>
      </c>
      <c r="BB255" s="239">
        <v>0</v>
      </c>
      <c r="BC255" s="239">
        <v>2402279</v>
      </c>
      <c r="BD255" s="239">
        <v>0</v>
      </c>
      <c r="BE255" s="239">
        <v>49026</v>
      </c>
      <c r="BF255" s="239">
        <v>2358367.7209994849</v>
      </c>
      <c r="BG255" s="239">
        <v>0</v>
      </c>
      <c r="BH255" s="239">
        <v>48129.95348978541</v>
      </c>
      <c r="BI255" s="239">
        <v>121862.99984227467</v>
      </c>
      <c r="BJ255" s="239">
        <v>0</v>
      </c>
      <c r="BK255" s="239">
        <v>2486.9999967811159</v>
      </c>
      <c r="BL255" s="239">
        <v>2159140</v>
      </c>
      <c r="BM255" s="239">
        <v>0</v>
      </c>
      <c r="BN255" s="239">
        <v>31429</v>
      </c>
      <c r="BO255" s="239">
        <v>243139</v>
      </c>
      <c r="BP255" s="239">
        <v>0</v>
      </c>
      <c r="BQ255" s="239">
        <v>17597</v>
      </c>
      <c r="BR255" s="239">
        <v>17157</v>
      </c>
      <c r="BS255" s="239">
        <v>0</v>
      </c>
      <c r="BT255" s="239">
        <v>350</v>
      </c>
      <c r="BU255" s="239">
        <v>6763</v>
      </c>
      <c r="BV255" s="239">
        <v>0</v>
      </c>
      <c r="BW255" s="239">
        <v>138</v>
      </c>
      <c r="BX255" s="239">
        <v>10394</v>
      </c>
      <c r="BY255" s="239">
        <v>0</v>
      </c>
      <c r="BZ255" s="239">
        <v>212</v>
      </c>
      <c r="CA255" s="239">
        <v>3102</v>
      </c>
      <c r="CB255" s="239">
        <v>0</v>
      </c>
      <c r="CC255" s="239">
        <v>63</v>
      </c>
      <c r="CD255" s="239">
        <v>0</v>
      </c>
      <c r="CE255" s="239">
        <v>0</v>
      </c>
      <c r="CF255" s="239">
        <v>0</v>
      </c>
      <c r="CG255" s="239">
        <v>3102</v>
      </c>
      <c r="CH255" s="239">
        <v>0</v>
      </c>
      <c r="CI255" s="239">
        <v>63</v>
      </c>
      <c r="CJ255" s="239">
        <v>1122</v>
      </c>
      <c r="CK255" s="239">
        <v>0</v>
      </c>
      <c r="CL255" s="239">
        <v>23</v>
      </c>
      <c r="CM255" s="239">
        <v>0</v>
      </c>
      <c r="CN255" s="239">
        <v>0</v>
      </c>
      <c r="CO255" s="239">
        <v>0</v>
      </c>
      <c r="CP255" s="239">
        <v>1122</v>
      </c>
      <c r="CQ255" s="239">
        <v>0</v>
      </c>
      <c r="CR255" s="239">
        <v>23</v>
      </c>
      <c r="CS255" s="239">
        <v>-1106</v>
      </c>
      <c r="CT255" s="239">
        <v>0</v>
      </c>
      <c r="CU255" s="239">
        <v>-23</v>
      </c>
      <c r="CV255" s="239">
        <v>0</v>
      </c>
      <c r="CW255" s="239">
        <v>0</v>
      </c>
      <c r="CX255" s="239">
        <v>0</v>
      </c>
      <c r="CY255" s="239">
        <v>0</v>
      </c>
      <c r="CZ255" s="239">
        <v>0</v>
      </c>
      <c r="DA255" s="239">
        <v>0</v>
      </c>
      <c r="DB255" s="239">
        <v>0</v>
      </c>
      <c r="DC255" s="239">
        <v>0</v>
      </c>
      <c r="DD255" s="239">
        <v>0</v>
      </c>
      <c r="DE255" s="239">
        <v>0</v>
      </c>
      <c r="DF255" s="239">
        <v>0</v>
      </c>
      <c r="DG255" s="239">
        <v>0</v>
      </c>
      <c r="DH255" s="239">
        <v>0</v>
      </c>
      <c r="DI255" s="239">
        <v>0</v>
      </c>
      <c r="DJ255" s="239">
        <v>0</v>
      </c>
      <c r="DK255" s="239">
        <v>0</v>
      </c>
      <c r="DL255" s="239">
        <v>0</v>
      </c>
      <c r="DM255" s="239">
        <v>0</v>
      </c>
      <c r="DN255" s="239">
        <v>0</v>
      </c>
      <c r="DO255" s="239">
        <v>0</v>
      </c>
      <c r="DP255" s="239">
        <v>0</v>
      </c>
      <c r="DQ255" s="239">
        <v>0</v>
      </c>
      <c r="DR255" s="239">
        <v>0</v>
      </c>
      <c r="DS255" s="239">
        <v>0</v>
      </c>
      <c r="DT255" s="239">
        <v>0</v>
      </c>
      <c r="DU255" s="239">
        <v>0</v>
      </c>
      <c r="DV255" s="239">
        <v>0</v>
      </c>
      <c r="DW255" s="239">
        <v>0</v>
      </c>
      <c r="DX255" s="239">
        <v>0</v>
      </c>
      <c r="DY255" s="239">
        <v>0</v>
      </c>
      <c r="DZ255" s="239">
        <v>8775</v>
      </c>
      <c r="EA255" s="239">
        <v>0</v>
      </c>
      <c r="EB255" s="239">
        <v>179</v>
      </c>
      <c r="EC255" s="239">
        <v>13703</v>
      </c>
      <c r="ED255" s="239">
        <v>0</v>
      </c>
      <c r="EE255" s="239">
        <v>0</v>
      </c>
      <c r="EF255" s="239">
        <v>-4928</v>
      </c>
      <c r="EG255" s="239">
        <v>0</v>
      </c>
      <c r="EH255" s="239">
        <v>179</v>
      </c>
      <c r="EI255" s="239">
        <v>160319</v>
      </c>
      <c r="EJ255" s="239">
        <v>0</v>
      </c>
      <c r="EK255" s="239">
        <v>3272</v>
      </c>
      <c r="EL255" s="239">
        <v>161170</v>
      </c>
      <c r="EM255" s="239">
        <v>0</v>
      </c>
      <c r="EN255" s="239">
        <v>0</v>
      </c>
      <c r="EO255" s="239">
        <v>-851</v>
      </c>
      <c r="EP255" s="239">
        <v>0</v>
      </c>
      <c r="EQ255" s="239">
        <v>3272</v>
      </c>
      <c r="ER255" s="239">
        <v>13588</v>
      </c>
      <c r="ES255" s="239">
        <v>0</v>
      </c>
      <c r="ET255" s="239">
        <v>277</v>
      </c>
      <c r="EU255" s="239">
        <v>16748</v>
      </c>
      <c r="EV255" s="239">
        <v>0</v>
      </c>
      <c r="EW255" s="239">
        <v>0</v>
      </c>
      <c r="EX255" s="239">
        <v>-3160</v>
      </c>
      <c r="EY255" s="239">
        <v>0</v>
      </c>
      <c r="EZ255" s="239">
        <v>277</v>
      </c>
      <c r="FA255" s="239">
        <v>304118</v>
      </c>
      <c r="FB255" s="239">
        <v>0</v>
      </c>
      <c r="FC255" s="239">
        <v>6206</v>
      </c>
      <c r="FD255" s="239">
        <v>310724</v>
      </c>
      <c r="FE255" s="239">
        <v>0</v>
      </c>
      <c r="FF255" s="239">
        <v>6341</v>
      </c>
      <c r="FG255" s="239">
        <v>-6606</v>
      </c>
      <c r="FH255" s="239">
        <v>0</v>
      </c>
      <c r="FI255" s="239">
        <v>-135</v>
      </c>
      <c r="FJ255" s="239">
        <v>0</v>
      </c>
      <c r="FK255" s="239">
        <v>0</v>
      </c>
      <c r="FL255" s="239">
        <v>0</v>
      </c>
      <c r="FM255" s="239">
        <v>0</v>
      </c>
      <c r="FN255" s="239">
        <v>0</v>
      </c>
      <c r="FO255" s="239">
        <v>0</v>
      </c>
      <c r="FP255" s="239">
        <v>0</v>
      </c>
      <c r="FQ255" s="239">
        <v>0</v>
      </c>
      <c r="FR255" s="239">
        <v>0</v>
      </c>
      <c r="FS255" s="239">
        <v>0</v>
      </c>
      <c r="FT255" s="239">
        <v>0</v>
      </c>
      <c r="FU255" s="239">
        <v>0</v>
      </c>
      <c r="FV255" s="239">
        <v>2909354</v>
      </c>
      <c r="FW255" s="239">
        <v>0</v>
      </c>
      <c r="FX255" s="239">
        <v>59373</v>
      </c>
      <c r="FY255" s="834">
        <v>0.5</v>
      </c>
      <c r="FZ255" s="834">
        <v>0.49</v>
      </c>
      <c r="GA255" s="834">
        <v>0</v>
      </c>
      <c r="GB255" s="834">
        <v>0.01</v>
      </c>
      <c r="GC255" s="214" t="s">
        <v>746</v>
      </c>
    </row>
    <row r="256" spans="2:185" s="214" customFormat="1" x14ac:dyDescent="0.2">
      <c r="B256" s="602" t="s">
        <v>595</v>
      </c>
      <c r="C256" s="602" t="s">
        <v>594</v>
      </c>
      <c r="D256" s="239">
        <v>25870574</v>
      </c>
      <c r="E256" s="239">
        <v>0</v>
      </c>
      <c r="F256" s="239">
        <v>25870574</v>
      </c>
      <c r="G256" s="239">
        <v>22881500</v>
      </c>
      <c r="H256" s="239">
        <v>0</v>
      </c>
      <c r="I256" s="239">
        <v>22881500</v>
      </c>
      <c r="J256" s="239">
        <v>2989074</v>
      </c>
      <c r="K256" s="239">
        <v>0</v>
      </c>
      <c r="L256" s="239">
        <v>2989074</v>
      </c>
      <c r="M256" s="239">
        <v>720423</v>
      </c>
      <c r="N256" s="239">
        <v>720423</v>
      </c>
      <c r="O256" s="239">
        <v>0</v>
      </c>
      <c r="P256" s="239">
        <v>0</v>
      </c>
      <c r="Q256" s="239">
        <v>0</v>
      </c>
      <c r="R256" s="239">
        <v>0</v>
      </c>
      <c r="S256" s="239">
        <v>0</v>
      </c>
      <c r="T256" s="239">
        <v>0</v>
      </c>
      <c r="U256" s="239">
        <v>0</v>
      </c>
      <c r="V256" s="239">
        <v>0</v>
      </c>
      <c r="W256" s="239">
        <v>0</v>
      </c>
      <c r="X256" s="239">
        <v>0</v>
      </c>
      <c r="Y256" s="239">
        <v>0</v>
      </c>
      <c r="Z256" s="239">
        <v>0</v>
      </c>
      <c r="AA256" s="239">
        <v>0</v>
      </c>
      <c r="AB256" s="239">
        <v>0</v>
      </c>
      <c r="AC256" s="239">
        <v>0</v>
      </c>
      <c r="AD256" s="239">
        <v>0</v>
      </c>
      <c r="AE256" s="239">
        <v>0</v>
      </c>
      <c r="AF256" s="239">
        <v>0</v>
      </c>
      <c r="AG256" s="239">
        <v>0</v>
      </c>
      <c r="AH256" s="239">
        <v>0</v>
      </c>
      <c r="AI256" s="239">
        <v>0</v>
      </c>
      <c r="AJ256" s="239">
        <v>0</v>
      </c>
      <c r="AK256" s="239">
        <v>0</v>
      </c>
      <c r="AL256" s="239">
        <v>0</v>
      </c>
      <c r="AM256" s="239">
        <v>0</v>
      </c>
      <c r="AN256" s="239">
        <v>0</v>
      </c>
      <c r="AO256" s="239">
        <v>0</v>
      </c>
      <c r="AP256" s="239">
        <v>0</v>
      </c>
      <c r="AQ256" s="239">
        <v>0</v>
      </c>
      <c r="AR256" s="239">
        <v>0</v>
      </c>
      <c r="AS256" s="239">
        <v>0</v>
      </c>
      <c r="AT256" s="239">
        <v>0</v>
      </c>
      <c r="AU256" s="239">
        <v>0</v>
      </c>
      <c r="AV256" s="239">
        <v>0</v>
      </c>
      <c r="AW256" s="239">
        <v>0</v>
      </c>
      <c r="AX256" s="239">
        <v>0</v>
      </c>
      <c r="AY256" s="239">
        <v>0</v>
      </c>
      <c r="AZ256" s="239">
        <v>0</v>
      </c>
      <c r="BA256" s="239">
        <v>0</v>
      </c>
      <c r="BB256" s="239">
        <v>0</v>
      </c>
      <c r="BC256" s="239">
        <v>1789739</v>
      </c>
      <c r="BD256" s="239">
        <v>2207344</v>
      </c>
      <c r="BE256" s="239">
        <v>0</v>
      </c>
      <c r="BF256" s="239">
        <v>1738079.8594854076</v>
      </c>
      <c r="BG256" s="239">
        <v>2143631.8266986697</v>
      </c>
      <c r="BH256" s="239">
        <v>0</v>
      </c>
      <c r="BI256" s="239">
        <v>188883.42495708153</v>
      </c>
      <c r="BJ256" s="239">
        <v>232956.22411373389</v>
      </c>
      <c r="BK256" s="239">
        <v>0</v>
      </c>
      <c r="BL256" s="239">
        <v>2441452</v>
      </c>
      <c r="BM256" s="239">
        <v>1332592</v>
      </c>
      <c r="BN256" s="239">
        <v>0</v>
      </c>
      <c r="BO256" s="239">
        <v>-651713</v>
      </c>
      <c r="BP256" s="239">
        <v>874752</v>
      </c>
      <c r="BQ256" s="239">
        <v>0</v>
      </c>
      <c r="BR256" s="239">
        <v>18113</v>
      </c>
      <c r="BS256" s="239">
        <v>22339</v>
      </c>
      <c r="BT256" s="239">
        <v>0</v>
      </c>
      <c r="BU256" s="239">
        <v>0</v>
      </c>
      <c r="BV256" s="239">
        <v>0</v>
      </c>
      <c r="BW256" s="239">
        <v>0</v>
      </c>
      <c r="BX256" s="239">
        <v>18113</v>
      </c>
      <c r="BY256" s="239">
        <v>22339</v>
      </c>
      <c r="BZ256" s="239">
        <v>0</v>
      </c>
      <c r="CA256" s="239">
        <v>0</v>
      </c>
      <c r="CB256" s="239">
        <v>0</v>
      </c>
      <c r="CC256" s="239">
        <v>0</v>
      </c>
      <c r="CD256" s="239">
        <v>0</v>
      </c>
      <c r="CE256" s="239">
        <v>0</v>
      </c>
      <c r="CF256" s="239">
        <v>0</v>
      </c>
      <c r="CG256" s="239">
        <v>0</v>
      </c>
      <c r="CH256" s="239">
        <v>0</v>
      </c>
      <c r="CI256" s="239">
        <v>0</v>
      </c>
      <c r="CJ256" s="239">
        <v>0</v>
      </c>
      <c r="CK256" s="239">
        <v>0</v>
      </c>
      <c r="CL256" s="239">
        <v>0</v>
      </c>
      <c r="CM256" s="239">
        <v>2857</v>
      </c>
      <c r="CN256" s="239">
        <v>3524</v>
      </c>
      <c r="CO256" s="239">
        <v>0</v>
      </c>
      <c r="CP256" s="239">
        <v>-2857</v>
      </c>
      <c r="CQ256" s="239">
        <v>-3524</v>
      </c>
      <c r="CR256" s="239">
        <v>0</v>
      </c>
      <c r="CS256" s="239">
        <v>-3247</v>
      </c>
      <c r="CT256" s="239">
        <v>-4005</v>
      </c>
      <c r="CU256" s="239">
        <v>0</v>
      </c>
      <c r="CV256" s="239">
        <v>0</v>
      </c>
      <c r="CW256" s="239">
        <v>0</v>
      </c>
      <c r="CX256" s="239">
        <v>0</v>
      </c>
      <c r="CY256" s="239">
        <v>0</v>
      </c>
      <c r="CZ256" s="239">
        <v>0</v>
      </c>
      <c r="DA256" s="239">
        <v>0</v>
      </c>
      <c r="DB256" s="239">
        <v>0</v>
      </c>
      <c r="DC256" s="239">
        <v>0</v>
      </c>
      <c r="DD256" s="239">
        <v>0</v>
      </c>
      <c r="DE256" s="239">
        <v>8</v>
      </c>
      <c r="DF256" s="239">
        <v>9</v>
      </c>
      <c r="DG256" s="239">
        <v>0</v>
      </c>
      <c r="DH256" s="239">
        <v>0</v>
      </c>
      <c r="DI256" s="239">
        <v>0</v>
      </c>
      <c r="DJ256" s="239">
        <v>0</v>
      </c>
      <c r="DK256" s="239">
        <v>0</v>
      </c>
      <c r="DL256" s="239">
        <v>0</v>
      </c>
      <c r="DM256" s="239">
        <v>0</v>
      </c>
      <c r="DN256" s="239">
        <v>0</v>
      </c>
      <c r="DO256" s="239">
        <v>0</v>
      </c>
      <c r="DP256" s="239">
        <v>0</v>
      </c>
      <c r="DQ256" s="239">
        <v>0</v>
      </c>
      <c r="DR256" s="239">
        <v>0</v>
      </c>
      <c r="DS256" s="239">
        <v>0</v>
      </c>
      <c r="DT256" s="239">
        <v>0</v>
      </c>
      <c r="DU256" s="239">
        <v>0</v>
      </c>
      <c r="DV256" s="239">
        <v>0</v>
      </c>
      <c r="DW256" s="239">
        <v>0</v>
      </c>
      <c r="DX256" s="239">
        <v>0</v>
      </c>
      <c r="DY256" s="239">
        <v>0</v>
      </c>
      <c r="DZ256" s="239">
        <v>185877</v>
      </c>
      <c r="EA256" s="239">
        <v>229248</v>
      </c>
      <c r="EB256" s="239">
        <v>0</v>
      </c>
      <c r="EC256" s="239">
        <v>417483</v>
      </c>
      <c r="ED256" s="239">
        <v>0</v>
      </c>
      <c r="EE256" s="239">
        <v>0</v>
      </c>
      <c r="EF256" s="239">
        <v>-231606</v>
      </c>
      <c r="EG256" s="239">
        <v>229248</v>
      </c>
      <c r="EH256" s="239">
        <v>0</v>
      </c>
      <c r="EI256" s="239">
        <v>1172394</v>
      </c>
      <c r="EJ256" s="239">
        <v>1445953</v>
      </c>
      <c r="EK256" s="239">
        <v>0</v>
      </c>
      <c r="EL256" s="239">
        <v>2694854</v>
      </c>
      <c r="EM256" s="239">
        <v>0</v>
      </c>
      <c r="EN256" s="239">
        <v>0</v>
      </c>
      <c r="EO256" s="239">
        <v>-1522460</v>
      </c>
      <c r="EP256" s="239">
        <v>1445953</v>
      </c>
      <c r="EQ256" s="239">
        <v>0</v>
      </c>
      <c r="ER256" s="239">
        <v>35891</v>
      </c>
      <c r="ES256" s="239">
        <v>44266</v>
      </c>
      <c r="ET256" s="239">
        <v>0</v>
      </c>
      <c r="EU256" s="239">
        <v>88276</v>
      </c>
      <c r="EV256" s="239">
        <v>0</v>
      </c>
      <c r="EW256" s="239">
        <v>0</v>
      </c>
      <c r="EX256" s="239">
        <v>-52385</v>
      </c>
      <c r="EY256" s="239">
        <v>44266</v>
      </c>
      <c r="EZ256" s="239">
        <v>0</v>
      </c>
      <c r="FA256" s="239">
        <v>1374572</v>
      </c>
      <c r="FB256" s="239">
        <v>1695305</v>
      </c>
      <c r="FC256" s="239">
        <v>0</v>
      </c>
      <c r="FD256" s="239">
        <v>1237004</v>
      </c>
      <c r="FE256" s="239">
        <v>1525638</v>
      </c>
      <c r="FF256" s="239">
        <v>0</v>
      </c>
      <c r="FG256" s="239">
        <v>137568</v>
      </c>
      <c r="FH256" s="239">
        <v>169667</v>
      </c>
      <c r="FI256" s="239">
        <v>0</v>
      </c>
      <c r="FJ256" s="239">
        <v>0</v>
      </c>
      <c r="FK256" s="239">
        <v>0</v>
      </c>
      <c r="FL256" s="239">
        <v>0</v>
      </c>
      <c r="FM256" s="239">
        <v>0</v>
      </c>
      <c r="FN256" s="239">
        <v>0</v>
      </c>
      <c r="FO256" s="239">
        <v>0</v>
      </c>
      <c r="FP256" s="239">
        <v>0</v>
      </c>
      <c r="FQ256" s="239">
        <v>0</v>
      </c>
      <c r="FR256" s="239">
        <v>0</v>
      </c>
      <c r="FS256" s="239">
        <v>0</v>
      </c>
      <c r="FT256" s="239">
        <v>0</v>
      </c>
      <c r="FU256" s="239">
        <v>0</v>
      </c>
      <c r="FV256" s="239">
        <v>4573347</v>
      </c>
      <c r="FW256" s="239">
        <v>5640459</v>
      </c>
      <c r="FX256" s="239">
        <v>0</v>
      </c>
      <c r="FY256" s="834">
        <v>0.33000000000000007</v>
      </c>
      <c r="FZ256" s="834">
        <v>0.3</v>
      </c>
      <c r="GA256" s="834">
        <v>0.37</v>
      </c>
      <c r="GB256" s="834">
        <v>0</v>
      </c>
      <c r="GC256" s="214" t="s">
        <v>1161</v>
      </c>
    </row>
    <row r="257" spans="1:185" s="214" customFormat="1" x14ac:dyDescent="0.2">
      <c r="A257" s="215" t="s">
        <v>1668</v>
      </c>
      <c r="B257" s="602" t="s">
        <v>597</v>
      </c>
      <c r="C257" s="602" t="s">
        <v>596</v>
      </c>
      <c r="D257" s="239">
        <v>616695</v>
      </c>
      <c r="E257" s="239">
        <v>0</v>
      </c>
      <c r="F257" s="239">
        <v>616695</v>
      </c>
      <c r="G257" s="239">
        <v>1018095</v>
      </c>
      <c r="H257" s="239">
        <v>0</v>
      </c>
      <c r="I257" s="239">
        <v>1018095</v>
      </c>
      <c r="J257" s="239">
        <v>-401400</v>
      </c>
      <c r="K257" s="239">
        <v>0</v>
      </c>
      <c r="L257" s="239">
        <v>-401400</v>
      </c>
      <c r="M257" s="239">
        <v>128748</v>
      </c>
      <c r="N257" s="239">
        <v>128748</v>
      </c>
      <c r="O257" s="239">
        <v>0</v>
      </c>
      <c r="P257" s="239">
        <v>0</v>
      </c>
      <c r="Q257" s="239">
        <v>0</v>
      </c>
      <c r="R257" s="239">
        <v>0</v>
      </c>
      <c r="S257" s="239">
        <v>0</v>
      </c>
      <c r="T257" s="239">
        <v>0</v>
      </c>
      <c r="U257" s="239">
        <v>0</v>
      </c>
      <c r="V257" s="239">
        <v>0</v>
      </c>
      <c r="W257" s="239">
        <v>0</v>
      </c>
      <c r="X257" s="239">
        <v>0</v>
      </c>
      <c r="Y257" s="239">
        <v>0</v>
      </c>
      <c r="Z257" s="239">
        <v>0</v>
      </c>
      <c r="AA257" s="239">
        <v>0</v>
      </c>
      <c r="AB257" s="239">
        <v>0</v>
      </c>
      <c r="AC257" s="239">
        <v>0</v>
      </c>
      <c r="AD257" s="239">
        <v>0</v>
      </c>
      <c r="AE257" s="239">
        <v>0</v>
      </c>
      <c r="AF257" s="239">
        <v>0</v>
      </c>
      <c r="AG257" s="239">
        <v>0</v>
      </c>
      <c r="AH257" s="239">
        <v>0</v>
      </c>
      <c r="AI257" s="239">
        <v>0</v>
      </c>
      <c r="AJ257" s="239">
        <v>0</v>
      </c>
      <c r="AK257" s="239">
        <v>0</v>
      </c>
      <c r="AL257" s="239">
        <v>0</v>
      </c>
      <c r="AM257" s="239">
        <v>0</v>
      </c>
      <c r="AN257" s="239">
        <v>0</v>
      </c>
      <c r="AO257" s="239">
        <v>0</v>
      </c>
      <c r="AP257" s="239">
        <v>0</v>
      </c>
      <c r="AQ257" s="239">
        <v>0</v>
      </c>
      <c r="AR257" s="239">
        <v>0</v>
      </c>
      <c r="AS257" s="239">
        <v>0</v>
      </c>
      <c r="AT257" s="239">
        <v>0</v>
      </c>
      <c r="AU257" s="239">
        <v>0</v>
      </c>
      <c r="AV257" s="239">
        <v>0</v>
      </c>
      <c r="AW257" s="239">
        <v>0</v>
      </c>
      <c r="AX257" s="239">
        <v>0</v>
      </c>
      <c r="AY257" s="239">
        <v>0</v>
      </c>
      <c r="AZ257" s="239">
        <v>0</v>
      </c>
      <c r="BA257" s="239">
        <v>0</v>
      </c>
      <c r="BB257" s="239">
        <v>0</v>
      </c>
      <c r="BC257" s="239">
        <v>619927</v>
      </c>
      <c r="BD257" s="239">
        <v>154982</v>
      </c>
      <c r="BE257" s="239">
        <v>0</v>
      </c>
      <c r="BF257" s="239">
        <v>600759.07182145922</v>
      </c>
      <c r="BG257" s="239">
        <v>150189.7679553648</v>
      </c>
      <c r="BH257" s="239">
        <v>0</v>
      </c>
      <c r="BI257" s="239">
        <v>67794.176480686685</v>
      </c>
      <c r="BJ257" s="239">
        <v>16948.544120171671</v>
      </c>
      <c r="BK257" s="239">
        <v>0</v>
      </c>
      <c r="BL257" s="239">
        <v>576727</v>
      </c>
      <c r="BM257" s="239">
        <v>89001</v>
      </c>
      <c r="BN257" s="239">
        <v>0</v>
      </c>
      <c r="BO257" s="239">
        <v>43200</v>
      </c>
      <c r="BP257" s="239">
        <v>65981</v>
      </c>
      <c r="BQ257" s="239">
        <v>0</v>
      </c>
      <c r="BR257" s="239">
        <v>0</v>
      </c>
      <c r="BS257" s="239">
        <v>0</v>
      </c>
      <c r="BT257" s="239">
        <v>0</v>
      </c>
      <c r="BU257" s="239">
        <v>0</v>
      </c>
      <c r="BV257" s="239">
        <v>0</v>
      </c>
      <c r="BW257" s="239">
        <v>0</v>
      </c>
      <c r="BX257" s="239">
        <v>0</v>
      </c>
      <c r="BY257" s="239">
        <v>0</v>
      </c>
      <c r="BZ257" s="239">
        <v>0</v>
      </c>
      <c r="CA257" s="239">
        <v>0</v>
      </c>
      <c r="CB257" s="239">
        <v>0</v>
      </c>
      <c r="CC257" s="239">
        <v>0</v>
      </c>
      <c r="CD257" s="239">
        <v>0</v>
      </c>
      <c r="CE257" s="239">
        <v>0</v>
      </c>
      <c r="CF257" s="239">
        <v>0</v>
      </c>
      <c r="CG257" s="239">
        <v>0</v>
      </c>
      <c r="CH257" s="239">
        <v>0</v>
      </c>
      <c r="CI257" s="239">
        <v>0</v>
      </c>
      <c r="CJ257" s="239">
        <v>-1115</v>
      </c>
      <c r="CK257" s="239">
        <v>-279</v>
      </c>
      <c r="CL257" s="239">
        <v>0</v>
      </c>
      <c r="CM257" s="239">
        <v>1860</v>
      </c>
      <c r="CN257" s="239">
        <v>465</v>
      </c>
      <c r="CO257" s="239">
        <v>0</v>
      </c>
      <c r="CP257" s="239">
        <v>-2975</v>
      </c>
      <c r="CQ257" s="239">
        <v>-744</v>
      </c>
      <c r="CR257" s="239">
        <v>0</v>
      </c>
      <c r="CS257" s="239">
        <v>0</v>
      </c>
      <c r="CT257" s="239">
        <v>0</v>
      </c>
      <c r="CU257" s="239">
        <v>0</v>
      </c>
      <c r="CV257" s="239">
        <v>0</v>
      </c>
      <c r="CW257" s="239">
        <v>0</v>
      </c>
      <c r="CX257" s="239">
        <v>0</v>
      </c>
      <c r="CY257" s="239">
        <v>0</v>
      </c>
      <c r="CZ257" s="239">
        <v>0</v>
      </c>
      <c r="DA257" s="239">
        <v>0</v>
      </c>
      <c r="DB257" s="239">
        <v>0</v>
      </c>
      <c r="DC257" s="239">
        <v>0</v>
      </c>
      <c r="DD257" s="239">
        <v>0</v>
      </c>
      <c r="DE257" s="239">
        <v>0</v>
      </c>
      <c r="DF257" s="239">
        <v>0</v>
      </c>
      <c r="DG257" s="239">
        <v>0</v>
      </c>
      <c r="DH257" s="239">
        <v>0</v>
      </c>
      <c r="DI257" s="239">
        <v>0</v>
      </c>
      <c r="DJ257" s="239">
        <v>0</v>
      </c>
      <c r="DK257" s="239">
        <v>0</v>
      </c>
      <c r="DL257" s="239">
        <v>0</v>
      </c>
      <c r="DM257" s="239">
        <v>0</v>
      </c>
      <c r="DN257" s="239">
        <v>0</v>
      </c>
      <c r="DO257" s="239">
        <v>0</v>
      </c>
      <c r="DP257" s="239">
        <v>0</v>
      </c>
      <c r="DQ257" s="239">
        <v>0</v>
      </c>
      <c r="DR257" s="239">
        <v>0</v>
      </c>
      <c r="DS257" s="239">
        <v>0</v>
      </c>
      <c r="DT257" s="239">
        <v>0</v>
      </c>
      <c r="DU257" s="239">
        <v>0</v>
      </c>
      <c r="DV257" s="239">
        <v>0</v>
      </c>
      <c r="DW257" s="239">
        <v>0</v>
      </c>
      <c r="DX257" s="239">
        <v>0</v>
      </c>
      <c r="DY257" s="239">
        <v>0</v>
      </c>
      <c r="DZ257" s="239">
        <v>8552</v>
      </c>
      <c r="EA257" s="239">
        <v>2138</v>
      </c>
      <c r="EB257" s="239">
        <v>0</v>
      </c>
      <c r="EC257" s="239">
        <v>14759</v>
      </c>
      <c r="ED257" s="239">
        <v>0</v>
      </c>
      <c r="EE257" s="239">
        <v>0</v>
      </c>
      <c r="EF257" s="239">
        <v>-6207</v>
      </c>
      <c r="EG257" s="239">
        <v>2138</v>
      </c>
      <c r="EH257" s="239">
        <v>0</v>
      </c>
      <c r="EI257" s="239">
        <v>136059</v>
      </c>
      <c r="EJ257" s="239">
        <v>34015</v>
      </c>
      <c r="EK257" s="239">
        <v>0</v>
      </c>
      <c r="EL257" s="239">
        <v>177174</v>
      </c>
      <c r="EM257" s="239">
        <v>0</v>
      </c>
      <c r="EN257" s="239">
        <v>0</v>
      </c>
      <c r="EO257" s="239">
        <v>-41115</v>
      </c>
      <c r="EP257" s="239">
        <v>34015</v>
      </c>
      <c r="EQ257" s="239">
        <v>0</v>
      </c>
      <c r="ER257" s="239">
        <v>11972</v>
      </c>
      <c r="ES257" s="239">
        <v>2993</v>
      </c>
      <c r="ET257" s="239">
        <v>0</v>
      </c>
      <c r="EU257" s="239">
        <v>15225</v>
      </c>
      <c r="EV257" s="239">
        <v>0</v>
      </c>
      <c r="EW257" s="239">
        <v>0</v>
      </c>
      <c r="EX257" s="239">
        <v>-3253</v>
      </c>
      <c r="EY257" s="239">
        <v>2993</v>
      </c>
      <c r="EZ257" s="239">
        <v>0</v>
      </c>
      <c r="FA257" s="239">
        <v>261951</v>
      </c>
      <c r="FB257" s="239">
        <v>65488</v>
      </c>
      <c r="FC257" s="239">
        <v>0</v>
      </c>
      <c r="FD257" s="239">
        <v>293077</v>
      </c>
      <c r="FE257" s="239">
        <v>73269</v>
      </c>
      <c r="FF257" s="239">
        <v>0</v>
      </c>
      <c r="FG257" s="239">
        <v>-31126</v>
      </c>
      <c r="FH257" s="239">
        <v>-7781</v>
      </c>
      <c r="FI257" s="239">
        <v>0</v>
      </c>
      <c r="FJ257" s="239">
        <v>0</v>
      </c>
      <c r="FK257" s="239">
        <v>0</v>
      </c>
      <c r="FL257" s="239">
        <v>0</v>
      </c>
      <c r="FM257" s="239">
        <v>0</v>
      </c>
      <c r="FN257" s="239">
        <v>0</v>
      </c>
      <c r="FO257" s="239">
        <v>0</v>
      </c>
      <c r="FP257" s="239">
        <v>0</v>
      </c>
      <c r="FQ257" s="239">
        <v>0</v>
      </c>
      <c r="FR257" s="239">
        <v>0</v>
      </c>
      <c r="FS257" s="239">
        <v>0</v>
      </c>
      <c r="FT257" s="239">
        <v>0</v>
      </c>
      <c r="FU257" s="239">
        <v>0</v>
      </c>
      <c r="FV257" s="239">
        <v>1037346</v>
      </c>
      <c r="FW257" s="239">
        <v>259337</v>
      </c>
      <c r="FX257" s="239">
        <v>0</v>
      </c>
      <c r="FY257" s="834">
        <v>0.5</v>
      </c>
      <c r="FZ257" s="834">
        <v>0.4</v>
      </c>
      <c r="GA257" s="834">
        <v>0.1</v>
      </c>
      <c r="GB257" s="834">
        <v>0</v>
      </c>
      <c r="GC257" s="214" t="s">
        <v>1158</v>
      </c>
    </row>
    <row r="258" spans="1:185" s="214" customFormat="1" x14ac:dyDescent="0.2">
      <c r="B258" s="602" t="s">
        <v>599</v>
      </c>
      <c r="C258" s="602" t="s">
        <v>598</v>
      </c>
      <c r="D258" s="239">
        <v>-1900241</v>
      </c>
      <c r="E258" s="239">
        <v>-152574</v>
      </c>
      <c r="F258" s="239">
        <v>-2052815</v>
      </c>
      <c r="G258" s="239">
        <v>-2229175</v>
      </c>
      <c r="H258" s="239">
        <v>-167188</v>
      </c>
      <c r="I258" s="239">
        <v>-2396363</v>
      </c>
      <c r="J258" s="239">
        <v>328934</v>
      </c>
      <c r="K258" s="239">
        <v>14614</v>
      </c>
      <c r="L258" s="239">
        <v>343548</v>
      </c>
      <c r="M258" s="239">
        <v>188622</v>
      </c>
      <c r="N258" s="239">
        <v>188622</v>
      </c>
      <c r="O258" s="239">
        <v>0</v>
      </c>
      <c r="P258" s="239">
        <v>4941</v>
      </c>
      <c r="Q258" s="239">
        <v>0</v>
      </c>
      <c r="R258" s="239">
        <v>4941</v>
      </c>
      <c r="S258" s="239">
        <v>0</v>
      </c>
      <c r="T258" s="239">
        <v>0</v>
      </c>
      <c r="U258" s="239">
        <v>0</v>
      </c>
      <c r="V258" s="239">
        <v>0</v>
      </c>
      <c r="W258" s="239">
        <v>0</v>
      </c>
      <c r="X258" s="239">
        <v>0</v>
      </c>
      <c r="Y258" s="239">
        <v>0</v>
      </c>
      <c r="Z258" s="239">
        <v>0</v>
      </c>
      <c r="AA258" s="239">
        <v>0</v>
      </c>
      <c r="AB258" s="239">
        <v>0</v>
      </c>
      <c r="AC258" s="239">
        <v>0</v>
      </c>
      <c r="AD258" s="239">
        <v>0</v>
      </c>
      <c r="AE258" s="239">
        <v>0</v>
      </c>
      <c r="AF258" s="239">
        <v>0</v>
      </c>
      <c r="AG258" s="239">
        <v>0</v>
      </c>
      <c r="AH258" s="239">
        <v>0</v>
      </c>
      <c r="AI258" s="239">
        <v>0</v>
      </c>
      <c r="AJ258" s="239">
        <v>0</v>
      </c>
      <c r="AK258" s="239">
        <v>0</v>
      </c>
      <c r="AL258" s="239">
        <v>0</v>
      </c>
      <c r="AM258" s="239">
        <v>0</v>
      </c>
      <c r="AN258" s="239">
        <v>0</v>
      </c>
      <c r="AO258" s="239">
        <v>0</v>
      </c>
      <c r="AP258" s="239">
        <v>0</v>
      </c>
      <c r="AQ258" s="239">
        <v>0</v>
      </c>
      <c r="AR258" s="239">
        <v>0</v>
      </c>
      <c r="AS258" s="239">
        <v>0</v>
      </c>
      <c r="AT258" s="239">
        <v>0</v>
      </c>
      <c r="AU258" s="239">
        <v>0</v>
      </c>
      <c r="AV258" s="239">
        <v>0</v>
      </c>
      <c r="AW258" s="239">
        <v>0</v>
      </c>
      <c r="AX258" s="239">
        <v>0</v>
      </c>
      <c r="AY258" s="239">
        <v>0</v>
      </c>
      <c r="AZ258" s="239">
        <v>0</v>
      </c>
      <c r="BA258" s="239">
        <v>0</v>
      </c>
      <c r="BB258" s="239">
        <v>0</v>
      </c>
      <c r="BC258" s="239">
        <v>970703</v>
      </c>
      <c r="BD258" s="239">
        <v>242676</v>
      </c>
      <c r="BE258" s="239">
        <v>0</v>
      </c>
      <c r="BF258" s="239">
        <v>929252.55355536484</v>
      </c>
      <c r="BG258" s="239">
        <v>232313.13838884121</v>
      </c>
      <c r="BH258" s="239">
        <v>0</v>
      </c>
      <c r="BI258" s="239">
        <v>41450.456503004338</v>
      </c>
      <c r="BJ258" s="239">
        <v>10362.614125751084</v>
      </c>
      <c r="BK258" s="239">
        <v>0</v>
      </c>
      <c r="BL258" s="239">
        <v>903557</v>
      </c>
      <c r="BM258" s="239">
        <v>135061</v>
      </c>
      <c r="BN258" s="239">
        <v>0</v>
      </c>
      <c r="BO258" s="239">
        <v>67146</v>
      </c>
      <c r="BP258" s="239">
        <v>107615</v>
      </c>
      <c r="BQ258" s="239">
        <v>0</v>
      </c>
      <c r="BR258" s="239">
        <v>0</v>
      </c>
      <c r="BS258" s="239">
        <v>0</v>
      </c>
      <c r="BT258" s="239">
        <v>0</v>
      </c>
      <c r="BU258" s="239">
        <v>0</v>
      </c>
      <c r="BV258" s="239">
        <v>0</v>
      </c>
      <c r="BW258" s="239">
        <v>0</v>
      </c>
      <c r="BX258" s="239">
        <v>0</v>
      </c>
      <c r="BY258" s="239">
        <v>0</v>
      </c>
      <c r="BZ258" s="239">
        <v>0</v>
      </c>
      <c r="CA258" s="239">
        <v>0</v>
      </c>
      <c r="CB258" s="239">
        <v>0</v>
      </c>
      <c r="CC258" s="239">
        <v>0</v>
      </c>
      <c r="CD258" s="239">
        <v>0</v>
      </c>
      <c r="CE258" s="239">
        <v>0</v>
      </c>
      <c r="CF258" s="239">
        <v>0</v>
      </c>
      <c r="CG258" s="239">
        <v>0</v>
      </c>
      <c r="CH258" s="239">
        <v>0</v>
      </c>
      <c r="CI258" s="239">
        <v>0</v>
      </c>
      <c r="CJ258" s="239">
        <v>1399</v>
      </c>
      <c r="CK258" s="239">
        <v>350</v>
      </c>
      <c r="CL258" s="239">
        <v>0</v>
      </c>
      <c r="CM258" s="239">
        <v>1798</v>
      </c>
      <c r="CN258" s="239">
        <v>449</v>
      </c>
      <c r="CO258" s="239">
        <v>0</v>
      </c>
      <c r="CP258" s="239">
        <v>-399</v>
      </c>
      <c r="CQ258" s="239">
        <v>-99</v>
      </c>
      <c r="CR258" s="239">
        <v>0</v>
      </c>
      <c r="CS258" s="239">
        <v>-446</v>
      </c>
      <c r="CT258" s="239">
        <v>-112</v>
      </c>
      <c r="CU258" s="239">
        <v>0</v>
      </c>
      <c r="CV258" s="239">
        <v>0</v>
      </c>
      <c r="CW258" s="239">
        <v>0</v>
      </c>
      <c r="CX258" s="239">
        <v>0</v>
      </c>
      <c r="CY258" s="239">
        <v>0</v>
      </c>
      <c r="CZ258" s="239">
        <v>0</v>
      </c>
      <c r="DA258" s="239">
        <v>0</v>
      </c>
      <c r="DB258" s="239">
        <v>0</v>
      </c>
      <c r="DC258" s="239">
        <v>0</v>
      </c>
      <c r="DD258" s="239">
        <v>0</v>
      </c>
      <c r="DE258" s="239">
        <v>0</v>
      </c>
      <c r="DF258" s="239">
        <v>0</v>
      </c>
      <c r="DG258" s="239">
        <v>0</v>
      </c>
      <c r="DH258" s="239">
        <v>0</v>
      </c>
      <c r="DI258" s="239">
        <v>0</v>
      </c>
      <c r="DJ258" s="239">
        <v>0</v>
      </c>
      <c r="DK258" s="239">
        <v>0</v>
      </c>
      <c r="DL258" s="239">
        <v>0</v>
      </c>
      <c r="DM258" s="239">
        <v>0</v>
      </c>
      <c r="DN258" s="239">
        <v>0</v>
      </c>
      <c r="DO258" s="239">
        <v>0</v>
      </c>
      <c r="DP258" s="239">
        <v>0</v>
      </c>
      <c r="DQ258" s="239">
        <v>609</v>
      </c>
      <c r="DR258" s="239">
        <v>152</v>
      </c>
      <c r="DS258" s="239">
        <v>0</v>
      </c>
      <c r="DT258" s="239">
        <v>609</v>
      </c>
      <c r="DU258" s="239">
        <v>152</v>
      </c>
      <c r="DV258" s="239">
        <v>0</v>
      </c>
      <c r="DW258" s="239">
        <v>0</v>
      </c>
      <c r="DX258" s="239">
        <v>0</v>
      </c>
      <c r="DY258" s="239">
        <v>0</v>
      </c>
      <c r="DZ258" s="239">
        <v>6699</v>
      </c>
      <c r="EA258" s="239">
        <v>1675</v>
      </c>
      <c r="EB258" s="239">
        <v>0</v>
      </c>
      <c r="EC258" s="239">
        <v>9689</v>
      </c>
      <c r="ED258" s="239">
        <v>0</v>
      </c>
      <c r="EE258" s="239">
        <v>0</v>
      </c>
      <c r="EF258" s="239">
        <v>-2990</v>
      </c>
      <c r="EG258" s="239">
        <v>1675</v>
      </c>
      <c r="EH258" s="239">
        <v>0</v>
      </c>
      <c r="EI258" s="239">
        <v>101011</v>
      </c>
      <c r="EJ258" s="239">
        <v>25253</v>
      </c>
      <c r="EK258" s="239">
        <v>0</v>
      </c>
      <c r="EL258" s="239">
        <v>124395</v>
      </c>
      <c r="EM258" s="239">
        <v>0</v>
      </c>
      <c r="EN258" s="239">
        <v>0</v>
      </c>
      <c r="EO258" s="239">
        <v>-23384</v>
      </c>
      <c r="EP258" s="239">
        <v>25253</v>
      </c>
      <c r="EQ258" s="239">
        <v>0</v>
      </c>
      <c r="ER258" s="239">
        <v>23019</v>
      </c>
      <c r="ES258" s="239">
        <v>5755</v>
      </c>
      <c r="ET258" s="239">
        <v>0</v>
      </c>
      <c r="EU258" s="239">
        <v>28421</v>
      </c>
      <c r="EV258" s="239">
        <v>0</v>
      </c>
      <c r="EW258" s="239">
        <v>0</v>
      </c>
      <c r="EX258" s="239">
        <v>-5402</v>
      </c>
      <c r="EY258" s="239">
        <v>5755</v>
      </c>
      <c r="EZ258" s="239">
        <v>0</v>
      </c>
      <c r="FA258" s="239">
        <v>362753</v>
      </c>
      <c r="FB258" s="239">
        <v>90670</v>
      </c>
      <c r="FC258" s="239">
        <v>0</v>
      </c>
      <c r="FD258" s="239">
        <v>348304</v>
      </c>
      <c r="FE258" s="239">
        <v>87076</v>
      </c>
      <c r="FF258" s="239">
        <v>0</v>
      </c>
      <c r="FG258" s="239">
        <v>14449</v>
      </c>
      <c r="FH258" s="239">
        <v>3594</v>
      </c>
      <c r="FI258" s="239">
        <v>0</v>
      </c>
      <c r="FJ258" s="239">
        <v>0</v>
      </c>
      <c r="FK258" s="239">
        <v>0</v>
      </c>
      <c r="FL258" s="239">
        <v>0</v>
      </c>
      <c r="FM258" s="239">
        <v>0</v>
      </c>
      <c r="FN258" s="239">
        <v>0</v>
      </c>
      <c r="FO258" s="239">
        <v>0</v>
      </c>
      <c r="FP258" s="239">
        <v>0</v>
      </c>
      <c r="FQ258" s="239">
        <v>0</v>
      </c>
      <c r="FR258" s="239">
        <v>0</v>
      </c>
      <c r="FS258" s="239">
        <v>0</v>
      </c>
      <c r="FT258" s="239">
        <v>0</v>
      </c>
      <c r="FU258" s="239">
        <v>0</v>
      </c>
      <c r="FV258" s="239">
        <v>1465747</v>
      </c>
      <c r="FW258" s="239">
        <v>366419</v>
      </c>
      <c r="FX258" s="239">
        <v>0</v>
      </c>
      <c r="FY258" s="834">
        <v>0.5</v>
      </c>
      <c r="FZ258" s="834">
        <v>0.4</v>
      </c>
      <c r="GA258" s="834">
        <v>0.1</v>
      </c>
      <c r="GB258" s="834">
        <v>0</v>
      </c>
      <c r="GC258" s="214" t="s">
        <v>1158</v>
      </c>
    </row>
    <row r="259" spans="1:185" s="214" customFormat="1" x14ac:dyDescent="0.2">
      <c r="B259" s="602" t="s">
        <v>601</v>
      </c>
      <c r="C259" s="602" t="s">
        <v>600</v>
      </c>
      <c r="D259" s="239">
        <v>-1154909</v>
      </c>
      <c r="E259" s="239">
        <v>0</v>
      </c>
      <c r="F259" s="239">
        <v>-1154909</v>
      </c>
      <c r="G259" s="239">
        <v>-1283993</v>
      </c>
      <c r="H259" s="239">
        <v>0</v>
      </c>
      <c r="I259" s="239">
        <v>-1283993</v>
      </c>
      <c r="J259" s="239">
        <v>129084</v>
      </c>
      <c r="K259" s="239">
        <v>0</v>
      </c>
      <c r="L259" s="239">
        <v>129084</v>
      </c>
      <c r="M259" s="239">
        <v>158330</v>
      </c>
      <c r="N259" s="239">
        <v>158330</v>
      </c>
      <c r="O259" s="239">
        <v>0</v>
      </c>
      <c r="P259" s="239">
        <v>0</v>
      </c>
      <c r="Q259" s="239">
        <v>0</v>
      </c>
      <c r="R259" s="239">
        <v>0</v>
      </c>
      <c r="S259" s="239">
        <v>252599</v>
      </c>
      <c r="T259" s="239">
        <v>0</v>
      </c>
      <c r="U259" s="239">
        <v>238498</v>
      </c>
      <c r="V259" s="239">
        <v>0</v>
      </c>
      <c r="W259" s="239">
        <v>14101</v>
      </c>
      <c r="X259" s="239">
        <v>0</v>
      </c>
      <c r="Y259" s="239">
        <v>0</v>
      </c>
      <c r="Z259" s="239">
        <v>0</v>
      </c>
      <c r="AA259" s="239">
        <v>0</v>
      </c>
      <c r="AB259" s="239">
        <v>0</v>
      </c>
      <c r="AC259" s="239">
        <v>0</v>
      </c>
      <c r="AD259" s="239">
        <v>0</v>
      </c>
      <c r="AE259" s="239">
        <v>0</v>
      </c>
      <c r="AF259" s="239">
        <v>0</v>
      </c>
      <c r="AG259" s="239">
        <v>0</v>
      </c>
      <c r="AH259" s="239">
        <v>0</v>
      </c>
      <c r="AI259" s="239">
        <v>0</v>
      </c>
      <c r="AJ259" s="239">
        <v>0</v>
      </c>
      <c r="AK259" s="239">
        <v>0</v>
      </c>
      <c r="AL259" s="239">
        <v>0</v>
      </c>
      <c r="AM259" s="239">
        <v>0</v>
      </c>
      <c r="AN259" s="239">
        <v>0</v>
      </c>
      <c r="AO259" s="239">
        <v>0</v>
      </c>
      <c r="AP259" s="239">
        <v>0</v>
      </c>
      <c r="AQ259" s="239">
        <v>0</v>
      </c>
      <c r="AR259" s="239">
        <v>0</v>
      </c>
      <c r="AS259" s="239">
        <v>0</v>
      </c>
      <c r="AT259" s="239">
        <v>0</v>
      </c>
      <c r="AU259" s="239">
        <v>0</v>
      </c>
      <c r="AV259" s="239">
        <v>0</v>
      </c>
      <c r="AW259" s="239">
        <v>0</v>
      </c>
      <c r="AX259" s="239">
        <v>0</v>
      </c>
      <c r="AY259" s="239">
        <v>0</v>
      </c>
      <c r="AZ259" s="239">
        <v>0</v>
      </c>
      <c r="BA259" s="239">
        <v>0</v>
      </c>
      <c r="BB259" s="239">
        <v>0</v>
      </c>
      <c r="BC259" s="239">
        <v>993205</v>
      </c>
      <c r="BD259" s="239">
        <v>248301</v>
      </c>
      <c r="BE259" s="239">
        <v>0</v>
      </c>
      <c r="BF259" s="239">
        <v>962785.87353304715</v>
      </c>
      <c r="BG259" s="239">
        <v>240696.46838326179</v>
      </c>
      <c r="BH259" s="239">
        <v>0</v>
      </c>
      <c r="BI259" s="239">
        <v>102072.6082832618</v>
      </c>
      <c r="BJ259" s="239">
        <v>25518.152070815449</v>
      </c>
      <c r="BK259" s="239">
        <v>0</v>
      </c>
      <c r="BL259" s="239">
        <v>1006903</v>
      </c>
      <c r="BM259" s="239">
        <v>158070</v>
      </c>
      <c r="BN259" s="239">
        <v>0</v>
      </c>
      <c r="BO259" s="239">
        <v>-13698</v>
      </c>
      <c r="BP259" s="239">
        <v>90231</v>
      </c>
      <c r="BQ259" s="239">
        <v>0</v>
      </c>
      <c r="BR259" s="239">
        <v>0</v>
      </c>
      <c r="BS259" s="239">
        <v>0</v>
      </c>
      <c r="BT259" s="239">
        <v>0</v>
      </c>
      <c r="BU259" s="239">
        <v>0</v>
      </c>
      <c r="BV259" s="239">
        <v>0</v>
      </c>
      <c r="BW259" s="239">
        <v>0</v>
      </c>
      <c r="BX259" s="239">
        <v>0</v>
      </c>
      <c r="BY259" s="239">
        <v>0</v>
      </c>
      <c r="BZ259" s="239">
        <v>0</v>
      </c>
      <c r="CA259" s="239">
        <v>-11029</v>
      </c>
      <c r="CB259" s="239">
        <v>-2757</v>
      </c>
      <c r="CC259" s="239">
        <v>0</v>
      </c>
      <c r="CD259" s="239">
        <v>65668</v>
      </c>
      <c r="CE259" s="239">
        <v>16417</v>
      </c>
      <c r="CF259" s="239">
        <v>0</v>
      </c>
      <c r="CG259" s="239">
        <v>-76697</v>
      </c>
      <c r="CH259" s="239">
        <v>-19174</v>
      </c>
      <c r="CI259" s="239">
        <v>0</v>
      </c>
      <c r="CJ259" s="239">
        <v>0</v>
      </c>
      <c r="CK259" s="239">
        <v>0</v>
      </c>
      <c r="CL259" s="239">
        <v>0</v>
      </c>
      <c r="CM259" s="239">
        <v>0</v>
      </c>
      <c r="CN259" s="239">
        <v>0</v>
      </c>
      <c r="CO259" s="239">
        <v>0</v>
      </c>
      <c r="CP259" s="239">
        <v>0</v>
      </c>
      <c r="CQ259" s="239">
        <v>0</v>
      </c>
      <c r="CR259" s="239">
        <v>0</v>
      </c>
      <c r="CS259" s="239">
        <v>-4228</v>
      </c>
      <c r="CT259" s="239">
        <v>-1057</v>
      </c>
      <c r="CU259" s="239">
        <v>0</v>
      </c>
      <c r="CV259" s="239">
        <v>0</v>
      </c>
      <c r="CW259" s="239">
        <v>0</v>
      </c>
      <c r="CX259" s="239">
        <v>0</v>
      </c>
      <c r="CY259" s="239">
        <v>0</v>
      </c>
      <c r="CZ259" s="239">
        <v>0</v>
      </c>
      <c r="DA259" s="239">
        <v>0</v>
      </c>
      <c r="DB259" s="239">
        <v>0</v>
      </c>
      <c r="DC259" s="239">
        <v>0</v>
      </c>
      <c r="DD259" s="239">
        <v>0</v>
      </c>
      <c r="DE259" s="239">
        <v>0</v>
      </c>
      <c r="DF259" s="239">
        <v>0</v>
      </c>
      <c r="DG259" s="239">
        <v>0</v>
      </c>
      <c r="DH259" s="239">
        <v>16896</v>
      </c>
      <c r="DI259" s="239">
        <v>4224</v>
      </c>
      <c r="DJ259" s="239">
        <v>0</v>
      </c>
      <c r="DK259" s="239">
        <v>15792</v>
      </c>
      <c r="DL259" s="239">
        <v>3948</v>
      </c>
      <c r="DM259" s="239">
        <v>0</v>
      </c>
      <c r="DN259" s="239">
        <v>1104</v>
      </c>
      <c r="DO259" s="239">
        <v>276</v>
      </c>
      <c r="DP259" s="239">
        <v>0</v>
      </c>
      <c r="DQ259" s="239">
        <v>1576</v>
      </c>
      <c r="DR259" s="239">
        <v>394</v>
      </c>
      <c r="DS259" s="239">
        <v>0</v>
      </c>
      <c r="DT259" s="239">
        <v>0</v>
      </c>
      <c r="DU259" s="239">
        <v>0</v>
      </c>
      <c r="DV259" s="239">
        <v>0</v>
      </c>
      <c r="DW259" s="239">
        <v>1576</v>
      </c>
      <c r="DX259" s="239">
        <v>394</v>
      </c>
      <c r="DY259" s="239">
        <v>0</v>
      </c>
      <c r="DZ259" s="239">
        <v>6653</v>
      </c>
      <c r="EA259" s="239">
        <v>1663</v>
      </c>
      <c r="EB259" s="239">
        <v>0</v>
      </c>
      <c r="EC259" s="239">
        <v>8628</v>
      </c>
      <c r="ED259" s="239">
        <v>0</v>
      </c>
      <c r="EE259" s="239">
        <v>0</v>
      </c>
      <c r="EF259" s="239">
        <v>-1975</v>
      </c>
      <c r="EG259" s="239">
        <v>1663</v>
      </c>
      <c r="EH259" s="239">
        <v>0</v>
      </c>
      <c r="EI259" s="239">
        <v>34743</v>
      </c>
      <c r="EJ259" s="239">
        <v>8686</v>
      </c>
      <c r="EK259" s="239">
        <v>0</v>
      </c>
      <c r="EL259" s="239">
        <v>104583</v>
      </c>
      <c r="EM259" s="239">
        <v>0</v>
      </c>
      <c r="EN259" s="239">
        <v>0</v>
      </c>
      <c r="EO259" s="239">
        <v>-69840</v>
      </c>
      <c r="EP259" s="239">
        <v>8686</v>
      </c>
      <c r="EQ259" s="239">
        <v>0</v>
      </c>
      <c r="ER259" s="239">
        <v>12259</v>
      </c>
      <c r="ES259" s="239">
        <v>3065</v>
      </c>
      <c r="ET259" s="239">
        <v>0</v>
      </c>
      <c r="EU259" s="239">
        <v>22797</v>
      </c>
      <c r="EV259" s="239">
        <v>0</v>
      </c>
      <c r="EW259" s="239">
        <v>0</v>
      </c>
      <c r="EX259" s="239">
        <v>-10538</v>
      </c>
      <c r="EY259" s="239">
        <v>3065</v>
      </c>
      <c r="EZ259" s="239">
        <v>0</v>
      </c>
      <c r="FA259" s="239">
        <v>264377</v>
      </c>
      <c r="FB259" s="239">
        <v>65146</v>
      </c>
      <c r="FC259" s="239">
        <v>0</v>
      </c>
      <c r="FD259" s="239">
        <v>270355</v>
      </c>
      <c r="FE259" s="239">
        <v>66693</v>
      </c>
      <c r="FF259" s="239">
        <v>0</v>
      </c>
      <c r="FG259" s="239">
        <v>-5978</v>
      </c>
      <c r="FH259" s="239">
        <v>-1547</v>
      </c>
      <c r="FI259" s="239">
        <v>0</v>
      </c>
      <c r="FJ259" s="239">
        <v>0</v>
      </c>
      <c r="FK259" s="239">
        <v>0</v>
      </c>
      <c r="FL259" s="239">
        <v>0</v>
      </c>
      <c r="FM259" s="239">
        <v>0</v>
      </c>
      <c r="FN259" s="239">
        <v>0</v>
      </c>
      <c r="FO259" s="239">
        <v>0</v>
      </c>
      <c r="FP259" s="239">
        <v>0</v>
      </c>
      <c r="FQ259" s="239">
        <v>0</v>
      </c>
      <c r="FR259" s="239">
        <v>0</v>
      </c>
      <c r="FS259" s="239">
        <v>0</v>
      </c>
      <c r="FT259" s="239">
        <v>0</v>
      </c>
      <c r="FU259" s="239">
        <v>0</v>
      </c>
      <c r="FV259" s="239">
        <v>1314452</v>
      </c>
      <c r="FW259" s="239">
        <v>327665</v>
      </c>
      <c r="FX259" s="239">
        <v>0</v>
      </c>
      <c r="FY259" s="834">
        <v>0.5</v>
      </c>
      <c r="FZ259" s="834">
        <v>0.4</v>
      </c>
      <c r="GA259" s="834">
        <v>0.1</v>
      </c>
      <c r="GB259" s="834">
        <v>0</v>
      </c>
      <c r="GC259" s="214" t="s">
        <v>1158</v>
      </c>
    </row>
    <row r="260" spans="1:185" s="214" customFormat="1" x14ac:dyDescent="0.2">
      <c r="B260" s="602" t="s">
        <v>603</v>
      </c>
      <c r="C260" s="602" t="s">
        <v>602</v>
      </c>
      <c r="D260" s="239">
        <v>-2619190</v>
      </c>
      <c r="E260" s="239">
        <v>0</v>
      </c>
      <c r="F260" s="239">
        <v>-2619190</v>
      </c>
      <c r="G260" s="239">
        <v>-2372989</v>
      </c>
      <c r="H260" s="239">
        <v>0</v>
      </c>
      <c r="I260" s="239">
        <v>-2372989</v>
      </c>
      <c r="J260" s="239">
        <v>-246201</v>
      </c>
      <c r="K260" s="239">
        <v>0</v>
      </c>
      <c r="L260" s="239">
        <v>-246201</v>
      </c>
      <c r="M260" s="239">
        <v>190546</v>
      </c>
      <c r="N260" s="239">
        <v>190546</v>
      </c>
      <c r="O260" s="239">
        <v>0</v>
      </c>
      <c r="P260" s="239">
        <v>0</v>
      </c>
      <c r="Q260" s="239">
        <v>0</v>
      </c>
      <c r="R260" s="239">
        <v>0</v>
      </c>
      <c r="S260" s="239">
        <v>0</v>
      </c>
      <c r="T260" s="239">
        <v>0</v>
      </c>
      <c r="U260" s="239">
        <v>0</v>
      </c>
      <c r="V260" s="239">
        <v>0</v>
      </c>
      <c r="W260" s="239">
        <v>0</v>
      </c>
      <c r="X260" s="239">
        <v>0</v>
      </c>
      <c r="Y260" s="239">
        <v>0</v>
      </c>
      <c r="Z260" s="239">
        <v>0</v>
      </c>
      <c r="AA260" s="239">
        <v>0</v>
      </c>
      <c r="AB260" s="239">
        <v>0</v>
      </c>
      <c r="AC260" s="239">
        <v>0</v>
      </c>
      <c r="AD260" s="239">
        <v>0</v>
      </c>
      <c r="AE260" s="239">
        <v>0</v>
      </c>
      <c r="AF260" s="239">
        <v>0</v>
      </c>
      <c r="AG260" s="239">
        <v>0</v>
      </c>
      <c r="AH260" s="239">
        <v>0</v>
      </c>
      <c r="AI260" s="239">
        <v>0</v>
      </c>
      <c r="AJ260" s="239">
        <v>0</v>
      </c>
      <c r="AK260" s="239">
        <v>0</v>
      </c>
      <c r="AL260" s="239">
        <v>0</v>
      </c>
      <c r="AM260" s="239">
        <v>0</v>
      </c>
      <c r="AN260" s="239">
        <v>0</v>
      </c>
      <c r="AO260" s="239">
        <v>0</v>
      </c>
      <c r="AP260" s="239">
        <v>0</v>
      </c>
      <c r="AQ260" s="239">
        <v>0</v>
      </c>
      <c r="AR260" s="239">
        <v>0</v>
      </c>
      <c r="AS260" s="239">
        <v>0</v>
      </c>
      <c r="AT260" s="239">
        <v>0</v>
      </c>
      <c r="AU260" s="239">
        <v>0</v>
      </c>
      <c r="AV260" s="239">
        <v>0</v>
      </c>
      <c r="AW260" s="239">
        <v>0</v>
      </c>
      <c r="AX260" s="239">
        <v>0</v>
      </c>
      <c r="AY260" s="239">
        <v>0</v>
      </c>
      <c r="AZ260" s="239">
        <v>0</v>
      </c>
      <c r="BA260" s="239">
        <v>0</v>
      </c>
      <c r="BB260" s="239">
        <v>0</v>
      </c>
      <c r="BC260" s="239">
        <v>3274123</v>
      </c>
      <c r="BD260" s="239">
        <v>0</v>
      </c>
      <c r="BE260" s="239">
        <v>33072</v>
      </c>
      <c r="BF260" s="239">
        <v>3194321.3219155367</v>
      </c>
      <c r="BG260" s="239">
        <v>0</v>
      </c>
      <c r="BH260" s="239">
        <v>32265.871938540775</v>
      </c>
      <c r="BI260" s="239">
        <v>227360.66050429185</v>
      </c>
      <c r="BJ260" s="239">
        <v>0</v>
      </c>
      <c r="BK260" s="239">
        <v>2296.57232832618</v>
      </c>
      <c r="BL260" s="239">
        <v>3376790</v>
      </c>
      <c r="BM260" s="239">
        <v>0</v>
      </c>
      <c r="BN260" s="239">
        <v>24612</v>
      </c>
      <c r="BO260" s="239">
        <v>-102667</v>
      </c>
      <c r="BP260" s="239">
        <v>0</v>
      </c>
      <c r="BQ260" s="239">
        <v>8460</v>
      </c>
      <c r="BR260" s="239">
        <v>4294</v>
      </c>
      <c r="BS260" s="239">
        <v>0</v>
      </c>
      <c r="BT260" s="239">
        <v>43</v>
      </c>
      <c r="BU260" s="239">
        <v>11069</v>
      </c>
      <c r="BV260" s="239">
        <v>0</v>
      </c>
      <c r="BW260" s="239">
        <v>112</v>
      </c>
      <c r="BX260" s="239">
        <v>-6775</v>
      </c>
      <c r="BY260" s="239">
        <v>0</v>
      </c>
      <c r="BZ260" s="239">
        <v>-69</v>
      </c>
      <c r="CA260" s="239">
        <v>0</v>
      </c>
      <c r="CB260" s="239">
        <v>0</v>
      </c>
      <c r="CC260" s="239">
        <v>0</v>
      </c>
      <c r="CD260" s="239">
        <v>0</v>
      </c>
      <c r="CE260" s="239">
        <v>0</v>
      </c>
      <c r="CF260" s="239">
        <v>0</v>
      </c>
      <c r="CG260" s="239">
        <v>0</v>
      </c>
      <c r="CH260" s="239">
        <v>0</v>
      </c>
      <c r="CI260" s="239">
        <v>0</v>
      </c>
      <c r="CJ260" s="239">
        <v>0</v>
      </c>
      <c r="CK260" s="239">
        <v>0</v>
      </c>
      <c r="CL260" s="239">
        <v>0</v>
      </c>
      <c r="CM260" s="239">
        <v>719</v>
      </c>
      <c r="CN260" s="239">
        <v>0</v>
      </c>
      <c r="CO260" s="239">
        <v>7</v>
      </c>
      <c r="CP260" s="239">
        <v>-719</v>
      </c>
      <c r="CQ260" s="239">
        <v>0</v>
      </c>
      <c r="CR260" s="239">
        <v>-7</v>
      </c>
      <c r="CS260" s="239">
        <v>-1360</v>
      </c>
      <c r="CT260" s="239">
        <v>0</v>
      </c>
      <c r="CU260" s="239">
        <v>-14</v>
      </c>
      <c r="CV260" s="239">
        <v>-60</v>
      </c>
      <c r="CW260" s="239">
        <v>0</v>
      </c>
      <c r="CX260" s="239">
        <v>-1</v>
      </c>
      <c r="CY260" s="239">
        <v>0</v>
      </c>
      <c r="CZ260" s="239">
        <v>0</v>
      </c>
      <c r="DA260" s="239">
        <v>0</v>
      </c>
      <c r="DB260" s="239">
        <v>-60</v>
      </c>
      <c r="DC260" s="239">
        <v>0</v>
      </c>
      <c r="DD260" s="239">
        <v>-1</v>
      </c>
      <c r="DE260" s="239">
        <v>0</v>
      </c>
      <c r="DF260" s="239">
        <v>0</v>
      </c>
      <c r="DG260" s="239">
        <v>0</v>
      </c>
      <c r="DH260" s="239">
        <v>0</v>
      </c>
      <c r="DI260" s="239">
        <v>0</v>
      </c>
      <c r="DJ260" s="239">
        <v>0</v>
      </c>
      <c r="DK260" s="239">
        <v>0</v>
      </c>
      <c r="DL260" s="239">
        <v>0</v>
      </c>
      <c r="DM260" s="239">
        <v>0</v>
      </c>
      <c r="DN260" s="239">
        <v>0</v>
      </c>
      <c r="DO260" s="239">
        <v>0</v>
      </c>
      <c r="DP260" s="239">
        <v>0</v>
      </c>
      <c r="DQ260" s="239">
        <v>0</v>
      </c>
      <c r="DR260" s="239">
        <v>0</v>
      </c>
      <c r="DS260" s="239">
        <v>0</v>
      </c>
      <c r="DT260" s="239">
        <v>0</v>
      </c>
      <c r="DU260" s="239">
        <v>0</v>
      </c>
      <c r="DV260" s="239">
        <v>0</v>
      </c>
      <c r="DW260" s="239">
        <v>0</v>
      </c>
      <c r="DX260" s="239">
        <v>0</v>
      </c>
      <c r="DY260" s="239">
        <v>0</v>
      </c>
      <c r="DZ260" s="239">
        <v>24744</v>
      </c>
      <c r="EA260" s="239">
        <v>0</v>
      </c>
      <c r="EB260" s="239">
        <v>250</v>
      </c>
      <c r="EC260" s="239">
        <v>52781</v>
      </c>
      <c r="ED260" s="239">
        <v>0</v>
      </c>
      <c r="EE260" s="239">
        <v>0</v>
      </c>
      <c r="EF260" s="239">
        <v>-28037</v>
      </c>
      <c r="EG260" s="239">
        <v>0</v>
      </c>
      <c r="EH260" s="239">
        <v>250</v>
      </c>
      <c r="EI260" s="239">
        <v>232653</v>
      </c>
      <c r="EJ260" s="239">
        <v>0</v>
      </c>
      <c r="EK260" s="239">
        <v>2350</v>
      </c>
      <c r="EL260" s="239">
        <v>231525</v>
      </c>
      <c r="EM260" s="239">
        <v>0</v>
      </c>
      <c r="EN260" s="239">
        <v>0</v>
      </c>
      <c r="EO260" s="239">
        <v>1128</v>
      </c>
      <c r="EP260" s="239">
        <v>0</v>
      </c>
      <c r="EQ260" s="239">
        <v>2350</v>
      </c>
      <c r="ER260" s="239">
        <v>57996</v>
      </c>
      <c r="ES260" s="239">
        <v>0</v>
      </c>
      <c r="ET260" s="239">
        <v>586</v>
      </c>
      <c r="EU260" s="239">
        <v>53796</v>
      </c>
      <c r="EV260" s="239">
        <v>0</v>
      </c>
      <c r="EW260" s="239">
        <v>0</v>
      </c>
      <c r="EX260" s="239">
        <v>4200</v>
      </c>
      <c r="EY260" s="239">
        <v>0</v>
      </c>
      <c r="EZ260" s="239">
        <v>586</v>
      </c>
      <c r="FA260" s="239">
        <v>681209</v>
      </c>
      <c r="FB260" s="239">
        <v>0</v>
      </c>
      <c r="FC260" s="239">
        <v>6881</v>
      </c>
      <c r="FD260" s="239">
        <v>669689</v>
      </c>
      <c r="FE260" s="239">
        <v>0</v>
      </c>
      <c r="FF260" s="239">
        <v>6765</v>
      </c>
      <c r="FG260" s="239">
        <v>11520</v>
      </c>
      <c r="FH260" s="239">
        <v>0</v>
      </c>
      <c r="FI260" s="239">
        <v>116</v>
      </c>
      <c r="FJ260" s="239">
        <v>0</v>
      </c>
      <c r="FK260" s="239">
        <v>0</v>
      </c>
      <c r="FL260" s="239">
        <v>0</v>
      </c>
      <c r="FM260" s="239">
        <v>0</v>
      </c>
      <c r="FN260" s="239">
        <v>0</v>
      </c>
      <c r="FO260" s="239">
        <v>0</v>
      </c>
      <c r="FP260" s="239">
        <v>0</v>
      </c>
      <c r="FQ260" s="239">
        <v>0</v>
      </c>
      <c r="FR260" s="239">
        <v>0</v>
      </c>
      <c r="FS260" s="239">
        <v>0</v>
      </c>
      <c r="FT260" s="239">
        <v>0</v>
      </c>
      <c r="FU260" s="239">
        <v>0</v>
      </c>
      <c r="FV260" s="239">
        <v>4273599</v>
      </c>
      <c r="FW260" s="239">
        <v>0</v>
      </c>
      <c r="FX260" s="239">
        <v>43167</v>
      </c>
      <c r="FY260" s="834">
        <v>0</v>
      </c>
      <c r="FZ260" s="834">
        <v>0.99</v>
      </c>
      <c r="GA260" s="834">
        <v>0</v>
      </c>
      <c r="GB260" s="834">
        <v>0.01</v>
      </c>
      <c r="GC260" s="214" t="s">
        <v>1160</v>
      </c>
    </row>
    <row r="261" spans="1:185" s="214" customFormat="1" x14ac:dyDescent="0.2">
      <c r="B261" s="602" t="s">
        <v>605</v>
      </c>
      <c r="C261" s="602" t="s">
        <v>604</v>
      </c>
      <c r="D261" s="239">
        <v>-516024</v>
      </c>
      <c r="E261" s="239">
        <v>0</v>
      </c>
      <c r="F261" s="239">
        <v>-516024</v>
      </c>
      <c r="G261" s="239">
        <v>-1153518</v>
      </c>
      <c r="H261" s="239">
        <v>0</v>
      </c>
      <c r="I261" s="239">
        <v>-1153518</v>
      </c>
      <c r="J261" s="239">
        <v>637494</v>
      </c>
      <c r="K261" s="239">
        <v>0</v>
      </c>
      <c r="L261" s="239">
        <v>637494</v>
      </c>
      <c r="M261" s="239">
        <v>167690</v>
      </c>
      <c r="N261" s="239">
        <v>167690</v>
      </c>
      <c r="O261" s="239">
        <v>0</v>
      </c>
      <c r="P261" s="239">
        <v>0</v>
      </c>
      <c r="Q261" s="239">
        <v>0</v>
      </c>
      <c r="R261" s="239">
        <v>0</v>
      </c>
      <c r="S261" s="239">
        <v>0</v>
      </c>
      <c r="T261" s="239">
        <v>0</v>
      </c>
      <c r="U261" s="239">
        <v>0</v>
      </c>
      <c r="V261" s="239">
        <v>0</v>
      </c>
      <c r="W261" s="239">
        <v>0</v>
      </c>
      <c r="X261" s="239">
        <v>0</v>
      </c>
      <c r="Y261" s="239">
        <v>0</v>
      </c>
      <c r="Z261" s="239">
        <v>0</v>
      </c>
      <c r="AA261" s="239">
        <v>0</v>
      </c>
      <c r="AB261" s="239">
        <v>0</v>
      </c>
      <c r="AC261" s="239">
        <v>0</v>
      </c>
      <c r="AD261" s="239">
        <v>0</v>
      </c>
      <c r="AE261" s="239">
        <v>0</v>
      </c>
      <c r="AF261" s="239">
        <v>0</v>
      </c>
      <c r="AG261" s="239">
        <v>0</v>
      </c>
      <c r="AH261" s="239">
        <v>0</v>
      </c>
      <c r="AI261" s="239">
        <v>0</v>
      </c>
      <c r="AJ261" s="239">
        <v>0</v>
      </c>
      <c r="AK261" s="239">
        <v>0</v>
      </c>
      <c r="AL261" s="239">
        <v>0</v>
      </c>
      <c r="AM261" s="239">
        <v>0</v>
      </c>
      <c r="AN261" s="239">
        <v>0</v>
      </c>
      <c r="AO261" s="239">
        <v>0</v>
      </c>
      <c r="AP261" s="239">
        <v>0</v>
      </c>
      <c r="AQ261" s="239">
        <v>0</v>
      </c>
      <c r="AR261" s="239">
        <v>0</v>
      </c>
      <c r="AS261" s="239">
        <v>0</v>
      </c>
      <c r="AT261" s="239">
        <v>0</v>
      </c>
      <c r="AU261" s="239">
        <v>0</v>
      </c>
      <c r="AV261" s="239">
        <v>0</v>
      </c>
      <c r="AW261" s="239">
        <v>0</v>
      </c>
      <c r="AX261" s="239">
        <v>0</v>
      </c>
      <c r="AY261" s="239">
        <v>0</v>
      </c>
      <c r="AZ261" s="239">
        <v>0</v>
      </c>
      <c r="BA261" s="239">
        <v>0</v>
      </c>
      <c r="BB261" s="239">
        <v>0</v>
      </c>
      <c r="BC261" s="239">
        <v>1141050</v>
      </c>
      <c r="BD261" s="239">
        <v>256736</v>
      </c>
      <c r="BE261" s="239">
        <v>28526</v>
      </c>
      <c r="BF261" s="239">
        <v>1111696.475716738</v>
      </c>
      <c r="BG261" s="239">
        <v>250131.70703626605</v>
      </c>
      <c r="BH261" s="239">
        <v>27792.411892918451</v>
      </c>
      <c r="BI261" s="239">
        <v>92588.633476394854</v>
      </c>
      <c r="BJ261" s="239">
        <v>20832.442532188841</v>
      </c>
      <c r="BK261" s="239">
        <v>2314.7158369098711</v>
      </c>
      <c r="BL261" s="239">
        <v>1023290</v>
      </c>
      <c r="BM261" s="239">
        <v>148303</v>
      </c>
      <c r="BN261" s="239">
        <v>16478</v>
      </c>
      <c r="BO261" s="239">
        <v>117760</v>
      </c>
      <c r="BP261" s="239">
        <v>108433</v>
      </c>
      <c r="BQ261" s="239">
        <v>12048</v>
      </c>
      <c r="BR261" s="239">
        <v>1961</v>
      </c>
      <c r="BS261" s="239">
        <v>441</v>
      </c>
      <c r="BT261" s="239">
        <v>49</v>
      </c>
      <c r="BU261" s="239">
        <v>0</v>
      </c>
      <c r="BV261" s="239">
        <v>0</v>
      </c>
      <c r="BW261" s="239">
        <v>0</v>
      </c>
      <c r="BX261" s="239">
        <v>1961</v>
      </c>
      <c r="BY261" s="239">
        <v>441</v>
      </c>
      <c r="BZ261" s="239">
        <v>49</v>
      </c>
      <c r="CA261" s="239">
        <v>0</v>
      </c>
      <c r="CB261" s="239">
        <v>0</v>
      </c>
      <c r="CC261" s="239">
        <v>0</v>
      </c>
      <c r="CD261" s="239">
        <v>0</v>
      </c>
      <c r="CE261" s="239">
        <v>0</v>
      </c>
      <c r="CF261" s="239">
        <v>0</v>
      </c>
      <c r="CG261" s="239">
        <v>0</v>
      </c>
      <c r="CH261" s="239">
        <v>0</v>
      </c>
      <c r="CI261" s="239">
        <v>0</v>
      </c>
      <c r="CJ261" s="239">
        <v>1216</v>
      </c>
      <c r="CK261" s="239">
        <v>274</v>
      </c>
      <c r="CL261" s="239">
        <v>30</v>
      </c>
      <c r="CM261" s="239">
        <v>0</v>
      </c>
      <c r="CN261" s="239">
        <v>0</v>
      </c>
      <c r="CO261" s="239">
        <v>0</v>
      </c>
      <c r="CP261" s="239">
        <v>1216</v>
      </c>
      <c r="CQ261" s="239">
        <v>274</v>
      </c>
      <c r="CR261" s="239">
        <v>30</v>
      </c>
      <c r="CS261" s="239">
        <v>-1693</v>
      </c>
      <c r="CT261" s="239">
        <v>-381</v>
      </c>
      <c r="CU261" s="239">
        <v>-42</v>
      </c>
      <c r="CV261" s="239">
        <v>0</v>
      </c>
      <c r="CW261" s="239">
        <v>0</v>
      </c>
      <c r="CX261" s="239">
        <v>0</v>
      </c>
      <c r="CY261" s="239">
        <v>0</v>
      </c>
      <c r="CZ261" s="239">
        <v>0</v>
      </c>
      <c r="DA261" s="239">
        <v>0</v>
      </c>
      <c r="DB261" s="239">
        <v>0</v>
      </c>
      <c r="DC261" s="239">
        <v>0</v>
      </c>
      <c r="DD261" s="239">
        <v>0</v>
      </c>
      <c r="DE261" s="239">
        <v>0</v>
      </c>
      <c r="DF261" s="239">
        <v>0</v>
      </c>
      <c r="DG261" s="239">
        <v>0</v>
      </c>
      <c r="DH261" s="239">
        <v>5615</v>
      </c>
      <c r="DI261" s="239">
        <v>1263</v>
      </c>
      <c r="DJ261" s="239">
        <v>140</v>
      </c>
      <c r="DK261" s="239">
        <v>7373</v>
      </c>
      <c r="DL261" s="239">
        <v>1659</v>
      </c>
      <c r="DM261" s="239">
        <v>184</v>
      </c>
      <c r="DN261" s="239">
        <v>-1758</v>
      </c>
      <c r="DO261" s="239">
        <v>-396</v>
      </c>
      <c r="DP261" s="239">
        <v>-44</v>
      </c>
      <c r="DQ261" s="239">
        <v>609</v>
      </c>
      <c r="DR261" s="239">
        <v>137</v>
      </c>
      <c r="DS261" s="239">
        <v>15</v>
      </c>
      <c r="DT261" s="239">
        <v>0</v>
      </c>
      <c r="DU261" s="239">
        <v>0</v>
      </c>
      <c r="DV261" s="239">
        <v>0</v>
      </c>
      <c r="DW261" s="239">
        <v>609</v>
      </c>
      <c r="DX261" s="239">
        <v>137</v>
      </c>
      <c r="DY261" s="239">
        <v>15</v>
      </c>
      <c r="DZ261" s="239">
        <v>16268</v>
      </c>
      <c r="EA261" s="239">
        <v>3660</v>
      </c>
      <c r="EB261" s="239">
        <v>407</v>
      </c>
      <c r="EC261" s="239">
        <v>19780</v>
      </c>
      <c r="ED261" s="239">
        <v>0</v>
      </c>
      <c r="EE261" s="239">
        <v>0</v>
      </c>
      <c r="EF261" s="239">
        <v>-3512</v>
      </c>
      <c r="EG261" s="239">
        <v>3660</v>
      </c>
      <c r="EH261" s="239">
        <v>407</v>
      </c>
      <c r="EI261" s="239">
        <v>139931</v>
      </c>
      <c r="EJ261" s="239">
        <v>31484</v>
      </c>
      <c r="EK261" s="239">
        <v>3498</v>
      </c>
      <c r="EL261" s="239">
        <v>186180</v>
      </c>
      <c r="EM261" s="239">
        <v>0</v>
      </c>
      <c r="EN261" s="239">
        <v>0</v>
      </c>
      <c r="EO261" s="239">
        <v>-46249</v>
      </c>
      <c r="EP261" s="239">
        <v>31484</v>
      </c>
      <c r="EQ261" s="239">
        <v>3498</v>
      </c>
      <c r="ER261" s="239">
        <v>20986</v>
      </c>
      <c r="ES261" s="239">
        <v>4722</v>
      </c>
      <c r="ET261" s="239">
        <v>525</v>
      </c>
      <c r="EU261" s="239">
        <v>38063</v>
      </c>
      <c r="EV261" s="239">
        <v>0</v>
      </c>
      <c r="EW261" s="239">
        <v>0</v>
      </c>
      <c r="EX261" s="239">
        <v>-17077</v>
      </c>
      <c r="EY261" s="239">
        <v>4722</v>
      </c>
      <c r="EZ261" s="239">
        <v>525</v>
      </c>
      <c r="FA261" s="239">
        <v>280486</v>
      </c>
      <c r="FB261" s="239">
        <v>63109</v>
      </c>
      <c r="FC261" s="239">
        <v>7012</v>
      </c>
      <c r="FD261" s="239">
        <v>276498</v>
      </c>
      <c r="FE261" s="239">
        <v>62212</v>
      </c>
      <c r="FF261" s="239">
        <v>6912</v>
      </c>
      <c r="FG261" s="239">
        <v>3988</v>
      </c>
      <c r="FH261" s="239">
        <v>897</v>
      </c>
      <c r="FI261" s="239">
        <v>100</v>
      </c>
      <c r="FJ261" s="239">
        <v>0</v>
      </c>
      <c r="FK261" s="239">
        <v>0</v>
      </c>
      <c r="FL261" s="239">
        <v>0</v>
      </c>
      <c r="FM261" s="239">
        <v>0</v>
      </c>
      <c r="FN261" s="239">
        <v>0</v>
      </c>
      <c r="FO261" s="239">
        <v>0</v>
      </c>
      <c r="FP261" s="239">
        <v>0</v>
      </c>
      <c r="FQ261" s="239">
        <v>0</v>
      </c>
      <c r="FR261" s="239">
        <v>0</v>
      </c>
      <c r="FS261" s="239">
        <v>0</v>
      </c>
      <c r="FT261" s="239">
        <v>0</v>
      </c>
      <c r="FU261" s="239">
        <v>0</v>
      </c>
      <c r="FV261" s="239">
        <v>1606429</v>
      </c>
      <c r="FW261" s="239">
        <v>361445</v>
      </c>
      <c r="FX261" s="239">
        <v>40160</v>
      </c>
      <c r="FY261" s="834">
        <v>0.5</v>
      </c>
      <c r="FZ261" s="834">
        <v>0.4</v>
      </c>
      <c r="GA261" s="834">
        <v>0.09</v>
      </c>
      <c r="GB261" s="834">
        <v>0.01</v>
      </c>
      <c r="GC261" s="214" t="s">
        <v>1158</v>
      </c>
    </row>
    <row r="262" spans="1:185" s="214" customFormat="1" x14ac:dyDescent="0.2">
      <c r="B262" s="602" t="s">
        <v>607</v>
      </c>
      <c r="C262" s="602" t="s">
        <v>606</v>
      </c>
      <c r="D262" s="239">
        <v>1161832</v>
      </c>
      <c r="E262" s="239">
        <v>0</v>
      </c>
      <c r="F262" s="239">
        <v>1161832</v>
      </c>
      <c r="G262" s="239">
        <v>1308049</v>
      </c>
      <c r="H262" s="239">
        <v>0</v>
      </c>
      <c r="I262" s="239">
        <v>1308049</v>
      </c>
      <c r="J262" s="239">
        <v>-146217</v>
      </c>
      <c r="K262" s="239">
        <v>0</v>
      </c>
      <c r="L262" s="239">
        <v>-146217</v>
      </c>
      <c r="M262" s="239">
        <v>115457</v>
      </c>
      <c r="N262" s="239">
        <v>115457</v>
      </c>
      <c r="O262" s="239">
        <v>0</v>
      </c>
      <c r="P262" s="239">
        <v>0</v>
      </c>
      <c r="Q262" s="239">
        <v>0</v>
      </c>
      <c r="R262" s="239">
        <v>0</v>
      </c>
      <c r="S262" s="239">
        <v>0</v>
      </c>
      <c r="T262" s="239">
        <v>0</v>
      </c>
      <c r="U262" s="239">
        <v>0</v>
      </c>
      <c r="V262" s="239">
        <v>0</v>
      </c>
      <c r="W262" s="239">
        <v>0</v>
      </c>
      <c r="X262" s="239">
        <v>0</v>
      </c>
      <c r="Y262" s="239">
        <v>0</v>
      </c>
      <c r="Z262" s="239">
        <v>0</v>
      </c>
      <c r="AA262" s="239">
        <v>0</v>
      </c>
      <c r="AB262" s="239">
        <v>0</v>
      </c>
      <c r="AC262" s="239">
        <v>0</v>
      </c>
      <c r="AD262" s="239">
        <v>0</v>
      </c>
      <c r="AE262" s="239">
        <v>0</v>
      </c>
      <c r="AF262" s="239">
        <v>0</v>
      </c>
      <c r="AG262" s="239">
        <v>0</v>
      </c>
      <c r="AH262" s="239">
        <v>0</v>
      </c>
      <c r="AI262" s="239">
        <v>0</v>
      </c>
      <c r="AJ262" s="239">
        <v>0</v>
      </c>
      <c r="AK262" s="239">
        <v>0</v>
      </c>
      <c r="AL262" s="239">
        <v>0</v>
      </c>
      <c r="AM262" s="239">
        <v>0</v>
      </c>
      <c r="AN262" s="239">
        <v>0</v>
      </c>
      <c r="AO262" s="239">
        <v>0</v>
      </c>
      <c r="AP262" s="239">
        <v>0</v>
      </c>
      <c r="AQ262" s="239">
        <v>0</v>
      </c>
      <c r="AR262" s="239">
        <v>0</v>
      </c>
      <c r="AS262" s="239">
        <v>0</v>
      </c>
      <c r="AT262" s="239">
        <v>0</v>
      </c>
      <c r="AU262" s="239">
        <v>0</v>
      </c>
      <c r="AV262" s="239">
        <v>0</v>
      </c>
      <c r="AW262" s="239">
        <v>0</v>
      </c>
      <c r="AX262" s="239">
        <v>0</v>
      </c>
      <c r="AY262" s="239">
        <v>0</v>
      </c>
      <c r="AZ262" s="239">
        <v>0</v>
      </c>
      <c r="BA262" s="239">
        <v>0</v>
      </c>
      <c r="BB262" s="239">
        <v>0</v>
      </c>
      <c r="BC262" s="239">
        <v>885599</v>
      </c>
      <c r="BD262" s="239">
        <v>199260</v>
      </c>
      <c r="BE262" s="239">
        <v>22140</v>
      </c>
      <c r="BF262" s="239">
        <v>874007.17182489275</v>
      </c>
      <c r="BG262" s="239">
        <v>196651.61366060082</v>
      </c>
      <c r="BH262" s="239">
        <v>21850.179295622318</v>
      </c>
      <c r="BI262" s="239">
        <v>39119.515751072962</v>
      </c>
      <c r="BJ262" s="239">
        <v>8801.8910439914162</v>
      </c>
      <c r="BK262" s="239">
        <v>977.98789377682397</v>
      </c>
      <c r="BL262" s="239">
        <v>855488</v>
      </c>
      <c r="BM262" s="239">
        <v>134370</v>
      </c>
      <c r="BN262" s="239">
        <v>14930</v>
      </c>
      <c r="BO262" s="239">
        <v>30111</v>
      </c>
      <c r="BP262" s="239">
        <v>64890</v>
      </c>
      <c r="BQ262" s="239">
        <v>7210</v>
      </c>
      <c r="BR262" s="239">
        <v>0</v>
      </c>
      <c r="BS262" s="239">
        <v>0</v>
      </c>
      <c r="BT262" s="239">
        <v>0</v>
      </c>
      <c r="BU262" s="239">
        <v>0</v>
      </c>
      <c r="BV262" s="239">
        <v>0</v>
      </c>
      <c r="BW262" s="239">
        <v>0</v>
      </c>
      <c r="BX262" s="239">
        <v>0</v>
      </c>
      <c r="BY262" s="239">
        <v>0</v>
      </c>
      <c r="BZ262" s="239">
        <v>0</v>
      </c>
      <c r="CA262" s="239">
        <v>-2622</v>
      </c>
      <c r="CB262" s="239">
        <v>-590</v>
      </c>
      <c r="CC262" s="239">
        <v>-66</v>
      </c>
      <c r="CD262" s="239">
        <v>3087</v>
      </c>
      <c r="CE262" s="239">
        <v>695</v>
      </c>
      <c r="CF262" s="239">
        <v>77</v>
      </c>
      <c r="CG262" s="239">
        <v>-5709</v>
      </c>
      <c r="CH262" s="239">
        <v>-1285</v>
      </c>
      <c r="CI262" s="239">
        <v>-143</v>
      </c>
      <c r="CJ262" s="239">
        <v>-862</v>
      </c>
      <c r="CK262" s="239">
        <v>-194</v>
      </c>
      <c r="CL262" s="239">
        <v>-22</v>
      </c>
      <c r="CM262" s="239">
        <v>1724</v>
      </c>
      <c r="CN262" s="239">
        <v>388</v>
      </c>
      <c r="CO262" s="239">
        <v>43</v>
      </c>
      <c r="CP262" s="239">
        <v>-2586</v>
      </c>
      <c r="CQ262" s="239">
        <v>-582</v>
      </c>
      <c r="CR262" s="239">
        <v>-65</v>
      </c>
      <c r="CS262" s="239">
        <v>1032</v>
      </c>
      <c r="CT262" s="239">
        <v>232</v>
      </c>
      <c r="CU262" s="239">
        <v>26</v>
      </c>
      <c r="CV262" s="239">
        <v>0</v>
      </c>
      <c r="CW262" s="239">
        <v>0</v>
      </c>
      <c r="CX262" s="239">
        <v>0</v>
      </c>
      <c r="CY262" s="239">
        <v>0</v>
      </c>
      <c r="CZ262" s="239">
        <v>0</v>
      </c>
      <c r="DA262" s="239">
        <v>0</v>
      </c>
      <c r="DB262" s="239">
        <v>0</v>
      </c>
      <c r="DC262" s="239">
        <v>0</v>
      </c>
      <c r="DD262" s="239">
        <v>0</v>
      </c>
      <c r="DE262" s="239">
        <v>0</v>
      </c>
      <c r="DF262" s="239">
        <v>0</v>
      </c>
      <c r="DG262" s="239">
        <v>0</v>
      </c>
      <c r="DH262" s="239">
        <v>1300</v>
      </c>
      <c r="DI262" s="239">
        <v>292</v>
      </c>
      <c r="DJ262" s="239">
        <v>32</v>
      </c>
      <c r="DK262" s="239">
        <v>2442</v>
      </c>
      <c r="DL262" s="239">
        <v>550</v>
      </c>
      <c r="DM262" s="239">
        <v>61</v>
      </c>
      <c r="DN262" s="239">
        <v>-1142</v>
      </c>
      <c r="DO262" s="239">
        <v>-258</v>
      </c>
      <c r="DP262" s="239">
        <v>-29</v>
      </c>
      <c r="DQ262" s="239">
        <v>387</v>
      </c>
      <c r="DR262" s="239">
        <v>87</v>
      </c>
      <c r="DS262" s="239">
        <v>10</v>
      </c>
      <c r="DT262" s="239">
        <v>1219</v>
      </c>
      <c r="DU262" s="239">
        <v>274</v>
      </c>
      <c r="DV262" s="239">
        <v>30</v>
      </c>
      <c r="DW262" s="239">
        <v>-832</v>
      </c>
      <c r="DX262" s="239">
        <v>-187</v>
      </c>
      <c r="DY262" s="239">
        <v>-20</v>
      </c>
      <c r="DZ262" s="239">
        <v>25103</v>
      </c>
      <c r="EA262" s="239">
        <v>5648</v>
      </c>
      <c r="EB262" s="239">
        <v>628</v>
      </c>
      <c r="EC262" s="239">
        <v>30440</v>
      </c>
      <c r="ED262" s="239">
        <v>0</v>
      </c>
      <c r="EE262" s="239">
        <v>0</v>
      </c>
      <c r="EF262" s="239">
        <v>-5337</v>
      </c>
      <c r="EG262" s="239">
        <v>5648</v>
      </c>
      <c r="EH262" s="239">
        <v>628</v>
      </c>
      <c r="EI262" s="239">
        <v>92647</v>
      </c>
      <c r="EJ262" s="239">
        <v>20846</v>
      </c>
      <c r="EK262" s="239">
        <v>2316</v>
      </c>
      <c r="EL262" s="239">
        <v>168004</v>
      </c>
      <c r="EM262" s="239">
        <v>0</v>
      </c>
      <c r="EN262" s="239">
        <v>0</v>
      </c>
      <c r="EO262" s="239">
        <v>-75357</v>
      </c>
      <c r="EP262" s="239">
        <v>20846</v>
      </c>
      <c r="EQ262" s="239">
        <v>2316</v>
      </c>
      <c r="ER262" s="239">
        <v>22670</v>
      </c>
      <c r="ES262" s="239">
        <v>5101</v>
      </c>
      <c r="ET262" s="239">
        <v>567</v>
      </c>
      <c r="EU262" s="239">
        <v>28542</v>
      </c>
      <c r="EV262" s="239">
        <v>0</v>
      </c>
      <c r="EW262" s="239">
        <v>0</v>
      </c>
      <c r="EX262" s="239">
        <v>-5872</v>
      </c>
      <c r="EY262" s="239">
        <v>5101</v>
      </c>
      <c r="EZ262" s="239">
        <v>567</v>
      </c>
      <c r="FA262" s="239">
        <v>113100</v>
      </c>
      <c r="FB262" s="239">
        <v>25447</v>
      </c>
      <c r="FC262" s="239">
        <v>2827</v>
      </c>
      <c r="FD262" s="239">
        <v>122204</v>
      </c>
      <c r="FE262" s="239">
        <v>27496</v>
      </c>
      <c r="FF262" s="239">
        <v>3055</v>
      </c>
      <c r="FG262" s="239">
        <v>-9104</v>
      </c>
      <c r="FH262" s="239">
        <v>-2049</v>
      </c>
      <c r="FI262" s="239">
        <v>-228</v>
      </c>
      <c r="FJ262" s="239">
        <v>0</v>
      </c>
      <c r="FK262" s="239">
        <v>0</v>
      </c>
      <c r="FL262" s="239">
        <v>0</v>
      </c>
      <c r="FM262" s="239">
        <v>0</v>
      </c>
      <c r="FN262" s="239">
        <v>0</v>
      </c>
      <c r="FO262" s="239">
        <v>0</v>
      </c>
      <c r="FP262" s="239">
        <v>0</v>
      </c>
      <c r="FQ262" s="239">
        <v>0</v>
      </c>
      <c r="FR262" s="239">
        <v>0</v>
      </c>
      <c r="FS262" s="239">
        <v>0</v>
      </c>
      <c r="FT262" s="239">
        <v>0</v>
      </c>
      <c r="FU262" s="239">
        <v>0</v>
      </c>
      <c r="FV262" s="239">
        <v>1138354</v>
      </c>
      <c r="FW262" s="239">
        <v>256129</v>
      </c>
      <c r="FX262" s="239">
        <v>28458</v>
      </c>
      <c r="FY262" s="834">
        <v>0.5</v>
      </c>
      <c r="FZ262" s="834">
        <v>0.4</v>
      </c>
      <c r="GA262" s="834">
        <v>0.09</v>
      </c>
      <c r="GB262" s="834">
        <v>0.01</v>
      </c>
      <c r="GC262" s="214" t="s">
        <v>1158</v>
      </c>
    </row>
    <row r="263" spans="1:185" s="214" customFormat="1" x14ac:dyDescent="0.2">
      <c r="B263" s="602" t="s">
        <v>609</v>
      </c>
      <c r="C263" s="602" t="s">
        <v>608</v>
      </c>
      <c r="D263" s="239">
        <v>-3086458</v>
      </c>
      <c r="E263" s="239">
        <v>0</v>
      </c>
      <c r="F263" s="239">
        <v>-3086458</v>
      </c>
      <c r="G263" s="239">
        <v>-2867754</v>
      </c>
      <c r="H263" s="239">
        <v>0</v>
      </c>
      <c r="I263" s="239">
        <v>-2867754</v>
      </c>
      <c r="J263" s="239">
        <v>-218704</v>
      </c>
      <c r="K263" s="239">
        <v>0</v>
      </c>
      <c r="L263" s="239">
        <v>-218704</v>
      </c>
      <c r="M263" s="239">
        <v>109538</v>
      </c>
      <c r="N263" s="239">
        <v>109538</v>
      </c>
      <c r="O263" s="239">
        <v>0</v>
      </c>
      <c r="P263" s="239">
        <v>0</v>
      </c>
      <c r="Q263" s="239">
        <v>0</v>
      </c>
      <c r="R263" s="239">
        <v>0</v>
      </c>
      <c r="S263" s="239">
        <v>0</v>
      </c>
      <c r="T263" s="239">
        <v>0</v>
      </c>
      <c r="U263" s="239">
        <v>0</v>
      </c>
      <c r="V263" s="239">
        <v>0</v>
      </c>
      <c r="W263" s="239">
        <v>0</v>
      </c>
      <c r="X263" s="239">
        <v>0</v>
      </c>
      <c r="Y263" s="239">
        <v>0</v>
      </c>
      <c r="Z263" s="239">
        <v>0</v>
      </c>
      <c r="AA263" s="239">
        <v>0</v>
      </c>
      <c r="AB263" s="239">
        <v>0</v>
      </c>
      <c r="AC263" s="239">
        <v>0</v>
      </c>
      <c r="AD263" s="239">
        <v>0</v>
      </c>
      <c r="AE263" s="239">
        <v>0</v>
      </c>
      <c r="AF263" s="239">
        <v>0</v>
      </c>
      <c r="AG263" s="239">
        <v>0</v>
      </c>
      <c r="AH263" s="239">
        <v>0</v>
      </c>
      <c r="AI263" s="239">
        <v>0</v>
      </c>
      <c r="AJ263" s="239">
        <v>0</v>
      </c>
      <c r="AK263" s="239">
        <v>0</v>
      </c>
      <c r="AL263" s="239">
        <v>0</v>
      </c>
      <c r="AM263" s="239">
        <v>0</v>
      </c>
      <c r="AN263" s="239">
        <v>0</v>
      </c>
      <c r="AO263" s="239">
        <v>0</v>
      </c>
      <c r="AP263" s="239">
        <v>0</v>
      </c>
      <c r="AQ263" s="239">
        <v>0</v>
      </c>
      <c r="AR263" s="239">
        <v>0</v>
      </c>
      <c r="AS263" s="239">
        <v>0</v>
      </c>
      <c r="AT263" s="239">
        <v>0</v>
      </c>
      <c r="AU263" s="239">
        <v>0</v>
      </c>
      <c r="AV263" s="239">
        <v>0</v>
      </c>
      <c r="AW263" s="239">
        <v>0</v>
      </c>
      <c r="AX263" s="239">
        <v>0</v>
      </c>
      <c r="AY263" s="239">
        <v>0</v>
      </c>
      <c r="AZ263" s="239">
        <v>0</v>
      </c>
      <c r="BA263" s="239">
        <v>0</v>
      </c>
      <c r="BB263" s="239">
        <v>0</v>
      </c>
      <c r="BC263" s="239">
        <v>542102</v>
      </c>
      <c r="BD263" s="239">
        <v>135526</v>
      </c>
      <c r="BE263" s="239">
        <v>0</v>
      </c>
      <c r="BF263" s="239">
        <v>524222.81758283259</v>
      </c>
      <c r="BG263" s="239">
        <v>131055.70439570815</v>
      </c>
      <c r="BH263" s="239">
        <v>0</v>
      </c>
      <c r="BI263" s="239">
        <v>60568.969527897003</v>
      </c>
      <c r="BJ263" s="239">
        <v>15142.242381974251</v>
      </c>
      <c r="BK263" s="239">
        <v>0</v>
      </c>
      <c r="BL263" s="239">
        <v>550953</v>
      </c>
      <c r="BM263" s="239">
        <v>83731</v>
      </c>
      <c r="BN263" s="239">
        <v>0</v>
      </c>
      <c r="BO263" s="239">
        <v>-8851</v>
      </c>
      <c r="BP263" s="239">
        <v>51795</v>
      </c>
      <c r="BQ263" s="239">
        <v>0</v>
      </c>
      <c r="BR263" s="239">
        <v>0</v>
      </c>
      <c r="BS263" s="239">
        <v>0</v>
      </c>
      <c r="BT263" s="239">
        <v>0</v>
      </c>
      <c r="BU263" s="239">
        <v>0</v>
      </c>
      <c r="BV263" s="239">
        <v>0</v>
      </c>
      <c r="BW263" s="239">
        <v>0</v>
      </c>
      <c r="BX263" s="239">
        <v>0</v>
      </c>
      <c r="BY263" s="239">
        <v>0</v>
      </c>
      <c r="BZ263" s="239">
        <v>0</v>
      </c>
      <c r="CA263" s="239">
        <v>-8318</v>
      </c>
      <c r="CB263" s="239">
        <v>-2079</v>
      </c>
      <c r="CC263" s="239">
        <v>0</v>
      </c>
      <c r="CD263" s="239">
        <v>19298</v>
      </c>
      <c r="CE263" s="239">
        <v>4825</v>
      </c>
      <c r="CF263" s="239">
        <v>0</v>
      </c>
      <c r="CG263" s="239">
        <v>-27616</v>
      </c>
      <c r="CH263" s="239">
        <v>-6904</v>
      </c>
      <c r="CI263" s="239">
        <v>0</v>
      </c>
      <c r="CJ263" s="239">
        <v>4022</v>
      </c>
      <c r="CK263" s="239">
        <v>1006</v>
      </c>
      <c r="CL263" s="239">
        <v>0</v>
      </c>
      <c r="CM263" s="239">
        <v>7518</v>
      </c>
      <c r="CN263" s="239">
        <v>1880</v>
      </c>
      <c r="CO263" s="239">
        <v>0</v>
      </c>
      <c r="CP263" s="239">
        <v>-3496</v>
      </c>
      <c r="CQ263" s="239">
        <v>-874</v>
      </c>
      <c r="CR263" s="239">
        <v>0</v>
      </c>
      <c r="CS263" s="239">
        <v>0</v>
      </c>
      <c r="CT263" s="239">
        <v>0</v>
      </c>
      <c r="CU263" s="239">
        <v>0</v>
      </c>
      <c r="CV263" s="239">
        <v>0</v>
      </c>
      <c r="CW263" s="239">
        <v>0</v>
      </c>
      <c r="CX263" s="239">
        <v>0</v>
      </c>
      <c r="CY263" s="239">
        <v>0</v>
      </c>
      <c r="CZ263" s="239">
        <v>0</v>
      </c>
      <c r="DA263" s="239">
        <v>0</v>
      </c>
      <c r="DB263" s="239">
        <v>0</v>
      </c>
      <c r="DC263" s="239">
        <v>0</v>
      </c>
      <c r="DD263" s="239">
        <v>0</v>
      </c>
      <c r="DE263" s="239">
        <v>0</v>
      </c>
      <c r="DF263" s="239">
        <v>0</v>
      </c>
      <c r="DG263" s="239">
        <v>0</v>
      </c>
      <c r="DH263" s="239">
        <v>0</v>
      </c>
      <c r="DI263" s="239">
        <v>0</v>
      </c>
      <c r="DJ263" s="239">
        <v>0</v>
      </c>
      <c r="DK263" s="239">
        <v>0</v>
      </c>
      <c r="DL263" s="239">
        <v>0</v>
      </c>
      <c r="DM263" s="239">
        <v>0</v>
      </c>
      <c r="DN263" s="239">
        <v>0</v>
      </c>
      <c r="DO263" s="239">
        <v>0</v>
      </c>
      <c r="DP263" s="239">
        <v>0</v>
      </c>
      <c r="DQ263" s="239">
        <v>0</v>
      </c>
      <c r="DR263" s="239">
        <v>0</v>
      </c>
      <c r="DS263" s="239">
        <v>0</v>
      </c>
      <c r="DT263" s="239">
        <v>609</v>
      </c>
      <c r="DU263" s="239">
        <v>152</v>
      </c>
      <c r="DV263" s="239">
        <v>0</v>
      </c>
      <c r="DW263" s="239">
        <v>-609</v>
      </c>
      <c r="DX263" s="239">
        <v>-152</v>
      </c>
      <c r="DY263" s="239">
        <v>0</v>
      </c>
      <c r="DZ263" s="239">
        <v>1080</v>
      </c>
      <c r="EA263" s="239">
        <v>270</v>
      </c>
      <c r="EB263" s="239">
        <v>0</v>
      </c>
      <c r="EC263" s="239">
        <v>1349</v>
      </c>
      <c r="ED263" s="239">
        <v>0</v>
      </c>
      <c r="EE263" s="239">
        <v>0</v>
      </c>
      <c r="EF263" s="239">
        <v>-269</v>
      </c>
      <c r="EG263" s="239">
        <v>270</v>
      </c>
      <c r="EH263" s="239">
        <v>0</v>
      </c>
      <c r="EI263" s="239">
        <v>7371</v>
      </c>
      <c r="EJ263" s="239">
        <v>1843</v>
      </c>
      <c r="EK263" s="239">
        <v>0</v>
      </c>
      <c r="EL263" s="239">
        <v>50000</v>
      </c>
      <c r="EM263" s="239">
        <v>0</v>
      </c>
      <c r="EN263" s="239">
        <v>0</v>
      </c>
      <c r="EO263" s="239">
        <v>-42629</v>
      </c>
      <c r="EP263" s="239">
        <v>1843</v>
      </c>
      <c r="EQ263" s="239">
        <v>0</v>
      </c>
      <c r="ER263" s="239">
        <v>4872</v>
      </c>
      <c r="ES263" s="239">
        <v>1218</v>
      </c>
      <c r="ET263" s="239">
        <v>0</v>
      </c>
      <c r="EU263" s="239">
        <v>4568</v>
      </c>
      <c r="EV263" s="239">
        <v>0</v>
      </c>
      <c r="EW263" s="239">
        <v>0</v>
      </c>
      <c r="EX263" s="239">
        <v>304</v>
      </c>
      <c r="EY263" s="239">
        <v>1218</v>
      </c>
      <c r="EZ263" s="239">
        <v>0</v>
      </c>
      <c r="FA263" s="239">
        <v>258884</v>
      </c>
      <c r="FB263" s="239">
        <v>64721</v>
      </c>
      <c r="FC263" s="239">
        <v>0</v>
      </c>
      <c r="FD263" s="239">
        <v>253508</v>
      </c>
      <c r="FE263" s="239">
        <v>63377</v>
      </c>
      <c r="FF263" s="239">
        <v>0</v>
      </c>
      <c r="FG263" s="239">
        <v>5376</v>
      </c>
      <c r="FH263" s="239">
        <v>1344</v>
      </c>
      <c r="FI263" s="239">
        <v>0</v>
      </c>
      <c r="FJ263" s="239">
        <v>0</v>
      </c>
      <c r="FK263" s="239">
        <v>0</v>
      </c>
      <c r="FL263" s="239">
        <v>0</v>
      </c>
      <c r="FM263" s="239">
        <v>0</v>
      </c>
      <c r="FN263" s="239">
        <v>0</v>
      </c>
      <c r="FO263" s="239">
        <v>0</v>
      </c>
      <c r="FP263" s="239">
        <v>0</v>
      </c>
      <c r="FQ263" s="239">
        <v>0</v>
      </c>
      <c r="FR263" s="239">
        <v>0</v>
      </c>
      <c r="FS263" s="239">
        <v>0</v>
      </c>
      <c r="FT263" s="239">
        <v>0</v>
      </c>
      <c r="FU263" s="239">
        <v>0</v>
      </c>
      <c r="FV263" s="239">
        <v>810013</v>
      </c>
      <c r="FW263" s="239">
        <v>202505</v>
      </c>
      <c r="FX263" s="239">
        <v>0</v>
      </c>
      <c r="FY263" s="834">
        <v>0.5</v>
      </c>
      <c r="FZ263" s="834">
        <v>0.4</v>
      </c>
      <c r="GA263" s="834">
        <v>0.1</v>
      </c>
      <c r="GB263" s="834">
        <v>0</v>
      </c>
      <c r="GC263" s="214" t="s">
        <v>1158</v>
      </c>
    </row>
    <row r="264" spans="1:185" s="214" customFormat="1" x14ac:dyDescent="0.2">
      <c r="B264" s="602" t="s">
        <v>611</v>
      </c>
      <c r="C264" s="602" t="s">
        <v>610</v>
      </c>
      <c r="D264" s="239">
        <v>-8331804</v>
      </c>
      <c r="E264" s="239">
        <v>0</v>
      </c>
      <c r="F264" s="239">
        <v>-8331804</v>
      </c>
      <c r="G264" s="239">
        <v>-8217938</v>
      </c>
      <c r="H264" s="239">
        <v>0</v>
      </c>
      <c r="I264" s="239">
        <v>-8217938</v>
      </c>
      <c r="J264" s="239">
        <v>-113866</v>
      </c>
      <c r="K264" s="239">
        <v>0</v>
      </c>
      <c r="L264" s="239">
        <v>-113866</v>
      </c>
      <c r="M264" s="239">
        <v>428357</v>
      </c>
      <c r="N264" s="239">
        <v>428357</v>
      </c>
      <c r="O264" s="239">
        <v>0</v>
      </c>
      <c r="P264" s="239">
        <v>0</v>
      </c>
      <c r="Q264" s="239">
        <v>0</v>
      </c>
      <c r="R264" s="239">
        <v>0</v>
      </c>
      <c r="S264" s="239">
        <v>0</v>
      </c>
      <c r="T264" s="239">
        <v>0</v>
      </c>
      <c r="U264" s="239">
        <v>0</v>
      </c>
      <c r="V264" s="239">
        <v>0</v>
      </c>
      <c r="W264" s="239">
        <v>0</v>
      </c>
      <c r="X264" s="239">
        <v>0</v>
      </c>
      <c r="Y264" s="239">
        <v>0</v>
      </c>
      <c r="Z264" s="239">
        <v>0</v>
      </c>
      <c r="AA264" s="239">
        <v>0</v>
      </c>
      <c r="AB264" s="239">
        <v>0</v>
      </c>
      <c r="AC264" s="239">
        <v>0</v>
      </c>
      <c r="AD264" s="239">
        <v>0</v>
      </c>
      <c r="AE264" s="239">
        <v>0</v>
      </c>
      <c r="AF264" s="239">
        <v>0</v>
      </c>
      <c r="AG264" s="239">
        <v>0</v>
      </c>
      <c r="AH264" s="239">
        <v>0</v>
      </c>
      <c r="AI264" s="239">
        <v>0</v>
      </c>
      <c r="AJ264" s="239">
        <v>0</v>
      </c>
      <c r="AK264" s="239">
        <v>0</v>
      </c>
      <c r="AL264" s="239">
        <v>0</v>
      </c>
      <c r="AM264" s="239">
        <v>0</v>
      </c>
      <c r="AN264" s="239">
        <v>0</v>
      </c>
      <c r="AO264" s="239">
        <v>0</v>
      </c>
      <c r="AP264" s="239">
        <v>0</v>
      </c>
      <c r="AQ264" s="239">
        <v>0</v>
      </c>
      <c r="AR264" s="239">
        <v>0</v>
      </c>
      <c r="AS264" s="239">
        <v>0</v>
      </c>
      <c r="AT264" s="239">
        <v>0</v>
      </c>
      <c r="AU264" s="239">
        <v>0</v>
      </c>
      <c r="AV264" s="239">
        <v>0</v>
      </c>
      <c r="AW264" s="239">
        <v>0</v>
      </c>
      <c r="AX264" s="239">
        <v>0</v>
      </c>
      <c r="AY264" s="239">
        <v>0</v>
      </c>
      <c r="AZ264" s="239">
        <v>0</v>
      </c>
      <c r="BA264" s="239">
        <v>0</v>
      </c>
      <c r="BB264" s="239">
        <v>0</v>
      </c>
      <c r="BC264" s="239">
        <v>7552433</v>
      </c>
      <c r="BD264" s="239">
        <v>0</v>
      </c>
      <c r="BE264" s="239">
        <v>76287</v>
      </c>
      <c r="BF264" s="239">
        <v>7399776.7766348505</v>
      </c>
      <c r="BG264" s="239">
        <v>0</v>
      </c>
      <c r="BH264" s="239">
        <v>74745.219966008604</v>
      </c>
      <c r="BI264" s="239">
        <v>456488.46245761798</v>
      </c>
      <c r="BJ264" s="239">
        <v>0</v>
      </c>
      <c r="BK264" s="239">
        <v>4610.9945702789691</v>
      </c>
      <c r="BL264" s="239">
        <v>7618859</v>
      </c>
      <c r="BM264" s="239">
        <v>0</v>
      </c>
      <c r="BN264" s="239">
        <v>56269</v>
      </c>
      <c r="BO264" s="239">
        <v>-66426</v>
      </c>
      <c r="BP264" s="239">
        <v>0</v>
      </c>
      <c r="BQ264" s="239">
        <v>20018</v>
      </c>
      <c r="BR264" s="239">
        <v>62331</v>
      </c>
      <c r="BS264" s="239">
        <v>0</v>
      </c>
      <c r="BT264" s="239">
        <v>630</v>
      </c>
      <c r="BU264" s="239">
        <v>0</v>
      </c>
      <c r="BV264" s="239">
        <v>0</v>
      </c>
      <c r="BW264" s="239">
        <v>0</v>
      </c>
      <c r="BX264" s="239">
        <v>62331</v>
      </c>
      <c r="BY264" s="239">
        <v>0</v>
      </c>
      <c r="BZ264" s="239">
        <v>630</v>
      </c>
      <c r="CA264" s="239">
        <v>0</v>
      </c>
      <c r="CB264" s="239">
        <v>0</v>
      </c>
      <c r="CC264" s="239">
        <v>0</v>
      </c>
      <c r="CD264" s="239">
        <v>0</v>
      </c>
      <c r="CE264" s="239">
        <v>0</v>
      </c>
      <c r="CF264" s="239">
        <v>0</v>
      </c>
      <c r="CG264" s="239">
        <v>0</v>
      </c>
      <c r="CH264" s="239">
        <v>0</v>
      </c>
      <c r="CI264" s="239">
        <v>0</v>
      </c>
      <c r="CJ264" s="239">
        <v>2507</v>
      </c>
      <c r="CK264" s="239">
        <v>0</v>
      </c>
      <c r="CL264" s="239">
        <v>25</v>
      </c>
      <c r="CM264" s="239">
        <v>7871</v>
      </c>
      <c r="CN264" s="239">
        <v>0</v>
      </c>
      <c r="CO264" s="239">
        <v>79</v>
      </c>
      <c r="CP264" s="239">
        <v>-5364</v>
      </c>
      <c r="CQ264" s="239">
        <v>0</v>
      </c>
      <c r="CR264" s="239">
        <v>-54</v>
      </c>
      <c r="CS264" s="239">
        <v>-29289</v>
      </c>
      <c r="CT264" s="239">
        <v>0</v>
      </c>
      <c r="CU264" s="239">
        <v>-296</v>
      </c>
      <c r="CV264" s="239">
        <v>0</v>
      </c>
      <c r="CW264" s="239">
        <v>0</v>
      </c>
      <c r="CX264" s="239">
        <v>0</v>
      </c>
      <c r="CY264" s="239">
        <v>0</v>
      </c>
      <c r="CZ264" s="239">
        <v>0</v>
      </c>
      <c r="DA264" s="239">
        <v>0</v>
      </c>
      <c r="DB264" s="239">
        <v>0</v>
      </c>
      <c r="DC264" s="239">
        <v>0</v>
      </c>
      <c r="DD264" s="239">
        <v>0</v>
      </c>
      <c r="DE264" s="239">
        <v>-5021</v>
      </c>
      <c r="DF264" s="239">
        <v>0</v>
      </c>
      <c r="DG264" s="239">
        <v>-51</v>
      </c>
      <c r="DH264" s="239">
        <v>0</v>
      </c>
      <c r="DI264" s="239">
        <v>0</v>
      </c>
      <c r="DJ264" s="239">
        <v>0</v>
      </c>
      <c r="DK264" s="239">
        <v>0</v>
      </c>
      <c r="DL264" s="239">
        <v>0</v>
      </c>
      <c r="DM264" s="239">
        <v>0</v>
      </c>
      <c r="DN264" s="239">
        <v>0</v>
      </c>
      <c r="DO264" s="239">
        <v>0</v>
      </c>
      <c r="DP264" s="239">
        <v>0</v>
      </c>
      <c r="DQ264" s="239">
        <v>0</v>
      </c>
      <c r="DR264" s="239">
        <v>0</v>
      </c>
      <c r="DS264" s="239">
        <v>0</v>
      </c>
      <c r="DT264" s="239">
        <v>0</v>
      </c>
      <c r="DU264" s="239">
        <v>0</v>
      </c>
      <c r="DV264" s="239">
        <v>0</v>
      </c>
      <c r="DW264" s="239">
        <v>0</v>
      </c>
      <c r="DX264" s="239">
        <v>0</v>
      </c>
      <c r="DY264" s="239">
        <v>0</v>
      </c>
      <c r="DZ264" s="239">
        <v>26194</v>
      </c>
      <c r="EA264" s="239">
        <v>0</v>
      </c>
      <c r="EB264" s="239">
        <v>265</v>
      </c>
      <c r="EC264" s="239">
        <v>68490</v>
      </c>
      <c r="ED264" s="239">
        <v>0</v>
      </c>
      <c r="EE264" s="239">
        <v>0</v>
      </c>
      <c r="EF264" s="239">
        <v>-42296</v>
      </c>
      <c r="EG264" s="239">
        <v>0</v>
      </c>
      <c r="EH264" s="239">
        <v>265</v>
      </c>
      <c r="EI264" s="239">
        <v>325371</v>
      </c>
      <c r="EJ264" s="239">
        <v>0</v>
      </c>
      <c r="EK264" s="239">
        <v>3287</v>
      </c>
      <c r="EL264" s="239">
        <v>336870</v>
      </c>
      <c r="EM264" s="239">
        <v>0</v>
      </c>
      <c r="EN264" s="239">
        <v>0</v>
      </c>
      <c r="EO264" s="239">
        <v>-11499</v>
      </c>
      <c r="EP264" s="239">
        <v>0</v>
      </c>
      <c r="EQ264" s="239">
        <v>3287</v>
      </c>
      <c r="ER264" s="239">
        <v>79902</v>
      </c>
      <c r="ES264" s="239">
        <v>0</v>
      </c>
      <c r="ET264" s="239">
        <v>807</v>
      </c>
      <c r="EU264" s="239">
        <v>111652</v>
      </c>
      <c r="EV264" s="239">
        <v>0</v>
      </c>
      <c r="EW264" s="239">
        <v>0</v>
      </c>
      <c r="EX264" s="239">
        <v>-31750</v>
      </c>
      <c r="EY264" s="239">
        <v>0</v>
      </c>
      <c r="EZ264" s="239">
        <v>807</v>
      </c>
      <c r="FA264" s="239">
        <v>1173417</v>
      </c>
      <c r="FB264" s="239">
        <v>0</v>
      </c>
      <c r="FC264" s="239">
        <v>11853</v>
      </c>
      <c r="FD264" s="239">
        <v>1218129</v>
      </c>
      <c r="FE264" s="239">
        <v>0</v>
      </c>
      <c r="FF264" s="239">
        <v>12304</v>
      </c>
      <c r="FG264" s="239">
        <v>-44712</v>
      </c>
      <c r="FH264" s="239">
        <v>0</v>
      </c>
      <c r="FI264" s="239">
        <v>-451</v>
      </c>
      <c r="FJ264" s="239">
        <v>0</v>
      </c>
      <c r="FK264" s="239">
        <v>0</v>
      </c>
      <c r="FL264" s="239">
        <v>0</v>
      </c>
      <c r="FM264" s="239">
        <v>0</v>
      </c>
      <c r="FN264" s="239">
        <v>0</v>
      </c>
      <c r="FO264" s="239">
        <v>0</v>
      </c>
      <c r="FP264" s="239">
        <v>0</v>
      </c>
      <c r="FQ264" s="239">
        <v>0</v>
      </c>
      <c r="FR264" s="239">
        <v>0</v>
      </c>
      <c r="FS264" s="239">
        <v>0</v>
      </c>
      <c r="FT264" s="239">
        <v>0</v>
      </c>
      <c r="FU264" s="239">
        <v>0</v>
      </c>
      <c r="FV264" s="239">
        <v>9187845</v>
      </c>
      <c r="FW264" s="239">
        <v>0</v>
      </c>
      <c r="FX264" s="239">
        <v>92807</v>
      </c>
      <c r="FY264" s="834">
        <v>0</v>
      </c>
      <c r="FZ264" s="834">
        <v>0.99</v>
      </c>
      <c r="GA264" s="834">
        <v>0</v>
      </c>
      <c r="GB264" s="834">
        <v>0.01</v>
      </c>
      <c r="GC264" s="214" t="s">
        <v>1160</v>
      </c>
    </row>
    <row r="265" spans="1:185" s="214" customFormat="1" x14ac:dyDescent="0.2">
      <c r="B265" s="602" t="s">
        <v>613</v>
      </c>
      <c r="C265" s="602" t="s">
        <v>612</v>
      </c>
      <c r="D265" s="239">
        <v>-5462513</v>
      </c>
      <c r="E265" s="239">
        <v>-93277</v>
      </c>
      <c r="F265" s="239">
        <v>-5555790</v>
      </c>
      <c r="G265" s="239">
        <v>-4816169</v>
      </c>
      <c r="H265" s="239">
        <v>-95172</v>
      </c>
      <c r="I265" s="239">
        <v>-4911341</v>
      </c>
      <c r="J265" s="239">
        <v>-646344</v>
      </c>
      <c r="K265" s="239">
        <v>1895</v>
      </c>
      <c r="L265" s="239">
        <v>-644449</v>
      </c>
      <c r="M265" s="239">
        <v>241804</v>
      </c>
      <c r="N265" s="239">
        <v>241804</v>
      </c>
      <c r="O265" s="239">
        <v>0</v>
      </c>
      <c r="P265" s="239">
        <v>154687</v>
      </c>
      <c r="Q265" s="239">
        <v>124558</v>
      </c>
      <c r="R265" s="239">
        <v>30129</v>
      </c>
      <c r="S265" s="239">
        <v>116586</v>
      </c>
      <c r="T265" s="239">
        <v>0</v>
      </c>
      <c r="U265" s="239">
        <v>0</v>
      </c>
      <c r="V265" s="239">
        <v>0</v>
      </c>
      <c r="W265" s="239">
        <v>116586</v>
      </c>
      <c r="X265" s="239">
        <v>0</v>
      </c>
      <c r="Y265" s="239">
        <v>100571</v>
      </c>
      <c r="Z265" s="239">
        <v>100296</v>
      </c>
      <c r="AA265" s="239">
        <v>0</v>
      </c>
      <c r="AB265" s="239">
        <v>274</v>
      </c>
      <c r="AC265" s="239">
        <v>90444.5</v>
      </c>
      <c r="AD265" s="239">
        <v>89770.5</v>
      </c>
      <c r="AE265" s="239">
        <v>0</v>
      </c>
      <c r="AF265" s="239">
        <v>674</v>
      </c>
      <c r="AG265" s="239">
        <v>10127</v>
      </c>
      <c r="AH265" s="239">
        <v>10526</v>
      </c>
      <c r="AI265" s="239">
        <v>0</v>
      </c>
      <c r="AJ265" s="239">
        <v>-400</v>
      </c>
      <c r="AK265" s="239">
        <v>0</v>
      </c>
      <c r="AL265" s="239">
        <v>0</v>
      </c>
      <c r="AM265" s="239">
        <v>0</v>
      </c>
      <c r="AN265" s="239">
        <v>0</v>
      </c>
      <c r="AO265" s="239">
        <v>0</v>
      </c>
      <c r="AP265" s="239">
        <v>0</v>
      </c>
      <c r="AQ265" s="239">
        <v>0</v>
      </c>
      <c r="AR265" s="239">
        <v>0</v>
      </c>
      <c r="AS265" s="239">
        <v>0</v>
      </c>
      <c r="AT265" s="239">
        <v>0</v>
      </c>
      <c r="AU265" s="239">
        <v>0</v>
      </c>
      <c r="AV265" s="239">
        <v>0</v>
      </c>
      <c r="AW265" s="239">
        <v>0</v>
      </c>
      <c r="AX265" s="239">
        <v>0</v>
      </c>
      <c r="AY265" s="239">
        <v>0</v>
      </c>
      <c r="AZ265" s="239">
        <v>0</v>
      </c>
      <c r="BA265" s="239">
        <v>0</v>
      </c>
      <c r="BB265" s="239">
        <v>0</v>
      </c>
      <c r="BC265" s="239">
        <v>1559195</v>
      </c>
      <c r="BD265" s="239">
        <v>0</v>
      </c>
      <c r="BE265" s="239">
        <v>31262</v>
      </c>
      <c r="BF265" s="239">
        <v>1512418.3911989916</v>
      </c>
      <c r="BG265" s="239">
        <v>0</v>
      </c>
      <c r="BH265" s="239">
        <v>30324.11880422747</v>
      </c>
      <c r="BI265" s="239">
        <v>145396.1267188841</v>
      </c>
      <c r="BJ265" s="239">
        <v>0</v>
      </c>
      <c r="BK265" s="239">
        <v>2935.9627660944207</v>
      </c>
      <c r="BL265" s="239">
        <v>1333950</v>
      </c>
      <c r="BM265" s="239">
        <v>0</v>
      </c>
      <c r="BN265" s="239">
        <v>19259</v>
      </c>
      <c r="BO265" s="239">
        <v>225245</v>
      </c>
      <c r="BP265" s="239">
        <v>0</v>
      </c>
      <c r="BQ265" s="239">
        <v>12003</v>
      </c>
      <c r="BR265" s="239">
        <v>0</v>
      </c>
      <c r="BS265" s="239">
        <v>0</v>
      </c>
      <c r="BT265" s="239">
        <v>0</v>
      </c>
      <c r="BU265" s="239">
        <v>0</v>
      </c>
      <c r="BV265" s="239">
        <v>0</v>
      </c>
      <c r="BW265" s="239">
        <v>0</v>
      </c>
      <c r="BX265" s="239">
        <v>0</v>
      </c>
      <c r="BY265" s="239">
        <v>0</v>
      </c>
      <c r="BZ265" s="239">
        <v>0</v>
      </c>
      <c r="CA265" s="239">
        <v>0</v>
      </c>
      <c r="CB265" s="239">
        <v>0</v>
      </c>
      <c r="CC265" s="239">
        <v>0</v>
      </c>
      <c r="CD265" s="239">
        <v>0</v>
      </c>
      <c r="CE265" s="239">
        <v>0</v>
      </c>
      <c r="CF265" s="239">
        <v>0</v>
      </c>
      <c r="CG265" s="239">
        <v>0</v>
      </c>
      <c r="CH265" s="239">
        <v>0</v>
      </c>
      <c r="CI265" s="239">
        <v>0</v>
      </c>
      <c r="CJ265" s="239">
        <v>2634</v>
      </c>
      <c r="CK265" s="239">
        <v>0</v>
      </c>
      <c r="CL265" s="239">
        <v>54</v>
      </c>
      <c r="CM265" s="239">
        <v>0</v>
      </c>
      <c r="CN265" s="239">
        <v>0</v>
      </c>
      <c r="CO265" s="239">
        <v>0</v>
      </c>
      <c r="CP265" s="239">
        <v>2634</v>
      </c>
      <c r="CQ265" s="239">
        <v>0</v>
      </c>
      <c r="CR265" s="239">
        <v>54</v>
      </c>
      <c r="CS265" s="239">
        <v>-2703</v>
      </c>
      <c r="CT265" s="239">
        <v>0</v>
      </c>
      <c r="CU265" s="239">
        <v>-55</v>
      </c>
      <c r="CV265" s="239">
        <v>0</v>
      </c>
      <c r="CW265" s="239">
        <v>0</v>
      </c>
      <c r="CX265" s="239">
        <v>0</v>
      </c>
      <c r="CY265" s="239">
        <v>0</v>
      </c>
      <c r="CZ265" s="239">
        <v>0</v>
      </c>
      <c r="DA265" s="239">
        <v>0</v>
      </c>
      <c r="DB265" s="239">
        <v>0</v>
      </c>
      <c r="DC265" s="239">
        <v>0</v>
      </c>
      <c r="DD265" s="239">
        <v>0</v>
      </c>
      <c r="DE265" s="239">
        <v>154</v>
      </c>
      <c r="DF265" s="239">
        <v>0</v>
      </c>
      <c r="DG265" s="239">
        <v>3</v>
      </c>
      <c r="DH265" s="239">
        <v>5144</v>
      </c>
      <c r="DI265" s="239">
        <v>0</v>
      </c>
      <c r="DJ265" s="239">
        <v>105</v>
      </c>
      <c r="DK265" s="239">
        <v>4506</v>
      </c>
      <c r="DL265" s="239">
        <v>0</v>
      </c>
      <c r="DM265" s="239">
        <v>92</v>
      </c>
      <c r="DN265" s="239">
        <v>638</v>
      </c>
      <c r="DO265" s="239">
        <v>0</v>
      </c>
      <c r="DP265" s="239">
        <v>13</v>
      </c>
      <c r="DQ265" s="239">
        <v>0</v>
      </c>
      <c r="DR265" s="239">
        <v>0</v>
      </c>
      <c r="DS265" s="239">
        <v>0</v>
      </c>
      <c r="DT265" s="239">
        <v>0</v>
      </c>
      <c r="DU265" s="239">
        <v>0</v>
      </c>
      <c r="DV265" s="239">
        <v>0</v>
      </c>
      <c r="DW265" s="239">
        <v>0</v>
      </c>
      <c r="DX265" s="239">
        <v>0</v>
      </c>
      <c r="DY265" s="239">
        <v>0</v>
      </c>
      <c r="DZ265" s="239">
        <v>11366</v>
      </c>
      <c r="EA265" s="239">
        <v>0</v>
      </c>
      <c r="EB265" s="239">
        <v>232</v>
      </c>
      <c r="EC265" s="239">
        <v>11673</v>
      </c>
      <c r="ED265" s="239">
        <v>0</v>
      </c>
      <c r="EE265" s="239">
        <v>0</v>
      </c>
      <c r="EF265" s="239">
        <v>-307</v>
      </c>
      <c r="EG265" s="239">
        <v>0</v>
      </c>
      <c r="EH265" s="239">
        <v>232</v>
      </c>
      <c r="EI265" s="239">
        <v>119792</v>
      </c>
      <c r="EJ265" s="239">
        <v>0</v>
      </c>
      <c r="EK265" s="239">
        <v>2445</v>
      </c>
      <c r="EL265" s="239">
        <v>120463</v>
      </c>
      <c r="EM265" s="239">
        <v>0</v>
      </c>
      <c r="EN265" s="239">
        <v>0</v>
      </c>
      <c r="EO265" s="239">
        <v>-671</v>
      </c>
      <c r="EP265" s="239">
        <v>0</v>
      </c>
      <c r="EQ265" s="239">
        <v>2445</v>
      </c>
      <c r="ER265" s="239">
        <v>36918</v>
      </c>
      <c r="ES265" s="239">
        <v>0</v>
      </c>
      <c r="ET265" s="239">
        <v>753</v>
      </c>
      <c r="EU265" s="239">
        <v>38571</v>
      </c>
      <c r="EV265" s="239">
        <v>0</v>
      </c>
      <c r="EW265" s="239">
        <v>0</v>
      </c>
      <c r="EX265" s="239">
        <v>-1653</v>
      </c>
      <c r="EY265" s="239">
        <v>0</v>
      </c>
      <c r="EZ265" s="239">
        <v>753</v>
      </c>
      <c r="FA265" s="239">
        <v>558597</v>
      </c>
      <c r="FB265" s="239">
        <v>0</v>
      </c>
      <c r="FC265" s="239">
        <v>11317</v>
      </c>
      <c r="FD265" s="239">
        <v>548925</v>
      </c>
      <c r="FE265" s="239">
        <v>0</v>
      </c>
      <c r="FF265" s="239">
        <v>11147</v>
      </c>
      <c r="FG265" s="239">
        <v>9672</v>
      </c>
      <c r="FH265" s="239">
        <v>0</v>
      </c>
      <c r="FI265" s="239">
        <v>170</v>
      </c>
      <c r="FJ265" s="239">
        <v>0</v>
      </c>
      <c r="FK265" s="239">
        <v>0</v>
      </c>
      <c r="FL265" s="239">
        <v>0</v>
      </c>
      <c r="FM265" s="239">
        <v>0</v>
      </c>
      <c r="FN265" s="239">
        <v>0</v>
      </c>
      <c r="FO265" s="239">
        <v>0</v>
      </c>
      <c r="FP265" s="239">
        <v>0</v>
      </c>
      <c r="FQ265" s="239">
        <v>0</v>
      </c>
      <c r="FR265" s="239">
        <v>0</v>
      </c>
      <c r="FS265" s="239">
        <v>80937890</v>
      </c>
      <c r="FT265" s="239">
        <v>82830225</v>
      </c>
      <c r="FU265" s="239">
        <v>0</v>
      </c>
      <c r="FV265" s="239">
        <v>2291097</v>
      </c>
      <c r="FW265" s="239">
        <v>0</v>
      </c>
      <c r="FX265" s="239">
        <v>46116</v>
      </c>
      <c r="FY265" s="834">
        <v>0.5</v>
      </c>
      <c r="FZ265" s="834">
        <v>0.49</v>
      </c>
      <c r="GA265" s="834">
        <v>0</v>
      </c>
      <c r="GB265" s="834">
        <v>0.01</v>
      </c>
      <c r="GC265" s="214" t="s">
        <v>746</v>
      </c>
    </row>
    <row r="266" spans="1:185" s="214" customFormat="1" x14ac:dyDescent="0.2">
      <c r="B266" s="602" t="s">
        <v>615</v>
      </c>
      <c r="C266" s="602" t="s">
        <v>614</v>
      </c>
      <c r="D266" s="239">
        <v>-1164769</v>
      </c>
      <c r="E266" s="239">
        <v>0</v>
      </c>
      <c r="F266" s="239">
        <v>-1164769</v>
      </c>
      <c r="G266" s="239">
        <v>-560355</v>
      </c>
      <c r="H266" s="239">
        <v>0</v>
      </c>
      <c r="I266" s="239">
        <v>-560355</v>
      </c>
      <c r="J266" s="239">
        <v>-604414</v>
      </c>
      <c r="K266" s="239">
        <v>0</v>
      </c>
      <c r="L266" s="239">
        <v>-604414</v>
      </c>
      <c r="M266" s="239">
        <v>361940</v>
      </c>
      <c r="N266" s="239">
        <v>361940</v>
      </c>
      <c r="O266" s="239">
        <v>0</v>
      </c>
      <c r="P266" s="239">
        <v>466642</v>
      </c>
      <c r="Q266" s="239">
        <v>168226</v>
      </c>
      <c r="R266" s="239">
        <v>298416</v>
      </c>
      <c r="S266" s="239">
        <v>0</v>
      </c>
      <c r="T266" s="239">
        <v>0</v>
      </c>
      <c r="U266" s="239">
        <v>0</v>
      </c>
      <c r="V266" s="239">
        <v>0</v>
      </c>
      <c r="W266" s="239">
        <v>0</v>
      </c>
      <c r="X266" s="239">
        <v>0</v>
      </c>
      <c r="Y266" s="239">
        <v>0</v>
      </c>
      <c r="Z266" s="239">
        <v>0</v>
      </c>
      <c r="AA266" s="239">
        <v>0</v>
      </c>
      <c r="AB266" s="239">
        <v>0</v>
      </c>
      <c r="AC266" s="239">
        <v>0</v>
      </c>
      <c r="AD266" s="239">
        <v>0</v>
      </c>
      <c r="AE266" s="239">
        <v>0</v>
      </c>
      <c r="AF266" s="239">
        <v>0</v>
      </c>
      <c r="AG266" s="239">
        <v>0</v>
      </c>
      <c r="AH266" s="239">
        <v>0</v>
      </c>
      <c r="AI266" s="239">
        <v>0</v>
      </c>
      <c r="AJ266" s="239">
        <v>0</v>
      </c>
      <c r="AK266" s="239">
        <v>0</v>
      </c>
      <c r="AL266" s="239">
        <v>0</v>
      </c>
      <c r="AM266" s="239">
        <v>0</v>
      </c>
      <c r="AN266" s="239">
        <v>0</v>
      </c>
      <c r="AO266" s="239">
        <v>0</v>
      </c>
      <c r="AP266" s="239">
        <v>0</v>
      </c>
      <c r="AQ266" s="239">
        <v>0</v>
      </c>
      <c r="AR266" s="239">
        <v>0</v>
      </c>
      <c r="AS266" s="239">
        <v>0</v>
      </c>
      <c r="AT266" s="239">
        <v>0</v>
      </c>
      <c r="AU266" s="239">
        <v>0</v>
      </c>
      <c r="AV266" s="239">
        <v>0</v>
      </c>
      <c r="AW266" s="239">
        <v>0</v>
      </c>
      <c r="AX266" s="239">
        <v>0</v>
      </c>
      <c r="AY266" s="239">
        <v>0</v>
      </c>
      <c r="AZ266" s="239">
        <v>0</v>
      </c>
      <c r="BA266" s="239">
        <v>0</v>
      </c>
      <c r="BB266" s="239">
        <v>0</v>
      </c>
      <c r="BC266" s="239">
        <v>2990211</v>
      </c>
      <c r="BD266" s="239">
        <v>0</v>
      </c>
      <c r="BE266" s="239">
        <v>61025</v>
      </c>
      <c r="BF266" s="239">
        <v>2933288.2422025753</v>
      </c>
      <c r="BG266" s="239">
        <v>0</v>
      </c>
      <c r="BH266" s="239">
        <v>59863.025351072967</v>
      </c>
      <c r="BI266" s="239">
        <v>166907.49934227465</v>
      </c>
      <c r="BJ266" s="239">
        <v>0</v>
      </c>
      <c r="BK266" s="239">
        <v>3406.2754967811156</v>
      </c>
      <c r="BL266" s="239">
        <v>2764399</v>
      </c>
      <c r="BM266" s="239">
        <v>0</v>
      </c>
      <c r="BN266" s="239">
        <v>41076</v>
      </c>
      <c r="BO266" s="239">
        <v>225812</v>
      </c>
      <c r="BP266" s="239">
        <v>0</v>
      </c>
      <c r="BQ266" s="239">
        <v>19949</v>
      </c>
      <c r="BR266" s="239">
        <v>4626</v>
      </c>
      <c r="BS266" s="239">
        <v>0</v>
      </c>
      <c r="BT266" s="239">
        <v>94</v>
      </c>
      <c r="BU266" s="239">
        <v>7205</v>
      </c>
      <c r="BV266" s="239">
        <v>0</v>
      </c>
      <c r="BW266" s="239">
        <v>147</v>
      </c>
      <c r="BX266" s="239">
        <v>-2579</v>
      </c>
      <c r="BY266" s="239">
        <v>0</v>
      </c>
      <c r="BZ266" s="239">
        <v>-53</v>
      </c>
      <c r="CA266" s="239">
        <v>62339</v>
      </c>
      <c r="CB266" s="239">
        <v>0</v>
      </c>
      <c r="CC266" s="239">
        <v>1272</v>
      </c>
      <c r="CD266" s="239">
        <v>0</v>
      </c>
      <c r="CE266" s="239">
        <v>0</v>
      </c>
      <c r="CF266" s="239">
        <v>0</v>
      </c>
      <c r="CG266" s="239">
        <v>62339</v>
      </c>
      <c r="CH266" s="239">
        <v>0</v>
      </c>
      <c r="CI266" s="239">
        <v>1272</v>
      </c>
      <c r="CJ266" s="239">
        <v>73001</v>
      </c>
      <c r="CK266" s="239">
        <v>0</v>
      </c>
      <c r="CL266" s="239">
        <v>1490</v>
      </c>
      <c r="CM266" s="239">
        <v>0</v>
      </c>
      <c r="CN266" s="239">
        <v>0</v>
      </c>
      <c r="CO266" s="239">
        <v>0</v>
      </c>
      <c r="CP266" s="239">
        <v>73001</v>
      </c>
      <c r="CQ266" s="239">
        <v>0</v>
      </c>
      <c r="CR266" s="239">
        <v>1490</v>
      </c>
      <c r="CS266" s="239">
        <v>-277</v>
      </c>
      <c r="CT266" s="239">
        <v>0</v>
      </c>
      <c r="CU266" s="239">
        <v>-6</v>
      </c>
      <c r="CV266" s="239">
        <v>0</v>
      </c>
      <c r="CW266" s="239">
        <v>0</v>
      </c>
      <c r="CX266" s="239">
        <v>0</v>
      </c>
      <c r="CY266" s="239">
        <v>0</v>
      </c>
      <c r="CZ266" s="239">
        <v>0</v>
      </c>
      <c r="DA266" s="239">
        <v>0</v>
      </c>
      <c r="DB266" s="239">
        <v>0</v>
      </c>
      <c r="DC266" s="239">
        <v>0</v>
      </c>
      <c r="DD266" s="239">
        <v>0</v>
      </c>
      <c r="DE266" s="239">
        <v>0</v>
      </c>
      <c r="DF266" s="239">
        <v>0</v>
      </c>
      <c r="DG266" s="239">
        <v>0</v>
      </c>
      <c r="DH266" s="239">
        <v>0</v>
      </c>
      <c r="DI266" s="239">
        <v>0</v>
      </c>
      <c r="DJ266" s="239">
        <v>0</v>
      </c>
      <c r="DK266" s="239">
        <v>0</v>
      </c>
      <c r="DL266" s="239">
        <v>0</v>
      </c>
      <c r="DM266" s="239">
        <v>0</v>
      </c>
      <c r="DN266" s="239">
        <v>0</v>
      </c>
      <c r="DO266" s="239">
        <v>0</v>
      </c>
      <c r="DP266" s="239">
        <v>0</v>
      </c>
      <c r="DQ266" s="239">
        <v>746</v>
      </c>
      <c r="DR266" s="239">
        <v>0</v>
      </c>
      <c r="DS266" s="239">
        <v>15</v>
      </c>
      <c r="DT266" s="239">
        <v>746</v>
      </c>
      <c r="DU266" s="239">
        <v>0</v>
      </c>
      <c r="DV266" s="239">
        <v>15</v>
      </c>
      <c r="DW266" s="239">
        <v>0</v>
      </c>
      <c r="DX266" s="239">
        <v>0</v>
      </c>
      <c r="DY266" s="239">
        <v>0</v>
      </c>
      <c r="DZ266" s="239">
        <v>20381</v>
      </c>
      <c r="EA266" s="239">
        <v>0</v>
      </c>
      <c r="EB266" s="239">
        <v>416</v>
      </c>
      <c r="EC266" s="239">
        <v>20956</v>
      </c>
      <c r="ED266" s="239">
        <v>0</v>
      </c>
      <c r="EE266" s="239">
        <v>0</v>
      </c>
      <c r="EF266" s="239">
        <v>-575</v>
      </c>
      <c r="EG266" s="239">
        <v>0</v>
      </c>
      <c r="EH266" s="239">
        <v>416</v>
      </c>
      <c r="EI266" s="239">
        <v>240199</v>
      </c>
      <c r="EJ266" s="239">
        <v>0</v>
      </c>
      <c r="EK266" s="239">
        <v>4902</v>
      </c>
      <c r="EL266" s="239">
        <v>282307</v>
      </c>
      <c r="EM266" s="239">
        <v>0</v>
      </c>
      <c r="EN266" s="239">
        <v>0</v>
      </c>
      <c r="EO266" s="239">
        <v>-42108</v>
      </c>
      <c r="EP266" s="239">
        <v>0</v>
      </c>
      <c r="EQ266" s="239">
        <v>4902</v>
      </c>
      <c r="ER266" s="239">
        <v>49612</v>
      </c>
      <c r="ES266" s="239">
        <v>0</v>
      </c>
      <c r="ET266" s="239">
        <v>1012</v>
      </c>
      <c r="EU266" s="239">
        <v>50699</v>
      </c>
      <c r="EV266" s="239">
        <v>0</v>
      </c>
      <c r="EW266" s="239">
        <v>0</v>
      </c>
      <c r="EX266" s="239">
        <v>-1087</v>
      </c>
      <c r="EY266" s="239">
        <v>0</v>
      </c>
      <c r="EZ266" s="239">
        <v>1012</v>
      </c>
      <c r="FA266" s="239">
        <v>641837</v>
      </c>
      <c r="FB266" s="239">
        <v>0</v>
      </c>
      <c r="FC266" s="239">
        <v>12956</v>
      </c>
      <c r="FD266" s="239">
        <v>659250</v>
      </c>
      <c r="FE266" s="239">
        <v>0</v>
      </c>
      <c r="FF266" s="239">
        <v>13403</v>
      </c>
      <c r="FG266" s="239">
        <v>-17413</v>
      </c>
      <c r="FH266" s="239">
        <v>0</v>
      </c>
      <c r="FI266" s="239">
        <v>-447</v>
      </c>
      <c r="FJ266" s="239">
        <v>0</v>
      </c>
      <c r="FK266" s="239">
        <v>0</v>
      </c>
      <c r="FL266" s="239">
        <v>0</v>
      </c>
      <c r="FM266" s="239">
        <v>0</v>
      </c>
      <c r="FN266" s="239">
        <v>0</v>
      </c>
      <c r="FO266" s="239">
        <v>0</v>
      </c>
      <c r="FP266" s="239">
        <v>0</v>
      </c>
      <c r="FQ266" s="239">
        <v>0</v>
      </c>
      <c r="FR266" s="239">
        <v>0</v>
      </c>
      <c r="FS266" s="239">
        <v>0</v>
      </c>
      <c r="FT266" s="239">
        <v>0</v>
      </c>
      <c r="FU266" s="239">
        <v>0</v>
      </c>
      <c r="FV266" s="239">
        <v>4082675</v>
      </c>
      <c r="FW266" s="239">
        <v>0</v>
      </c>
      <c r="FX266" s="239">
        <v>83176</v>
      </c>
      <c r="FY266" s="834">
        <v>0.5</v>
      </c>
      <c r="FZ266" s="834">
        <v>0.49</v>
      </c>
      <c r="GA266" s="834">
        <v>0</v>
      </c>
      <c r="GB266" s="834">
        <v>0.01</v>
      </c>
      <c r="GC266" s="214" t="s">
        <v>746</v>
      </c>
    </row>
    <row r="267" spans="1:185" s="214" customFormat="1" x14ac:dyDescent="0.2">
      <c r="B267" s="602" t="s">
        <v>617</v>
      </c>
      <c r="C267" s="602" t="s">
        <v>616</v>
      </c>
      <c r="D267" s="239">
        <v>-731161</v>
      </c>
      <c r="E267" s="239">
        <v>0</v>
      </c>
      <c r="F267" s="239">
        <v>-731161</v>
      </c>
      <c r="G267" s="239">
        <v>-760618.44</v>
      </c>
      <c r="H267" s="239">
        <v>0</v>
      </c>
      <c r="I267" s="239">
        <v>-760618.44</v>
      </c>
      <c r="J267" s="239">
        <v>29457.439999999944</v>
      </c>
      <c r="K267" s="239">
        <v>0</v>
      </c>
      <c r="L267" s="239">
        <v>29457.439999999944</v>
      </c>
      <c r="M267" s="239">
        <v>214845</v>
      </c>
      <c r="N267" s="239">
        <v>214845</v>
      </c>
      <c r="O267" s="239">
        <v>0</v>
      </c>
      <c r="P267" s="239">
        <v>0</v>
      </c>
      <c r="Q267" s="239">
        <v>0</v>
      </c>
      <c r="R267" s="239">
        <v>0</v>
      </c>
      <c r="S267" s="239">
        <v>32846</v>
      </c>
      <c r="T267" s="239">
        <v>0</v>
      </c>
      <c r="U267" s="239">
        <v>36656</v>
      </c>
      <c r="V267" s="239">
        <v>0</v>
      </c>
      <c r="W267" s="239">
        <v>-3810</v>
      </c>
      <c r="X267" s="239">
        <v>0</v>
      </c>
      <c r="Y267" s="239">
        <v>0</v>
      </c>
      <c r="Z267" s="239">
        <v>0</v>
      </c>
      <c r="AA267" s="239">
        <v>0</v>
      </c>
      <c r="AB267" s="239">
        <v>0</v>
      </c>
      <c r="AC267" s="239">
        <v>0</v>
      </c>
      <c r="AD267" s="239">
        <v>0</v>
      </c>
      <c r="AE267" s="239">
        <v>0</v>
      </c>
      <c r="AF267" s="239">
        <v>0</v>
      </c>
      <c r="AG267" s="239">
        <v>0</v>
      </c>
      <c r="AH267" s="239">
        <v>0</v>
      </c>
      <c r="AI267" s="239">
        <v>0</v>
      </c>
      <c r="AJ267" s="239">
        <v>0</v>
      </c>
      <c r="AK267" s="239">
        <v>0</v>
      </c>
      <c r="AL267" s="239">
        <v>0</v>
      </c>
      <c r="AM267" s="239">
        <v>0</v>
      </c>
      <c r="AN267" s="239">
        <v>0</v>
      </c>
      <c r="AO267" s="239">
        <v>0</v>
      </c>
      <c r="AP267" s="239">
        <v>0</v>
      </c>
      <c r="AQ267" s="239">
        <v>0</v>
      </c>
      <c r="AR267" s="239">
        <v>0</v>
      </c>
      <c r="AS267" s="239">
        <v>0</v>
      </c>
      <c r="AT267" s="239">
        <v>0</v>
      </c>
      <c r="AU267" s="239">
        <v>0</v>
      </c>
      <c r="AV267" s="239">
        <v>0</v>
      </c>
      <c r="AW267" s="239">
        <v>0</v>
      </c>
      <c r="AX267" s="239">
        <v>0</v>
      </c>
      <c r="AY267" s="239">
        <v>0</v>
      </c>
      <c r="AZ267" s="239">
        <v>0</v>
      </c>
      <c r="BA267" s="239">
        <v>0</v>
      </c>
      <c r="BB267" s="239">
        <v>0</v>
      </c>
      <c r="BC267" s="239">
        <v>1565751</v>
      </c>
      <c r="BD267" s="239">
        <v>391438</v>
      </c>
      <c r="BE267" s="239">
        <v>0</v>
      </c>
      <c r="BF267" s="239">
        <v>1525546.4367613737</v>
      </c>
      <c r="BG267" s="239">
        <v>381386.60919034341</v>
      </c>
      <c r="BH267" s="239">
        <v>0</v>
      </c>
      <c r="BI267" s="239">
        <v>126128.12965665235</v>
      </c>
      <c r="BJ267" s="239">
        <v>31532.032414163088</v>
      </c>
      <c r="BK267" s="239">
        <v>0</v>
      </c>
      <c r="BL267" s="239">
        <v>1363818</v>
      </c>
      <c r="BM267" s="239">
        <v>226925</v>
      </c>
      <c r="BN267" s="239">
        <v>0</v>
      </c>
      <c r="BO267" s="239">
        <v>201933</v>
      </c>
      <c r="BP267" s="239">
        <v>164513</v>
      </c>
      <c r="BQ267" s="239">
        <v>0</v>
      </c>
      <c r="BR267" s="239">
        <v>0</v>
      </c>
      <c r="BS267" s="239">
        <v>0</v>
      </c>
      <c r="BT267" s="239">
        <v>0</v>
      </c>
      <c r="BU267" s="239">
        <v>100658</v>
      </c>
      <c r="BV267" s="239">
        <v>25164</v>
      </c>
      <c r="BW267" s="239">
        <v>0</v>
      </c>
      <c r="BX267" s="239">
        <v>-100658</v>
      </c>
      <c r="BY267" s="239">
        <v>-25164</v>
      </c>
      <c r="BZ267" s="239">
        <v>0</v>
      </c>
      <c r="CA267" s="239">
        <v>0</v>
      </c>
      <c r="CB267" s="239">
        <v>0</v>
      </c>
      <c r="CC267" s="239">
        <v>0</v>
      </c>
      <c r="CD267" s="239">
        <v>0</v>
      </c>
      <c r="CE267" s="239">
        <v>0</v>
      </c>
      <c r="CF267" s="239">
        <v>0</v>
      </c>
      <c r="CG267" s="239">
        <v>0</v>
      </c>
      <c r="CH267" s="239">
        <v>0</v>
      </c>
      <c r="CI267" s="239">
        <v>0</v>
      </c>
      <c r="CJ267" s="239">
        <v>-2165</v>
      </c>
      <c r="CK267" s="239">
        <v>-541</v>
      </c>
      <c r="CL267" s="239">
        <v>0</v>
      </c>
      <c r="CM267" s="239">
        <v>0</v>
      </c>
      <c r="CN267" s="239">
        <v>0</v>
      </c>
      <c r="CO267" s="239">
        <v>0</v>
      </c>
      <c r="CP267" s="239">
        <v>-2165</v>
      </c>
      <c r="CQ267" s="239">
        <v>-541</v>
      </c>
      <c r="CR267" s="239">
        <v>0</v>
      </c>
      <c r="CS267" s="239">
        <v>-106</v>
      </c>
      <c r="CT267" s="239">
        <v>-27</v>
      </c>
      <c r="CU267" s="239">
        <v>0</v>
      </c>
      <c r="CV267" s="239">
        <v>0</v>
      </c>
      <c r="CW267" s="239">
        <v>0</v>
      </c>
      <c r="CX267" s="239">
        <v>0</v>
      </c>
      <c r="CY267" s="239">
        <v>0</v>
      </c>
      <c r="CZ267" s="239">
        <v>0</v>
      </c>
      <c r="DA267" s="239">
        <v>0</v>
      </c>
      <c r="DB267" s="239">
        <v>0</v>
      </c>
      <c r="DC267" s="239">
        <v>0</v>
      </c>
      <c r="DD267" s="239">
        <v>0</v>
      </c>
      <c r="DE267" s="239">
        <v>-48</v>
      </c>
      <c r="DF267" s="239">
        <v>-12</v>
      </c>
      <c r="DG267" s="239">
        <v>0</v>
      </c>
      <c r="DH267" s="239">
        <v>9913</v>
      </c>
      <c r="DI267" s="239">
        <v>2478</v>
      </c>
      <c r="DJ267" s="239">
        <v>0</v>
      </c>
      <c r="DK267" s="239">
        <v>8120</v>
      </c>
      <c r="DL267" s="239">
        <v>2030</v>
      </c>
      <c r="DM267" s="239">
        <v>0</v>
      </c>
      <c r="DN267" s="239">
        <v>1793</v>
      </c>
      <c r="DO267" s="239">
        <v>448</v>
      </c>
      <c r="DP267" s="239">
        <v>0</v>
      </c>
      <c r="DQ267" s="239">
        <v>609</v>
      </c>
      <c r="DR267" s="239">
        <v>152</v>
      </c>
      <c r="DS267" s="239">
        <v>0</v>
      </c>
      <c r="DT267" s="239">
        <v>609</v>
      </c>
      <c r="DU267" s="239">
        <v>152</v>
      </c>
      <c r="DV267" s="239">
        <v>0</v>
      </c>
      <c r="DW267" s="239">
        <v>0</v>
      </c>
      <c r="DX267" s="239">
        <v>0</v>
      </c>
      <c r="DY267" s="239">
        <v>0</v>
      </c>
      <c r="DZ267" s="239">
        <v>13119</v>
      </c>
      <c r="EA267" s="239">
        <v>3280</v>
      </c>
      <c r="EB267" s="239">
        <v>0</v>
      </c>
      <c r="EC267" s="239">
        <v>0</v>
      </c>
      <c r="ED267" s="239">
        <v>0</v>
      </c>
      <c r="EE267" s="239">
        <v>0</v>
      </c>
      <c r="EF267" s="239">
        <v>13119</v>
      </c>
      <c r="EG267" s="239">
        <v>3280</v>
      </c>
      <c r="EH267" s="239">
        <v>0</v>
      </c>
      <c r="EI267" s="239">
        <v>155004</v>
      </c>
      <c r="EJ267" s="239">
        <v>38751</v>
      </c>
      <c r="EK267" s="239">
        <v>0</v>
      </c>
      <c r="EL267" s="239">
        <v>190888</v>
      </c>
      <c r="EM267" s="239">
        <v>0</v>
      </c>
      <c r="EN267" s="239">
        <v>0</v>
      </c>
      <c r="EO267" s="239">
        <v>-35884</v>
      </c>
      <c r="EP267" s="239">
        <v>38751</v>
      </c>
      <c r="EQ267" s="239">
        <v>0</v>
      </c>
      <c r="ER267" s="239">
        <v>29248</v>
      </c>
      <c r="ES267" s="239">
        <v>7312</v>
      </c>
      <c r="ET267" s="239">
        <v>0</v>
      </c>
      <c r="EU267" s="239">
        <v>0</v>
      </c>
      <c r="EV267" s="239">
        <v>0</v>
      </c>
      <c r="EW267" s="239">
        <v>0</v>
      </c>
      <c r="EX267" s="239">
        <v>29248</v>
      </c>
      <c r="EY267" s="239">
        <v>7312</v>
      </c>
      <c r="EZ267" s="239">
        <v>0</v>
      </c>
      <c r="FA267" s="239">
        <v>311072</v>
      </c>
      <c r="FB267" s="239">
        <v>77645</v>
      </c>
      <c r="FC267" s="239">
        <v>0</v>
      </c>
      <c r="FD267" s="239">
        <v>313100</v>
      </c>
      <c r="FE267" s="239">
        <v>78137</v>
      </c>
      <c r="FF267" s="239">
        <v>0</v>
      </c>
      <c r="FG267" s="239">
        <v>-2028</v>
      </c>
      <c r="FH267" s="239">
        <v>-492</v>
      </c>
      <c r="FI267" s="239">
        <v>0</v>
      </c>
      <c r="FJ267" s="239">
        <v>0</v>
      </c>
      <c r="FK267" s="239">
        <v>0</v>
      </c>
      <c r="FL267" s="239">
        <v>0</v>
      </c>
      <c r="FM267" s="239">
        <v>0</v>
      </c>
      <c r="FN267" s="239">
        <v>0</v>
      </c>
      <c r="FO267" s="239">
        <v>0</v>
      </c>
      <c r="FP267" s="239">
        <v>0</v>
      </c>
      <c r="FQ267" s="239">
        <v>0</v>
      </c>
      <c r="FR267" s="239">
        <v>0</v>
      </c>
      <c r="FS267" s="239">
        <v>0</v>
      </c>
      <c r="FT267" s="239">
        <v>0</v>
      </c>
      <c r="FU267" s="239">
        <v>0</v>
      </c>
      <c r="FV267" s="239">
        <v>2082397</v>
      </c>
      <c r="FW267" s="239">
        <v>520476</v>
      </c>
      <c r="FX267" s="239">
        <v>0</v>
      </c>
      <c r="FY267" s="834">
        <v>0.5</v>
      </c>
      <c r="FZ267" s="834">
        <v>0.4</v>
      </c>
      <c r="GA267" s="834">
        <v>0.1</v>
      </c>
      <c r="GB267" s="834">
        <v>0</v>
      </c>
      <c r="GC267" s="214" t="s">
        <v>1158</v>
      </c>
    </row>
    <row r="268" spans="1:185" s="214" customFormat="1" x14ac:dyDescent="0.2">
      <c r="B268" s="602" t="s">
        <v>619</v>
      </c>
      <c r="C268" s="602" t="s">
        <v>618</v>
      </c>
      <c r="D268" s="239">
        <v>247874</v>
      </c>
      <c r="E268" s="239">
        <v>0</v>
      </c>
      <c r="F268" s="239">
        <v>247874</v>
      </c>
      <c r="G268" s="239">
        <v>201724</v>
      </c>
      <c r="H268" s="239">
        <v>0</v>
      </c>
      <c r="I268" s="239">
        <v>201724</v>
      </c>
      <c r="J268" s="239">
        <v>46150</v>
      </c>
      <c r="K268" s="239">
        <v>0</v>
      </c>
      <c r="L268" s="239">
        <v>46150</v>
      </c>
      <c r="M268" s="239">
        <v>158662</v>
      </c>
      <c r="N268" s="239">
        <v>158662</v>
      </c>
      <c r="O268" s="239">
        <v>0</v>
      </c>
      <c r="P268" s="239">
        <v>0</v>
      </c>
      <c r="Q268" s="239">
        <v>0</v>
      </c>
      <c r="R268" s="239">
        <v>0</v>
      </c>
      <c r="S268" s="239">
        <v>107748</v>
      </c>
      <c r="T268" s="239">
        <v>0</v>
      </c>
      <c r="U268" s="239">
        <v>102338</v>
      </c>
      <c r="V268" s="239">
        <v>0</v>
      </c>
      <c r="W268" s="239">
        <v>5410</v>
      </c>
      <c r="X268" s="239">
        <v>0</v>
      </c>
      <c r="Y268" s="239">
        <v>0</v>
      </c>
      <c r="Z268" s="239">
        <v>0</v>
      </c>
      <c r="AA268" s="239">
        <v>0</v>
      </c>
      <c r="AB268" s="239">
        <v>0</v>
      </c>
      <c r="AC268" s="239">
        <v>0</v>
      </c>
      <c r="AD268" s="239">
        <v>0</v>
      </c>
      <c r="AE268" s="239">
        <v>0</v>
      </c>
      <c r="AF268" s="239">
        <v>0</v>
      </c>
      <c r="AG268" s="239">
        <v>0</v>
      </c>
      <c r="AH268" s="239">
        <v>0</v>
      </c>
      <c r="AI268" s="239">
        <v>0</v>
      </c>
      <c r="AJ268" s="239">
        <v>0</v>
      </c>
      <c r="AK268" s="239">
        <v>0</v>
      </c>
      <c r="AL268" s="239">
        <v>0</v>
      </c>
      <c r="AM268" s="239">
        <v>0</v>
      </c>
      <c r="AN268" s="239">
        <v>0</v>
      </c>
      <c r="AO268" s="239">
        <v>0</v>
      </c>
      <c r="AP268" s="239">
        <v>0</v>
      </c>
      <c r="AQ268" s="239">
        <v>0</v>
      </c>
      <c r="AR268" s="239">
        <v>0</v>
      </c>
      <c r="AS268" s="239">
        <v>0</v>
      </c>
      <c r="AT268" s="239">
        <v>0</v>
      </c>
      <c r="AU268" s="239">
        <v>0</v>
      </c>
      <c r="AV268" s="239">
        <v>0</v>
      </c>
      <c r="AW268" s="239">
        <v>0</v>
      </c>
      <c r="AX268" s="239">
        <v>0</v>
      </c>
      <c r="AY268" s="239">
        <v>0</v>
      </c>
      <c r="AZ268" s="239">
        <v>0</v>
      </c>
      <c r="BA268" s="239">
        <v>0</v>
      </c>
      <c r="BB268" s="239">
        <v>0</v>
      </c>
      <c r="BC268" s="239">
        <v>1039386</v>
      </c>
      <c r="BD268" s="239">
        <v>259847</v>
      </c>
      <c r="BE268" s="239">
        <v>0</v>
      </c>
      <c r="BF268" s="239">
        <v>1019515.5304815453</v>
      </c>
      <c r="BG268" s="239">
        <v>254878.88262038631</v>
      </c>
      <c r="BH268" s="239">
        <v>0</v>
      </c>
      <c r="BI268" s="239">
        <v>47418.554506437773</v>
      </c>
      <c r="BJ268" s="239">
        <v>11854.638626609443</v>
      </c>
      <c r="BK268" s="239">
        <v>0</v>
      </c>
      <c r="BL268" s="239">
        <v>1025631</v>
      </c>
      <c r="BM268" s="239">
        <v>176833</v>
      </c>
      <c r="BN268" s="239">
        <v>0</v>
      </c>
      <c r="BO268" s="239">
        <v>13755</v>
      </c>
      <c r="BP268" s="239">
        <v>83014</v>
      </c>
      <c r="BQ268" s="239">
        <v>0</v>
      </c>
      <c r="BR268" s="239">
        <v>0</v>
      </c>
      <c r="BS268" s="239">
        <v>0</v>
      </c>
      <c r="BT268" s="239">
        <v>0</v>
      </c>
      <c r="BU268" s="239">
        <v>0</v>
      </c>
      <c r="BV268" s="239">
        <v>0</v>
      </c>
      <c r="BW268" s="239">
        <v>0</v>
      </c>
      <c r="BX268" s="239">
        <v>0</v>
      </c>
      <c r="BY268" s="239">
        <v>0</v>
      </c>
      <c r="BZ268" s="239">
        <v>0</v>
      </c>
      <c r="CA268" s="239">
        <v>0</v>
      </c>
      <c r="CB268" s="239">
        <v>0</v>
      </c>
      <c r="CC268" s="239">
        <v>0</v>
      </c>
      <c r="CD268" s="239">
        <v>0</v>
      </c>
      <c r="CE268" s="239">
        <v>0</v>
      </c>
      <c r="CF268" s="239">
        <v>0</v>
      </c>
      <c r="CG268" s="239">
        <v>0</v>
      </c>
      <c r="CH268" s="239">
        <v>0</v>
      </c>
      <c r="CI268" s="239">
        <v>0</v>
      </c>
      <c r="CJ268" s="239">
        <v>0</v>
      </c>
      <c r="CK268" s="239">
        <v>0</v>
      </c>
      <c r="CL268" s="239">
        <v>0</v>
      </c>
      <c r="CM268" s="239">
        <v>0</v>
      </c>
      <c r="CN268" s="239">
        <v>0</v>
      </c>
      <c r="CO268" s="239">
        <v>0</v>
      </c>
      <c r="CP268" s="239">
        <v>0</v>
      </c>
      <c r="CQ268" s="239">
        <v>0</v>
      </c>
      <c r="CR268" s="239">
        <v>0</v>
      </c>
      <c r="CS268" s="239">
        <v>-1546</v>
      </c>
      <c r="CT268" s="239">
        <v>-386</v>
      </c>
      <c r="CU268" s="239">
        <v>0</v>
      </c>
      <c r="CV268" s="239">
        <v>0</v>
      </c>
      <c r="CW268" s="239">
        <v>0</v>
      </c>
      <c r="CX268" s="239">
        <v>0</v>
      </c>
      <c r="CY268" s="239">
        <v>0</v>
      </c>
      <c r="CZ268" s="239">
        <v>0</v>
      </c>
      <c r="DA268" s="239">
        <v>0</v>
      </c>
      <c r="DB268" s="239">
        <v>0</v>
      </c>
      <c r="DC268" s="239">
        <v>0</v>
      </c>
      <c r="DD268" s="239">
        <v>0</v>
      </c>
      <c r="DE268" s="239">
        <v>0</v>
      </c>
      <c r="DF268" s="239">
        <v>0</v>
      </c>
      <c r="DG268" s="239">
        <v>0</v>
      </c>
      <c r="DH268" s="239">
        <v>13181</v>
      </c>
      <c r="DI268" s="239">
        <v>3295</v>
      </c>
      <c r="DJ268" s="239">
        <v>0</v>
      </c>
      <c r="DK268" s="239">
        <v>13296</v>
      </c>
      <c r="DL268" s="239">
        <v>3324</v>
      </c>
      <c r="DM268" s="239">
        <v>0</v>
      </c>
      <c r="DN268" s="239">
        <v>-115</v>
      </c>
      <c r="DO268" s="239">
        <v>-29</v>
      </c>
      <c r="DP268" s="239">
        <v>0</v>
      </c>
      <c r="DQ268" s="239">
        <v>609</v>
      </c>
      <c r="DR268" s="239">
        <v>152</v>
      </c>
      <c r="DS268" s="239">
        <v>0</v>
      </c>
      <c r="DT268" s="239">
        <v>0</v>
      </c>
      <c r="DU268" s="239">
        <v>0</v>
      </c>
      <c r="DV268" s="239">
        <v>0</v>
      </c>
      <c r="DW268" s="239">
        <v>609</v>
      </c>
      <c r="DX268" s="239">
        <v>152</v>
      </c>
      <c r="DY268" s="239">
        <v>0</v>
      </c>
      <c r="DZ268" s="239">
        <v>10098</v>
      </c>
      <c r="EA268" s="239">
        <v>2525</v>
      </c>
      <c r="EB268" s="239">
        <v>0</v>
      </c>
      <c r="EC268" s="239">
        <v>12741</v>
      </c>
      <c r="ED268" s="239">
        <v>0</v>
      </c>
      <c r="EE268" s="239">
        <v>0</v>
      </c>
      <c r="EF268" s="239">
        <v>-2643</v>
      </c>
      <c r="EG268" s="239">
        <v>2525</v>
      </c>
      <c r="EH268" s="239">
        <v>0</v>
      </c>
      <c r="EI268" s="239">
        <v>101928</v>
      </c>
      <c r="EJ268" s="239">
        <v>25482</v>
      </c>
      <c r="EK268" s="239">
        <v>0</v>
      </c>
      <c r="EL268" s="239">
        <v>126157</v>
      </c>
      <c r="EM268" s="239">
        <v>0</v>
      </c>
      <c r="EN268" s="239">
        <v>0</v>
      </c>
      <c r="EO268" s="239">
        <v>-24229</v>
      </c>
      <c r="EP268" s="239">
        <v>25482</v>
      </c>
      <c r="EQ268" s="239">
        <v>0</v>
      </c>
      <c r="ER268" s="239">
        <v>29445</v>
      </c>
      <c r="ES268" s="239">
        <v>7361</v>
      </c>
      <c r="ET268" s="239">
        <v>0</v>
      </c>
      <c r="EU268" s="239">
        <v>36441</v>
      </c>
      <c r="EV268" s="239">
        <v>0</v>
      </c>
      <c r="EW268" s="239">
        <v>0</v>
      </c>
      <c r="EX268" s="239">
        <v>-6996</v>
      </c>
      <c r="EY268" s="239">
        <v>7361</v>
      </c>
      <c r="EZ268" s="239">
        <v>0</v>
      </c>
      <c r="FA268" s="239">
        <v>162129</v>
      </c>
      <c r="FB268" s="239">
        <v>40128</v>
      </c>
      <c r="FC268" s="239">
        <v>0</v>
      </c>
      <c r="FD268" s="239">
        <v>161979</v>
      </c>
      <c r="FE268" s="239">
        <v>40110</v>
      </c>
      <c r="FF268" s="239">
        <v>0</v>
      </c>
      <c r="FG268" s="239">
        <v>150</v>
      </c>
      <c r="FH268" s="239">
        <v>18</v>
      </c>
      <c r="FI268" s="239">
        <v>0</v>
      </c>
      <c r="FJ268" s="239">
        <v>0</v>
      </c>
      <c r="FK268" s="239">
        <v>0</v>
      </c>
      <c r="FL268" s="239">
        <v>0</v>
      </c>
      <c r="FM268" s="239">
        <v>0</v>
      </c>
      <c r="FN268" s="239">
        <v>0</v>
      </c>
      <c r="FO268" s="239">
        <v>0</v>
      </c>
      <c r="FP268" s="239">
        <v>0</v>
      </c>
      <c r="FQ268" s="239">
        <v>0</v>
      </c>
      <c r="FR268" s="239">
        <v>0</v>
      </c>
      <c r="FS268" s="239">
        <v>0</v>
      </c>
      <c r="FT268" s="239">
        <v>0</v>
      </c>
      <c r="FU268" s="239">
        <v>0</v>
      </c>
      <c r="FV268" s="239">
        <v>1355230</v>
      </c>
      <c r="FW268" s="239">
        <v>338404</v>
      </c>
      <c r="FX268" s="239">
        <v>0</v>
      </c>
      <c r="FY268" s="834">
        <v>0.5</v>
      </c>
      <c r="FZ268" s="834">
        <v>0.4</v>
      </c>
      <c r="GA268" s="834">
        <v>0.1</v>
      </c>
      <c r="GB268" s="834">
        <v>0</v>
      </c>
      <c r="GC268" s="214" t="s">
        <v>1158</v>
      </c>
    </row>
    <row r="269" spans="1:185" s="214" customFormat="1" x14ac:dyDescent="0.2">
      <c r="B269" s="602" t="s">
        <v>621</v>
      </c>
      <c r="C269" s="602" t="s">
        <v>620</v>
      </c>
      <c r="D269" s="239">
        <v>-7364064</v>
      </c>
      <c r="E269" s="239">
        <v>0</v>
      </c>
      <c r="F269" s="239">
        <v>-7364064</v>
      </c>
      <c r="G269" s="239">
        <v>-6260970</v>
      </c>
      <c r="H269" s="239">
        <v>0</v>
      </c>
      <c r="I269" s="239">
        <v>-6260970</v>
      </c>
      <c r="J269" s="239">
        <v>-1103094</v>
      </c>
      <c r="K269" s="239">
        <v>0</v>
      </c>
      <c r="L269" s="239">
        <v>-1103094</v>
      </c>
      <c r="M269" s="239">
        <v>269565</v>
      </c>
      <c r="N269" s="239">
        <v>269565</v>
      </c>
      <c r="O269" s="239">
        <v>0</v>
      </c>
      <c r="P269" s="239">
        <v>0</v>
      </c>
      <c r="Q269" s="239">
        <v>0</v>
      </c>
      <c r="R269" s="239">
        <v>0</v>
      </c>
      <c r="S269" s="239">
        <v>149175</v>
      </c>
      <c r="T269" s="239">
        <v>0</v>
      </c>
      <c r="U269" s="239">
        <v>120062</v>
      </c>
      <c r="V269" s="239">
        <v>0</v>
      </c>
      <c r="W269" s="239">
        <v>29113</v>
      </c>
      <c r="X269" s="239">
        <v>0</v>
      </c>
      <c r="Y269" s="239">
        <v>0</v>
      </c>
      <c r="Z269" s="239">
        <v>0</v>
      </c>
      <c r="AA269" s="239">
        <v>0</v>
      </c>
      <c r="AB269" s="239">
        <v>0</v>
      </c>
      <c r="AC269" s="239">
        <v>0</v>
      </c>
      <c r="AD269" s="239">
        <v>0</v>
      </c>
      <c r="AE269" s="239">
        <v>0</v>
      </c>
      <c r="AF269" s="239">
        <v>0</v>
      </c>
      <c r="AG269" s="239">
        <v>0</v>
      </c>
      <c r="AH269" s="239">
        <v>0</v>
      </c>
      <c r="AI269" s="239">
        <v>0</v>
      </c>
      <c r="AJ269" s="239">
        <v>0</v>
      </c>
      <c r="AK269" s="239">
        <v>0</v>
      </c>
      <c r="AL269" s="239">
        <v>0</v>
      </c>
      <c r="AM269" s="239">
        <v>0</v>
      </c>
      <c r="AN269" s="239">
        <v>0</v>
      </c>
      <c r="AO269" s="239">
        <v>0</v>
      </c>
      <c r="AP269" s="239">
        <v>0</v>
      </c>
      <c r="AQ269" s="239">
        <v>0</v>
      </c>
      <c r="AR269" s="239">
        <v>0</v>
      </c>
      <c r="AS269" s="239">
        <v>0</v>
      </c>
      <c r="AT269" s="239">
        <v>0</v>
      </c>
      <c r="AU269" s="239">
        <v>0</v>
      </c>
      <c r="AV269" s="239">
        <v>0</v>
      </c>
      <c r="AW269" s="239">
        <v>0</v>
      </c>
      <c r="AX269" s="239">
        <v>0</v>
      </c>
      <c r="AY269" s="239">
        <v>0</v>
      </c>
      <c r="AZ269" s="239">
        <v>0</v>
      </c>
      <c r="BA269" s="239">
        <v>0</v>
      </c>
      <c r="BB269" s="239">
        <v>0</v>
      </c>
      <c r="BC269" s="239">
        <v>1384150</v>
      </c>
      <c r="BD269" s="239">
        <v>346038</v>
      </c>
      <c r="BE269" s="239">
        <v>0</v>
      </c>
      <c r="BF269" s="239">
        <v>1363694.4120686697</v>
      </c>
      <c r="BG269" s="239">
        <v>340923.60301716742</v>
      </c>
      <c r="BH269" s="239">
        <v>0</v>
      </c>
      <c r="BI269" s="239">
        <v>76921.7468025751</v>
      </c>
      <c r="BJ269" s="239">
        <v>19230.436700643775</v>
      </c>
      <c r="BK269" s="239">
        <v>0</v>
      </c>
      <c r="BL269" s="239">
        <v>1347408</v>
      </c>
      <c r="BM269" s="239">
        <v>241905</v>
      </c>
      <c r="BN269" s="239">
        <v>0</v>
      </c>
      <c r="BO269" s="239">
        <v>36742</v>
      </c>
      <c r="BP269" s="239">
        <v>104133</v>
      </c>
      <c r="BQ269" s="239">
        <v>0</v>
      </c>
      <c r="BR269" s="239">
        <v>2112</v>
      </c>
      <c r="BS269" s="239">
        <v>528</v>
      </c>
      <c r="BT269" s="239">
        <v>0</v>
      </c>
      <c r="BU269" s="239">
        <v>2693</v>
      </c>
      <c r="BV269" s="239">
        <v>673</v>
      </c>
      <c r="BW269" s="239">
        <v>0</v>
      </c>
      <c r="BX269" s="239">
        <v>-581</v>
      </c>
      <c r="BY269" s="239">
        <v>-145</v>
      </c>
      <c r="BZ269" s="239">
        <v>0</v>
      </c>
      <c r="CA269" s="239">
        <v>0</v>
      </c>
      <c r="CB269" s="239">
        <v>0</v>
      </c>
      <c r="CC269" s="239">
        <v>0</v>
      </c>
      <c r="CD269" s="239">
        <v>0</v>
      </c>
      <c r="CE269" s="239">
        <v>0</v>
      </c>
      <c r="CF269" s="239">
        <v>0</v>
      </c>
      <c r="CG269" s="239">
        <v>0</v>
      </c>
      <c r="CH269" s="239">
        <v>0</v>
      </c>
      <c r="CI269" s="239">
        <v>0</v>
      </c>
      <c r="CJ269" s="239">
        <v>0</v>
      </c>
      <c r="CK269" s="239">
        <v>0</v>
      </c>
      <c r="CL269" s="239">
        <v>0</v>
      </c>
      <c r="CM269" s="239">
        <v>0</v>
      </c>
      <c r="CN269" s="239">
        <v>0</v>
      </c>
      <c r="CO269" s="239">
        <v>0</v>
      </c>
      <c r="CP269" s="239">
        <v>0</v>
      </c>
      <c r="CQ269" s="239">
        <v>0</v>
      </c>
      <c r="CR269" s="239">
        <v>0</v>
      </c>
      <c r="CS269" s="239">
        <v>-367</v>
      </c>
      <c r="CT269" s="239">
        <v>-92</v>
      </c>
      <c r="CU269" s="239">
        <v>0</v>
      </c>
      <c r="CV269" s="239">
        <v>0</v>
      </c>
      <c r="CW269" s="239">
        <v>0</v>
      </c>
      <c r="CX269" s="239">
        <v>0</v>
      </c>
      <c r="CY269" s="239">
        <v>0</v>
      </c>
      <c r="CZ269" s="239">
        <v>0</v>
      </c>
      <c r="DA269" s="239">
        <v>0</v>
      </c>
      <c r="DB269" s="239">
        <v>0</v>
      </c>
      <c r="DC269" s="239">
        <v>0</v>
      </c>
      <c r="DD269" s="239">
        <v>0</v>
      </c>
      <c r="DE269" s="239">
        <v>0</v>
      </c>
      <c r="DF269" s="239">
        <v>0</v>
      </c>
      <c r="DG269" s="239">
        <v>0</v>
      </c>
      <c r="DH269" s="239">
        <v>21633</v>
      </c>
      <c r="DI269" s="239">
        <v>5408</v>
      </c>
      <c r="DJ269" s="239">
        <v>0</v>
      </c>
      <c r="DK269" s="239">
        <v>23150</v>
      </c>
      <c r="DL269" s="239">
        <v>5787</v>
      </c>
      <c r="DM269" s="239">
        <v>0</v>
      </c>
      <c r="DN269" s="239">
        <v>-1517</v>
      </c>
      <c r="DO269" s="239">
        <v>-379</v>
      </c>
      <c r="DP269" s="239">
        <v>0</v>
      </c>
      <c r="DQ269" s="239">
        <v>509</v>
      </c>
      <c r="DR269" s="239">
        <v>127</v>
      </c>
      <c r="DS269" s="239">
        <v>0</v>
      </c>
      <c r="DT269" s="239">
        <v>0</v>
      </c>
      <c r="DU269" s="239">
        <v>0</v>
      </c>
      <c r="DV269" s="239">
        <v>0</v>
      </c>
      <c r="DW269" s="239">
        <v>509</v>
      </c>
      <c r="DX269" s="239">
        <v>127</v>
      </c>
      <c r="DY269" s="239">
        <v>0</v>
      </c>
      <c r="DZ269" s="239">
        <v>32026</v>
      </c>
      <c r="EA269" s="239">
        <v>8007</v>
      </c>
      <c r="EB269" s="239">
        <v>0</v>
      </c>
      <c r="EC269" s="239">
        <v>49404</v>
      </c>
      <c r="ED269" s="239">
        <v>0</v>
      </c>
      <c r="EE269" s="239">
        <v>0</v>
      </c>
      <c r="EF269" s="239">
        <v>-17378</v>
      </c>
      <c r="EG269" s="239">
        <v>8007</v>
      </c>
      <c r="EH269" s="239">
        <v>0</v>
      </c>
      <c r="EI269" s="239">
        <v>54070</v>
      </c>
      <c r="EJ269" s="239">
        <v>13518</v>
      </c>
      <c r="EK269" s="239">
        <v>0</v>
      </c>
      <c r="EL269" s="239">
        <v>202793</v>
      </c>
      <c r="EM269" s="239">
        <v>0</v>
      </c>
      <c r="EN269" s="239">
        <v>0</v>
      </c>
      <c r="EO269" s="239">
        <v>-148723</v>
      </c>
      <c r="EP269" s="239">
        <v>13518</v>
      </c>
      <c r="EQ269" s="239">
        <v>0</v>
      </c>
      <c r="ER269" s="239">
        <v>22820</v>
      </c>
      <c r="ES269" s="239">
        <v>5705</v>
      </c>
      <c r="ET269" s="239">
        <v>0</v>
      </c>
      <c r="EU269" s="239">
        <v>36507</v>
      </c>
      <c r="EV269" s="239">
        <v>0</v>
      </c>
      <c r="EW269" s="239">
        <v>0</v>
      </c>
      <c r="EX269" s="239">
        <v>-13687</v>
      </c>
      <c r="EY269" s="239">
        <v>5705</v>
      </c>
      <c r="EZ269" s="239">
        <v>0</v>
      </c>
      <c r="FA269" s="239">
        <v>365230</v>
      </c>
      <c r="FB269" s="239">
        <v>90747</v>
      </c>
      <c r="FC269" s="239">
        <v>0</v>
      </c>
      <c r="FD269" s="239">
        <v>371196</v>
      </c>
      <c r="FE269" s="239">
        <v>92348</v>
      </c>
      <c r="FF269" s="239">
        <v>0</v>
      </c>
      <c r="FG269" s="239">
        <v>-5966</v>
      </c>
      <c r="FH269" s="239">
        <v>-1601</v>
      </c>
      <c r="FI269" s="239">
        <v>0</v>
      </c>
      <c r="FJ269" s="239">
        <v>0</v>
      </c>
      <c r="FK269" s="239">
        <v>0</v>
      </c>
      <c r="FL269" s="239">
        <v>0</v>
      </c>
      <c r="FM269" s="239">
        <v>0</v>
      </c>
      <c r="FN269" s="239">
        <v>0</v>
      </c>
      <c r="FO269" s="239">
        <v>0</v>
      </c>
      <c r="FP269" s="239">
        <v>0</v>
      </c>
      <c r="FQ269" s="239">
        <v>0</v>
      </c>
      <c r="FR269" s="239">
        <v>0</v>
      </c>
      <c r="FS269" s="239">
        <v>0</v>
      </c>
      <c r="FT269" s="239">
        <v>0</v>
      </c>
      <c r="FU269" s="239">
        <v>0</v>
      </c>
      <c r="FV269" s="239">
        <v>1882183</v>
      </c>
      <c r="FW269" s="239">
        <v>469986</v>
      </c>
      <c r="FX269" s="239">
        <v>0</v>
      </c>
      <c r="FY269" s="834">
        <v>0.5</v>
      </c>
      <c r="FZ269" s="834">
        <v>0.4</v>
      </c>
      <c r="GA269" s="834">
        <v>0.1</v>
      </c>
      <c r="GB269" s="834">
        <v>0</v>
      </c>
      <c r="GC269" s="214" t="s">
        <v>1158</v>
      </c>
    </row>
    <row r="270" spans="1:185" s="214" customFormat="1" x14ac:dyDescent="0.2">
      <c r="B270" s="602" t="s">
        <v>623</v>
      </c>
      <c r="C270" s="602" t="s">
        <v>622</v>
      </c>
      <c r="D270" s="239">
        <v>-3606911</v>
      </c>
      <c r="E270" s="239">
        <v>-12211</v>
      </c>
      <c r="F270" s="239">
        <v>-3619122</v>
      </c>
      <c r="G270" s="239">
        <v>-3347787</v>
      </c>
      <c r="H270" s="239">
        <v>-29602</v>
      </c>
      <c r="I270" s="239">
        <v>-3377389</v>
      </c>
      <c r="J270" s="239">
        <v>-259124</v>
      </c>
      <c r="K270" s="239">
        <v>17391</v>
      </c>
      <c r="L270" s="239">
        <v>-241733</v>
      </c>
      <c r="M270" s="239">
        <v>341354</v>
      </c>
      <c r="N270" s="239">
        <v>341354</v>
      </c>
      <c r="O270" s="239">
        <v>0</v>
      </c>
      <c r="P270" s="239">
        <v>707511</v>
      </c>
      <c r="Q270" s="239">
        <v>721136</v>
      </c>
      <c r="R270" s="239">
        <v>-13625</v>
      </c>
      <c r="S270" s="239">
        <v>0</v>
      </c>
      <c r="T270" s="239">
        <v>0</v>
      </c>
      <c r="U270" s="239">
        <v>0</v>
      </c>
      <c r="V270" s="239">
        <v>0</v>
      </c>
      <c r="W270" s="239">
        <v>0</v>
      </c>
      <c r="X270" s="239">
        <v>0</v>
      </c>
      <c r="Y270" s="239">
        <v>0</v>
      </c>
      <c r="Z270" s="239">
        <v>0</v>
      </c>
      <c r="AA270" s="239">
        <v>0</v>
      </c>
      <c r="AB270" s="239">
        <v>0</v>
      </c>
      <c r="AC270" s="239">
        <v>38799</v>
      </c>
      <c r="AD270" s="239">
        <v>38799</v>
      </c>
      <c r="AE270" s="239">
        <v>0</v>
      </c>
      <c r="AF270" s="239">
        <v>0</v>
      </c>
      <c r="AG270" s="239">
        <v>-38799</v>
      </c>
      <c r="AH270" s="239">
        <v>-38799</v>
      </c>
      <c r="AI270" s="239">
        <v>0</v>
      </c>
      <c r="AJ270" s="239">
        <v>0</v>
      </c>
      <c r="AK270" s="239">
        <v>0</v>
      </c>
      <c r="AL270" s="239">
        <v>0</v>
      </c>
      <c r="AM270" s="239">
        <v>0</v>
      </c>
      <c r="AN270" s="239">
        <v>0</v>
      </c>
      <c r="AO270" s="239">
        <v>0</v>
      </c>
      <c r="AP270" s="239">
        <v>0</v>
      </c>
      <c r="AQ270" s="239">
        <v>0</v>
      </c>
      <c r="AR270" s="239">
        <v>0</v>
      </c>
      <c r="AS270" s="239">
        <v>0</v>
      </c>
      <c r="AT270" s="239">
        <v>0</v>
      </c>
      <c r="AU270" s="239">
        <v>0</v>
      </c>
      <c r="AV270" s="239">
        <v>0</v>
      </c>
      <c r="AW270" s="239">
        <v>0</v>
      </c>
      <c r="AX270" s="239">
        <v>0</v>
      </c>
      <c r="AY270" s="239">
        <v>0</v>
      </c>
      <c r="AZ270" s="239">
        <v>0</v>
      </c>
      <c r="BA270" s="239">
        <v>0</v>
      </c>
      <c r="BB270" s="239">
        <v>0</v>
      </c>
      <c r="BC270" s="239">
        <v>2563092</v>
      </c>
      <c r="BD270" s="239">
        <v>0</v>
      </c>
      <c r="BE270" s="239">
        <v>52308</v>
      </c>
      <c r="BF270" s="239">
        <v>2513003.5011758795</v>
      </c>
      <c r="BG270" s="239">
        <v>0</v>
      </c>
      <c r="BH270" s="239">
        <v>51285.785738283259</v>
      </c>
      <c r="BI270" s="239">
        <v>151935.13298175964</v>
      </c>
      <c r="BJ270" s="239">
        <v>0</v>
      </c>
      <c r="BK270" s="239">
        <v>3085.9732950643775</v>
      </c>
      <c r="BL270" s="239">
        <v>2158149</v>
      </c>
      <c r="BM270" s="239">
        <v>0</v>
      </c>
      <c r="BN270" s="239">
        <v>31737</v>
      </c>
      <c r="BO270" s="239">
        <v>404943</v>
      </c>
      <c r="BP270" s="239">
        <v>0</v>
      </c>
      <c r="BQ270" s="239">
        <v>20571</v>
      </c>
      <c r="BR270" s="239">
        <v>4405</v>
      </c>
      <c r="BS270" s="239">
        <v>0</v>
      </c>
      <c r="BT270" s="239">
        <v>90</v>
      </c>
      <c r="BU270" s="239">
        <v>0</v>
      </c>
      <c r="BV270" s="239">
        <v>0</v>
      </c>
      <c r="BW270" s="239">
        <v>0</v>
      </c>
      <c r="BX270" s="239">
        <v>4405</v>
      </c>
      <c r="BY270" s="239">
        <v>0</v>
      </c>
      <c r="BZ270" s="239">
        <v>90</v>
      </c>
      <c r="CA270" s="239">
        <v>0</v>
      </c>
      <c r="CB270" s="239">
        <v>0</v>
      </c>
      <c r="CC270" s="239">
        <v>0</v>
      </c>
      <c r="CD270" s="239">
        <v>0</v>
      </c>
      <c r="CE270" s="239">
        <v>0</v>
      </c>
      <c r="CF270" s="239">
        <v>0</v>
      </c>
      <c r="CG270" s="239">
        <v>0</v>
      </c>
      <c r="CH270" s="239">
        <v>0</v>
      </c>
      <c r="CI270" s="239">
        <v>0</v>
      </c>
      <c r="CJ270" s="239">
        <v>12786</v>
      </c>
      <c r="CK270" s="239">
        <v>0</v>
      </c>
      <c r="CL270" s="239">
        <v>261</v>
      </c>
      <c r="CM270" s="239">
        <v>0</v>
      </c>
      <c r="CN270" s="239">
        <v>0</v>
      </c>
      <c r="CO270" s="239">
        <v>0</v>
      </c>
      <c r="CP270" s="239">
        <v>12786</v>
      </c>
      <c r="CQ270" s="239">
        <v>0</v>
      </c>
      <c r="CR270" s="239">
        <v>261</v>
      </c>
      <c r="CS270" s="239">
        <v>-15245</v>
      </c>
      <c r="CT270" s="239">
        <v>0</v>
      </c>
      <c r="CU270" s="239">
        <v>-311</v>
      </c>
      <c r="CV270" s="239">
        <v>0</v>
      </c>
      <c r="CW270" s="239">
        <v>0</v>
      </c>
      <c r="CX270" s="239">
        <v>0</v>
      </c>
      <c r="CY270" s="239">
        <v>0</v>
      </c>
      <c r="CZ270" s="239">
        <v>0</v>
      </c>
      <c r="DA270" s="239">
        <v>0</v>
      </c>
      <c r="DB270" s="239">
        <v>0</v>
      </c>
      <c r="DC270" s="239">
        <v>0</v>
      </c>
      <c r="DD270" s="239">
        <v>0</v>
      </c>
      <c r="DE270" s="239">
        <v>-117</v>
      </c>
      <c r="DF270" s="239">
        <v>0</v>
      </c>
      <c r="DG270" s="239">
        <v>-2</v>
      </c>
      <c r="DH270" s="239">
        <v>857</v>
      </c>
      <c r="DI270" s="239">
        <v>0</v>
      </c>
      <c r="DJ270" s="239">
        <v>17</v>
      </c>
      <c r="DK270" s="239">
        <v>0</v>
      </c>
      <c r="DL270" s="239">
        <v>0</v>
      </c>
      <c r="DM270" s="239">
        <v>0</v>
      </c>
      <c r="DN270" s="239">
        <v>857</v>
      </c>
      <c r="DO270" s="239">
        <v>0</v>
      </c>
      <c r="DP270" s="239">
        <v>17</v>
      </c>
      <c r="DQ270" s="239">
        <v>746</v>
      </c>
      <c r="DR270" s="239">
        <v>0</v>
      </c>
      <c r="DS270" s="239">
        <v>15</v>
      </c>
      <c r="DT270" s="239">
        <v>0</v>
      </c>
      <c r="DU270" s="239">
        <v>0</v>
      </c>
      <c r="DV270" s="239">
        <v>0</v>
      </c>
      <c r="DW270" s="239">
        <v>746</v>
      </c>
      <c r="DX270" s="239">
        <v>0</v>
      </c>
      <c r="DY270" s="239">
        <v>15</v>
      </c>
      <c r="DZ270" s="239">
        <v>18660</v>
      </c>
      <c r="EA270" s="239">
        <v>0</v>
      </c>
      <c r="EB270" s="239">
        <v>381</v>
      </c>
      <c r="EC270" s="239">
        <v>19959</v>
      </c>
      <c r="ED270" s="239">
        <v>0</v>
      </c>
      <c r="EE270" s="239">
        <v>0</v>
      </c>
      <c r="EF270" s="239">
        <v>-1299</v>
      </c>
      <c r="EG270" s="239">
        <v>0</v>
      </c>
      <c r="EH270" s="239">
        <v>381</v>
      </c>
      <c r="EI270" s="239">
        <v>203256</v>
      </c>
      <c r="EJ270" s="239">
        <v>0</v>
      </c>
      <c r="EK270" s="239">
        <v>4117</v>
      </c>
      <c r="EL270" s="239">
        <v>248620</v>
      </c>
      <c r="EM270" s="239">
        <v>0</v>
      </c>
      <c r="EN270" s="239">
        <v>0</v>
      </c>
      <c r="EO270" s="239">
        <v>-45364</v>
      </c>
      <c r="EP270" s="239">
        <v>0</v>
      </c>
      <c r="EQ270" s="239">
        <v>4117</v>
      </c>
      <c r="ER270" s="239">
        <v>41914</v>
      </c>
      <c r="ES270" s="239">
        <v>0</v>
      </c>
      <c r="ET270" s="239">
        <v>855</v>
      </c>
      <c r="EU270" s="239">
        <v>50751</v>
      </c>
      <c r="EV270" s="239">
        <v>0</v>
      </c>
      <c r="EW270" s="239">
        <v>0</v>
      </c>
      <c r="EX270" s="239">
        <v>-8837</v>
      </c>
      <c r="EY270" s="239">
        <v>0</v>
      </c>
      <c r="EZ270" s="239">
        <v>855</v>
      </c>
      <c r="FA270" s="239">
        <v>632633</v>
      </c>
      <c r="FB270" s="239">
        <v>0</v>
      </c>
      <c r="FC270" s="239">
        <v>12694</v>
      </c>
      <c r="FD270" s="239">
        <v>625810</v>
      </c>
      <c r="FE270" s="239">
        <v>0</v>
      </c>
      <c r="FF270" s="239">
        <v>12539</v>
      </c>
      <c r="FG270" s="239">
        <v>6823</v>
      </c>
      <c r="FH270" s="239">
        <v>0</v>
      </c>
      <c r="FI270" s="239">
        <v>155</v>
      </c>
      <c r="FJ270" s="239">
        <v>0</v>
      </c>
      <c r="FK270" s="239">
        <v>0</v>
      </c>
      <c r="FL270" s="239">
        <v>0</v>
      </c>
      <c r="FM270" s="239">
        <v>0</v>
      </c>
      <c r="FN270" s="239">
        <v>0</v>
      </c>
      <c r="FO270" s="239">
        <v>0</v>
      </c>
      <c r="FP270" s="239">
        <v>0</v>
      </c>
      <c r="FQ270" s="239">
        <v>0</v>
      </c>
      <c r="FR270" s="239">
        <v>0</v>
      </c>
      <c r="FS270" s="239">
        <v>0</v>
      </c>
      <c r="FT270" s="239">
        <v>0</v>
      </c>
      <c r="FU270" s="239">
        <v>0</v>
      </c>
      <c r="FV270" s="239">
        <v>3462987</v>
      </c>
      <c r="FW270" s="239">
        <v>0</v>
      </c>
      <c r="FX270" s="239">
        <v>70425</v>
      </c>
      <c r="FY270" s="834">
        <v>0.5</v>
      </c>
      <c r="FZ270" s="834">
        <v>0.49</v>
      </c>
      <c r="GA270" s="834">
        <v>0</v>
      </c>
      <c r="GB270" s="834">
        <v>0.01</v>
      </c>
      <c r="GC270" s="214" t="s">
        <v>1160</v>
      </c>
    </row>
    <row r="271" spans="1:185" s="214" customFormat="1" x14ac:dyDescent="0.2">
      <c r="B271" s="602" t="s">
        <v>625</v>
      </c>
      <c r="C271" s="602" t="s">
        <v>624</v>
      </c>
      <c r="D271" s="239">
        <v>-1076175</v>
      </c>
      <c r="E271" s="239">
        <v>0</v>
      </c>
      <c r="F271" s="239">
        <v>-1076175</v>
      </c>
      <c r="G271" s="239">
        <v>-27882</v>
      </c>
      <c r="H271" s="239">
        <v>0</v>
      </c>
      <c r="I271" s="239">
        <v>-27882</v>
      </c>
      <c r="J271" s="239">
        <v>-1048293</v>
      </c>
      <c r="K271" s="239">
        <v>0</v>
      </c>
      <c r="L271" s="239">
        <v>-1048293</v>
      </c>
      <c r="M271" s="239">
        <v>123229</v>
      </c>
      <c r="N271" s="239">
        <v>123229</v>
      </c>
      <c r="O271" s="239">
        <v>0</v>
      </c>
      <c r="P271" s="239">
        <v>0</v>
      </c>
      <c r="Q271" s="239">
        <v>0</v>
      </c>
      <c r="R271" s="239">
        <v>0</v>
      </c>
      <c r="S271" s="239">
        <v>0</v>
      </c>
      <c r="T271" s="239">
        <v>0</v>
      </c>
      <c r="U271" s="239">
        <v>0</v>
      </c>
      <c r="V271" s="239">
        <v>0</v>
      </c>
      <c r="W271" s="239">
        <v>0</v>
      </c>
      <c r="X271" s="239">
        <v>0</v>
      </c>
      <c r="Y271" s="239">
        <v>0</v>
      </c>
      <c r="Z271" s="239">
        <v>0</v>
      </c>
      <c r="AA271" s="239">
        <v>0</v>
      </c>
      <c r="AB271" s="239">
        <v>0</v>
      </c>
      <c r="AC271" s="239">
        <v>0</v>
      </c>
      <c r="AD271" s="239">
        <v>0</v>
      </c>
      <c r="AE271" s="239">
        <v>0</v>
      </c>
      <c r="AF271" s="239">
        <v>0</v>
      </c>
      <c r="AG271" s="239">
        <v>0</v>
      </c>
      <c r="AH271" s="239">
        <v>0</v>
      </c>
      <c r="AI271" s="239">
        <v>0</v>
      </c>
      <c r="AJ271" s="239">
        <v>0</v>
      </c>
      <c r="AK271" s="239">
        <v>0</v>
      </c>
      <c r="AL271" s="239">
        <v>0</v>
      </c>
      <c r="AM271" s="239">
        <v>0</v>
      </c>
      <c r="AN271" s="239">
        <v>0</v>
      </c>
      <c r="AO271" s="239">
        <v>0</v>
      </c>
      <c r="AP271" s="239">
        <v>0</v>
      </c>
      <c r="AQ271" s="239">
        <v>0</v>
      </c>
      <c r="AR271" s="239">
        <v>0</v>
      </c>
      <c r="AS271" s="239">
        <v>0</v>
      </c>
      <c r="AT271" s="239">
        <v>0</v>
      </c>
      <c r="AU271" s="239">
        <v>0</v>
      </c>
      <c r="AV271" s="239">
        <v>0</v>
      </c>
      <c r="AW271" s="239">
        <v>0</v>
      </c>
      <c r="AX271" s="239">
        <v>0</v>
      </c>
      <c r="AY271" s="239">
        <v>0</v>
      </c>
      <c r="AZ271" s="239">
        <v>0</v>
      </c>
      <c r="BA271" s="239">
        <v>0</v>
      </c>
      <c r="BB271" s="239">
        <v>0</v>
      </c>
      <c r="BC271" s="239">
        <v>823459</v>
      </c>
      <c r="BD271" s="239">
        <v>205865</v>
      </c>
      <c r="BE271" s="239">
        <v>0</v>
      </c>
      <c r="BF271" s="239">
        <v>799528.0087965664</v>
      </c>
      <c r="BG271" s="239">
        <v>199882.0021991416</v>
      </c>
      <c r="BH271" s="239">
        <v>0</v>
      </c>
      <c r="BI271" s="239">
        <v>23931.013157081565</v>
      </c>
      <c r="BJ271" s="239">
        <v>5982.7532892703912</v>
      </c>
      <c r="BK271" s="239">
        <v>0</v>
      </c>
      <c r="BL271" s="239">
        <v>1264690</v>
      </c>
      <c r="BM271" s="239">
        <v>194867</v>
      </c>
      <c r="BN271" s="239">
        <v>0</v>
      </c>
      <c r="BO271" s="239">
        <v>-441231</v>
      </c>
      <c r="BP271" s="239">
        <v>10998</v>
      </c>
      <c r="BQ271" s="239">
        <v>0</v>
      </c>
      <c r="BR271" s="239">
        <v>1353</v>
      </c>
      <c r="BS271" s="239">
        <v>338</v>
      </c>
      <c r="BT271" s="239">
        <v>0</v>
      </c>
      <c r="BU271" s="239">
        <v>1703</v>
      </c>
      <c r="BV271" s="239">
        <v>426</v>
      </c>
      <c r="BW271" s="239">
        <v>0</v>
      </c>
      <c r="BX271" s="239">
        <v>-350</v>
      </c>
      <c r="BY271" s="239">
        <v>-88</v>
      </c>
      <c r="BZ271" s="239">
        <v>0</v>
      </c>
      <c r="CA271" s="239">
        <v>-40836</v>
      </c>
      <c r="CB271" s="239">
        <v>-10209</v>
      </c>
      <c r="CC271" s="239">
        <v>0</v>
      </c>
      <c r="CD271" s="239">
        <v>14897</v>
      </c>
      <c r="CE271" s="239">
        <v>3724</v>
      </c>
      <c r="CF271" s="239">
        <v>0</v>
      </c>
      <c r="CG271" s="239">
        <v>-55733</v>
      </c>
      <c r="CH271" s="239">
        <v>-13933</v>
      </c>
      <c r="CI271" s="239">
        <v>0</v>
      </c>
      <c r="CJ271" s="239">
        <v>1579</v>
      </c>
      <c r="CK271" s="239">
        <v>395</v>
      </c>
      <c r="CL271" s="239">
        <v>0</v>
      </c>
      <c r="CM271" s="239">
        <v>12180</v>
      </c>
      <c r="CN271" s="239">
        <v>3045</v>
      </c>
      <c r="CO271" s="239">
        <v>0</v>
      </c>
      <c r="CP271" s="239">
        <v>-10601</v>
      </c>
      <c r="CQ271" s="239">
        <v>-2650</v>
      </c>
      <c r="CR271" s="239">
        <v>0</v>
      </c>
      <c r="CS271" s="239">
        <v>-600</v>
      </c>
      <c r="CT271" s="239">
        <v>-150</v>
      </c>
      <c r="CU271" s="239">
        <v>0</v>
      </c>
      <c r="CV271" s="239">
        <v>0</v>
      </c>
      <c r="CW271" s="239">
        <v>0</v>
      </c>
      <c r="CX271" s="239">
        <v>0</v>
      </c>
      <c r="CY271" s="239">
        <v>0</v>
      </c>
      <c r="CZ271" s="239">
        <v>0</v>
      </c>
      <c r="DA271" s="239">
        <v>0</v>
      </c>
      <c r="DB271" s="239">
        <v>0</v>
      </c>
      <c r="DC271" s="239">
        <v>0</v>
      </c>
      <c r="DD271" s="239">
        <v>0</v>
      </c>
      <c r="DE271" s="239">
        <v>0</v>
      </c>
      <c r="DF271" s="239">
        <v>0</v>
      </c>
      <c r="DG271" s="239">
        <v>0</v>
      </c>
      <c r="DH271" s="239">
        <v>0</v>
      </c>
      <c r="DI271" s="239">
        <v>0</v>
      </c>
      <c r="DJ271" s="239">
        <v>0</v>
      </c>
      <c r="DK271" s="239">
        <v>0</v>
      </c>
      <c r="DL271" s="239">
        <v>0</v>
      </c>
      <c r="DM271" s="239">
        <v>0</v>
      </c>
      <c r="DN271" s="239">
        <v>0</v>
      </c>
      <c r="DO271" s="239">
        <v>0</v>
      </c>
      <c r="DP271" s="239">
        <v>0</v>
      </c>
      <c r="DQ271" s="239">
        <v>0</v>
      </c>
      <c r="DR271" s="239">
        <v>0</v>
      </c>
      <c r="DS271" s="239">
        <v>0</v>
      </c>
      <c r="DT271" s="239">
        <v>0</v>
      </c>
      <c r="DU271" s="239">
        <v>0</v>
      </c>
      <c r="DV271" s="239">
        <v>0</v>
      </c>
      <c r="DW271" s="239">
        <v>0</v>
      </c>
      <c r="DX271" s="239">
        <v>0</v>
      </c>
      <c r="DY271" s="239">
        <v>0</v>
      </c>
      <c r="DZ271" s="239">
        <v>8633</v>
      </c>
      <c r="EA271" s="239">
        <v>2158</v>
      </c>
      <c r="EB271" s="239">
        <v>0</v>
      </c>
      <c r="EC271" s="239">
        <v>10790</v>
      </c>
      <c r="ED271" s="239">
        <v>0</v>
      </c>
      <c r="EE271" s="239">
        <v>0</v>
      </c>
      <c r="EF271" s="239">
        <v>-2157</v>
      </c>
      <c r="EG271" s="239">
        <v>2158</v>
      </c>
      <c r="EH271" s="239">
        <v>0</v>
      </c>
      <c r="EI271" s="239">
        <v>57620</v>
      </c>
      <c r="EJ271" s="239">
        <v>14405</v>
      </c>
      <c r="EK271" s="239">
        <v>0</v>
      </c>
      <c r="EL271" s="239">
        <v>109376</v>
      </c>
      <c r="EM271" s="239">
        <v>0</v>
      </c>
      <c r="EN271" s="239">
        <v>0</v>
      </c>
      <c r="EO271" s="239">
        <v>-51756</v>
      </c>
      <c r="EP271" s="239">
        <v>14405</v>
      </c>
      <c r="EQ271" s="239">
        <v>0</v>
      </c>
      <c r="ER271" s="239">
        <v>7517</v>
      </c>
      <c r="ES271" s="239">
        <v>1879</v>
      </c>
      <c r="ET271" s="239">
        <v>0</v>
      </c>
      <c r="EU271" s="239">
        <v>9092</v>
      </c>
      <c r="EV271" s="239">
        <v>0</v>
      </c>
      <c r="EW271" s="239">
        <v>0</v>
      </c>
      <c r="EX271" s="239">
        <v>-1575</v>
      </c>
      <c r="EY271" s="239">
        <v>1879</v>
      </c>
      <c r="EZ271" s="239">
        <v>0</v>
      </c>
      <c r="FA271" s="239">
        <v>197100</v>
      </c>
      <c r="FB271" s="239">
        <v>49275</v>
      </c>
      <c r="FC271" s="239">
        <v>0</v>
      </c>
      <c r="FD271" s="239">
        <v>207312</v>
      </c>
      <c r="FE271" s="239">
        <v>51828</v>
      </c>
      <c r="FF271" s="239">
        <v>0</v>
      </c>
      <c r="FG271" s="239">
        <v>-10212</v>
      </c>
      <c r="FH271" s="239">
        <v>-2553</v>
      </c>
      <c r="FI271" s="239">
        <v>0</v>
      </c>
      <c r="FJ271" s="239">
        <v>0</v>
      </c>
      <c r="FK271" s="239">
        <v>0</v>
      </c>
      <c r="FL271" s="239">
        <v>0</v>
      </c>
      <c r="FM271" s="239">
        <v>0</v>
      </c>
      <c r="FN271" s="239">
        <v>0</v>
      </c>
      <c r="FO271" s="239">
        <v>0</v>
      </c>
      <c r="FP271" s="239">
        <v>0</v>
      </c>
      <c r="FQ271" s="239">
        <v>0</v>
      </c>
      <c r="FR271" s="239">
        <v>0</v>
      </c>
      <c r="FS271" s="239">
        <v>0</v>
      </c>
      <c r="FT271" s="239">
        <v>0</v>
      </c>
      <c r="FU271" s="239">
        <v>0</v>
      </c>
      <c r="FV271" s="239">
        <v>1055825</v>
      </c>
      <c r="FW271" s="239">
        <v>263956</v>
      </c>
      <c r="FX271" s="239">
        <v>0</v>
      </c>
      <c r="FY271" s="834">
        <v>0.5</v>
      </c>
      <c r="FZ271" s="834">
        <v>0.4</v>
      </c>
      <c r="GA271" s="834">
        <v>0.1</v>
      </c>
      <c r="GB271" s="834">
        <v>0</v>
      </c>
      <c r="GC271" s="214" t="s">
        <v>1158</v>
      </c>
    </row>
    <row r="272" spans="1:185" s="214" customFormat="1" x14ac:dyDescent="0.2">
      <c r="B272" s="602" t="s">
        <v>627</v>
      </c>
      <c r="C272" s="602" t="s">
        <v>626</v>
      </c>
      <c r="D272" s="239">
        <v>470065</v>
      </c>
      <c r="E272" s="239">
        <v>0</v>
      </c>
      <c r="F272" s="239">
        <v>470065</v>
      </c>
      <c r="G272" s="239">
        <v>481547</v>
      </c>
      <c r="H272" s="239">
        <v>0</v>
      </c>
      <c r="I272" s="239">
        <v>481547</v>
      </c>
      <c r="J272" s="239">
        <v>-11482</v>
      </c>
      <c r="K272" s="239">
        <v>0</v>
      </c>
      <c r="L272" s="239">
        <v>-11482</v>
      </c>
      <c r="M272" s="239">
        <v>193376</v>
      </c>
      <c r="N272" s="239">
        <v>193376</v>
      </c>
      <c r="O272" s="239">
        <v>0</v>
      </c>
      <c r="P272" s="239">
        <v>0</v>
      </c>
      <c r="Q272" s="239">
        <v>0</v>
      </c>
      <c r="R272" s="239">
        <v>0</v>
      </c>
      <c r="S272" s="239">
        <v>0</v>
      </c>
      <c r="T272" s="239">
        <v>0</v>
      </c>
      <c r="U272" s="239">
        <v>0</v>
      </c>
      <c r="V272" s="239">
        <v>0</v>
      </c>
      <c r="W272" s="239">
        <v>0</v>
      </c>
      <c r="X272" s="239">
        <v>0</v>
      </c>
      <c r="Y272" s="239">
        <v>0</v>
      </c>
      <c r="Z272" s="239">
        <v>0</v>
      </c>
      <c r="AA272" s="239">
        <v>0</v>
      </c>
      <c r="AB272" s="239">
        <v>0</v>
      </c>
      <c r="AC272" s="239">
        <v>0</v>
      </c>
      <c r="AD272" s="239">
        <v>0</v>
      </c>
      <c r="AE272" s="239">
        <v>0</v>
      </c>
      <c r="AF272" s="239">
        <v>0</v>
      </c>
      <c r="AG272" s="239">
        <v>0</v>
      </c>
      <c r="AH272" s="239">
        <v>0</v>
      </c>
      <c r="AI272" s="239">
        <v>0</v>
      </c>
      <c r="AJ272" s="239">
        <v>0</v>
      </c>
      <c r="AK272" s="239">
        <v>0</v>
      </c>
      <c r="AL272" s="239">
        <v>0</v>
      </c>
      <c r="AM272" s="239">
        <v>0</v>
      </c>
      <c r="AN272" s="239">
        <v>0</v>
      </c>
      <c r="AO272" s="239">
        <v>0</v>
      </c>
      <c r="AP272" s="239">
        <v>0</v>
      </c>
      <c r="AQ272" s="239">
        <v>0</v>
      </c>
      <c r="AR272" s="239">
        <v>0</v>
      </c>
      <c r="AS272" s="239">
        <v>0</v>
      </c>
      <c r="AT272" s="239">
        <v>0</v>
      </c>
      <c r="AU272" s="239">
        <v>0</v>
      </c>
      <c r="AV272" s="239">
        <v>0</v>
      </c>
      <c r="AW272" s="239">
        <v>0</v>
      </c>
      <c r="AX272" s="239">
        <v>0</v>
      </c>
      <c r="AY272" s="239">
        <v>0</v>
      </c>
      <c r="AZ272" s="239">
        <v>0</v>
      </c>
      <c r="BA272" s="239">
        <v>0</v>
      </c>
      <c r="BB272" s="239">
        <v>0</v>
      </c>
      <c r="BC272" s="239">
        <v>1016588</v>
      </c>
      <c r="BD272" s="239">
        <v>1253792</v>
      </c>
      <c r="BE272" s="239">
        <v>0</v>
      </c>
      <c r="BF272" s="239">
        <v>996467.48936394847</v>
      </c>
      <c r="BG272" s="239">
        <v>1228976.5702155363</v>
      </c>
      <c r="BH272" s="239">
        <v>0</v>
      </c>
      <c r="BI272" s="239">
        <v>51722.854506437769</v>
      </c>
      <c r="BJ272" s="239">
        <v>63791.520557939912</v>
      </c>
      <c r="BK272" s="239">
        <v>0</v>
      </c>
      <c r="BL272" s="239">
        <v>1363306</v>
      </c>
      <c r="BM272" s="239">
        <v>792694</v>
      </c>
      <c r="BN272" s="239">
        <v>0</v>
      </c>
      <c r="BO272" s="239">
        <v>-346718</v>
      </c>
      <c r="BP272" s="239">
        <v>461098</v>
      </c>
      <c r="BQ272" s="239">
        <v>0</v>
      </c>
      <c r="BR272" s="239">
        <v>871</v>
      </c>
      <c r="BS272" s="239">
        <v>1074</v>
      </c>
      <c r="BT272" s="239">
        <v>0</v>
      </c>
      <c r="BU272" s="239">
        <v>0</v>
      </c>
      <c r="BV272" s="239">
        <v>0</v>
      </c>
      <c r="BW272" s="239">
        <v>0</v>
      </c>
      <c r="BX272" s="239">
        <v>871</v>
      </c>
      <c r="BY272" s="239">
        <v>1074</v>
      </c>
      <c r="BZ272" s="239">
        <v>0</v>
      </c>
      <c r="CA272" s="239">
        <v>-482</v>
      </c>
      <c r="CB272" s="239">
        <v>-595</v>
      </c>
      <c r="CC272" s="239">
        <v>0</v>
      </c>
      <c r="CD272" s="239">
        <v>15225</v>
      </c>
      <c r="CE272" s="239">
        <v>18778</v>
      </c>
      <c r="CF272" s="239">
        <v>0</v>
      </c>
      <c r="CG272" s="239">
        <v>-15707</v>
      </c>
      <c r="CH272" s="239">
        <v>-19373</v>
      </c>
      <c r="CI272" s="239">
        <v>0</v>
      </c>
      <c r="CJ272" s="239">
        <v>0</v>
      </c>
      <c r="CK272" s="239">
        <v>0</v>
      </c>
      <c r="CL272" s="239">
        <v>0</v>
      </c>
      <c r="CM272" s="239">
        <v>4568</v>
      </c>
      <c r="CN272" s="239">
        <v>5633</v>
      </c>
      <c r="CO272" s="239">
        <v>0</v>
      </c>
      <c r="CP272" s="239">
        <v>-4568</v>
      </c>
      <c r="CQ272" s="239">
        <v>-5633</v>
      </c>
      <c r="CR272" s="239">
        <v>0</v>
      </c>
      <c r="CS272" s="239">
        <v>-914</v>
      </c>
      <c r="CT272" s="239">
        <v>-1127</v>
      </c>
      <c r="CU272" s="239">
        <v>0</v>
      </c>
      <c r="CV272" s="239">
        <v>0</v>
      </c>
      <c r="CW272" s="239">
        <v>0</v>
      </c>
      <c r="CX272" s="239">
        <v>0</v>
      </c>
      <c r="CY272" s="239">
        <v>0</v>
      </c>
      <c r="CZ272" s="239">
        <v>0</v>
      </c>
      <c r="DA272" s="239">
        <v>0</v>
      </c>
      <c r="DB272" s="239">
        <v>0</v>
      </c>
      <c r="DC272" s="239">
        <v>0</v>
      </c>
      <c r="DD272" s="239">
        <v>0</v>
      </c>
      <c r="DE272" s="239">
        <v>0</v>
      </c>
      <c r="DF272" s="239">
        <v>0</v>
      </c>
      <c r="DG272" s="239">
        <v>0</v>
      </c>
      <c r="DH272" s="239">
        <v>0</v>
      </c>
      <c r="DI272" s="239">
        <v>0</v>
      </c>
      <c r="DJ272" s="239">
        <v>0</v>
      </c>
      <c r="DK272" s="239">
        <v>0</v>
      </c>
      <c r="DL272" s="239">
        <v>0</v>
      </c>
      <c r="DM272" s="239">
        <v>0</v>
      </c>
      <c r="DN272" s="239">
        <v>0</v>
      </c>
      <c r="DO272" s="239">
        <v>0</v>
      </c>
      <c r="DP272" s="239">
        <v>0</v>
      </c>
      <c r="DQ272" s="239">
        <v>0</v>
      </c>
      <c r="DR272" s="239">
        <v>0</v>
      </c>
      <c r="DS272" s="239">
        <v>0</v>
      </c>
      <c r="DT272" s="239">
        <v>0</v>
      </c>
      <c r="DU272" s="239">
        <v>0</v>
      </c>
      <c r="DV272" s="239">
        <v>0</v>
      </c>
      <c r="DW272" s="239">
        <v>0</v>
      </c>
      <c r="DX272" s="239">
        <v>0</v>
      </c>
      <c r="DY272" s="239">
        <v>0</v>
      </c>
      <c r="DZ272" s="239">
        <v>5733</v>
      </c>
      <c r="EA272" s="239">
        <v>7071</v>
      </c>
      <c r="EB272" s="239">
        <v>0</v>
      </c>
      <c r="EC272" s="239">
        <v>30147</v>
      </c>
      <c r="ED272" s="239">
        <v>0</v>
      </c>
      <c r="EE272" s="239">
        <v>0</v>
      </c>
      <c r="EF272" s="239">
        <v>-24414</v>
      </c>
      <c r="EG272" s="239">
        <v>7071</v>
      </c>
      <c r="EH272" s="239">
        <v>0</v>
      </c>
      <c r="EI272" s="239">
        <v>133857</v>
      </c>
      <c r="EJ272" s="239">
        <v>165091</v>
      </c>
      <c r="EK272" s="239">
        <v>0</v>
      </c>
      <c r="EL272" s="239">
        <v>298343</v>
      </c>
      <c r="EM272" s="239">
        <v>0</v>
      </c>
      <c r="EN272" s="239">
        <v>0</v>
      </c>
      <c r="EO272" s="239">
        <v>-164486</v>
      </c>
      <c r="EP272" s="239">
        <v>165091</v>
      </c>
      <c r="EQ272" s="239">
        <v>0</v>
      </c>
      <c r="ER272" s="239">
        <v>5605</v>
      </c>
      <c r="ES272" s="239">
        <v>6913</v>
      </c>
      <c r="ET272" s="239">
        <v>0</v>
      </c>
      <c r="EU272" s="239">
        <v>31283</v>
      </c>
      <c r="EV272" s="239">
        <v>0</v>
      </c>
      <c r="EW272" s="239">
        <v>0</v>
      </c>
      <c r="EX272" s="239">
        <v>-25678</v>
      </c>
      <c r="EY272" s="239">
        <v>6913</v>
      </c>
      <c r="EZ272" s="239">
        <v>0</v>
      </c>
      <c r="FA272" s="239">
        <v>218725</v>
      </c>
      <c r="FB272" s="239">
        <v>269760</v>
      </c>
      <c r="FC272" s="239">
        <v>0</v>
      </c>
      <c r="FD272" s="239">
        <v>240954</v>
      </c>
      <c r="FE272" s="239">
        <v>297176</v>
      </c>
      <c r="FF272" s="239">
        <v>0</v>
      </c>
      <c r="FG272" s="239">
        <v>-22229</v>
      </c>
      <c r="FH272" s="239">
        <v>-27416</v>
      </c>
      <c r="FI272" s="239">
        <v>0</v>
      </c>
      <c r="FJ272" s="239">
        <v>0</v>
      </c>
      <c r="FK272" s="239">
        <v>0</v>
      </c>
      <c r="FL272" s="239">
        <v>0</v>
      </c>
      <c r="FM272" s="239">
        <v>0</v>
      </c>
      <c r="FN272" s="239">
        <v>0</v>
      </c>
      <c r="FO272" s="239">
        <v>0</v>
      </c>
      <c r="FP272" s="239">
        <v>0</v>
      </c>
      <c r="FQ272" s="239">
        <v>0</v>
      </c>
      <c r="FR272" s="239">
        <v>0</v>
      </c>
      <c r="FS272" s="239">
        <v>0</v>
      </c>
      <c r="FT272" s="239">
        <v>0</v>
      </c>
      <c r="FU272" s="239">
        <v>0</v>
      </c>
      <c r="FV272" s="239">
        <v>1379983</v>
      </c>
      <c r="FW272" s="239">
        <v>1701979</v>
      </c>
      <c r="FX272" s="239">
        <v>0</v>
      </c>
      <c r="FY272" s="834">
        <v>0.33000000000000007</v>
      </c>
      <c r="FZ272" s="834">
        <v>0.3</v>
      </c>
      <c r="GA272" s="834">
        <v>0.37</v>
      </c>
      <c r="GB272" s="834">
        <v>0</v>
      </c>
      <c r="GC272" s="214" t="s">
        <v>1159</v>
      </c>
    </row>
    <row r="273" spans="2:185" s="214" customFormat="1" x14ac:dyDescent="0.2">
      <c r="B273" s="602" t="s">
        <v>629</v>
      </c>
      <c r="C273" s="602" t="s">
        <v>628</v>
      </c>
      <c r="D273" s="239">
        <v>-34776</v>
      </c>
      <c r="E273" s="239">
        <v>0</v>
      </c>
      <c r="F273" s="239">
        <v>-34776</v>
      </c>
      <c r="G273" s="239">
        <v>73465</v>
      </c>
      <c r="H273" s="239">
        <v>0</v>
      </c>
      <c r="I273" s="239">
        <v>73465</v>
      </c>
      <c r="J273" s="239">
        <v>-108241</v>
      </c>
      <c r="K273" s="239">
        <v>0</v>
      </c>
      <c r="L273" s="239">
        <v>-108241</v>
      </c>
      <c r="M273" s="239">
        <v>182037</v>
      </c>
      <c r="N273" s="239">
        <v>182037</v>
      </c>
      <c r="O273" s="239">
        <v>0</v>
      </c>
      <c r="P273" s="239">
        <v>0</v>
      </c>
      <c r="Q273" s="239">
        <v>0</v>
      </c>
      <c r="R273" s="239">
        <v>0</v>
      </c>
      <c r="S273" s="239">
        <v>416317</v>
      </c>
      <c r="T273" s="239">
        <v>821485</v>
      </c>
      <c r="U273" s="239">
        <v>379872</v>
      </c>
      <c r="V273" s="239">
        <v>821485</v>
      </c>
      <c r="W273" s="239">
        <v>36445</v>
      </c>
      <c r="X273" s="239">
        <v>0</v>
      </c>
      <c r="Y273" s="239">
        <v>0</v>
      </c>
      <c r="Z273" s="239">
        <v>0</v>
      </c>
      <c r="AA273" s="239">
        <v>0</v>
      </c>
      <c r="AB273" s="239">
        <v>0</v>
      </c>
      <c r="AC273" s="239">
        <v>0</v>
      </c>
      <c r="AD273" s="239">
        <v>0</v>
      </c>
      <c r="AE273" s="239">
        <v>0</v>
      </c>
      <c r="AF273" s="239">
        <v>0</v>
      </c>
      <c r="AG273" s="239">
        <v>0</v>
      </c>
      <c r="AH273" s="239">
        <v>0</v>
      </c>
      <c r="AI273" s="239">
        <v>0</v>
      </c>
      <c r="AJ273" s="239">
        <v>0</v>
      </c>
      <c r="AK273" s="239">
        <v>0</v>
      </c>
      <c r="AL273" s="239">
        <v>0</v>
      </c>
      <c r="AM273" s="239">
        <v>0</v>
      </c>
      <c r="AN273" s="239">
        <v>0</v>
      </c>
      <c r="AO273" s="239">
        <v>0</v>
      </c>
      <c r="AP273" s="239">
        <v>0</v>
      </c>
      <c r="AQ273" s="239">
        <v>0</v>
      </c>
      <c r="AR273" s="239">
        <v>0</v>
      </c>
      <c r="AS273" s="239">
        <v>0</v>
      </c>
      <c r="AT273" s="239">
        <v>0</v>
      </c>
      <c r="AU273" s="239">
        <v>0</v>
      </c>
      <c r="AV273" s="239">
        <v>0</v>
      </c>
      <c r="AW273" s="239">
        <v>0</v>
      </c>
      <c r="AX273" s="239">
        <v>0</v>
      </c>
      <c r="AY273" s="239">
        <v>0</v>
      </c>
      <c r="AZ273" s="239">
        <v>0</v>
      </c>
      <c r="BA273" s="239">
        <v>0</v>
      </c>
      <c r="BB273" s="239">
        <v>0</v>
      </c>
      <c r="BC273" s="239">
        <v>1489175</v>
      </c>
      <c r="BD273" s="239">
        <v>335064</v>
      </c>
      <c r="BE273" s="239">
        <v>37229</v>
      </c>
      <c r="BF273" s="239">
        <v>1458436.8268875536</v>
      </c>
      <c r="BG273" s="239">
        <v>328148.28604969953</v>
      </c>
      <c r="BH273" s="239">
        <v>36460.920672188833</v>
      </c>
      <c r="BI273" s="239">
        <v>86692.982832618029</v>
      </c>
      <c r="BJ273" s="239">
        <v>19505.921137339054</v>
      </c>
      <c r="BK273" s="239">
        <v>2167.3245708154504</v>
      </c>
      <c r="BL273" s="239">
        <v>1224562</v>
      </c>
      <c r="BM273" s="239">
        <v>181566</v>
      </c>
      <c r="BN273" s="239">
        <v>20174</v>
      </c>
      <c r="BO273" s="239">
        <v>264613</v>
      </c>
      <c r="BP273" s="239">
        <v>153498</v>
      </c>
      <c r="BQ273" s="239">
        <v>17055</v>
      </c>
      <c r="BR273" s="239">
        <v>2756</v>
      </c>
      <c r="BS273" s="239">
        <v>620</v>
      </c>
      <c r="BT273" s="239">
        <v>69</v>
      </c>
      <c r="BU273" s="239">
        <v>4103</v>
      </c>
      <c r="BV273" s="239">
        <v>923</v>
      </c>
      <c r="BW273" s="239">
        <v>103</v>
      </c>
      <c r="BX273" s="239">
        <v>-1347</v>
      </c>
      <c r="BY273" s="239">
        <v>-303</v>
      </c>
      <c r="BZ273" s="239">
        <v>-34</v>
      </c>
      <c r="CA273" s="239">
        <v>-734</v>
      </c>
      <c r="CB273" s="239">
        <v>-165</v>
      </c>
      <c r="CC273" s="239">
        <v>-18</v>
      </c>
      <c r="CD273" s="239">
        <v>4736</v>
      </c>
      <c r="CE273" s="239">
        <v>1065</v>
      </c>
      <c r="CF273" s="239">
        <v>118</v>
      </c>
      <c r="CG273" s="239">
        <v>-5470</v>
      </c>
      <c r="CH273" s="239">
        <v>-1230</v>
      </c>
      <c r="CI273" s="239">
        <v>-136</v>
      </c>
      <c r="CJ273" s="239">
        <v>67</v>
      </c>
      <c r="CK273" s="239">
        <v>15</v>
      </c>
      <c r="CL273" s="239">
        <v>2</v>
      </c>
      <c r="CM273" s="239">
        <v>812</v>
      </c>
      <c r="CN273" s="239">
        <v>183</v>
      </c>
      <c r="CO273" s="239">
        <v>20</v>
      </c>
      <c r="CP273" s="239">
        <v>-745</v>
      </c>
      <c r="CQ273" s="239">
        <v>-168</v>
      </c>
      <c r="CR273" s="239">
        <v>-18</v>
      </c>
      <c r="CS273" s="239">
        <v>-176</v>
      </c>
      <c r="CT273" s="239">
        <v>-40</v>
      </c>
      <c r="CU273" s="239">
        <v>-4</v>
      </c>
      <c r="CV273" s="239">
        <v>0</v>
      </c>
      <c r="CW273" s="239">
        <v>0</v>
      </c>
      <c r="CX273" s="239">
        <v>0</v>
      </c>
      <c r="CY273" s="239">
        <v>0</v>
      </c>
      <c r="CZ273" s="239">
        <v>0</v>
      </c>
      <c r="DA273" s="239">
        <v>0</v>
      </c>
      <c r="DB273" s="239">
        <v>0</v>
      </c>
      <c r="DC273" s="239">
        <v>0</v>
      </c>
      <c r="DD273" s="239">
        <v>0</v>
      </c>
      <c r="DE273" s="239">
        <v>0</v>
      </c>
      <c r="DF273" s="239">
        <v>0</v>
      </c>
      <c r="DG273" s="239">
        <v>0</v>
      </c>
      <c r="DH273" s="239">
        <v>9640</v>
      </c>
      <c r="DI273" s="239">
        <v>2169</v>
      </c>
      <c r="DJ273" s="239">
        <v>241</v>
      </c>
      <c r="DK273" s="239">
        <v>10880</v>
      </c>
      <c r="DL273" s="239">
        <v>2448</v>
      </c>
      <c r="DM273" s="239">
        <v>272</v>
      </c>
      <c r="DN273" s="239">
        <v>-1240</v>
      </c>
      <c r="DO273" s="239">
        <v>-279</v>
      </c>
      <c r="DP273" s="239">
        <v>-31</v>
      </c>
      <c r="DQ273" s="239">
        <v>609</v>
      </c>
      <c r="DR273" s="239">
        <v>137</v>
      </c>
      <c r="DS273" s="239">
        <v>15</v>
      </c>
      <c r="DT273" s="239">
        <v>0</v>
      </c>
      <c r="DU273" s="239">
        <v>0</v>
      </c>
      <c r="DV273" s="239">
        <v>0</v>
      </c>
      <c r="DW273" s="239">
        <v>609</v>
      </c>
      <c r="DX273" s="239">
        <v>137</v>
      </c>
      <c r="DY273" s="239">
        <v>15</v>
      </c>
      <c r="DZ273" s="239">
        <v>12862</v>
      </c>
      <c r="EA273" s="239">
        <v>2894</v>
      </c>
      <c r="EB273" s="239">
        <v>322</v>
      </c>
      <c r="EC273" s="239">
        <v>16499</v>
      </c>
      <c r="ED273" s="239">
        <v>0</v>
      </c>
      <c r="EE273" s="239">
        <v>0</v>
      </c>
      <c r="EF273" s="239">
        <v>-3637</v>
      </c>
      <c r="EG273" s="239">
        <v>2894</v>
      </c>
      <c r="EH273" s="239">
        <v>322</v>
      </c>
      <c r="EI273" s="239">
        <v>45459</v>
      </c>
      <c r="EJ273" s="239">
        <v>10228</v>
      </c>
      <c r="EK273" s="239">
        <v>1136</v>
      </c>
      <c r="EL273" s="239">
        <v>172551</v>
      </c>
      <c r="EM273" s="239">
        <v>0</v>
      </c>
      <c r="EN273" s="239">
        <v>0</v>
      </c>
      <c r="EO273" s="239">
        <v>-127092</v>
      </c>
      <c r="EP273" s="239">
        <v>10228</v>
      </c>
      <c r="EQ273" s="239">
        <v>1136</v>
      </c>
      <c r="ER273" s="239">
        <v>24367</v>
      </c>
      <c r="ES273" s="239">
        <v>5482</v>
      </c>
      <c r="ET273" s="239">
        <v>609</v>
      </c>
      <c r="EU273" s="239">
        <v>30810</v>
      </c>
      <c r="EV273" s="239">
        <v>0</v>
      </c>
      <c r="EW273" s="239">
        <v>0</v>
      </c>
      <c r="EX273" s="239">
        <v>-6443</v>
      </c>
      <c r="EY273" s="239">
        <v>5482</v>
      </c>
      <c r="EZ273" s="239">
        <v>609</v>
      </c>
      <c r="FA273" s="239">
        <v>272829</v>
      </c>
      <c r="FB273" s="239">
        <v>72319</v>
      </c>
      <c r="FC273" s="239">
        <v>6664</v>
      </c>
      <c r="FD273" s="239">
        <v>270620</v>
      </c>
      <c r="FE273" s="239">
        <v>71945</v>
      </c>
      <c r="FF273" s="239">
        <v>6623</v>
      </c>
      <c r="FG273" s="239">
        <v>2209</v>
      </c>
      <c r="FH273" s="239">
        <v>374</v>
      </c>
      <c r="FI273" s="239">
        <v>41</v>
      </c>
      <c r="FJ273" s="239">
        <v>0</v>
      </c>
      <c r="FK273" s="239">
        <v>0</v>
      </c>
      <c r="FL273" s="239">
        <v>0</v>
      </c>
      <c r="FM273" s="239">
        <v>0</v>
      </c>
      <c r="FN273" s="239">
        <v>0</v>
      </c>
      <c r="FO273" s="239">
        <v>0</v>
      </c>
      <c r="FP273" s="239">
        <v>0</v>
      </c>
      <c r="FQ273" s="239">
        <v>0</v>
      </c>
      <c r="FR273" s="239">
        <v>0</v>
      </c>
      <c r="FS273" s="239">
        <v>0</v>
      </c>
      <c r="FT273" s="239">
        <v>0</v>
      </c>
      <c r="FU273" s="239">
        <v>0</v>
      </c>
      <c r="FV273" s="239">
        <v>1856854</v>
      </c>
      <c r="FW273" s="239">
        <v>428723</v>
      </c>
      <c r="FX273" s="239">
        <v>46265</v>
      </c>
      <c r="FY273" s="834">
        <v>0.5</v>
      </c>
      <c r="FZ273" s="834">
        <v>0.4</v>
      </c>
      <c r="GA273" s="834">
        <v>0.09</v>
      </c>
      <c r="GB273" s="834">
        <v>0.01</v>
      </c>
      <c r="GC273" s="214" t="s">
        <v>1158</v>
      </c>
    </row>
    <row r="274" spans="2:185" s="214" customFormat="1" x14ac:dyDescent="0.2">
      <c r="B274" s="602" t="s">
        <v>631</v>
      </c>
      <c r="C274" s="602" t="s">
        <v>630</v>
      </c>
      <c r="D274" s="239">
        <v>-7739540</v>
      </c>
      <c r="E274" s="239">
        <v>0</v>
      </c>
      <c r="F274" s="239">
        <v>-7739540</v>
      </c>
      <c r="G274" s="239">
        <v>-8079130</v>
      </c>
      <c r="H274" s="239">
        <v>0</v>
      </c>
      <c r="I274" s="239">
        <v>-8079130</v>
      </c>
      <c r="J274" s="239">
        <v>339590</v>
      </c>
      <c r="K274" s="239">
        <v>0</v>
      </c>
      <c r="L274" s="239">
        <v>339590</v>
      </c>
      <c r="M274" s="239">
        <v>265619</v>
      </c>
      <c r="N274" s="239">
        <v>265619</v>
      </c>
      <c r="O274" s="239">
        <v>0</v>
      </c>
      <c r="P274" s="239">
        <v>0</v>
      </c>
      <c r="Q274" s="239">
        <v>0</v>
      </c>
      <c r="R274" s="239">
        <v>0</v>
      </c>
      <c r="S274" s="239">
        <v>558182</v>
      </c>
      <c r="T274" s="239">
        <v>0</v>
      </c>
      <c r="U274" s="239">
        <v>523217</v>
      </c>
      <c r="V274" s="239">
        <v>0</v>
      </c>
      <c r="W274" s="239">
        <v>34965</v>
      </c>
      <c r="X274" s="239">
        <v>0</v>
      </c>
      <c r="Y274" s="239">
        <v>0</v>
      </c>
      <c r="Z274" s="239">
        <v>0</v>
      </c>
      <c r="AA274" s="239">
        <v>0</v>
      </c>
      <c r="AB274" s="239">
        <v>0</v>
      </c>
      <c r="AC274" s="239">
        <v>0</v>
      </c>
      <c r="AD274" s="239">
        <v>0</v>
      </c>
      <c r="AE274" s="239">
        <v>0</v>
      </c>
      <c r="AF274" s="239">
        <v>0</v>
      </c>
      <c r="AG274" s="239">
        <v>0</v>
      </c>
      <c r="AH274" s="239">
        <v>0</v>
      </c>
      <c r="AI274" s="239">
        <v>0</v>
      </c>
      <c r="AJ274" s="239">
        <v>0</v>
      </c>
      <c r="AK274" s="239">
        <v>0</v>
      </c>
      <c r="AL274" s="239">
        <v>0</v>
      </c>
      <c r="AM274" s="239">
        <v>0</v>
      </c>
      <c r="AN274" s="239">
        <v>0</v>
      </c>
      <c r="AO274" s="239">
        <v>0</v>
      </c>
      <c r="AP274" s="239">
        <v>0</v>
      </c>
      <c r="AQ274" s="239">
        <v>0</v>
      </c>
      <c r="AR274" s="239">
        <v>0</v>
      </c>
      <c r="AS274" s="239">
        <v>0</v>
      </c>
      <c r="AT274" s="239">
        <v>0</v>
      </c>
      <c r="AU274" s="239">
        <v>0</v>
      </c>
      <c r="AV274" s="239">
        <v>0</v>
      </c>
      <c r="AW274" s="239">
        <v>0</v>
      </c>
      <c r="AX274" s="239">
        <v>0</v>
      </c>
      <c r="AY274" s="239">
        <v>0</v>
      </c>
      <c r="AZ274" s="239">
        <v>0</v>
      </c>
      <c r="BA274" s="239">
        <v>0</v>
      </c>
      <c r="BB274" s="239">
        <v>0</v>
      </c>
      <c r="BC274" s="239">
        <v>1692789</v>
      </c>
      <c r="BD274" s="239">
        <v>0</v>
      </c>
      <c r="BE274" s="239">
        <v>34547</v>
      </c>
      <c r="BF274" s="239">
        <v>1638004.256369828</v>
      </c>
      <c r="BG274" s="239">
        <v>0</v>
      </c>
      <c r="BH274" s="239">
        <v>33428.658293261797</v>
      </c>
      <c r="BI274" s="239">
        <v>162190.78089806865</v>
      </c>
      <c r="BJ274" s="239">
        <v>0</v>
      </c>
      <c r="BK274" s="239">
        <v>3310.0159366952789</v>
      </c>
      <c r="BL274" s="239">
        <v>1816393</v>
      </c>
      <c r="BM274" s="239">
        <v>0</v>
      </c>
      <c r="BN274" s="239">
        <v>25054</v>
      </c>
      <c r="BO274" s="239">
        <v>-123604</v>
      </c>
      <c r="BP274" s="239">
        <v>0</v>
      </c>
      <c r="BQ274" s="239">
        <v>9493</v>
      </c>
      <c r="BR274" s="239">
        <v>7222</v>
      </c>
      <c r="BS274" s="239">
        <v>0</v>
      </c>
      <c r="BT274" s="239">
        <v>147</v>
      </c>
      <c r="BU274" s="239">
        <v>8094</v>
      </c>
      <c r="BV274" s="239">
        <v>0</v>
      </c>
      <c r="BW274" s="239">
        <v>165</v>
      </c>
      <c r="BX274" s="239">
        <v>-872</v>
      </c>
      <c r="BY274" s="239">
        <v>0</v>
      </c>
      <c r="BZ274" s="239">
        <v>-18</v>
      </c>
      <c r="CA274" s="239">
        <v>6728</v>
      </c>
      <c r="CB274" s="239">
        <v>0</v>
      </c>
      <c r="CC274" s="239">
        <v>137</v>
      </c>
      <c r="CD274" s="239">
        <v>4348</v>
      </c>
      <c r="CE274" s="239">
        <v>0</v>
      </c>
      <c r="CF274" s="239">
        <v>89</v>
      </c>
      <c r="CG274" s="239">
        <v>2380</v>
      </c>
      <c r="CH274" s="239">
        <v>0</v>
      </c>
      <c r="CI274" s="239">
        <v>48</v>
      </c>
      <c r="CJ274" s="239">
        <v>30203</v>
      </c>
      <c r="CK274" s="239">
        <v>0</v>
      </c>
      <c r="CL274" s="239">
        <v>616</v>
      </c>
      <c r="CM274" s="239">
        <v>0</v>
      </c>
      <c r="CN274" s="239">
        <v>0</v>
      </c>
      <c r="CO274" s="239">
        <v>0</v>
      </c>
      <c r="CP274" s="239">
        <v>30203</v>
      </c>
      <c r="CQ274" s="239">
        <v>0</v>
      </c>
      <c r="CR274" s="239">
        <v>616</v>
      </c>
      <c r="CS274" s="239">
        <v>-646</v>
      </c>
      <c r="CT274" s="239">
        <v>0</v>
      </c>
      <c r="CU274" s="239">
        <v>-13</v>
      </c>
      <c r="CV274" s="239">
        <v>0</v>
      </c>
      <c r="CW274" s="239">
        <v>0</v>
      </c>
      <c r="CX274" s="239">
        <v>0</v>
      </c>
      <c r="CY274" s="239">
        <v>0</v>
      </c>
      <c r="CZ274" s="239">
        <v>0</v>
      </c>
      <c r="DA274" s="239">
        <v>0</v>
      </c>
      <c r="DB274" s="239">
        <v>0</v>
      </c>
      <c r="DC274" s="239">
        <v>0</v>
      </c>
      <c r="DD274" s="239">
        <v>0</v>
      </c>
      <c r="DE274" s="239">
        <v>0</v>
      </c>
      <c r="DF274" s="239">
        <v>0</v>
      </c>
      <c r="DG274" s="239">
        <v>0</v>
      </c>
      <c r="DH274" s="239">
        <v>2680</v>
      </c>
      <c r="DI274" s="239">
        <v>0</v>
      </c>
      <c r="DJ274" s="239">
        <v>55</v>
      </c>
      <c r="DK274" s="239">
        <v>3900</v>
      </c>
      <c r="DL274" s="239">
        <v>0</v>
      </c>
      <c r="DM274" s="239">
        <v>80</v>
      </c>
      <c r="DN274" s="239">
        <v>-1220</v>
      </c>
      <c r="DO274" s="239">
        <v>0</v>
      </c>
      <c r="DP274" s="239">
        <v>-25</v>
      </c>
      <c r="DQ274" s="239">
        <v>0</v>
      </c>
      <c r="DR274" s="239">
        <v>0</v>
      </c>
      <c r="DS274" s="239">
        <v>0</v>
      </c>
      <c r="DT274" s="239">
        <v>1493</v>
      </c>
      <c r="DU274" s="239">
        <v>0</v>
      </c>
      <c r="DV274" s="239">
        <v>30</v>
      </c>
      <c r="DW274" s="239">
        <v>-1493</v>
      </c>
      <c r="DX274" s="239">
        <v>0</v>
      </c>
      <c r="DY274" s="239">
        <v>-30</v>
      </c>
      <c r="DZ274" s="239">
        <v>5104</v>
      </c>
      <c r="EA274" s="239">
        <v>0</v>
      </c>
      <c r="EB274" s="239">
        <v>104</v>
      </c>
      <c r="EC274" s="239">
        <v>6390</v>
      </c>
      <c r="ED274" s="239">
        <v>0</v>
      </c>
      <c r="EE274" s="239">
        <v>0</v>
      </c>
      <c r="EF274" s="239">
        <v>-1286</v>
      </c>
      <c r="EG274" s="239">
        <v>0</v>
      </c>
      <c r="EH274" s="239">
        <v>104</v>
      </c>
      <c r="EI274" s="239">
        <v>28370</v>
      </c>
      <c r="EJ274" s="239">
        <v>0</v>
      </c>
      <c r="EK274" s="239">
        <v>579</v>
      </c>
      <c r="EL274" s="239">
        <v>157131</v>
      </c>
      <c r="EM274" s="239">
        <v>0</v>
      </c>
      <c r="EN274" s="239">
        <v>0</v>
      </c>
      <c r="EO274" s="239">
        <v>-128761</v>
      </c>
      <c r="EP274" s="239">
        <v>0</v>
      </c>
      <c r="EQ274" s="239">
        <v>579</v>
      </c>
      <c r="ER274" s="239">
        <v>19415</v>
      </c>
      <c r="ES274" s="239">
        <v>0</v>
      </c>
      <c r="ET274" s="239">
        <v>396</v>
      </c>
      <c r="EU274" s="239">
        <v>33464</v>
      </c>
      <c r="EV274" s="239">
        <v>0</v>
      </c>
      <c r="EW274" s="239">
        <v>0</v>
      </c>
      <c r="EX274" s="239">
        <v>-14049</v>
      </c>
      <c r="EY274" s="239">
        <v>0</v>
      </c>
      <c r="EZ274" s="239">
        <v>396</v>
      </c>
      <c r="FA274" s="239">
        <v>742176</v>
      </c>
      <c r="FB274" s="239">
        <v>0</v>
      </c>
      <c r="FC274" s="239">
        <v>14975</v>
      </c>
      <c r="FD274" s="239">
        <v>719606</v>
      </c>
      <c r="FE274" s="239">
        <v>0</v>
      </c>
      <c r="FF274" s="239">
        <v>14525</v>
      </c>
      <c r="FG274" s="239">
        <v>22570</v>
      </c>
      <c r="FH274" s="239">
        <v>0</v>
      </c>
      <c r="FI274" s="239">
        <v>450</v>
      </c>
      <c r="FJ274" s="239">
        <v>0</v>
      </c>
      <c r="FK274" s="239">
        <v>0</v>
      </c>
      <c r="FL274" s="239">
        <v>0</v>
      </c>
      <c r="FM274" s="239">
        <v>0</v>
      </c>
      <c r="FN274" s="239">
        <v>0</v>
      </c>
      <c r="FO274" s="239">
        <v>0</v>
      </c>
      <c r="FP274" s="239">
        <v>0</v>
      </c>
      <c r="FQ274" s="239">
        <v>0</v>
      </c>
      <c r="FR274" s="239">
        <v>0</v>
      </c>
      <c r="FS274" s="239">
        <v>0</v>
      </c>
      <c r="FT274" s="239">
        <v>0</v>
      </c>
      <c r="FU274" s="239">
        <v>0</v>
      </c>
      <c r="FV274" s="239">
        <v>2534041</v>
      </c>
      <c r="FW274" s="239">
        <v>0</v>
      </c>
      <c r="FX274" s="239">
        <v>51543</v>
      </c>
      <c r="FY274" s="834">
        <v>0.5</v>
      </c>
      <c r="FZ274" s="834">
        <v>0.49</v>
      </c>
      <c r="GA274" s="834">
        <v>0</v>
      </c>
      <c r="GB274" s="834">
        <v>0.01</v>
      </c>
      <c r="GC274" s="214" t="s">
        <v>746</v>
      </c>
    </row>
    <row r="275" spans="2:185" s="214" customFormat="1" x14ac:dyDescent="0.2">
      <c r="B275" s="602" t="s">
        <v>633</v>
      </c>
      <c r="C275" s="602" t="s">
        <v>632</v>
      </c>
      <c r="D275" s="239">
        <v>-3184001</v>
      </c>
      <c r="E275" s="239">
        <v>0</v>
      </c>
      <c r="F275" s="239">
        <v>-3184001</v>
      </c>
      <c r="G275" s="239">
        <v>-3318353</v>
      </c>
      <c r="H275" s="239">
        <v>0</v>
      </c>
      <c r="I275" s="239">
        <v>-3318353</v>
      </c>
      <c r="J275" s="239">
        <v>134352</v>
      </c>
      <c r="K275" s="239">
        <v>0</v>
      </c>
      <c r="L275" s="239">
        <v>134352</v>
      </c>
      <c r="M275" s="239">
        <v>291392</v>
      </c>
      <c r="N275" s="239">
        <v>306392</v>
      </c>
      <c r="O275" s="239">
        <v>-15000</v>
      </c>
      <c r="P275" s="239">
        <v>0</v>
      </c>
      <c r="Q275" s="239">
        <v>0</v>
      </c>
      <c r="R275" s="239">
        <v>0</v>
      </c>
      <c r="S275" s="239">
        <v>0</v>
      </c>
      <c r="T275" s="239">
        <v>0</v>
      </c>
      <c r="U275" s="239">
        <v>0</v>
      </c>
      <c r="V275" s="239">
        <v>0</v>
      </c>
      <c r="W275" s="239">
        <v>0</v>
      </c>
      <c r="X275" s="239">
        <v>0</v>
      </c>
      <c r="Y275" s="239">
        <v>0</v>
      </c>
      <c r="Z275" s="239">
        <v>0</v>
      </c>
      <c r="AA275" s="239">
        <v>0</v>
      </c>
      <c r="AB275" s="239">
        <v>0</v>
      </c>
      <c r="AC275" s="239">
        <v>0</v>
      </c>
      <c r="AD275" s="239">
        <v>0</v>
      </c>
      <c r="AE275" s="239">
        <v>0</v>
      </c>
      <c r="AF275" s="239">
        <v>0</v>
      </c>
      <c r="AG275" s="239">
        <v>0</v>
      </c>
      <c r="AH275" s="239">
        <v>0</v>
      </c>
      <c r="AI275" s="239">
        <v>0</v>
      </c>
      <c r="AJ275" s="239">
        <v>0</v>
      </c>
      <c r="AK275" s="239">
        <v>0</v>
      </c>
      <c r="AL275" s="239">
        <v>0</v>
      </c>
      <c r="AM275" s="239">
        <v>0</v>
      </c>
      <c r="AN275" s="239">
        <v>0</v>
      </c>
      <c r="AO275" s="239">
        <v>0</v>
      </c>
      <c r="AP275" s="239">
        <v>0</v>
      </c>
      <c r="AQ275" s="239">
        <v>0</v>
      </c>
      <c r="AR275" s="239">
        <v>0</v>
      </c>
      <c r="AS275" s="239">
        <v>0</v>
      </c>
      <c r="AT275" s="239">
        <v>0</v>
      </c>
      <c r="AU275" s="239">
        <v>0</v>
      </c>
      <c r="AV275" s="239">
        <v>0</v>
      </c>
      <c r="AW275" s="239">
        <v>0</v>
      </c>
      <c r="AX275" s="239">
        <v>0</v>
      </c>
      <c r="AY275" s="239">
        <v>0</v>
      </c>
      <c r="AZ275" s="239">
        <v>0</v>
      </c>
      <c r="BA275" s="239">
        <v>0</v>
      </c>
      <c r="BB275" s="239">
        <v>0</v>
      </c>
      <c r="BC275" s="239">
        <v>5661080</v>
      </c>
      <c r="BD275" s="239">
        <v>0</v>
      </c>
      <c r="BE275" s="239">
        <v>57183</v>
      </c>
      <c r="BF275" s="239">
        <v>5557838.0138505576</v>
      </c>
      <c r="BG275" s="239">
        <v>0</v>
      </c>
      <c r="BH275" s="239">
        <v>56139.777917682404</v>
      </c>
      <c r="BI275" s="239">
        <v>270398.63772135187</v>
      </c>
      <c r="BJ275" s="239">
        <v>0</v>
      </c>
      <c r="BK275" s="239">
        <v>2731.2993709227462</v>
      </c>
      <c r="BL275" s="239">
        <v>5073017</v>
      </c>
      <c r="BM275" s="239">
        <v>0</v>
      </c>
      <c r="BN275" s="239">
        <v>38844</v>
      </c>
      <c r="BO275" s="239">
        <v>588063</v>
      </c>
      <c r="BP275" s="239">
        <v>0</v>
      </c>
      <c r="BQ275" s="239">
        <v>18339</v>
      </c>
      <c r="BR275" s="239">
        <v>0</v>
      </c>
      <c r="BS275" s="239">
        <v>0</v>
      </c>
      <c r="BT275" s="239">
        <v>0</v>
      </c>
      <c r="BU275" s="239">
        <v>0</v>
      </c>
      <c r="BV275" s="239">
        <v>0</v>
      </c>
      <c r="BW275" s="239">
        <v>0</v>
      </c>
      <c r="BX275" s="239">
        <v>0</v>
      </c>
      <c r="BY275" s="239">
        <v>0</v>
      </c>
      <c r="BZ275" s="239">
        <v>0</v>
      </c>
      <c r="CA275" s="239">
        <v>0</v>
      </c>
      <c r="CB275" s="239">
        <v>0</v>
      </c>
      <c r="CC275" s="239">
        <v>0</v>
      </c>
      <c r="CD275" s="239">
        <v>0</v>
      </c>
      <c r="CE275" s="239">
        <v>0</v>
      </c>
      <c r="CF275" s="239">
        <v>0</v>
      </c>
      <c r="CG275" s="239">
        <v>0</v>
      </c>
      <c r="CH275" s="239">
        <v>0</v>
      </c>
      <c r="CI275" s="239">
        <v>0</v>
      </c>
      <c r="CJ275" s="239">
        <v>-2287</v>
      </c>
      <c r="CK275" s="239">
        <v>0</v>
      </c>
      <c r="CL275" s="239">
        <v>-23</v>
      </c>
      <c r="CM275" s="239">
        <v>6417</v>
      </c>
      <c r="CN275" s="239">
        <v>0</v>
      </c>
      <c r="CO275" s="239">
        <v>65</v>
      </c>
      <c r="CP275" s="239">
        <v>-8704</v>
      </c>
      <c r="CQ275" s="239">
        <v>0</v>
      </c>
      <c r="CR275" s="239">
        <v>-88</v>
      </c>
      <c r="CS275" s="239">
        <v>0</v>
      </c>
      <c r="CT275" s="239">
        <v>0</v>
      </c>
      <c r="CU275" s="239">
        <v>0</v>
      </c>
      <c r="CV275" s="239">
        <v>0</v>
      </c>
      <c r="CW275" s="239">
        <v>0</v>
      </c>
      <c r="CX275" s="239">
        <v>0</v>
      </c>
      <c r="CY275" s="239">
        <v>0</v>
      </c>
      <c r="CZ275" s="239">
        <v>0</v>
      </c>
      <c r="DA275" s="239">
        <v>0</v>
      </c>
      <c r="DB275" s="239">
        <v>0</v>
      </c>
      <c r="DC275" s="239">
        <v>0</v>
      </c>
      <c r="DD275" s="239">
        <v>0</v>
      </c>
      <c r="DE275" s="239">
        <v>0</v>
      </c>
      <c r="DF275" s="239">
        <v>0</v>
      </c>
      <c r="DG275" s="239">
        <v>0</v>
      </c>
      <c r="DH275" s="239">
        <v>0</v>
      </c>
      <c r="DI275" s="239">
        <v>0</v>
      </c>
      <c r="DJ275" s="239">
        <v>0</v>
      </c>
      <c r="DK275" s="239">
        <v>0</v>
      </c>
      <c r="DL275" s="239">
        <v>0</v>
      </c>
      <c r="DM275" s="239">
        <v>0</v>
      </c>
      <c r="DN275" s="239">
        <v>0</v>
      </c>
      <c r="DO275" s="239">
        <v>0</v>
      </c>
      <c r="DP275" s="239">
        <v>0</v>
      </c>
      <c r="DQ275" s="239">
        <v>1507</v>
      </c>
      <c r="DR275" s="239">
        <v>0</v>
      </c>
      <c r="DS275" s="239">
        <v>15</v>
      </c>
      <c r="DT275" s="239">
        <v>1508</v>
      </c>
      <c r="DU275" s="239">
        <v>0</v>
      </c>
      <c r="DV275" s="239">
        <v>15</v>
      </c>
      <c r="DW275" s="239">
        <v>-1</v>
      </c>
      <c r="DX275" s="239">
        <v>0</v>
      </c>
      <c r="DY275" s="239">
        <v>0</v>
      </c>
      <c r="DZ275" s="239">
        <v>30534</v>
      </c>
      <c r="EA275" s="239">
        <v>0</v>
      </c>
      <c r="EB275" s="239">
        <v>308</v>
      </c>
      <c r="EC275" s="239">
        <v>28397</v>
      </c>
      <c r="ED275" s="239">
        <v>0</v>
      </c>
      <c r="EE275" s="239">
        <v>0</v>
      </c>
      <c r="EF275" s="239">
        <v>2137</v>
      </c>
      <c r="EG275" s="239">
        <v>0</v>
      </c>
      <c r="EH275" s="239">
        <v>308</v>
      </c>
      <c r="EI275" s="239">
        <v>279312</v>
      </c>
      <c r="EJ275" s="239">
        <v>0</v>
      </c>
      <c r="EK275" s="239">
        <v>2821</v>
      </c>
      <c r="EL275" s="239">
        <v>285825</v>
      </c>
      <c r="EM275" s="239">
        <v>0</v>
      </c>
      <c r="EN275" s="239">
        <v>0</v>
      </c>
      <c r="EO275" s="239">
        <v>-6513</v>
      </c>
      <c r="EP275" s="239">
        <v>0</v>
      </c>
      <c r="EQ275" s="239">
        <v>2821</v>
      </c>
      <c r="ER275" s="239">
        <v>62511</v>
      </c>
      <c r="ES275" s="239">
        <v>0</v>
      </c>
      <c r="ET275" s="239">
        <v>631</v>
      </c>
      <c r="EU275" s="239">
        <v>86922</v>
      </c>
      <c r="EV275" s="239">
        <v>0</v>
      </c>
      <c r="EW275" s="239">
        <v>0</v>
      </c>
      <c r="EX275" s="239">
        <v>-24411</v>
      </c>
      <c r="EY275" s="239">
        <v>0</v>
      </c>
      <c r="EZ275" s="239">
        <v>631</v>
      </c>
      <c r="FA275" s="239">
        <v>791858</v>
      </c>
      <c r="FB275" s="239">
        <v>0</v>
      </c>
      <c r="FC275" s="239">
        <v>7999</v>
      </c>
      <c r="FD275" s="239">
        <v>746596</v>
      </c>
      <c r="FE275" s="239">
        <v>0</v>
      </c>
      <c r="FF275" s="239">
        <v>7541</v>
      </c>
      <c r="FG275" s="239">
        <v>45262</v>
      </c>
      <c r="FH275" s="239">
        <v>0</v>
      </c>
      <c r="FI275" s="239">
        <v>458</v>
      </c>
      <c r="FJ275" s="239">
        <v>0</v>
      </c>
      <c r="FK275" s="239">
        <v>0</v>
      </c>
      <c r="FL275" s="239">
        <v>0</v>
      </c>
      <c r="FM275" s="239">
        <v>0</v>
      </c>
      <c r="FN275" s="239">
        <v>0</v>
      </c>
      <c r="FO275" s="239">
        <v>0</v>
      </c>
      <c r="FP275" s="239">
        <v>0</v>
      </c>
      <c r="FQ275" s="239">
        <v>0</v>
      </c>
      <c r="FR275" s="239">
        <v>0</v>
      </c>
      <c r="FS275" s="239">
        <v>0</v>
      </c>
      <c r="FT275" s="239">
        <v>0</v>
      </c>
      <c r="FU275" s="239">
        <v>0</v>
      </c>
      <c r="FV275" s="239">
        <v>6824515</v>
      </c>
      <c r="FW275" s="239">
        <v>0</v>
      </c>
      <c r="FX275" s="239">
        <v>68934</v>
      </c>
      <c r="FY275" s="834">
        <v>0</v>
      </c>
      <c r="FZ275" s="834">
        <v>0.99</v>
      </c>
      <c r="GA275" s="834">
        <v>0</v>
      </c>
      <c r="GB275" s="834">
        <v>0.01</v>
      </c>
      <c r="GC275" s="214" t="s">
        <v>1160</v>
      </c>
    </row>
    <row r="276" spans="2:185" s="214" customFormat="1" x14ac:dyDescent="0.2">
      <c r="B276" s="602" t="s">
        <v>635</v>
      </c>
      <c r="C276" s="602" t="s">
        <v>634</v>
      </c>
      <c r="D276" s="239">
        <v>-1420712</v>
      </c>
      <c r="E276" s="239">
        <v>0</v>
      </c>
      <c r="F276" s="239">
        <v>-1420712</v>
      </c>
      <c r="G276" s="239">
        <v>-1322640</v>
      </c>
      <c r="H276" s="239">
        <v>0</v>
      </c>
      <c r="I276" s="239">
        <v>-1322640</v>
      </c>
      <c r="J276" s="239">
        <v>-98072</v>
      </c>
      <c r="K276" s="239">
        <v>0</v>
      </c>
      <c r="L276" s="239">
        <v>-98072</v>
      </c>
      <c r="M276" s="239">
        <v>91080</v>
      </c>
      <c r="N276" s="239">
        <v>91080</v>
      </c>
      <c r="O276" s="239">
        <v>0</v>
      </c>
      <c r="P276" s="239">
        <v>0</v>
      </c>
      <c r="Q276" s="239">
        <v>0</v>
      </c>
      <c r="R276" s="239">
        <v>0</v>
      </c>
      <c r="S276" s="239">
        <v>0</v>
      </c>
      <c r="T276" s="239">
        <v>0</v>
      </c>
      <c r="U276" s="239">
        <v>0</v>
      </c>
      <c r="V276" s="239">
        <v>0</v>
      </c>
      <c r="W276" s="239">
        <v>0</v>
      </c>
      <c r="X276" s="239">
        <v>0</v>
      </c>
      <c r="Y276" s="239">
        <v>0</v>
      </c>
      <c r="Z276" s="239">
        <v>0</v>
      </c>
      <c r="AA276" s="239">
        <v>0</v>
      </c>
      <c r="AB276" s="239">
        <v>0</v>
      </c>
      <c r="AC276" s="239">
        <v>0</v>
      </c>
      <c r="AD276" s="239">
        <v>0</v>
      </c>
      <c r="AE276" s="239">
        <v>0</v>
      </c>
      <c r="AF276" s="239">
        <v>0</v>
      </c>
      <c r="AG276" s="239">
        <v>0</v>
      </c>
      <c r="AH276" s="239">
        <v>0</v>
      </c>
      <c r="AI276" s="239">
        <v>0</v>
      </c>
      <c r="AJ276" s="239">
        <v>0</v>
      </c>
      <c r="AK276" s="239">
        <v>0</v>
      </c>
      <c r="AL276" s="239">
        <v>0</v>
      </c>
      <c r="AM276" s="239">
        <v>0</v>
      </c>
      <c r="AN276" s="239">
        <v>0</v>
      </c>
      <c r="AO276" s="239">
        <v>0</v>
      </c>
      <c r="AP276" s="239">
        <v>0</v>
      </c>
      <c r="AQ276" s="239">
        <v>0</v>
      </c>
      <c r="AR276" s="239">
        <v>0</v>
      </c>
      <c r="AS276" s="239">
        <v>0</v>
      </c>
      <c r="AT276" s="239">
        <v>0</v>
      </c>
      <c r="AU276" s="239">
        <v>0</v>
      </c>
      <c r="AV276" s="239">
        <v>0</v>
      </c>
      <c r="AW276" s="239">
        <v>0</v>
      </c>
      <c r="AX276" s="239">
        <v>0</v>
      </c>
      <c r="AY276" s="239">
        <v>0</v>
      </c>
      <c r="AZ276" s="239">
        <v>0</v>
      </c>
      <c r="BA276" s="239">
        <v>0</v>
      </c>
      <c r="BB276" s="239">
        <v>0</v>
      </c>
      <c r="BC276" s="239">
        <v>609701</v>
      </c>
      <c r="BD276" s="239">
        <v>137183</v>
      </c>
      <c r="BE276" s="239">
        <v>15243</v>
      </c>
      <c r="BF276" s="239">
        <v>591799.09169270378</v>
      </c>
      <c r="BG276" s="239">
        <v>133154.79563085834</v>
      </c>
      <c r="BH276" s="239">
        <v>14794.977292317595</v>
      </c>
      <c r="BI276" s="239">
        <v>52434.08004291846</v>
      </c>
      <c r="BJ276" s="239">
        <v>11797.668009656652</v>
      </c>
      <c r="BK276" s="239">
        <v>1310.8520010729615</v>
      </c>
      <c r="BL276" s="239">
        <v>534328</v>
      </c>
      <c r="BM276" s="239">
        <v>76212</v>
      </c>
      <c r="BN276" s="239">
        <v>8468</v>
      </c>
      <c r="BO276" s="239">
        <v>75373</v>
      </c>
      <c r="BP276" s="239">
        <v>60971</v>
      </c>
      <c r="BQ276" s="239">
        <v>6775</v>
      </c>
      <c r="BR276" s="239">
        <v>0</v>
      </c>
      <c r="BS276" s="239">
        <v>0</v>
      </c>
      <c r="BT276" s="239">
        <v>0</v>
      </c>
      <c r="BU276" s="239">
        <v>0</v>
      </c>
      <c r="BV276" s="239">
        <v>0</v>
      </c>
      <c r="BW276" s="239">
        <v>0</v>
      </c>
      <c r="BX276" s="239">
        <v>0</v>
      </c>
      <c r="BY276" s="239">
        <v>0</v>
      </c>
      <c r="BZ276" s="239">
        <v>0</v>
      </c>
      <c r="CA276" s="239">
        <v>0</v>
      </c>
      <c r="CB276" s="239">
        <v>0</v>
      </c>
      <c r="CC276" s="239">
        <v>0</v>
      </c>
      <c r="CD276" s="239">
        <v>0</v>
      </c>
      <c r="CE276" s="239">
        <v>0</v>
      </c>
      <c r="CF276" s="239">
        <v>0</v>
      </c>
      <c r="CG276" s="239">
        <v>0</v>
      </c>
      <c r="CH276" s="239">
        <v>0</v>
      </c>
      <c r="CI276" s="239">
        <v>0</v>
      </c>
      <c r="CJ276" s="239">
        <v>287</v>
      </c>
      <c r="CK276" s="239">
        <v>64</v>
      </c>
      <c r="CL276" s="239">
        <v>7</v>
      </c>
      <c r="CM276" s="239">
        <v>0</v>
      </c>
      <c r="CN276" s="239">
        <v>0</v>
      </c>
      <c r="CO276" s="239">
        <v>0</v>
      </c>
      <c r="CP276" s="239">
        <v>287</v>
      </c>
      <c r="CQ276" s="239">
        <v>64</v>
      </c>
      <c r="CR276" s="239">
        <v>7</v>
      </c>
      <c r="CS276" s="239">
        <v>-1020</v>
      </c>
      <c r="CT276" s="239">
        <v>-229</v>
      </c>
      <c r="CU276" s="239">
        <v>-25</v>
      </c>
      <c r="CV276" s="239">
        <v>0</v>
      </c>
      <c r="CW276" s="239">
        <v>0</v>
      </c>
      <c r="CX276" s="239">
        <v>0</v>
      </c>
      <c r="CY276" s="239">
        <v>0</v>
      </c>
      <c r="CZ276" s="239">
        <v>0</v>
      </c>
      <c r="DA276" s="239">
        <v>0</v>
      </c>
      <c r="DB276" s="239">
        <v>0</v>
      </c>
      <c r="DC276" s="239">
        <v>0</v>
      </c>
      <c r="DD276" s="239">
        <v>0</v>
      </c>
      <c r="DE276" s="239">
        <v>0</v>
      </c>
      <c r="DF276" s="239">
        <v>0</v>
      </c>
      <c r="DG276" s="239">
        <v>0</v>
      </c>
      <c r="DH276" s="239">
        <v>0</v>
      </c>
      <c r="DI276" s="239">
        <v>0</v>
      </c>
      <c r="DJ276" s="239">
        <v>0</v>
      </c>
      <c r="DK276" s="239">
        <v>0</v>
      </c>
      <c r="DL276" s="239">
        <v>0</v>
      </c>
      <c r="DM276" s="239">
        <v>0</v>
      </c>
      <c r="DN276" s="239">
        <v>0</v>
      </c>
      <c r="DO276" s="239">
        <v>0</v>
      </c>
      <c r="DP276" s="239">
        <v>0</v>
      </c>
      <c r="DQ276" s="239">
        <v>609</v>
      </c>
      <c r="DR276" s="239">
        <v>137</v>
      </c>
      <c r="DS276" s="239">
        <v>15</v>
      </c>
      <c r="DT276" s="239">
        <v>609</v>
      </c>
      <c r="DU276" s="239">
        <v>137</v>
      </c>
      <c r="DV276" s="239">
        <v>15</v>
      </c>
      <c r="DW276" s="239">
        <v>0</v>
      </c>
      <c r="DX276" s="239">
        <v>0</v>
      </c>
      <c r="DY276" s="239">
        <v>0</v>
      </c>
      <c r="DZ276" s="239">
        <v>3023</v>
      </c>
      <c r="EA276" s="239">
        <v>680</v>
      </c>
      <c r="EB276" s="239">
        <v>76</v>
      </c>
      <c r="EC276" s="239">
        <v>7476</v>
      </c>
      <c r="ED276" s="239">
        <v>0</v>
      </c>
      <c r="EE276" s="239">
        <v>0</v>
      </c>
      <c r="EF276" s="239">
        <v>-4453</v>
      </c>
      <c r="EG276" s="239">
        <v>680</v>
      </c>
      <c r="EH276" s="239">
        <v>76</v>
      </c>
      <c r="EI276" s="239">
        <v>84492</v>
      </c>
      <c r="EJ276" s="239">
        <v>19011</v>
      </c>
      <c r="EK276" s="239">
        <v>2112</v>
      </c>
      <c r="EL276" s="239">
        <v>106628</v>
      </c>
      <c r="EM276" s="239">
        <v>0</v>
      </c>
      <c r="EN276" s="239">
        <v>0</v>
      </c>
      <c r="EO276" s="239">
        <v>-22136</v>
      </c>
      <c r="EP276" s="239">
        <v>19011</v>
      </c>
      <c r="EQ276" s="239">
        <v>2112</v>
      </c>
      <c r="ER276" s="239">
        <v>8606</v>
      </c>
      <c r="ES276" s="239">
        <v>1936</v>
      </c>
      <c r="ET276" s="239">
        <v>215</v>
      </c>
      <c r="EU276" s="239">
        <v>15225</v>
      </c>
      <c r="EV276" s="239">
        <v>0</v>
      </c>
      <c r="EW276" s="239">
        <v>0</v>
      </c>
      <c r="EX276" s="239">
        <v>-6619</v>
      </c>
      <c r="EY276" s="239">
        <v>1936</v>
      </c>
      <c r="EZ276" s="239">
        <v>215</v>
      </c>
      <c r="FA276" s="239">
        <v>203430</v>
      </c>
      <c r="FB276" s="239">
        <v>45772</v>
      </c>
      <c r="FC276" s="239">
        <v>5086</v>
      </c>
      <c r="FD276" s="239">
        <v>199085</v>
      </c>
      <c r="FE276" s="239">
        <v>44794</v>
      </c>
      <c r="FF276" s="239">
        <v>4977</v>
      </c>
      <c r="FG276" s="239">
        <v>4345</v>
      </c>
      <c r="FH276" s="239">
        <v>978</v>
      </c>
      <c r="FI276" s="239">
        <v>109</v>
      </c>
      <c r="FJ276" s="239">
        <v>0</v>
      </c>
      <c r="FK276" s="239">
        <v>0</v>
      </c>
      <c r="FL276" s="239">
        <v>0</v>
      </c>
      <c r="FM276" s="239">
        <v>0</v>
      </c>
      <c r="FN276" s="239">
        <v>0</v>
      </c>
      <c r="FO276" s="239">
        <v>0</v>
      </c>
      <c r="FP276" s="239">
        <v>0</v>
      </c>
      <c r="FQ276" s="239">
        <v>0</v>
      </c>
      <c r="FR276" s="239">
        <v>0</v>
      </c>
      <c r="FS276" s="239">
        <v>0</v>
      </c>
      <c r="FT276" s="239">
        <v>0</v>
      </c>
      <c r="FU276" s="239">
        <v>0</v>
      </c>
      <c r="FV276" s="239">
        <v>909128</v>
      </c>
      <c r="FW276" s="239">
        <v>204554</v>
      </c>
      <c r="FX276" s="239">
        <v>22729</v>
      </c>
      <c r="FY276" s="834">
        <v>0.5</v>
      </c>
      <c r="FZ276" s="834">
        <v>0.4</v>
      </c>
      <c r="GA276" s="834">
        <v>0.09</v>
      </c>
      <c r="GB276" s="834">
        <v>0.01</v>
      </c>
      <c r="GC276" s="214" t="s">
        <v>1158</v>
      </c>
    </row>
    <row r="277" spans="2:185" s="214" customFormat="1" x14ac:dyDescent="0.2">
      <c r="B277" s="602" t="s">
        <v>637</v>
      </c>
      <c r="C277" s="602" t="s">
        <v>636</v>
      </c>
      <c r="D277" s="239">
        <v>1493286</v>
      </c>
      <c r="E277" s="239">
        <v>0</v>
      </c>
      <c r="F277" s="239">
        <v>1493286</v>
      </c>
      <c r="G277" s="239">
        <v>1280255</v>
      </c>
      <c r="H277" s="239">
        <v>0</v>
      </c>
      <c r="I277" s="239">
        <v>1280255</v>
      </c>
      <c r="J277" s="239">
        <v>213031</v>
      </c>
      <c r="K277" s="239">
        <v>0</v>
      </c>
      <c r="L277" s="239">
        <v>213031</v>
      </c>
      <c r="M277" s="239">
        <v>125069</v>
      </c>
      <c r="N277" s="239">
        <v>125069</v>
      </c>
      <c r="O277" s="239">
        <v>0</v>
      </c>
      <c r="P277" s="239">
        <v>0</v>
      </c>
      <c r="Q277" s="239">
        <v>0</v>
      </c>
      <c r="R277" s="239">
        <v>0</v>
      </c>
      <c r="S277" s="239">
        <v>0</v>
      </c>
      <c r="T277" s="239">
        <v>0</v>
      </c>
      <c r="U277" s="239">
        <v>0</v>
      </c>
      <c r="V277" s="239">
        <v>0</v>
      </c>
      <c r="W277" s="239">
        <v>0</v>
      </c>
      <c r="X277" s="239">
        <v>0</v>
      </c>
      <c r="Y277" s="239">
        <v>0</v>
      </c>
      <c r="Z277" s="239">
        <v>0</v>
      </c>
      <c r="AA277" s="239">
        <v>0</v>
      </c>
      <c r="AB277" s="239">
        <v>0</v>
      </c>
      <c r="AC277" s="239">
        <v>0</v>
      </c>
      <c r="AD277" s="239">
        <v>0</v>
      </c>
      <c r="AE277" s="239">
        <v>0</v>
      </c>
      <c r="AF277" s="239">
        <v>0</v>
      </c>
      <c r="AG277" s="239">
        <v>0</v>
      </c>
      <c r="AH277" s="239">
        <v>0</v>
      </c>
      <c r="AI277" s="239">
        <v>0</v>
      </c>
      <c r="AJ277" s="239">
        <v>0</v>
      </c>
      <c r="AK277" s="239">
        <v>0</v>
      </c>
      <c r="AL277" s="239">
        <v>0</v>
      </c>
      <c r="AM277" s="239">
        <v>0</v>
      </c>
      <c r="AN277" s="239">
        <v>0</v>
      </c>
      <c r="AO277" s="239">
        <v>0</v>
      </c>
      <c r="AP277" s="239">
        <v>0</v>
      </c>
      <c r="AQ277" s="239">
        <v>0</v>
      </c>
      <c r="AR277" s="239">
        <v>0</v>
      </c>
      <c r="AS277" s="239">
        <v>0</v>
      </c>
      <c r="AT277" s="239">
        <v>0</v>
      </c>
      <c r="AU277" s="239">
        <v>0</v>
      </c>
      <c r="AV277" s="239">
        <v>0</v>
      </c>
      <c r="AW277" s="239">
        <v>0</v>
      </c>
      <c r="AX277" s="239">
        <v>0</v>
      </c>
      <c r="AY277" s="239">
        <v>0</v>
      </c>
      <c r="AZ277" s="239">
        <v>0</v>
      </c>
      <c r="BA277" s="239">
        <v>0</v>
      </c>
      <c r="BB277" s="239">
        <v>0</v>
      </c>
      <c r="BC277" s="239">
        <v>875091</v>
      </c>
      <c r="BD277" s="239">
        <v>218773</v>
      </c>
      <c r="BE277" s="239">
        <v>0</v>
      </c>
      <c r="BF277" s="239">
        <v>855470.55761030037</v>
      </c>
      <c r="BG277" s="239">
        <v>213867.63940257509</v>
      </c>
      <c r="BH277" s="239">
        <v>0</v>
      </c>
      <c r="BI277" s="239">
        <v>59106.140901287552</v>
      </c>
      <c r="BJ277" s="239">
        <v>14776.535225321888</v>
      </c>
      <c r="BK277" s="239">
        <v>0</v>
      </c>
      <c r="BL277" s="239">
        <v>850315</v>
      </c>
      <c r="BM277" s="239">
        <v>139854</v>
      </c>
      <c r="BN277" s="239">
        <v>0</v>
      </c>
      <c r="BO277" s="239">
        <v>24776</v>
      </c>
      <c r="BP277" s="239">
        <v>78919</v>
      </c>
      <c r="BQ277" s="239">
        <v>0</v>
      </c>
      <c r="BR277" s="239">
        <v>0</v>
      </c>
      <c r="BS277" s="239">
        <v>0</v>
      </c>
      <c r="BT277" s="239">
        <v>0</v>
      </c>
      <c r="BU277" s="239">
        <v>0</v>
      </c>
      <c r="BV277" s="239">
        <v>0</v>
      </c>
      <c r="BW277" s="239">
        <v>0</v>
      </c>
      <c r="BX277" s="239">
        <v>0</v>
      </c>
      <c r="BY277" s="239">
        <v>0</v>
      </c>
      <c r="BZ277" s="239">
        <v>0</v>
      </c>
      <c r="CA277" s="239">
        <v>-3028</v>
      </c>
      <c r="CB277" s="239">
        <v>-757</v>
      </c>
      <c r="CC277" s="239">
        <v>0</v>
      </c>
      <c r="CD277" s="239">
        <v>3898</v>
      </c>
      <c r="CE277" s="239">
        <v>974</v>
      </c>
      <c r="CF277" s="239">
        <v>0</v>
      </c>
      <c r="CG277" s="239">
        <v>-6926</v>
      </c>
      <c r="CH277" s="239">
        <v>-1731</v>
      </c>
      <c r="CI277" s="239">
        <v>0</v>
      </c>
      <c r="CJ277" s="239">
        <v>0</v>
      </c>
      <c r="CK277" s="239">
        <v>0</v>
      </c>
      <c r="CL277" s="239">
        <v>0</v>
      </c>
      <c r="CM277" s="239">
        <v>0</v>
      </c>
      <c r="CN277" s="239">
        <v>0</v>
      </c>
      <c r="CO277" s="239">
        <v>0</v>
      </c>
      <c r="CP277" s="239">
        <v>0</v>
      </c>
      <c r="CQ277" s="239">
        <v>0</v>
      </c>
      <c r="CR277" s="239">
        <v>0</v>
      </c>
      <c r="CS277" s="239">
        <v>-1093</v>
      </c>
      <c r="CT277" s="239">
        <v>-273</v>
      </c>
      <c r="CU277" s="239">
        <v>0</v>
      </c>
      <c r="CV277" s="239">
        <v>0</v>
      </c>
      <c r="CW277" s="239">
        <v>0</v>
      </c>
      <c r="CX277" s="239">
        <v>0</v>
      </c>
      <c r="CY277" s="239">
        <v>0</v>
      </c>
      <c r="CZ277" s="239">
        <v>0</v>
      </c>
      <c r="DA277" s="239">
        <v>0</v>
      </c>
      <c r="DB277" s="239">
        <v>0</v>
      </c>
      <c r="DC277" s="239">
        <v>0</v>
      </c>
      <c r="DD277" s="239">
        <v>0</v>
      </c>
      <c r="DE277" s="239">
        <v>0</v>
      </c>
      <c r="DF277" s="239">
        <v>0</v>
      </c>
      <c r="DG277" s="239">
        <v>0</v>
      </c>
      <c r="DH277" s="239">
        <v>7176</v>
      </c>
      <c r="DI277" s="239">
        <v>1794</v>
      </c>
      <c r="DJ277" s="239">
        <v>0</v>
      </c>
      <c r="DK277" s="239">
        <v>5846</v>
      </c>
      <c r="DL277" s="239">
        <v>1462</v>
      </c>
      <c r="DM277" s="239">
        <v>0</v>
      </c>
      <c r="DN277" s="239">
        <v>1330</v>
      </c>
      <c r="DO277" s="239">
        <v>332</v>
      </c>
      <c r="DP277" s="239">
        <v>0</v>
      </c>
      <c r="DQ277" s="239">
        <v>0</v>
      </c>
      <c r="DR277" s="239">
        <v>0</v>
      </c>
      <c r="DS277" s="239">
        <v>0</v>
      </c>
      <c r="DT277" s="239">
        <v>0</v>
      </c>
      <c r="DU277" s="239">
        <v>0</v>
      </c>
      <c r="DV277" s="239">
        <v>0</v>
      </c>
      <c r="DW277" s="239">
        <v>0</v>
      </c>
      <c r="DX277" s="239">
        <v>0</v>
      </c>
      <c r="DY277" s="239">
        <v>0</v>
      </c>
      <c r="DZ277" s="239">
        <v>30557</v>
      </c>
      <c r="EA277" s="239">
        <v>7639</v>
      </c>
      <c r="EB277" s="239">
        <v>0</v>
      </c>
      <c r="EC277" s="239">
        <v>38510</v>
      </c>
      <c r="ED277" s="239">
        <v>0</v>
      </c>
      <c r="EE277" s="239">
        <v>0</v>
      </c>
      <c r="EF277" s="239">
        <v>-7953</v>
      </c>
      <c r="EG277" s="239">
        <v>7639</v>
      </c>
      <c r="EH277" s="239">
        <v>0</v>
      </c>
      <c r="EI277" s="239">
        <v>79023</v>
      </c>
      <c r="EJ277" s="239">
        <v>19756</v>
      </c>
      <c r="EK277" s="239">
        <v>0</v>
      </c>
      <c r="EL277" s="239">
        <v>121439</v>
      </c>
      <c r="EM277" s="239">
        <v>0</v>
      </c>
      <c r="EN277" s="239">
        <v>0</v>
      </c>
      <c r="EO277" s="239">
        <v>-42416</v>
      </c>
      <c r="EP277" s="239">
        <v>19756</v>
      </c>
      <c r="EQ277" s="239">
        <v>0</v>
      </c>
      <c r="ER277" s="239">
        <v>16153</v>
      </c>
      <c r="ES277" s="239">
        <v>4038</v>
      </c>
      <c r="ET277" s="239">
        <v>0</v>
      </c>
      <c r="EU277" s="239">
        <v>18682</v>
      </c>
      <c r="EV277" s="239">
        <v>0</v>
      </c>
      <c r="EW277" s="239">
        <v>0</v>
      </c>
      <c r="EX277" s="239">
        <v>-2529</v>
      </c>
      <c r="EY277" s="239">
        <v>4038</v>
      </c>
      <c r="EZ277" s="239">
        <v>0</v>
      </c>
      <c r="FA277" s="239">
        <v>117191</v>
      </c>
      <c r="FB277" s="239">
        <v>29298</v>
      </c>
      <c r="FC277" s="239">
        <v>0</v>
      </c>
      <c r="FD277" s="239">
        <v>124971</v>
      </c>
      <c r="FE277" s="239">
        <v>31243</v>
      </c>
      <c r="FF277" s="239">
        <v>0</v>
      </c>
      <c r="FG277" s="239">
        <v>-7780</v>
      </c>
      <c r="FH277" s="239">
        <v>-1945</v>
      </c>
      <c r="FI277" s="239">
        <v>0</v>
      </c>
      <c r="FJ277" s="239">
        <v>0</v>
      </c>
      <c r="FK277" s="239">
        <v>0</v>
      </c>
      <c r="FL277" s="239">
        <v>0</v>
      </c>
      <c r="FM277" s="239">
        <v>0</v>
      </c>
      <c r="FN277" s="239">
        <v>0</v>
      </c>
      <c r="FO277" s="239">
        <v>0</v>
      </c>
      <c r="FP277" s="239">
        <v>0</v>
      </c>
      <c r="FQ277" s="239">
        <v>0</v>
      </c>
      <c r="FR277" s="239">
        <v>0</v>
      </c>
      <c r="FS277" s="239">
        <v>0</v>
      </c>
      <c r="FT277" s="239">
        <v>0</v>
      </c>
      <c r="FU277" s="239">
        <v>0</v>
      </c>
      <c r="FV277" s="239">
        <v>1121070</v>
      </c>
      <c r="FW277" s="239">
        <v>280268</v>
      </c>
      <c r="FX277" s="239">
        <v>0</v>
      </c>
      <c r="FY277" s="834">
        <v>0.5</v>
      </c>
      <c r="FZ277" s="834">
        <v>0.4</v>
      </c>
      <c r="GA277" s="834">
        <v>0.1</v>
      </c>
      <c r="GB277" s="834">
        <v>0</v>
      </c>
      <c r="GC277" s="214" t="s">
        <v>1158</v>
      </c>
    </row>
    <row r="278" spans="2:185" s="214" customFormat="1" x14ac:dyDescent="0.2">
      <c r="B278" s="602" t="s">
        <v>639</v>
      </c>
      <c r="C278" s="602" t="s">
        <v>638</v>
      </c>
      <c r="D278" s="239">
        <v>-2414467</v>
      </c>
      <c r="E278" s="239">
        <v>0</v>
      </c>
      <c r="F278" s="239">
        <v>-2414467</v>
      </c>
      <c r="G278" s="239">
        <v>-2261855</v>
      </c>
      <c r="H278" s="239">
        <v>0</v>
      </c>
      <c r="I278" s="239">
        <v>-2261855</v>
      </c>
      <c r="J278" s="239">
        <v>-152612</v>
      </c>
      <c r="K278" s="239">
        <v>0</v>
      </c>
      <c r="L278" s="239">
        <v>-152612</v>
      </c>
      <c r="M278" s="239">
        <v>168758</v>
      </c>
      <c r="N278" s="239">
        <v>168758</v>
      </c>
      <c r="O278" s="239">
        <v>0</v>
      </c>
      <c r="P278" s="239">
        <v>0</v>
      </c>
      <c r="Q278" s="239">
        <v>0</v>
      </c>
      <c r="R278" s="239">
        <v>0</v>
      </c>
      <c r="S278" s="239">
        <v>355595</v>
      </c>
      <c r="T278" s="239">
        <v>0</v>
      </c>
      <c r="U278" s="239">
        <v>152400</v>
      </c>
      <c r="V278" s="239">
        <v>0</v>
      </c>
      <c r="W278" s="239">
        <v>203195</v>
      </c>
      <c r="X278" s="239">
        <v>0</v>
      </c>
      <c r="Y278" s="239">
        <v>0</v>
      </c>
      <c r="Z278" s="239">
        <v>0</v>
      </c>
      <c r="AA278" s="239">
        <v>0</v>
      </c>
      <c r="AB278" s="239">
        <v>0</v>
      </c>
      <c r="AC278" s="239">
        <v>0</v>
      </c>
      <c r="AD278" s="239">
        <v>0</v>
      </c>
      <c r="AE278" s="239">
        <v>0</v>
      </c>
      <c r="AF278" s="239">
        <v>0</v>
      </c>
      <c r="AG278" s="239">
        <v>0</v>
      </c>
      <c r="AH278" s="239">
        <v>0</v>
      </c>
      <c r="AI278" s="239">
        <v>0</v>
      </c>
      <c r="AJ278" s="239">
        <v>0</v>
      </c>
      <c r="AK278" s="239">
        <v>0</v>
      </c>
      <c r="AL278" s="239">
        <v>0</v>
      </c>
      <c r="AM278" s="239">
        <v>0</v>
      </c>
      <c r="AN278" s="239">
        <v>0</v>
      </c>
      <c r="AO278" s="239">
        <v>0</v>
      </c>
      <c r="AP278" s="239">
        <v>0</v>
      </c>
      <c r="AQ278" s="239">
        <v>0</v>
      </c>
      <c r="AR278" s="239">
        <v>0</v>
      </c>
      <c r="AS278" s="239">
        <v>0</v>
      </c>
      <c r="AT278" s="239">
        <v>0</v>
      </c>
      <c r="AU278" s="239">
        <v>0</v>
      </c>
      <c r="AV278" s="239">
        <v>0</v>
      </c>
      <c r="AW278" s="239">
        <v>0</v>
      </c>
      <c r="AX278" s="239">
        <v>0</v>
      </c>
      <c r="AY278" s="239">
        <v>0</v>
      </c>
      <c r="AZ278" s="239">
        <v>0</v>
      </c>
      <c r="BA278" s="239">
        <v>0</v>
      </c>
      <c r="BB278" s="239">
        <v>0</v>
      </c>
      <c r="BC278" s="239">
        <v>1198174</v>
      </c>
      <c r="BD278" s="239">
        <v>269589</v>
      </c>
      <c r="BE278" s="239">
        <v>29954</v>
      </c>
      <c r="BF278" s="239">
        <v>1170053.2384549356</v>
      </c>
      <c r="BG278" s="239">
        <v>263261.9786523605</v>
      </c>
      <c r="BH278" s="239">
        <v>29251.330961373395</v>
      </c>
      <c r="BI278" s="239">
        <v>87036.410921914168</v>
      </c>
      <c r="BJ278" s="239">
        <v>19583.192457430683</v>
      </c>
      <c r="BK278" s="239">
        <v>2175.9102730478539</v>
      </c>
      <c r="BL278" s="239">
        <v>996611</v>
      </c>
      <c r="BM278" s="239">
        <v>150243</v>
      </c>
      <c r="BN278" s="239">
        <v>16694</v>
      </c>
      <c r="BO278" s="239">
        <v>201563</v>
      </c>
      <c r="BP278" s="239">
        <v>119346</v>
      </c>
      <c r="BQ278" s="239">
        <v>13260</v>
      </c>
      <c r="BR278" s="239">
        <v>17527</v>
      </c>
      <c r="BS278" s="239">
        <v>3944</v>
      </c>
      <c r="BT278" s="239">
        <v>438</v>
      </c>
      <c r="BU278" s="239">
        <v>0</v>
      </c>
      <c r="BV278" s="239">
        <v>0</v>
      </c>
      <c r="BW278" s="239">
        <v>0</v>
      </c>
      <c r="BX278" s="239">
        <v>17527</v>
      </c>
      <c r="BY278" s="239">
        <v>3944</v>
      </c>
      <c r="BZ278" s="239">
        <v>438</v>
      </c>
      <c r="CA278" s="239">
        <v>2050</v>
      </c>
      <c r="CB278" s="239">
        <v>461</v>
      </c>
      <c r="CC278" s="239">
        <v>51</v>
      </c>
      <c r="CD278" s="239">
        <v>3248</v>
      </c>
      <c r="CE278" s="239">
        <v>731</v>
      </c>
      <c r="CF278" s="239">
        <v>81</v>
      </c>
      <c r="CG278" s="239">
        <v>-1198</v>
      </c>
      <c r="CH278" s="239">
        <v>-270</v>
      </c>
      <c r="CI278" s="239">
        <v>-30</v>
      </c>
      <c r="CJ278" s="239">
        <v>22382</v>
      </c>
      <c r="CK278" s="239">
        <v>5036</v>
      </c>
      <c r="CL278" s="239">
        <v>560</v>
      </c>
      <c r="CM278" s="239">
        <v>0</v>
      </c>
      <c r="CN278" s="239">
        <v>0</v>
      </c>
      <c r="CO278" s="239">
        <v>0</v>
      </c>
      <c r="CP278" s="239">
        <v>22382</v>
      </c>
      <c r="CQ278" s="239">
        <v>5036</v>
      </c>
      <c r="CR278" s="239">
        <v>560</v>
      </c>
      <c r="CS278" s="239">
        <v>-767</v>
      </c>
      <c r="CT278" s="239">
        <v>-173</v>
      </c>
      <c r="CU278" s="239">
        <v>-19</v>
      </c>
      <c r="CV278" s="239">
        <v>0</v>
      </c>
      <c r="CW278" s="239">
        <v>0</v>
      </c>
      <c r="CX278" s="239">
        <v>0</v>
      </c>
      <c r="CY278" s="239">
        <v>0</v>
      </c>
      <c r="CZ278" s="239">
        <v>0</v>
      </c>
      <c r="DA278" s="239">
        <v>0</v>
      </c>
      <c r="DB278" s="239">
        <v>0</v>
      </c>
      <c r="DC278" s="239">
        <v>0</v>
      </c>
      <c r="DD278" s="239">
        <v>0</v>
      </c>
      <c r="DE278" s="239">
        <v>-2017</v>
      </c>
      <c r="DF278" s="239">
        <v>-454</v>
      </c>
      <c r="DG278" s="239">
        <v>-50</v>
      </c>
      <c r="DH278" s="239">
        <v>11557</v>
      </c>
      <c r="DI278" s="239">
        <v>2600</v>
      </c>
      <c r="DJ278" s="239">
        <v>289</v>
      </c>
      <c r="DK278" s="239">
        <v>2476</v>
      </c>
      <c r="DL278" s="239">
        <v>557</v>
      </c>
      <c r="DM278" s="239">
        <v>62</v>
      </c>
      <c r="DN278" s="239">
        <v>9081</v>
      </c>
      <c r="DO278" s="239">
        <v>2043</v>
      </c>
      <c r="DP278" s="239">
        <v>227</v>
      </c>
      <c r="DQ278" s="239">
        <v>0</v>
      </c>
      <c r="DR278" s="239">
        <v>0</v>
      </c>
      <c r="DS278" s="239">
        <v>0</v>
      </c>
      <c r="DT278" s="239">
        <v>609</v>
      </c>
      <c r="DU278" s="239">
        <v>137</v>
      </c>
      <c r="DV278" s="239">
        <v>15</v>
      </c>
      <c r="DW278" s="239">
        <v>-609</v>
      </c>
      <c r="DX278" s="239">
        <v>-137</v>
      </c>
      <c r="DY278" s="239">
        <v>-15</v>
      </c>
      <c r="DZ278" s="239">
        <v>9255</v>
      </c>
      <c r="EA278" s="239">
        <v>2082</v>
      </c>
      <c r="EB278" s="239">
        <v>231</v>
      </c>
      <c r="EC278" s="239">
        <v>17255</v>
      </c>
      <c r="ED278" s="239">
        <v>0</v>
      </c>
      <c r="EE278" s="239">
        <v>0</v>
      </c>
      <c r="EF278" s="239">
        <v>-8000</v>
      </c>
      <c r="EG278" s="239">
        <v>2082</v>
      </c>
      <c r="EH278" s="239">
        <v>231</v>
      </c>
      <c r="EI278" s="239">
        <v>111257</v>
      </c>
      <c r="EJ278" s="239">
        <v>25033</v>
      </c>
      <c r="EK278" s="239">
        <v>2781</v>
      </c>
      <c r="EL278" s="239">
        <v>138092</v>
      </c>
      <c r="EM278" s="239">
        <v>0</v>
      </c>
      <c r="EN278" s="239">
        <v>0</v>
      </c>
      <c r="EO278" s="239">
        <v>-26835</v>
      </c>
      <c r="EP278" s="239">
        <v>25033</v>
      </c>
      <c r="EQ278" s="239">
        <v>2781</v>
      </c>
      <c r="ER278" s="239">
        <v>22481</v>
      </c>
      <c r="ES278" s="239">
        <v>5058</v>
      </c>
      <c r="ET278" s="239">
        <v>562</v>
      </c>
      <c r="EU278" s="239">
        <v>18778</v>
      </c>
      <c r="EV278" s="239">
        <v>0</v>
      </c>
      <c r="EW278" s="239">
        <v>0</v>
      </c>
      <c r="EX278" s="239">
        <v>3703</v>
      </c>
      <c r="EY278" s="239">
        <v>5058</v>
      </c>
      <c r="EZ278" s="239">
        <v>562</v>
      </c>
      <c r="FA278" s="239">
        <v>217677</v>
      </c>
      <c r="FB278" s="239">
        <v>47776</v>
      </c>
      <c r="FC278" s="239">
        <v>5308</v>
      </c>
      <c r="FD278" s="239">
        <v>224874</v>
      </c>
      <c r="FE278" s="239">
        <v>50082</v>
      </c>
      <c r="FF278" s="239">
        <v>5565</v>
      </c>
      <c r="FG278" s="239">
        <v>-7197</v>
      </c>
      <c r="FH278" s="239">
        <v>-2306</v>
      </c>
      <c r="FI278" s="239">
        <v>-257</v>
      </c>
      <c r="FJ278" s="239">
        <v>0</v>
      </c>
      <c r="FK278" s="239">
        <v>0</v>
      </c>
      <c r="FL278" s="239">
        <v>0</v>
      </c>
      <c r="FM278" s="239">
        <v>0</v>
      </c>
      <c r="FN278" s="239">
        <v>0</v>
      </c>
      <c r="FO278" s="239">
        <v>0</v>
      </c>
      <c r="FP278" s="239">
        <v>0</v>
      </c>
      <c r="FQ278" s="239">
        <v>0</v>
      </c>
      <c r="FR278" s="239">
        <v>0</v>
      </c>
      <c r="FS278" s="239">
        <v>0</v>
      </c>
      <c r="FT278" s="239">
        <v>0</v>
      </c>
      <c r="FU278" s="239">
        <v>0</v>
      </c>
      <c r="FV278" s="239">
        <v>1609576</v>
      </c>
      <c r="FW278" s="239">
        <v>360952</v>
      </c>
      <c r="FX278" s="239">
        <v>40105</v>
      </c>
      <c r="FY278" s="834">
        <v>0.5</v>
      </c>
      <c r="FZ278" s="834">
        <v>0.4</v>
      </c>
      <c r="GA278" s="834">
        <v>0.09</v>
      </c>
      <c r="GB278" s="834">
        <v>0.01</v>
      </c>
      <c r="GC278" s="214" t="s">
        <v>1158</v>
      </c>
    </row>
    <row r="279" spans="2:185" s="214" customFormat="1" x14ac:dyDescent="0.2">
      <c r="B279" s="602" t="s">
        <v>641</v>
      </c>
      <c r="C279" s="602" t="s">
        <v>640</v>
      </c>
      <c r="D279" s="239">
        <v>-519102</v>
      </c>
      <c r="E279" s="239">
        <v>0</v>
      </c>
      <c r="F279" s="239">
        <v>-519102</v>
      </c>
      <c r="G279" s="239">
        <v>-872917</v>
      </c>
      <c r="H279" s="239">
        <v>0</v>
      </c>
      <c r="I279" s="239">
        <v>-872917</v>
      </c>
      <c r="J279" s="239">
        <v>353815</v>
      </c>
      <c r="K279" s="239">
        <v>0</v>
      </c>
      <c r="L279" s="239">
        <v>353815</v>
      </c>
      <c r="M279" s="239">
        <v>189507</v>
      </c>
      <c r="N279" s="239">
        <v>189507</v>
      </c>
      <c r="O279" s="239">
        <v>0</v>
      </c>
      <c r="P279" s="239">
        <v>0</v>
      </c>
      <c r="Q279" s="239">
        <v>0</v>
      </c>
      <c r="R279" s="239">
        <v>0</v>
      </c>
      <c r="S279" s="239">
        <v>73316</v>
      </c>
      <c r="T279" s="239">
        <v>0</v>
      </c>
      <c r="U279" s="239">
        <v>109524</v>
      </c>
      <c r="V279" s="239">
        <v>0</v>
      </c>
      <c r="W279" s="239">
        <v>-36208</v>
      </c>
      <c r="X279" s="239">
        <v>0</v>
      </c>
      <c r="Y279" s="239">
        <v>0</v>
      </c>
      <c r="Z279" s="239">
        <v>0</v>
      </c>
      <c r="AA279" s="239">
        <v>0</v>
      </c>
      <c r="AB279" s="239">
        <v>0</v>
      </c>
      <c r="AC279" s="239">
        <v>0</v>
      </c>
      <c r="AD279" s="239">
        <v>0</v>
      </c>
      <c r="AE279" s="239">
        <v>0</v>
      </c>
      <c r="AF279" s="239">
        <v>0</v>
      </c>
      <c r="AG279" s="239">
        <v>0</v>
      </c>
      <c r="AH279" s="239">
        <v>0</v>
      </c>
      <c r="AI279" s="239">
        <v>0</v>
      </c>
      <c r="AJ279" s="239">
        <v>0</v>
      </c>
      <c r="AK279" s="239">
        <v>0</v>
      </c>
      <c r="AL279" s="239">
        <v>0</v>
      </c>
      <c r="AM279" s="239">
        <v>0</v>
      </c>
      <c r="AN279" s="239">
        <v>0</v>
      </c>
      <c r="AO279" s="239">
        <v>0</v>
      </c>
      <c r="AP279" s="239">
        <v>0</v>
      </c>
      <c r="AQ279" s="239">
        <v>0</v>
      </c>
      <c r="AR279" s="239">
        <v>0</v>
      </c>
      <c r="AS279" s="239">
        <v>0</v>
      </c>
      <c r="AT279" s="239">
        <v>0</v>
      </c>
      <c r="AU279" s="239">
        <v>0</v>
      </c>
      <c r="AV279" s="239">
        <v>0</v>
      </c>
      <c r="AW279" s="239">
        <v>0</v>
      </c>
      <c r="AX279" s="239">
        <v>0</v>
      </c>
      <c r="AY279" s="239">
        <v>0</v>
      </c>
      <c r="AZ279" s="239">
        <v>0</v>
      </c>
      <c r="BA279" s="239">
        <v>0</v>
      </c>
      <c r="BB279" s="239">
        <v>0</v>
      </c>
      <c r="BC279" s="239">
        <v>1544841</v>
      </c>
      <c r="BD279" s="239">
        <v>347589</v>
      </c>
      <c r="BE279" s="239">
        <v>38621</v>
      </c>
      <c r="BF279" s="239">
        <v>1512656.8152635195</v>
      </c>
      <c r="BG279" s="239">
        <v>340347.78343429189</v>
      </c>
      <c r="BH279" s="239">
        <v>37816.420381587988</v>
      </c>
      <c r="BI279" s="239">
        <v>89375.583047210312</v>
      </c>
      <c r="BJ279" s="239">
        <v>19908.360651824034</v>
      </c>
      <c r="BK279" s="239">
        <v>2212.0400724248925</v>
      </c>
      <c r="BL279" s="239">
        <v>1497353</v>
      </c>
      <c r="BM279" s="239">
        <v>235598</v>
      </c>
      <c r="BN279" s="239">
        <v>26178</v>
      </c>
      <c r="BO279" s="239">
        <v>47488</v>
      </c>
      <c r="BP279" s="239">
        <v>111991</v>
      </c>
      <c r="BQ279" s="239">
        <v>12443</v>
      </c>
      <c r="BR279" s="239">
        <v>6043</v>
      </c>
      <c r="BS279" s="239">
        <v>1360</v>
      </c>
      <c r="BT279" s="239">
        <v>151</v>
      </c>
      <c r="BU279" s="239">
        <v>367</v>
      </c>
      <c r="BV279" s="239">
        <v>83</v>
      </c>
      <c r="BW279" s="239">
        <v>9</v>
      </c>
      <c r="BX279" s="239">
        <v>5676</v>
      </c>
      <c r="BY279" s="239">
        <v>1277</v>
      </c>
      <c r="BZ279" s="239">
        <v>142</v>
      </c>
      <c r="CA279" s="239">
        <v>0</v>
      </c>
      <c r="CB279" s="239">
        <v>0</v>
      </c>
      <c r="CC279" s="239">
        <v>0</v>
      </c>
      <c r="CD279" s="239">
        <v>0</v>
      </c>
      <c r="CE279" s="239">
        <v>0</v>
      </c>
      <c r="CF279" s="239">
        <v>0</v>
      </c>
      <c r="CG279" s="239">
        <v>0</v>
      </c>
      <c r="CH279" s="239">
        <v>0</v>
      </c>
      <c r="CI279" s="239">
        <v>0</v>
      </c>
      <c r="CJ279" s="239">
        <v>0</v>
      </c>
      <c r="CK279" s="239">
        <v>0</v>
      </c>
      <c r="CL279" s="239">
        <v>0</v>
      </c>
      <c r="CM279" s="239">
        <v>0</v>
      </c>
      <c r="CN279" s="239">
        <v>0</v>
      </c>
      <c r="CO279" s="239">
        <v>0</v>
      </c>
      <c r="CP279" s="239">
        <v>0</v>
      </c>
      <c r="CQ279" s="239">
        <v>0</v>
      </c>
      <c r="CR279" s="239">
        <v>0</v>
      </c>
      <c r="CS279" s="239">
        <v>-2152</v>
      </c>
      <c r="CT279" s="239">
        <v>-484</v>
      </c>
      <c r="CU279" s="239">
        <v>-54</v>
      </c>
      <c r="CV279" s="239">
        <v>0</v>
      </c>
      <c r="CW279" s="239">
        <v>0</v>
      </c>
      <c r="CX279" s="239">
        <v>0</v>
      </c>
      <c r="CY279" s="239">
        <v>0</v>
      </c>
      <c r="CZ279" s="239">
        <v>0</v>
      </c>
      <c r="DA279" s="239">
        <v>0</v>
      </c>
      <c r="DB279" s="239">
        <v>0</v>
      </c>
      <c r="DC279" s="239">
        <v>0</v>
      </c>
      <c r="DD279" s="239">
        <v>0</v>
      </c>
      <c r="DE279" s="239">
        <v>-307</v>
      </c>
      <c r="DF279" s="239">
        <v>-69</v>
      </c>
      <c r="DG279" s="239">
        <v>-8</v>
      </c>
      <c r="DH279" s="239">
        <v>15659</v>
      </c>
      <c r="DI279" s="239">
        <v>3523</v>
      </c>
      <c r="DJ279" s="239">
        <v>391</v>
      </c>
      <c r="DK279" s="239">
        <v>20796</v>
      </c>
      <c r="DL279" s="239">
        <v>4679</v>
      </c>
      <c r="DM279" s="239">
        <v>520</v>
      </c>
      <c r="DN279" s="239">
        <v>-5137</v>
      </c>
      <c r="DO279" s="239">
        <v>-1156</v>
      </c>
      <c r="DP279" s="239">
        <v>-129</v>
      </c>
      <c r="DQ279" s="239">
        <v>609</v>
      </c>
      <c r="DR279" s="239">
        <v>137</v>
      </c>
      <c r="DS279" s="239">
        <v>15</v>
      </c>
      <c r="DT279" s="239">
        <v>609</v>
      </c>
      <c r="DU279" s="239">
        <v>137</v>
      </c>
      <c r="DV279" s="239">
        <v>15</v>
      </c>
      <c r="DW279" s="239">
        <v>0</v>
      </c>
      <c r="DX279" s="239">
        <v>0</v>
      </c>
      <c r="DY279" s="239">
        <v>0</v>
      </c>
      <c r="DZ279" s="239">
        <v>13662</v>
      </c>
      <c r="EA279" s="239">
        <v>3074</v>
      </c>
      <c r="EB279" s="239">
        <v>342</v>
      </c>
      <c r="EC279" s="239">
        <v>17077</v>
      </c>
      <c r="ED279" s="239">
        <v>0</v>
      </c>
      <c r="EE279" s="239">
        <v>0</v>
      </c>
      <c r="EF279" s="239">
        <v>-3415</v>
      </c>
      <c r="EG279" s="239">
        <v>3074</v>
      </c>
      <c r="EH279" s="239">
        <v>342</v>
      </c>
      <c r="EI279" s="239">
        <v>119362</v>
      </c>
      <c r="EJ279" s="239">
        <v>26856</v>
      </c>
      <c r="EK279" s="239">
        <v>2984</v>
      </c>
      <c r="EL279" s="239">
        <v>146995</v>
      </c>
      <c r="EM279" s="239">
        <v>0</v>
      </c>
      <c r="EN279" s="239">
        <v>0</v>
      </c>
      <c r="EO279" s="239">
        <v>-27633</v>
      </c>
      <c r="EP279" s="239">
        <v>26856</v>
      </c>
      <c r="EQ279" s="239">
        <v>2984</v>
      </c>
      <c r="ER279" s="239">
        <v>41057</v>
      </c>
      <c r="ES279" s="239">
        <v>9238</v>
      </c>
      <c r="ET279" s="239">
        <v>1026</v>
      </c>
      <c r="EU279" s="239">
        <v>46938</v>
      </c>
      <c r="EV279" s="239">
        <v>0</v>
      </c>
      <c r="EW279" s="239">
        <v>0</v>
      </c>
      <c r="EX279" s="239">
        <v>-5881</v>
      </c>
      <c r="EY279" s="239">
        <v>9238</v>
      </c>
      <c r="EZ279" s="239">
        <v>1026</v>
      </c>
      <c r="FA279" s="239">
        <v>168400</v>
      </c>
      <c r="FB279" s="239">
        <v>37642</v>
      </c>
      <c r="FC279" s="239">
        <v>4182</v>
      </c>
      <c r="FD279" s="239">
        <v>188236</v>
      </c>
      <c r="FE279" s="239">
        <v>41983</v>
      </c>
      <c r="FF279" s="239">
        <v>4665</v>
      </c>
      <c r="FG279" s="239">
        <v>-19836</v>
      </c>
      <c r="FH279" s="239">
        <v>-4341</v>
      </c>
      <c r="FI279" s="239">
        <v>-483</v>
      </c>
      <c r="FJ279" s="239">
        <v>0</v>
      </c>
      <c r="FK279" s="239">
        <v>0</v>
      </c>
      <c r="FL279" s="239">
        <v>0</v>
      </c>
      <c r="FM279" s="239">
        <v>0</v>
      </c>
      <c r="FN279" s="239">
        <v>0</v>
      </c>
      <c r="FO279" s="239">
        <v>0</v>
      </c>
      <c r="FP279" s="239">
        <v>0</v>
      </c>
      <c r="FQ279" s="239">
        <v>0</v>
      </c>
      <c r="FR279" s="239">
        <v>0</v>
      </c>
      <c r="FS279" s="239">
        <v>0</v>
      </c>
      <c r="FT279" s="239">
        <v>0</v>
      </c>
      <c r="FU279" s="239">
        <v>0</v>
      </c>
      <c r="FV279" s="239">
        <v>1907174</v>
      </c>
      <c r="FW279" s="239">
        <v>428866</v>
      </c>
      <c r="FX279" s="239">
        <v>47650</v>
      </c>
      <c r="FY279" s="834">
        <v>0.5</v>
      </c>
      <c r="FZ279" s="834">
        <v>0.4</v>
      </c>
      <c r="GA279" s="834">
        <v>0.09</v>
      </c>
      <c r="GB279" s="834">
        <v>0.01</v>
      </c>
      <c r="GC279" s="214" t="s">
        <v>1158</v>
      </c>
    </row>
    <row r="280" spans="2:185" s="214" customFormat="1" x14ac:dyDescent="0.2">
      <c r="B280" s="602" t="s">
        <v>643</v>
      </c>
      <c r="C280" s="602" t="s">
        <v>642</v>
      </c>
      <c r="D280" s="239">
        <v>-797431</v>
      </c>
      <c r="E280" s="239">
        <v>0</v>
      </c>
      <c r="F280" s="239">
        <v>-797431</v>
      </c>
      <c r="G280" s="239">
        <v>-599557</v>
      </c>
      <c r="H280" s="239">
        <v>0</v>
      </c>
      <c r="I280" s="239">
        <v>-599557</v>
      </c>
      <c r="J280" s="239">
        <v>-197874</v>
      </c>
      <c r="K280" s="239">
        <v>0</v>
      </c>
      <c r="L280" s="239">
        <v>-197874</v>
      </c>
      <c r="M280" s="239">
        <v>216826</v>
      </c>
      <c r="N280" s="239">
        <v>216826</v>
      </c>
      <c r="O280" s="239">
        <v>0</v>
      </c>
      <c r="P280" s="239">
        <v>0</v>
      </c>
      <c r="Q280" s="239">
        <v>0</v>
      </c>
      <c r="R280" s="239">
        <v>0</v>
      </c>
      <c r="S280" s="239">
        <v>90964</v>
      </c>
      <c r="T280" s="239">
        <v>0</v>
      </c>
      <c r="U280" s="239">
        <v>63524</v>
      </c>
      <c r="V280" s="239">
        <v>0</v>
      </c>
      <c r="W280" s="239">
        <v>27440</v>
      </c>
      <c r="X280" s="239">
        <v>0</v>
      </c>
      <c r="Y280" s="239">
        <v>0</v>
      </c>
      <c r="Z280" s="239">
        <v>0</v>
      </c>
      <c r="AA280" s="239">
        <v>0</v>
      </c>
      <c r="AB280" s="239">
        <v>0</v>
      </c>
      <c r="AC280" s="239">
        <v>0</v>
      </c>
      <c r="AD280" s="239">
        <v>0</v>
      </c>
      <c r="AE280" s="239">
        <v>0</v>
      </c>
      <c r="AF280" s="239">
        <v>0</v>
      </c>
      <c r="AG280" s="239">
        <v>0</v>
      </c>
      <c r="AH280" s="239">
        <v>0</v>
      </c>
      <c r="AI280" s="239">
        <v>0</v>
      </c>
      <c r="AJ280" s="239">
        <v>0</v>
      </c>
      <c r="AK280" s="239">
        <v>0</v>
      </c>
      <c r="AL280" s="239">
        <v>0</v>
      </c>
      <c r="AM280" s="239">
        <v>0</v>
      </c>
      <c r="AN280" s="239">
        <v>0</v>
      </c>
      <c r="AO280" s="239">
        <v>0</v>
      </c>
      <c r="AP280" s="239">
        <v>0</v>
      </c>
      <c r="AQ280" s="239">
        <v>0</v>
      </c>
      <c r="AR280" s="239">
        <v>0</v>
      </c>
      <c r="AS280" s="239">
        <v>0</v>
      </c>
      <c r="AT280" s="239">
        <v>0</v>
      </c>
      <c r="AU280" s="239">
        <v>0</v>
      </c>
      <c r="AV280" s="239">
        <v>0</v>
      </c>
      <c r="AW280" s="239">
        <v>0</v>
      </c>
      <c r="AX280" s="239">
        <v>0</v>
      </c>
      <c r="AY280" s="239">
        <v>0</v>
      </c>
      <c r="AZ280" s="239">
        <v>0</v>
      </c>
      <c r="BA280" s="239">
        <v>0</v>
      </c>
      <c r="BB280" s="239">
        <v>0</v>
      </c>
      <c r="BC280" s="239">
        <v>1653361</v>
      </c>
      <c r="BD280" s="239">
        <v>0</v>
      </c>
      <c r="BE280" s="239">
        <v>33742</v>
      </c>
      <c r="BF280" s="239">
        <v>1611704.1173230687</v>
      </c>
      <c r="BG280" s="239">
        <v>0</v>
      </c>
      <c r="BH280" s="239">
        <v>32891.920761695277</v>
      </c>
      <c r="BI280" s="239">
        <v>144254.31943669528</v>
      </c>
      <c r="BJ280" s="239">
        <v>0</v>
      </c>
      <c r="BK280" s="239">
        <v>2943.9657027896997</v>
      </c>
      <c r="BL280" s="239">
        <v>1375698</v>
      </c>
      <c r="BM280" s="239">
        <v>0</v>
      </c>
      <c r="BN280" s="239">
        <v>19541</v>
      </c>
      <c r="BO280" s="239">
        <v>277663</v>
      </c>
      <c r="BP280" s="239">
        <v>0</v>
      </c>
      <c r="BQ280" s="239">
        <v>14201</v>
      </c>
      <c r="BR280" s="239">
        <v>13887</v>
      </c>
      <c r="BS280" s="239">
        <v>0</v>
      </c>
      <c r="BT280" s="239">
        <v>283</v>
      </c>
      <c r="BU280" s="239">
        <v>6703</v>
      </c>
      <c r="BV280" s="239">
        <v>0</v>
      </c>
      <c r="BW280" s="239">
        <v>137</v>
      </c>
      <c r="BX280" s="239">
        <v>7184</v>
      </c>
      <c r="BY280" s="239">
        <v>0</v>
      </c>
      <c r="BZ280" s="239">
        <v>146</v>
      </c>
      <c r="CA280" s="239">
        <v>764</v>
      </c>
      <c r="CB280" s="239">
        <v>0</v>
      </c>
      <c r="CC280" s="239">
        <v>16</v>
      </c>
      <c r="CD280" s="239">
        <v>2740</v>
      </c>
      <c r="CE280" s="239">
        <v>0</v>
      </c>
      <c r="CF280" s="239">
        <v>56</v>
      </c>
      <c r="CG280" s="239">
        <v>-1976</v>
      </c>
      <c r="CH280" s="239">
        <v>0</v>
      </c>
      <c r="CI280" s="239">
        <v>-40</v>
      </c>
      <c r="CJ280" s="239">
        <v>-4167</v>
      </c>
      <c r="CK280" s="239">
        <v>0</v>
      </c>
      <c r="CL280" s="239">
        <v>-85</v>
      </c>
      <c r="CM280" s="239">
        <v>38985</v>
      </c>
      <c r="CN280" s="239">
        <v>0</v>
      </c>
      <c r="CO280" s="239">
        <v>796</v>
      </c>
      <c r="CP280" s="239">
        <v>-43152</v>
      </c>
      <c r="CQ280" s="239">
        <v>0</v>
      </c>
      <c r="CR280" s="239">
        <v>-881</v>
      </c>
      <c r="CS280" s="239">
        <v>-1997</v>
      </c>
      <c r="CT280" s="239">
        <v>0</v>
      </c>
      <c r="CU280" s="239">
        <v>-41</v>
      </c>
      <c r="CV280" s="239">
        <v>0</v>
      </c>
      <c r="CW280" s="239">
        <v>0</v>
      </c>
      <c r="CX280" s="239">
        <v>0</v>
      </c>
      <c r="CY280" s="239">
        <v>0</v>
      </c>
      <c r="CZ280" s="239">
        <v>0</v>
      </c>
      <c r="DA280" s="239">
        <v>0</v>
      </c>
      <c r="DB280" s="239">
        <v>0</v>
      </c>
      <c r="DC280" s="239">
        <v>0</v>
      </c>
      <c r="DD280" s="239">
        <v>0</v>
      </c>
      <c r="DE280" s="239">
        <v>0</v>
      </c>
      <c r="DF280" s="239">
        <v>0</v>
      </c>
      <c r="DG280" s="239">
        <v>0</v>
      </c>
      <c r="DH280" s="239">
        <v>0</v>
      </c>
      <c r="DI280" s="239">
        <v>0</v>
      </c>
      <c r="DJ280" s="239">
        <v>0</v>
      </c>
      <c r="DK280" s="239">
        <v>2055</v>
      </c>
      <c r="DL280" s="239">
        <v>0</v>
      </c>
      <c r="DM280" s="239">
        <v>42</v>
      </c>
      <c r="DN280" s="239">
        <v>-2055</v>
      </c>
      <c r="DO280" s="239">
        <v>0</v>
      </c>
      <c r="DP280" s="239">
        <v>-42</v>
      </c>
      <c r="DQ280" s="239">
        <v>746</v>
      </c>
      <c r="DR280" s="239">
        <v>0</v>
      </c>
      <c r="DS280" s="239">
        <v>15</v>
      </c>
      <c r="DT280" s="239">
        <v>746</v>
      </c>
      <c r="DU280" s="239">
        <v>0</v>
      </c>
      <c r="DV280" s="239">
        <v>15</v>
      </c>
      <c r="DW280" s="239">
        <v>0</v>
      </c>
      <c r="DX280" s="239">
        <v>0</v>
      </c>
      <c r="DY280" s="239">
        <v>0</v>
      </c>
      <c r="DZ280" s="239">
        <v>21148</v>
      </c>
      <c r="EA280" s="239">
        <v>0</v>
      </c>
      <c r="EB280" s="239">
        <v>432</v>
      </c>
      <c r="EC280" s="239">
        <v>21560</v>
      </c>
      <c r="ED280" s="239">
        <v>0</v>
      </c>
      <c r="EE280" s="239">
        <v>0</v>
      </c>
      <c r="EF280" s="239">
        <v>-412</v>
      </c>
      <c r="EG280" s="239">
        <v>0</v>
      </c>
      <c r="EH280" s="239">
        <v>432</v>
      </c>
      <c r="EI280" s="239">
        <v>192417</v>
      </c>
      <c r="EJ280" s="239">
        <v>0</v>
      </c>
      <c r="EK280" s="239">
        <v>3927</v>
      </c>
      <c r="EL280" s="239">
        <v>200144</v>
      </c>
      <c r="EM280" s="239">
        <v>0</v>
      </c>
      <c r="EN280" s="239">
        <v>0</v>
      </c>
      <c r="EO280" s="239">
        <v>-7727</v>
      </c>
      <c r="EP280" s="239">
        <v>0</v>
      </c>
      <c r="EQ280" s="239">
        <v>3927</v>
      </c>
      <c r="ER280" s="239">
        <v>27791</v>
      </c>
      <c r="ES280" s="239">
        <v>0</v>
      </c>
      <c r="ET280" s="239">
        <v>567</v>
      </c>
      <c r="EU280" s="239">
        <v>27395</v>
      </c>
      <c r="EV280" s="239">
        <v>0</v>
      </c>
      <c r="EW280" s="239">
        <v>0</v>
      </c>
      <c r="EX280" s="239">
        <v>396</v>
      </c>
      <c r="EY280" s="239">
        <v>0</v>
      </c>
      <c r="EZ280" s="239">
        <v>567</v>
      </c>
      <c r="FA280" s="239">
        <v>509733</v>
      </c>
      <c r="FB280" s="239">
        <v>0</v>
      </c>
      <c r="FC280" s="239">
        <v>10375</v>
      </c>
      <c r="FD280" s="239">
        <v>500802</v>
      </c>
      <c r="FE280" s="239">
        <v>0</v>
      </c>
      <c r="FF280" s="239">
        <v>10201</v>
      </c>
      <c r="FG280" s="239">
        <v>8931</v>
      </c>
      <c r="FH280" s="239">
        <v>0</v>
      </c>
      <c r="FI280" s="239">
        <v>174</v>
      </c>
      <c r="FJ280" s="239">
        <v>0</v>
      </c>
      <c r="FK280" s="239">
        <v>0</v>
      </c>
      <c r="FL280" s="239">
        <v>0</v>
      </c>
      <c r="FM280" s="239">
        <v>0</v>
      </c>
      <c r="FN280" s="239">
        <v>0</v>
      </c>
      <c r="FO280" s="239">
        <v>0</v>
      </c>
      <c r="FP280" s="239">
        <v>0</v>
      </c>
      <c r="FQ280" s="239">
        <v>0</v>
      </c>
      <c r="FR280" s="239">
        <v>0</v>
      </c>
      <c r="FS280" s="239">
        <v>0</v>
      </c>
      <c r="FT280" s="239">
        <v>0</v>
      </c>
      <c r="FU280" s="239">
        <v>0</v>
      </c>
      <c r="FV280" s="239">
        <v>2413683</v>
      </c>
      <c r="FW280" s="239">
        <v>0</v>
      </c>
      <c r="FX280" s="239">
        <v>49231</v>
      </c>
      <c r="FY280" s="834">
        <v>0.5</v>
      </c>
      <c r="FZ280" s="834">
        <v>0.49</v>
      </c>
      <c r="GA280" s="834">
        <v>0</v>
      </c>
      <c r="GB280" s="834">
        <v>0.01</v>
      </c>
      <c r="GC280" s="214" t="s">
        <v>746</v>
      </c>
    </row>
    <row r="281" spans="2:185" s="214" customFormat="1" x14ac:dyDescent="0.2">
      <c r="B281" s="602" t="s">
        <v>645</v>
      </c>
      <c r="C281" s="602" t="s">
        <v>644</v>
      </c>
      <c r="D281" s="239">
        <v>489025</v>
      </c>
      <c r="E281" s="239">
        <v>0</v>
      </c>
      <c r="F281" s="239">
        <v>489025</v>
      </c>
      <c r="G281" s="239">
        <v>460247</v>
      </c>
      <c r="H281" s="239">
        <v>0</v>
      </c>
      <c r="I281" s="239">
        <v>460247</v>
      </c>
      <c r="J281" s="239">
        <v>28778</v>
      </c>
      <c r="K281" s="239">
        <v>0</v>
      </c>
      <c r="L281" s="239">
        <v>28778</v>
      </c>
      <c r="M281" s="239">
        <v>290060</v>
      </c>
      <c r="N281" s="239">
        <v>290060</v>
      </c>
      <c r="O281" s="239">
        <v>0</v>
      </c>
      <c r="P281" s="239">
        <v>0</v>
      </c>
      <c r="Q281" s="239">
        <v>0</v>
      </c>
      <c r="R281" s="239">
        <v>0</v>
      </c>
      <c r="S281" s="239">
        <v>288644</v>
      </c>
      <c r="T281" s="239">
        <v>0</v>
      </c>
      <c r="U281" s="239">
        <v>275365</v>
      </c>
      <c r="V281" s="239">
        <v>0</v>
      </c>
      <c r="W281" s="239">
        <v>13279</v>
      </c>
      <c r="X281" s="239">
        <v>0</v>
      </c>
      <c r="Y281" s="239">
        <v>0</v>
      </c>
      <c r="Z281" s="239">
        <v>0</v>
      </c>
      <c r="AA281" s="239">
        <v>0</v>
      </c>
      <c r="AB281" s="239">
        <v>0</v>
      </c>
      <c r="AC281" s="239">
        <v>0</v>
      </c>
      <c r="AD281" s="239">
        <v>0</v>
      </c>
      <c r="AE281" s="239">
        <v>0</v>
      </c>
      <c r="AF281" s="239">
        <v>0</v>
      </c>
      <c r="AG281" s="239">
        <v>0</v>
      </c>
      <c r="AH281" s="239">
        <v>0</v>
      </c>
      <c r="AI281" s="239">
        <v>0</v>
      </c>
      <c r="AJ281" s="239">
        <v>0</v>
      </c>
      <c r="AK281" s="239">
        <v>0</v>
      </c>
      <c r="AL281" s="239">
        <v>0</v>
      </c>
      <c r="AM281" s="239">
        <v>0</v>
      </c>
      <c r="AN281" s="239">
        <v>0</v>
      </c>
      <c r="AO281" s="239">
        <v>0</v>
      </c>
      <c r="AP281" s="239">
        <v>0</v>
      </c>
      <c r="AQ281" s="239">
        <v>0</v>
      </c>
      <c r="AR281" s="239">
        <v>0</v>
      </c>
      <c r="AS281" s="239">
        <v>0</v>
      </c>
      <c r="AT281" s="239">
        <v>0</v>
      </c>
      <c r="AU281" s="239">
        <v>0</v>
      </c>
      <c r="AV281" s="239">
        <v>0</v>
      </c>
      <c r="AW281" s="239">
        <v>0</v>
      </c>
      <c r="AX281" s="239">
        <v>0</v>
      </c>
      <c r="AY281" s="239">
        <v>0</v>
      </c>
      <c r="AZ281" s="239">
        <v>0</v>
      </c>
      <c r="BA281" s="239">
        <v>0</v>
      </c>
      <c r="BB281" s="239">
        <v>0</v>
      </c>
      <c r="BC281" s="239">
        <v>1635176</v>
      </c>
      <c r="BD281" s="239">
        <v>367915</v>
      </c>
      <c r="BE281" s="239">
        <v>40879</v>
      </c>
      <c r="BF281" s="239">
        <v>1610684.9929948498</v>
      </c>
      <c r="BG281" s="239">
        <v>362404.1234238412</v>
      </c>
      <c r="BH281" s="239">
        <v>40267.124824871251</v>
      </c>
      <c r="BI281" s="239">
        <v>13301.764871244635</v>
      </c>
      <c r="BJ281" s="239">
        <v>2992.8970960300421</v>
      </c>
      <c r="BK281" s="239">
        <v>332.54412178111585</v>
      </c>
      <c r="BL281" s="239">
        <v>1615555</v>
      </c>
      <c r="BM281" s="239">
        <v>258259</v>
      </c>
      <c r="BN281" s="239">
        <v>28695</v>
      </c>
      <c r="BO281" s="239">
        <v>19621</v>
      </c>
      <c r="BP281" s="239">
        <v>109656</v>
      </c>
      <c r="BQ281" s="239">
        <v>12184</v>
      </c>
      <c r="BR281" s="239">
        <v>8484</v>
      </c>
      <c r="BS281" s="239">
        <v>1909</v>
      </c>
      <c r="BT281" s="239">
        <v>212</v>
      </c>
      <c r="BU281" s="239">
        <v>0</v>
      </c>
      <c r="BV281" s="239">
        <v>0</v>
      </c>
      <c r="BW281" s="239">
        <v>0</v>
      </c>
      <c r="BX281" s="239">
        <v>8484</v>
      </c>
      <c r="BY281" s="239">
        <v>1909</v>
      </c>
      <c r="BZ281" s="239">
        <v>212</v>
      </c>
      <c r="CA281" s="239">
        <v>12206</v>
      </c>
      <c r="CB281" s="239">
        <v>2746</v>
      </c>
      <c r="CC281" s="239">
        <v>305</v>
      </c>
      <c r="CD281" s="239">
        <v>0</v>
      </c>
      <c r="CE281" s="239">
        <v>0</v>
      </c>
      <c r="CF281" s="239">
        <v>0</v>
      </c>
      <c r="CG281" s="239">
        <v>12206</v>
      </c>
      <c r="CH281" s="239">
        <v>2746</v>
      </c>
      <c r="CI281" s="239">
        <v>305</v>
      </c>
      <c r="CJ281" s="239">
        <v>708</v>
      </c>
      <c r="CK281" s="239">
        <v>159</v>
      </c>
      <c r="CL281" s="239">
        <v>18</v>
      </c>
      <c r="CM281" s="239">
        <v>0</v>
      </c>
      <c r="CN281" s="239">
        <v>0</v>
      </c>
      <c r="CO281" s="239">
        <v>0</v>
      </c>
      <c r="CP281" s="239">
        <v>708</v>
      </c>
      <c r="CQ281" s="239">
        <v>159</v>
      </c>
      <c r="CR281" s="239">
        <v>18</v>
      </c>
      <c r="CS281" s="239">
        <v>-1665</v>
      </c>
      <c r="CT281" s="239">
        <v>-375</v>
      </c>
      <c r="CU281" s="239">
        <v>-42</v>
      </c>
      <c r="CV281" s="239">
        <v>0</v>
      </c>
      <c r="CW281" s="239">
        <v>0</v>
      </c>
      <c r="CX281" s="239">
        <v>0</v>
      </c>
      <c r="CY281" s="239">
        <v>0</v>
      </c>
      <c r="CZ281" s="239">
        <v>0</v>
      </c>
      <c r="DA281" s="239">
        <v>0</v>
      </c>
      <c r="DB281" s="239">
        <v>0</v>
      </c>
      <c r="DC281" s="239">
        <v>0</v>
      </c>
      <c r="DD281" s="239">
        <v>0</v>
      </c>
      <c r="DE281" s="239">
        <v>0</v>
      </c>
      <c r="DF281" s="239">
        <v>0</v>
      </c>
      <c r="DG281" s="239">
        <v>0</v>
      </c>
      <c r="DH281" s="239">
        <v>13653</v>
      </c>
      <c r="DI281" s="239">
        <v>3072</v>
      </c>
      <c r="DJ281" s="239">
        <v>341</v>
      </c>
      <c r="DK281" s="239">
        <v>13712</v>
      </c>
      <c r="DL281" s="239">
        <v>3085</v>
      </c>
      <c r="DM281" s="239">
        <v>343</v>
      </c>
      <c r="DN281" s="239">
        <v>-59</v>
      </c>
      <c r="DO281" s="239">
        <v>-13</v>
      </c>
      <c r="DP281" s="239">
        <v>-2</v>
      </c>
      <c r="DQ281" s="239">
        <v>609</v>
      </c>
      <c r="DR281" s="239">
        <v>137</v>
      </c>
      <c r="DS281" s="239">
        <v>15</v>
      </c>
      <c r="DT281" s="239">
        <v>609</v>
      </c>
      <c r="DU281" s="239">
        <v>137</v>
      </c>
      <c r="DV281" s="239">
        <v>15</v>
      </c>
      <c r="DW281" s="239">
        <v>0</v>
      </c>
      <c r="DX281" s="239">
        <v>0</v>
      </c>
      <c r="DY281" s="239">
        <v>0</v>
      </c>
      <c r="DZ281" s="239">
        <v>7697</v>
      </c>
      <c r="EA281" s="239">
        <v>1732</v>
      </c>
      <c r="EB281" s="239">
        <v>192</v>
      </c>
      <c r="EC281" s="239">
        <v>9778</v>
      </c>
      <c r="ED281" s="239">
        <v>0</v>
      </c>
      <c r="EE281" s="239">
        <v>0</v>
      </c>
      <c r="EF281" s="239">
        <v>-2081</v>
      </c>
      <c r="EG281" s="239">
        <v>1732</v>
      </c>
      <c r="EH281" s="239">
        <v>192</v>
      </c>
      <c r="EI281" s="239">
        <v>94661</v>
      </c>
      <c r="EJ281" s="239">
        <v>21299</v>
      </c>
      <c r="EK281" s="239">
        <v>2367</v>
      </c>
      <c r="EL281" s="239">
        <v>130463</v>
      </c>
      <c r="EM281" s="239">
        <v>0</v>
      </c>
      <c r="EN281" s="239">
        <v>0</v>
      </c>
      <c r="EO281" s="239">
        <v>-35802</v>
      </c>
      <c r="EP281" s="239">
        <v>21299</v>
      </c>
      <c r="EQ281" s="239">
        <v>2367</v>
      </c>
      <c r="ER281" s="239">
        <v>16380</v>
      </c>
      <c r="ES281" s="239">
        <v>3686</v>
      </c>
      <c r="ET281" s="239">
        <v>410</v>
      </c>
      <c r="EU281" s="239">
        <v>19948</v>
      </c>
      <c r="EV281" s="239">
        <v>0</v>
      </c>
      <c r="EW281" s="239">
        <v>0</v>
      </c>
      <c r="EX281" s="239">
        <v>-3568</v>
      </c>
      <c r="EY281" s="239">
        <v>3686</v>
      </c>
      <c r="EZ281" s="239">
        <v>410</v>
      </c>
      <c r="FA281" s="239">
        <v>160967</v>
      </c>
      <c r="FB281" s="239">
        <v>35242</v>
      </c>
      <c r="FC281" s="239">
        <v>3916</v>
      </c>
      <c r="FD281" s="239">
        <v>151821</v>
      </c>
      <c r="FE281" s="239">
        <v>33229</v>
      </c>
      <c r="FF281" s="239">
        <v>3692</v>
      </c>
      <c r="FG281" s="239">
        <v>9146</v>
      </c>
      <c r="FH281" s="239">
        <v>2013</v>
      </c>
      <c r="FI281" s="239">
        <v>224</v>
      </c>
      <c r="FJ281" s="239">
        <v>0</v>
      </c>
      <c r="FK281" s="239">
        <v>0</v>
      </c>
      <c r="FL281" s="239">
        <v>0</v>
      </c>
      <c r="FM281" s="239">
        <v>0</v>
      </c>
      <c r="FN281" s="239">
        <v>0</v>
      </c>
      <c r="FO281" s="239">
        <v>0</v>
      </c>
      <c r="FP281" s="239">
        <v>0</v>
      </c>
      <c r="FQ281" s="239">
        <v>0</v>
      </c>
      <c r="FR281" s="239">
        <v>0</v>
      </c>
      <c r="FS281" s="239">
        <v>0</v>
      </c>
      <c r="FT281" s="239">
        <v>0</v>
      </c>
      <c r="FU281" s="239">
        <v>0</v>
      </c>
      <c r="FV281" s="239">
        <v>1948876</v>
      </c>
      <c r="FW281" s="239">
        <v>437522</v>
      </c>
      <c r="FX281" s="239">
        <v>48613</v>
      </c>
      <c r="FY281" s="834">
        <v>0.5</v>
      </c>
      <c r="FZ281" s="834">
        <v>0.4</v>
      </c>
      <c r="GA281" s="834">
        <v>0.09</v>
      </c>
      <c r="GB281" s="834">
        <v>0.01</v>
      </c>
      <c r="GC281" s="214" t="s">
        <v>1158</v>
      </c>
    </row>
    <row r="282" spans="2:185" s="214" customFormat="1" x14ac:dyDescent="0.2">
      <c r="B282" s="602" t="s">
        <v>647</v>
      </c>
      <c r="C282" s="602" t="s">
        <v>646</v>
      </c>
      <c r="D282" s="239">
        <v>-207134</v>
      </c>
      <c r="E282" s="239">
        <v>0</v>
      </c>
      <c r="F282" s="239">
        <v>-207134</v>
      </c>
      <c r="G282" s="239">
        <v>195880</v>
      </c>
      <c r="H282" s="239">
        <v>0</v>
      </c>
      <c r="I282" s="239">
        <v>195880</v>
      </c>
      <c r="J282" s="239">
        <v>-403014</v>
      </c>
      <c r="K282" s="239">
        <v>0</v>
      </c>
      <c r="L282" s="239">
        <v>-403014</v>
      </c>
      <c r="M282" s="239">
        <v>188253</v>
      </c>
      <c r="N282" s="239">
        <v>188253</v>
      </c>
      <c r="O282" s="239">
        <v>0</v>
      </c>
      <c r="P282" s="239">
        <v>0</v>
      </c>
      <c r="Q282" s="239">
        <v>0</v>
      </c>
      <c r="R282" s="239">
        <v>0</v>
      </c>
      <c r="S282" s="239">
        <v>675417</v>
      </c>
      <c r="T282" s="239">
        <v>0</v>
      </c>
      <c r="U282" s="239">
        <v>359040</v>
      </c>
      <c r="V282" s="239">
        <v>0</v>
      </c>
      <c r="W282" s="239">
        <v>316377</v>
      </c>
      <c r="X282" s="239">
        <v>0</v>
      </c>
      <c r="Y282" s="239">
        <v>0</v>
      </c>
      <c r="Z282" s="239">
        <v>0</v>
      </c>
      <c r="AA282" s="239">
        <v>0</v>
      </c>
      <c r="AB282" s="239">
        <v>0</v>
      </c>
      <c r="AC282" s="239">
        <v>0</v>
      </c>
      <c r="AD282" s="239">
        <v>0</v>
      </c>
      <c r="AE282" s="239">
        <v>0</v>
      </c>
      <c r="AF282" s="239">
        <v>0</v>
      </c>
      <c r="AG282" s="239">
        <v>0</v>
      </c>
      <c r="AH282" s="239">
        <v>0</v>
      </c>
      <c r="AI282" s="239">
        <v>0</v>
      </c>
      <c r="AJ282" s="239">
        <v>0</v>
      </c>
      <c r="AK282" s="239">
        <v>0</v>
      </c>
      <c r="AL282" s="239">
        <v>0</v>
      </c>
      <c r="AM282" s="239">
        <v>0</v>
      </c>
      <c r="AN282" s="239">
        <v>0</v>
      </c>
      <c r="AO282" s="239">
        <v>0</v>
      </c>
      <c r="AP282" s="239">
        <v>0</v>
      </c>
      <c r="AQ282" s="239">
        <v>0</v>
      </c>
      <c r="AR282" s="239">
        <v>0</v>
      </c>
      <c r="AS282" s="239">
        <v>0</v>
      </c>
      <c r="AT282" s="239">
        <v>0</v>
      </c>
      <c r="AU282" s="239">
        <v>0</v>
      </c>
      <c r="AV282" s="239">
        <v>0</v>
      </c>
      <c r="AW282" s="239">
        <v>0</v>
      </c>
      <c r="AX282" s="239">
        <v>0</v>
      </c>
      <c r="AY282" s="239">
        <v>0</v>
      </c>
      <c r="AZ282" s="239">
        <v>0</v>
      </c>
      <c r="BA282" s="239">
        <v>0</v>
      </c>
      <c r="BB282" s="239">
        <v>0</v>
      </c>
      <c r="BC282" s="239">
        <v>1213583</v>
      </c>
      <c r="BD282" s="239">
        <v>273056</v>
      </c>
      <c r="BE282" s="239">
        <v>30340</v>
      </c>
      <c r="BF282" s="239">
        <v>1176768.491318455</v>
      </c>
      <c r="BG282" s="239">
        <v>264772.91054665233</v>
      </c>
      <c r="BH282" s="239">
        <v>29419.212282961369</v>
      </c>
      <c r="BI282" s="239">
        <v>115698.58115879828</v>
      </c>
      <c r="BJ282" s="239">
        <v>26032.18076072961</v>
      </c>
      <c r="BK282" s="239">
        <v>2892.464528969957</v>
      </c>
      <c r="BL282" s="239">
        <v>1042009</v>
      </c>
      <c r="BM282" s="239">
        <v>151259</v>
      </c>
      <c r="BN282" s="239">
        <v>16807</v>
      </c>
      <c r="BO282" s="239">
        <v>171574</v>
      </c>
      <c r="BP282" s="239">
        <v>121797</v>
      </c>
      <c r="BQ282" s="239">
        <v>13533</v>
      </c>
      <c r="BR282" s="239">
        <v>5054</v>
      </c>
      <c r="BS282" s="239">
        <v>1137</v>
      </c>
      <c r="BT282" s="239">
        <v>126</v>
      </c>
      <c r="BU282" s="239">
        <v>8648</v>
      </c>
      <c r="BV282" s="239">
        <v>1946</v>
      </c>
      <c r="BW282" s="239">
        <v>216</v>
      </c>
      <c r="BX282" s="239">
        <v>-3594</v>
      </c>
      <c r="BY282" s="239">
        <v>-809</v>
      </c>
      <c r="BZ282" s="239">
        <v>-90</v>
      </c>
      <c r="CA282" s="239">
        <v>87719</v>
      </c>
      <c r="CB282" s="239">
        <v>19737</v>
      </c>
      <c r="CC282" s="239">
        <v>2193</v>
      </c>
      <c r="CD282" s="239">
        <v>93497</v>
      </c>
      <c r="CE282" s="239">
        <v>21037</v>
      </c>
      <c r="CF282" s="239">
        <v>2337</v>
      </c>
      <c r="CG282" s="239">
        <v>-5778</v>
      </c>
      <c r="CH282" s="239">
        <v>-1300</v>
      </c>
      <c r="CI282" s="239">
        <v>-144</v>
      </c>
      <c r="CJ282" s="239">
        <v>227</v>
      </c>
      <c r="CK282" s="239">
        <v>51</v>
      </c>
      <c r="CL282" s="239">
        <v>6</v>
      </c>
      <c r="CM282" s="239">
        <v>471</v>
      </c>
      <c r="CN282" s="239">
        <v>106</v>
      </c>
      <c r="CO282" s="239">
        <v>12</v>
      </c>
      <c r="CP282" s="239">
        <v>-244</v>
      </c>
      <c r="CQ282" s="239">
        <v>-55</v>
      </c>
      <c r="CR282" s="239">
        <v>-6</v>
      </c>
      <c r="CS282" s="239">
        <v>-796</v>
      </c>
      <c r="CT282" s="239">
        <v>-179</v>
      </c>
      <c r="CU282" s="239">
        <v>-20</v>
      </c>
      <c r="CV282" s="239">
        <v>0</v>
      </c>
      <c r="CW282" s="239">
        <v>0</v>
      </c>
      <c r="CX282" s="239">
        <v>0</v>
      </c>
      <c r="CY282" s="239">
        <v>0</v>
      </c>
      <c r="CZ282" s="239">
        <v>0</v>
      </c>
      <c r="DA282" s="239">
        <v>0</v>
      </c>
      <c r="DB282" s="239">
        <v>0</v>
      </c>
      <c r="DC282" s="239">
        <v>0</v>
      </c>
      <c r="DD282" s="239">
        <v>0</v>
      </c>
      <c r="DE282" s="239">
        <v>0</v>
      </c>
      <c r="DF282" s="239">
        <v>0</v>
      </c>
      <c r="DG282" s="239">
        <v>0</v>
      </c>
      <c r="DH282" s="239">
        <v>12065</v>
      </c>
      <c r="DI282" s="239">
        <v>2715</v>
      </c>
      <c r="DJ282" s="239">
        <v>302</v>
      </c>
      <c r="DK282" s="239">
        <v>11451</v>
      </c>
      <c r="DL282" s="239">
        <v>2577</v>
      </c>
      <c r="DM282" s="239">
        <v>286</v>
      </c>
      <c r="DN282" s="239">
        <v>614</v>
      </c>
      <c r="DO282" s="239">
        <v>138</v>
      </c>
      <c r="DP282" s="239">
        <v>16</v>
      </c>
      <c r="DQ282" s="239">
        <v>0</v>
      </c>
      <c r="DR282" s="239">
        <v>0</v>
      </c>
      <c r="DS282" s="239">
        <v>0</v>
      </c>
      <c r="DT282" s="239">
        <v>1219</v>
      </c>
      <c r="DU282" s="239">
        <v>274</v>
      </c>
      <c r="DV282" s="239">
        <v>30</v>
      </c>
      <c r="DW282" s="239">
        <v>-1219</v>
      </c>
      <c r="DX282" s="239">
        <v>-274</v>
      </c>
      <c r="DY282" s="239">
        <v>-30</v>
      </c>
      <c r="DZ282" s="239">
        <v>7147</v>
      </c>
      <c r="EA282" s="239">
        <v>1608</v>
      </c>
      <c r="EB282" s="239">
        <v>179</v>
      </c>
      <c r="EC282" s="239">
        <v>12688</v>
      </c>
      <c r="ED282" s="239">
        <v>0</v>
      </c>
      <c r="EE282" s="239">
        <v>0</v>
      </c>
      <c r="EF282" s="239">
        <v>-5541</v>
      </c>
      <c r="EG282" s="239">
        <v>1608</v>
      </c>
      <c r="EH282" s="239">
        <v>179</v>
      </c>
      <c r="EI282" s="239">
        <v>127181</v>
      </c>
      <c r="EJ282" s="239">
        <v>28616</v>
      </c>
      <c r="EK282" s="239">
        <v>3180</v>
      </c>
      <c r="EL282" s="239">
        <v>161012</v>
      </c>
      <c r="EM282" s="239">
        <v>0</v>
      </c>
      <c r="EN282" s="239">
        <v>0</v>
      </c>
      <c r="EO282" s="239">
        <v>-33831</v>
      </c>
      <c r="EP282" s="239">
        <v>28616</v>
      </c>
      <c r="EQ282" s="239">
        <v>3180</v>
      </c>
      <c r="ER282" s="239">
        <v>18296</v>
      </c>
      <c r="ES282" s="239">
        <v>4117</v>
      </c>
      <c r="ET282" s="239">
        <v>457</v>
      </c>
      <c r="EU282" s="239">
        <v>25376</v>
      </c>
      <c r="EV282" s="239">
        <v>0</v>
      </c>
      <c r="EW282" s="239">
        <v>0</v>
      </c>
      <c r="EX282" s="239">
        <v>-7080</v>
      </c>
      <c r="EY282" s="239">
        <v>4117</v>
      </c>
      <c r="EZ282" s="239">
        <v>457</v>
      </c>
      <c r="FA282" s="239">
        <v>338002</v>
      </c>
      <c r="FB282" s="239">
        <v>73768</v>
      </c>
      <c r="FC282" s="239">
        <v>8196</v>
      </c>
      <c r="FD282" s="239">
        <v>313584</v>
      </c>
      <c r="FE282" s="239">
        <v>69343</v>
      </c>
      <c r="FF282" s="239">
        <v>7705</v>
      </c>
      <c r="FG282" s="239">
        <v>24418</v>
      </c>
      <c r="FH282" s="239">
        <v>4425</v>
      </c>
      <c r="FI282" s="239">
        <v>491</v>
      </c>
      <c r="FJ282" s="239">
        <v>0</v>
      </c>
      <c r="FK282" s="239">
        <v>0</v>
      </c>
      <c r="FL282" s="239">
        <v>0</v>
      </c>
      <c r="FM282" s="239">
        <v>0</v>
      </c>
      <c r="FN282" s="239">
        <v>0</v>
      </c>
      <c r="FO282" s="239">
        <v>0</v>
      </c>
      <c r="FP282" s="239">
        <v>0</v>
      </c>
      <c r="FQ282" s="239">
        <v>0</v>
      </c>
      <c r="FR282" s="239">
        <v>0</v>
      </c>
      <c r="FS282" s="239">
        <v>0</v>
      </c>
      <c r="FT282" s="239">
        <v>0</v>
      </c>
      <c r="FU282" s="239">
        <v>0</v>
      </c>
      <c r="FV282" s="239">
        <v>1808478</v>
      </c>
      <c r="FW282" s="239">
        <v>404626</v>
      </c>
      <c r="FX282" s="239">
        <v>44959</v>
      </c>
      <c r="FY282" s="834">
        <v>0.5</v>
      </c>
      <c r="FZ282" s="834">
        <v>0.4</v>
      </c>
      <c r="GA282" s="834">
        <v>0.09</v>
      </c>
      <c r="GB282" s="834">
        <v>0.01</v>
      </c>
      <c r="GC282" s="214" t="s">
        <v>1158</v>
      </c>
    </row>
    <row r="283" spans="2:185" s="214" customFormat="1" x14ac:dyDescent="0.2">
      <c r="B283" s="602" t="s">
        <v>649</v>
      </c>
      <c r="C283" s="602" t="s">
        <v>648</v>
      </c>
      <c r="D283" s="239">
        <v>586456</v>
      </c>
      <c r="E283" s="239">
        <v>0</v>
      </c>
      <c r="F283" s="239">
        <v>586456</v>
      </c>
      <c r="G283" s="239">
        <v>1118347</v>
      </c>
      <c r="H283" s="239">
        <v>0</v>
      </c>
      <c r="I283" s="239">
        <v>1118347</v>
      </c>
      <c r="J283" s="239">
        <v>-531891</v>
      </c>
      <c r="K283" s="239">
        <v>0</v>
      </c>
      <c r="L283" s="239">
        <v>-531891</v>
      </c>
      <c r="M283" s="239">
        <v>123791</v>
      </c>
      <c r="N283" s="239">
        <v>123791</v>
      </c>
      <c r="O283" s="239">
        <v>0</v>
      </c>
      <c r="P283" s="239">
        <v>0</v>
      </c>
      <c r="Q283" s="239">
        <v>0</v>
      </c>
      <c r="R283" s="239">
        <v>0</v>
      </c>
      <c r="S283" s="239">
        <v>288581</v>
      </c>
      <c r="T283" s="239">
        <v>191118</v>
      </c>
      <c r="U283" s="239">
        <v>0</v>
      </c>
      <c r="V283" s="239">
        <v>0</v>
      </c>
      <c r="W283" s="239">
        <v>288581</v>
      </c>
      <c r="X283" s="239">
        <v>191118</v>
      </c>
      <c r="Y283" s="239">
        <v>0</v>
      </c>
      <c r="Z283" s="239">
        <v>0</v>
      </c>
      <c r="AA283" s="239">
        <v>0</v>
      </c>
      <c r="AB283" s="239">
        <v>0</v>
      </c>
      <c r="AC283" s="239">
        <v>0</v>
      </c>
      <c r="AD283" s="239">
        <v>0</v>
      </c>
      <c r="AE283" s="239">
        <v>0</v>
      </c>
      <c r="AF283" s="239">
        <v>0</v>
      </c>
      <c r="AG283" s="239">
        <v>0</v>
      </c>
      <c r="AH283" s="239">
        <v>0</v>
      </c>
      <c r="AI283" s="239">
        <v>0</v>
      </c>
      <c r="AJ283" s="239">
        <v>0</v>
      </c>
      <c r="AK283" s="239">
        <v>0</v>
      </c>
      <c r="AL283" s="239">
        <v>0</v>
      </c>
      <c r="AM283" s="239">
        <v>0</v>
      </c>
      <c r="AN283" s="239">
        <v>0</v>
      </c>
      <c r="AO283" s="239">
        <v>0</v>
      </c>
      <c r="AP283" s="239">
        <v>0</v>
      </c>
      <c r="AQ283" s="239">
        <v>0</v>
      </c>
      <c r="AR283" s="239">
        <v>0</v>
      </c>
      <c r="AS283" s="239">
        <v>0</v>
      </c>
      <c r="AT283" s="239">
        <v>0</v>
      </c>
      <c r="AU283" s="239">
        <v>0</v>
      </c>
      <c r="AV283" s="239">
        <v>0</v>
      </c>
      <c r="AW283" s="239">
        <v>0</v>
      </c>
      <c r="AX283" s="239">
        <v>0</v>
      </c>
      <c r="AY283" s="239">
        <v>0</v>
      </c>
      <c r="AZ283" s="239">
        <v>0</v>
      </c>
      <c r="BA283" s="239">
        <v>0</v>
      </c>
      <c r="BB283" s="239">
        <v>0</v>
      </c>
      <c r="BC283" s="239">
        <v>801974</v>
      </c>
      <c r="BD283" s="239">
        <v>200493</v>
      </c>
      <c r="BE283" s="239">
        <v>0</v>
      </c>
      <c r="BF283" s="239">
        <v>782300.08123776817</v>
      </c>
      <c r="BG283" s="239">
        <v>195575.02030944204</v>
      </c>
      <c r="BH283" s="239">
        <v>0</v>
      </c>
      <c r="BI283" s="239">
        <v>61848.515729613733</v>
      </c>
      <c r="BJ283" s="239">
        <v>15462.128932403433</v>
      </c>
      <c r="BK283" s="239">
        <v>0</v>
      </c>
      <c r="BL283" s="239">
        <v>760997</v>
      </c>
      <c r="BM283" s="239">
        <v>124346</v>
      </c>
      <c r="BN283" s="239">
        <v>0</v>
      </c>
      <c r="BO283" s="239">
        <v>40977</v>
      </c>
      <c r="BP283" s="239">
        <v>76147</v>
      </c>
      <c r="BQ283" s="239">
        <v>0</v>
      </c>
      <c r="BR283" s="239">
        <v>4604</v>
      </c>
      <c r="BS283" s="239">
        <v>1151</v>
      </c>
      <c r="BT283" s="239">
        <v>0</v>
      </c>
      <c r="BU283" s="239">
        <v>0</v>
      </c>
      <c r="BV283" s="239">
        <v>0</v>
      </c>
      <c r="BW283" s="239">
        <v>0</v>
      </c>
      <c r="BX283" s="239">
        <v>4604</v>
      </c>
      <c r="BY283" s="239">
        <v>1151</v>
      </c>
      <c r="BZ283" s="239">
        <v>0</v>
      </c>
      <c r="CA283" s="239">
        <v>0</v>
      </c>
      <c r="CB283" s="239">
        <v>0</v>
      </c>
      <c r="CC283" s="239">
        <v>0</v>
      </c>
      <c r="CD283" s="239">
        <v>0</v>
      </c>
      <c r="CE283" s="239">
        <v>0</v>
      </c>
      <c r="CF283" s="239">
        <v>0</v>
      </c>
      <c r="CG283" s="239">
        <v>0</v>
      </c>
      <c r="CH283" s="239">
        <v>0</v>
      </c>
      <c r="CI283" s="239">
        <v>0</v>
      </c>
      <c r="CJ283" s="239">
        <v>792</v>
      </c>
      <c r="CK283" s="239">
        <v>198</v>
      </c>
      <c r="CL283" s="239">
        <v>0</v>
      </c>
      <c r="CM283" s="239">
        <v>1580</v>
      </c>
      <c r="CN283" s="239">
        <v>395</v>
      </c>
      <c r="CO283" s="239">
        <v>0</v>
      </c>
      <c r="CP283" s="239">
        <v>-788</v>
      </c>
      <c r="CQ283" s="239">
        <v>-197</v>
      </c>
      <c r="CR283" s="239">
        <v>0</v>
      </c>
      <c r="CS283" s="239">
        <v>0</v>
      </c>
      <c r="CT283" s="239">
        <v>0</v>
      </c>
      <c r="CU283" s="239">
        <v>0</v>
      </c>
      <c r="CV283" s="239">
        <v>0</v>
      </c>
      <c r="CW283" s="239">
        <v>0</v>
      </c>
      <c r="CX283" s="239">
        <v>0</v>
      </c>
      <c r="CY283" s="239">
        <v>0</v>
      </c>
      <c r="CZ283" s="239">
        <v>0</v>
      </c>
      <c r="DA283" s="239">
        <v>0</v>
      </c>
      <c r="DB283" s="239">
        <v>0</v>
      </c>
      <c r="DC283" s="239">
        <v>0</v>
      </c>
      <c r="DD283" s="239">
        <v>0</v>
      </c>
      <c r="DE283" s="239">
        <v>0</v>
      </c>
      <c r="DF283" s="239">
        <v>0</v>
      </c>
      <c r="DG283" s="239">
        <v>0</v>
      </c>
      <c r="DH283" s="239">
        <v>0</v>
      </c>
      <c r="DI283" s="239">
        <v>0</v>
      </c>
      <c r="DJ283" s="239">
        <v>0</v>
      </c>
      <c r="DK283" s="239">
        <v>2037</v>
      </c>
      <c r="DL283" s="239">
        <v>509</v>
      </c>
      <c r="DM283" s="239">
        <v>0</v>
      </c>
      <c r="DN283" s="239">
        <v>-2037</v>
      </c>
      <c r="DO283" s="239">
        <v>-509</v>
      </c>
      <c r="DP283" s="239">
        <v>0</v>
      </c>
      <c r="DQ283" s="239">
        <v>0</v>
      </c>
      <c r="DR283" s="239">
        <v>0</v>
      </c>
      <c r="DS283" s="239">
        <v>0</v>
      </c>
      <c r="DT283" s="239">
        <v>0</v>
      </c>
      <c r="DU283" s="239">
        <v>0</v>
      </c>
      <c r="DV283" s="239">
        <v>0</v>
      </c>
      <c r="DW283" s="239">
        <v>0</v>
      </c>
      <c r="DX283" s="239">
        <v>0</v>
      </c>
      <c r="DY283" s="239">
        <v>0</v>
      </c>
      <c r="DZ283" s="239">
        <v>2115</v>
      </c>
      <c r="EA283" s="239">
        <v>529</v>
      </c>
      <c r="EB283" s="239">
        <v>0</v>
      </c>
      <c r="EC283" s="239">
        <v>2713</v>
      </c>
      <c r="ED283" s="239">
        <v>0</v>
      </c>
      <c r="EE283" s="239">
        <v>0</v>
      </c>
      <c r="EF283" s="239">
        <v>-598</v>
      </c>
      <c r="EG283" s="239">
        <v>529</v>
      </c>
      <c r="EH283" s="239">
        <v>0</v>
      </c>
      <c r="EI283" s="239">
        <v>34771</v>
      </c>
      <c r="EJ283" s="239">
        <v>8693</v>
      </c>
      <c r="EK283" s="239">
        <v>0</v>
      </c>
      <c r="EL283" s="239">
        <v>95688</v>
      </c>
      <c r="EM283" s="239">
        <v>0</v>
      </c>
      <c r="EN283" s="239">
        <v>0</v>
      </c>
      <c r="EO283" s="239">
        <v>-60917</v>
      </c>
      <c r="EP283" s="239">
        <v>8693</v>
      </c>
      <c r="EQ283" s="239">
        <v>0</v>
      </c>
      <c r="ER283" s="239">
        <v>14266</v>
      </c>
      <c r="ES283" s="239">
        <v>3566</v>
      </c>
      <c r="ET283" s="239">
        <v>0</v>
      </c>
      <c r="EU283" s="239">
        <v>17404</v>
      </c>
      <c r="EV283" s="239">
        <v>0</v>
      </c>
      <c r="EW283" s="239">
        <v>0</v>
      </c>
      <c r="EX283" s="239">
        <v>-3138</v>
      </c>
      <c r="EY283" s="239">
        <v>3566</v>
      </c>
      <c r="EZ283" s="239">
        <v>0</v>
      </c>
      <c r="FA283" s="239">
        <v>214898</v>
      </c>
      <c r="FB283" s="239">
        <v>55512</v>
      </c>
      <c r="FC283" s="239">
        <v>0</v>
      </c>
      <c r="FD283" s="239">
        <v>210562</v>
      </c>
      <c r="FE283" s="239">
        <v>52641</v>
      </c>
      <c r="FF283" s="239">
        <v>0</v>
      </c>
      <c r="FG283" s="239">
        <v>4336</v>
      </c>
      <c r="FH283" s="239">
        <v>2871</v>
      </c>
      <c r="FI283" s="239">
        <v>0</v>
      </c>
      <c r="FJ283" s="239">
        <v>0</v>
      </c>
      <c r="FK283" s="239">
        <v>0</v>
      </c>
      <c r="FL283" s="239">
        <v>0</v>
      </c>
      <c r="FM283" s="239">
        <v>0</v>
      </c>
      <c r="FN283" s="239">
        <v>0</v>
      </c>
      <c r="FO283" s="239">
        <v>0</v>
      </c>
      <c r="FP283" s="239">
        <v>0</v>
      </c>
      <c r="FQ283" s="239">
        <v>0</v>
      </c>
      <c r="FR283" s="239">
        <v>0</v>
      </c>
      <c r="FS283" s="239">
        <v>0</v>
      </c>
      <c r="FT283" s="239">
        <v>0</v>
      </c>
      <c r="FU283" s="239">
        <v>0</v>
      </c>
      <c r="FV283" s="239">
        <v>1073420</v>
      </c>
      <c r="FW283" s="239">
        <v>270142</v>
      </c>
      <c r="FX283" s="239">
        <v>0</v>
      </c>
      <c r="FY283" s="834">
        <v>0.5</v>
      </c>
      <c r="FZ283" s="834">
        <v>0.4</v>
      </c>
      <c r="GA283" s="834">
        <v>0.1</v>
      </c>
      <c r="GB283" s="834">
        <v>0</v>
      </c>
      <c r="GC283" s="214" t="s">
        <v>1158</v>
      </c>
    </row>
    <row r="284" spans="2:185" s="214" customFormat="1" x14ac:dyDescent="0.2">
      <c r="B284" s="602" t="s">
        <v>651</v>
      </c>
      <c r="C284" s="602" t="s">
        <v>650</v>
      </c>
      <c r="D284" s="239">
        <v>-360674</v>
      </c>
      <c r="E284" s="239">
        <v>0</v>
      </c>
      <c r="F284" s="239">
        <v>-360674</v>
      </c>
      <c r="G284" s="239">
        <v>-340296</v>
      </c>
      <c r="H284" s="239">
        <v>0</v>
      </c>
      <c r="I284" s="239">
        <v>-340296</v>
      </c>
      <c r="J284" s="239">
        <v>-20378</v>
      </c>
      <c r="K284" s="239">
        <v>0</v>
      </c>
      <c r="L284" s="239">
        <v>-20378</v>
      </c>
      <c r="M284" s="239">
        <v>191748</v>
      </c>
      <c r="N284" s="239">
        <v>191748</v>
      </c>
      <c r="O284" s="239">
        <v>0</v>
      </c>
      <c r="P284" s="239">
        <v>0</v>
      </c>
      <c r="Q284" s="239">
        <v>0</v>
      </c>
      <c r="R284" s="239">
        <v>0</v>
      </c>
      <c r="S284" s="239">
        <v>0</v>
      </c>
      <c r="T284" s="239">
        <v>0</v>
      </c>
      <c r="U284" s="239">
        <v>0</v>
      </c>
      <c r="V284" s="239">
        <v>0</v>
      </c>
      <c r="W284" s="239">
        <v>0</v>
      </c>
      <c r="X284" s="239">
        <v>0</v>
      </c>
      <c r="Y284" s="239">
        <v>0</v>
      </c>
      <c r="Z284" s="239">
        <v>0</v>
      </c>
      <c r="AA284" s="239">
        <v>0</v>
      </c>
      <c r="AB284" s="239">
        <v>0</v>
      </c>
      <c r="AC284" s="239">
        <v>0</v>
      </c>
      <c r="AD284" s="239">
        <v>0</v>
      </c>
      <c r="AE284" s="239">
        <v>0</v>
      </c>
      <c r="AF284" s="239">
        <v>0</v>
      </c>
      <c r="AG284" s="239">
        <v>0</v>
      </c>
      <c r="AH284" s="239">
        <v>0</v>
      </c>
      <c r="AI284" s="239">
        <v>0</v>
      </c>
      <c r="AJ284" s="239">
        <v>0</v>
      </c>
      <c r="AK284" s="239">
        <v>0</v>
      </c>
      <c r="AL284" s="239">
        <v>0</v>
      </c>
      <c r="AM284" s="239">
        <v>0</v>
      </c>
      <c r="AN284" s="239">
        <v>0</v>
      </c>
      <c r="AO284" s="239">
        <v>0</v>
      </c>
      <c r="AP284" s="239">
        <v>0</v>
      </c>
      <c r="AQ284" s="239">
        <v>0</v>
      </c>
      <c r="AR284" s="239">
        <v>0</v>
      </c>
      <c r="AS284" s="239">
        <v>0</v>
      </c>
      <c r="AT284" s="239">
        <v>0</v>
      </c>
      <c r="AU284" s="239">
        <v>0</v>
      </c>
      <c r="AV284" s="239">
        <v>0</v>
      </c>
      <c r="AW284" s="239">
        <v>0</v>
      </c>
      <c r="AX284" s="239">
        <v>0</v>
      </c>
      <c r="AY284" s="239">
        <v>0</v>
      </c>
      <c r="AZ284" s="239">
        <v>0</v>
      </c>
      <c r="BA284" s="239">
        <v>0</v>
      </c>
      <c r="BB284" s="239">
        <v>0</v>
      </c>
      <c r="BC284" s="239">
        <v>1530361</v>
      </c>
      <c r="BD284" s="239">
        <v>344331</v>
      </c>
      <c r="BE284" s="239">
        <v>38259</v>
      </c>
      <c r="BF284" s="239">
        <v>1508057.903254936</v>
      </c>
      <c r="BG284" s="239">
        <v>339313.02823236055</v>
      </c>
      <c r="BH284" s="239">
        <v>37701.447581373388</v>
      </c>
      <c r="BI284" s="239">
        <v>61067.355214592273</v>
      </c>
      <c r="BJ284" s="239">
        <v>13740.15492328326</v>
      </c>
      <c r="BK284" s="239">
        <v>1526.6838803648068</v>
      </c>
      <c r="BL284" s="239">
        <v>1383379</v>
      </c>
      <c r="BM284" s="239">
        <v>221144</v>
      </c>
      <c r="BN284" s="239">
        <v>24572</v>
      </c>
      <c r="BO284" s="239">
        <v>146982</v>
      </c>
      <c r="BP284" s="239">
        <v>123187</v>
      </c>
      <c r="BQ284" s="239">
        <v>13687</v>
      </c>
      <c r="BR284" s="239">
        <v>5794</v>
      </c>
      <c r="BS284" s="239">
        <v>1304</v>
      </c>
      <c r="BT284" s="239">
        <v>145</v>
      </c>
      <c r="BU284" s="239">
        <v>526</v>
      </c>
      <c r="BV284" s="239">
        <v>118</v>
      </c>
      <c r="BW284" s="239">
        <v>13</v>
      </c>
      <c r="BX284" s="239">
        <v>5268</v>
      </c>
      <c r="BY284" s="239">
        <v>1186</v>
      </c>
      <c r="BZ284" s="239">
        <v>132</v>
      </c>
      <c r="CA284" s="239">
        <v>1651</v>
      </c>
      <c r="CB284" s="239">
        <v>371</v>
      </c>
      <c r="CC284" s="239">
        <v>41</v>
      </c>
      <c r="CD284" s="239">
        <v>480</v>
      </c>
      <c r="CE284" s="239">
        <v>108</v>
      </c>
      <c r="CF284" s="239">
        <v>12</v>
      </c>
      <c r="CG284" s="239">
        <v>1171</v>
      </c>
      <c r="CH284" s="239">
        <v>263</v>
      </c>
      <c r="CI284" s="239">
        <v>29</v>
      </c>
      <c r="CJ284" s="239">
        <v>45</v>
      </c>
      <c r="CK284" s="239">
        <v>10</v>
      </c>
      <c r="CL284" s="239">
        <v>1</v>
      </c>
      <c r="CM284" s="239">
        <v>762</v>
      </c>
      <c r="CN284" s="239">
        <v>171</v>
      </c>
      <c r="CO284" s="239">
        <v>19</v>
      </c>
      <c r="CP284" s="239">
        <v>-717</v>
      </c>
      <c r="CQ284" s="239">
        <v>-161</v>
      </c>
      <c r="CR284" s="239">
        <v>-18</v>
      </c>
      <c r="CS284" s="239">
        <v>-3810</v>
      </c>
      <c r="CT284" s="239">
        <v>-857</v>
      </c>
      <c r="CU284" s="239">
        <v>-95</v>
      </c>
      <c r="CV284" s="239">
        <v>0</v>
      </c>
      <c r="CW284" s="239">
        <v>0</v>
      </c>
      <c r="CX284" s="239">
        <v>0</v>
      </c>
      <c r="CY284" s="239">
        <v>0</v>
      </c>
      <c r="CZ284" s="239">
        <v>0</v>
      </c>
      <c r="DA284" s="239">
        <v>0</v>
      </c>
      <c r="DB284" s="239">
        <v>0</v>
      </c>
      <c r="DC284" s="239">
        <v>0</v>
      </c>
      <c r="DD284" s="239">
        <v>0</v>
      </c>
      <c r="DE284" s="239">
        <v>413</v>
      </c>
      <c r="DF284" s="239">
        <v>93</v>
      </c>
      <c r="DG284" s="239">
        <v>10</v>
      </c>
      <c r="DH284" s="239">
        <v>1920</v>
      </c>
      <c r="DI284" s="239">
        <v>432</v>
      </c>
      <c r="DJ284" s="239">
        <v>48</v>
      </c>
      <c r="DK284" s="239">
        <v>0</v>
      </c>
      <c r="DL284" s="239">
        <v>0</v>
      </c>
      <c r="DM284" s="239">
        <v>0</v>
      </c>
      <c r="DN284" s="239">
        <v>1920</v>
      </c>
      <c r="DO284" s="239">
        <v>432</v>
      </c>
      <c r="DP284" s="239">
        <v>48</v>
      </c>
      <c r="DQ284" s="239">
        <v>609</v>
      </c>
      <c r="DR284" s="239">
        <v>137</v>
      </c>
      <c r="DS284" s="239">
        <v>15</v>
      </c>
      <c r="DT284" s="239">
        <v>0</v>
      </c>
      <c r="DU284" s="239">
        <v>0</v>
      </c>
      <c r="DV284" s="239">
        <v>0</v>
      </c>
      <c r="DW284" s="239">
        <v>609</v>
      </c>
      <c r="DX284" s="239">
        <v>137</v>
      </c>
      <c r="DY284" s="239">
        <v>15</v>
      </c>
      <c r="DZ284" s="239">
        <v>20929</v>
      </c>
      <c r="EA284" s="239">
        <v>4709</v>
      </c>
      <c r="EB284" s="239">
        <v>523</v>
      </c>
      <c r="EC284" s="239">
        <v>25366</v>
      </c>
      <c r="ED284" s="239">
        <v>0</v>
      </c>
      <c r="EE284" s="239">
        <v>0</v>
      </c>
      <c r="EF284" s="239">
        <v>-4437</v>
      </c>
      <c r="EG284" s="239">
        <v>4709</v>
      </c>
      <c r="EH284" s="239">
        <v>523</v>
      </c>
      <c r="EI284" s="239">
        <v>59815</v>
      </c>
      <c r="EJ284" s="239">
        <v>13458</v>
      </c>
      <c r="EK284" s="239">
        <v>1495</v>
      </c>
      <c r="EL284" s="239">
        <v>164906</v>
      </c>
      <c r="EM284" s="239">
        <v>0</v>
      </c>
      <c r="EN284" s="239">
        <v>0</v>
      </c>
      <c r="EO284" s="239">
        <v>-105091</v>
      </c>
      <c r="EP284" s="239">
        <v>13458</v>
      </c>
      <c r="EQ284" s="239">
        <v>1495</v>
      </c>
      <c r="ER284" s="239">
        <v>24112</v>
      </c>
      <c r="ES284" s="239">
        <v>5425</v>
      </c>
      <c r="ET284" s="239">
        <v>603</v>
      </c>
      <c r="EU284" s="239">
        <v>25413</v>
      </c>
      <c r="EV284" s="239">
        <v>0</v>
      </c>
      <c r="EW284" s="239">
        <v>0</v>
      </c>
      <c r="EX284" s="239">
        <v>-1301</v>
      </c>
      <c r="EY284" s="239">
        <v>5425</v>
      </c>
      <c r="EZ284" s="239">
        <v>603</v>
      </c>
      <c r="FA284" s="239">
        <v>188547</v>
      </c>
      <c r="FB284" s="239">
        <v>42423</v>
      </c>
      <c r="FC284" s="239">
        <v>4714</v>
      </c>
      <c r="FD284" s="239">
        <v>187898</v>
      </c>
      <c r="FE284" s="239">
        <v>42277</v>
      </c>
      <c r="FF284" s="239">
        <v>4697</v>
      </c>
      <c r="FG284" s="239">
        <v>649</v>
      </c>
      <c r="FH284" s="239">
        <v>146</v>
      </c>
      <c r="FI284" s="239">
        <v>17</v>
      </c>
      <c r="FJ284" s="239">
        <v>0</v>
      </c>
      <c r="FK284" s="239">
        <v>0</v>
      </c>
      <c r="FL284" s="239">
        <v>0</v>
      </c>
      <c r="FM284" s="239">
        <v>0</v>
      </c>
      <c r="FN284" s="239">
        <v>0</v>
      </c>
      <c r="FO284" s="239">
        <v>0</v>
      </c>
      <c r="FP284" s="239">
        <v>0</v>
      </c>
      <c r="FQ284" s="239">
        <v>0</v>
      </c>
      <c r="FR284" s="239">
        <v>0</v>
      </c>
      <c r="FS284" s="239">
        <v>0</v>
      </c>
      <c r="FT284" s="239">
        <v>0</v>
      </c>
      <c r="FU284" s="239">
        <v>0</v>
      </c>
      <c r="FV284" s="239">
        <v>1830386</v>
      </c>
      <c r="FW284" s="239">
        <v>411836</v>
      </c>
      <c r="FX284" s="239">
        <v>45759</v>
      </c>
      <c r="FY284" s="834">
        <v>0.5</v>
      </c>
      <c r="FZ284" s="834">
        <v>0.4</v>
      </c>
      <c r="GA284" s="834">
        <v>0.09</v>
      </c>
      <c r="GB284" s="834">
        <v>0.01</v>
      </c>
      <c r="GC284" s="214" t="s">
        <v>1158</v>
      </c>
    </row>
    <row r="285" spans="2:185" s="214" customFormat="1" x14ac:dyDescent="0.2">
      <c r="B285" s="602" t="s">
        <v>653</v>
      </c>
      <c r="C285" s="602" t="s">
        <v>652</v>
      </c>
      <c r="D285" s="239">
        <v>-210856</v>
      </c>
      <c r="E285" s="239">
        <v>0</v>
      </c>
      <c r="F285" s="239">
        <v>-210856</v>
      </c>
      <c r="G285" s="239">
        <v>0</v>
      </c>
      <c r="H285" s="239">
        <v>0</v>
      </c>
      <c r="I285" s="239">
        <v>0</v>
      </c>
      <c r="J285" s="239">
        <v>-210856</v>
      </c>
      <c r="K285" s="239">
        <v>0</v>
      </c>
      <c r="L285" s="239">
        <v>-210856</v>
      </c>
      <c r="M285" s="239">
        <v>92778</v>
      </c>
      <c r="N285" s="239">
        <v>92778</v>
      </c>
      <c r="O285" s="239">
        <v>0</v>
      </c>
      <c r="P285" s="239">
        <v>0</v>
      </c>
      <c r="Q285" s="239">
        <v>0</v>
      </c>
      <c r="R285" s="239">
        <v>0</v>
      </c>
      <c r="S285" s="239">
        <v>0</v>
      </c>
      <c r="T285" s="239">
        <v>0</v>
      </c>
      <c r="U285" s="239">
        <v>0</v>
      </c>
      <c r="V285" s="239">
        <v>0</v>
      </c>
      <c r="W285" s="239">
        <v>0</v>
      </c>
      <c r="X285" s="239">
        <v>0</v>
      </c>
      <c r="Y285" s="239">
        <v>0</v>
      </c>
      <c r="Z285" s="239">
        <v>0</v>
      </c>
      <c r="AA285" s="239">
        <v>0</v>
      </c>
      <c r="AB285" s="239">
        <v>0</v>
      </c>
      <c r="AC285" s="239">
        <v>0</v>
      </c>
      <c r="AD285" s="239">
        <v>0</v>
      </c>
      <c r="AE285" s="239">
        <v>0</v>
      </c>
      <c r="AF285" s="239">
        <v>0</v>
      </c>
      <c r="AG285" s="239">
        <v>0</v>
      </c>
      <c r="AH285" s="239">
        <v>0</v>
      </c>
      <c r="AI285" s="239">
        <v>0</v>
      </c>
      <c r="AJ285" s="239">
        <v>0</v>
      </c>
      <c r="AK285" s="239">
        <v>0</v>
      </c>
      <c r="AL285" s="239">
        <v>0</v>
      </c>
      <c r="AM285" s="239">
        <v>0</v>
      </c>
      <c r="AN285" s="239">
        <v>0</v>
      </c>
      <c r="AO285" s="239">
        <v>0</v>
      </c>
      <c r="AP285" s="239">
        <v>0</v>
      </c>
      <c r="AQ285" s="239">
        <v>0</v>
      </c>
      <c r="AR285" s="239">
        <v>0</v>
      </c>
      <c r="AS285" s="239">
        <v>0</v>
      </c>
      <c r="AT285" s="239">
        <v>0</v>
      </c>
      <c r="AU285" s="239">
        <v>0</v>
      </c>
      <c r="AV285" s="239">
        <v>0</v>
      </c>
      <c r="AW285" s="239">
        <v>0</v>
      </c>
      <c r="AX285" s="239">
        <v>0</v>
      </c>
      <c r="AY285" s="239">
        <v>0</v>
      </c>
      <c r="AZ285" s="239">
        <v>0</v>
      </c>
      <c r="BA285" s="239">
        <v>0</v>
      </c>
      <c r="BB285" s="239">
        <v>0</v>
      </c>
      <c r="BC285" s="239">
        <v>555405</v>
      </c>
      <c r="BD285" s="239">
        <v>138851</v>
      </c>
      <c r="BE285" s="239">
        <v>0</v>
      </c>
      <c r="BF285" s="239">
        <v>536050.6929356223</v>
      </c>
      <c r="BG285" s="239">
        <v>134012.67323390557</v>
      </c>
      <c r="BH285" s="239">
        <v>0</v>
      </c>
      <c r="BI285" s="239">
        <v>63774.102789699573</v>
      </c>
      <c r="BJ285" s="239">
        <v>15943.525697424893</v>
      </c>
      <c r="BK285" s="239">
        <v>0</v>
      </c>
      <c r="BL285" s="239">
        <v>562856</v>
      </c>
      <c r="BM285" s="239">
        <v>81220</v>
      </c>
      <c r="BN285" s="239">
        <v>0</v>
      </c>
      <c r="BO285" s="239">
        <v>-7451</v>
      </c>
      <c r="BP285" s="239">
        <v>57631</v>
      </c>
      <c r="BQ285" s="239">
        <v>0</v>
      </c>
      <c r="BR285" s="239">
        <v>1054</v>
      </c>
      <c r="BS285" s="239">
        <v>264</v>
      </c>
      <c r="BT285" s="239">
        <v>0</v>
      </c>
      <c r="BU285" s="239">
        <v>0</v>
      </c>
      <c r="BV285" s="239">
        <v>0</v>
      </c>
      <c r="BW285" s="239">
        <v>0</v>
      </c>
      <c r="BX285" s="239">
        <v>1054</v>
      </c>
      <c r="BY285" s="239">
        <v>264</v>
      </c>
      <c r="BZ285" s="239">
        <v>0</v>
      </c>
      <c r="CA285" s="239">
        <v>0</v>
      </c>
      <c r="CB285" s="239">
        <v>0</v>
      </c>
      <c r="CC285" s="239">
        <v>0</v>
      </c>
      <c r="CD285" s="239">
        <v>0</v>
      </c>
      <c r="CE285" s="239">
        <v>0</v>
      </c>
      <c r="CF285" s="239">
        <v>0</v>
      </c>
      <c r="CG285" s="239">
        <v>0</v>
      </c>
      <c r="CH285" s="239">
        <v>0</v>
      </c>
      <c r="CI285" s="239">
        <v>0</v>
      </c>
      <c r="CJ285" s="239">
        <v>0</v>
      </c>
      <c r="CK285" s="239">
        <v>0</v>
      </c>
      <c r="CL285" s="239">
        <v>0</v>
      </c>
      <c r="CM285" s="239">
        <v>0</v>
      </c>
      <c r="CN285" s="239">
        <v>0</v>
      </c>
      <c r="CO285" s="239">
        <v>0</v>
      </c>
      <c r="CP285" s="239">
        <v>0</v>
      </c>
      <c r="CQ285" s="239">
        <v>0</v>
      </c>
      <c r="CR285" s="239">
        <v>0</v>
      </c>
      <c r="CS285" s="239">
        <v>0</v>
      </c>
      <c r="CT285" s="239">
        <v>0</v>
      </c>
      <c r="CU285" s="239">
        <v>0</v>
      </c>
      <c r="CV285" s="239">
        <v>0</v>
      </c>
      <c r="CW285" s="239">
        <v>0</v>
      </c>
      <c r="CX285" s="239">
        <v>0</v>
      </c>
      <c r="CY285" s="239">
        <v>0</v>
      </c>
      <c r="CZ285" s="239">
        <v>0</v>
      </c>
      <c r="DA285" s="239">
        <v>0</v>
      </c>
      <c r="DB285" s="239">
        <v>0</v>
      </c>
      <c r="DC285" s="239">
        <v>0</v>
      </c>
      <c r="DD285" s="239">
        <v>0</v>
      </c>
      <c r="DE285" s="239">
        <v>0</v>
      </c>
      <c r="DF285" s="239">
        <v>0</v>
      </c>
      <c r="DG285" s="239">
        <v>0</v>
      </c>
      <c r="DH285" s="239">
        <v>0</v>
      </c>
      <c r="DI285" s="239">
        <v>0</v>
      </c>
      <c r="DJ285" s="239">
        <v>0</v>
      </c>
      <c r="DK285" s="239">
        <v>798</v>
      </c>
      <c r="DL285" s="239">
        <v>199</v>
      </c>
      <c r="DM285" s="239">
        <v>0</v>
      </c>
      <c r="DN285" s="239">
        <v>-798</v>
      </c>
      <c r="DO285" s="239">
        <v>-199</v>
      </c>
      <c r="DP285" s="239">
        <v>0</v>
      </c>
      <c r="DQ285" s="239">
        <v>0</v>
      </c>
      <c r="DR285" s="239">
        <v>0</v>
      </c>
      <c r="DS285" s="239">
        <v>0</v>
      </c>
      <c r="DT285" s="239">
        <v>0</v>
      </c>
      <c r="DU285" s="239">
        <v>0</v>
      </c>
      <c r="DV285" s="239">
        <v>0</v>
      </c>
      <c r="DW285" s="239">
        <v>0</v>
      </c>
      <c r="DX285" s="239">
        <v>0</v>
      </c>
      <c r="DY285" s="239">
        <v>0</v>
      </c>
      <c r="DZ285" s="239">
        <v>5905</v>
      </c>
      <c r="EA285" s="239">
        <v>1476</v>
      </c>
      <c r="EB285" s="239">
        <v>0</v>
      </c>
      <c r="EC285" s="239">
        <v>7382</v>
      </c>
      <c r="ED285" s="239">
        <v>0</v>
      </c>
      <c r="EE285" s="239">
        <v>0</v>
      </c>
      <c r="EF285" s="239">
        <v>-1477</v>
      </c>
      <c r="EG285" s="239">
        <v>1476</v>
      </c>
      <c r="EH285" s="239">
        <v>0</v>
      </c>
      <c r="EI285" s="239">
        <v>58003</v>
      </c>
      <c r="EJ285" s="239">
        <v>14501</v>
      </c>
      <c r="EK285" s="239">
        <v>0</v>
      </c>
      <c r="EL285" s="239">
        <v>71431</v>
      </c>
      <c r="EM285" s="239">
        <v>0</v>
      </c>
      <c r="EN285" s="239">
        <v>0</v>
      </c>
      <c r="EO285" s="239">
        <v>-13428</v>
      </c>
      <c r="EP285" s="239">
        <v>14501</v>
      </c>
      <c r="EQ285" s="239">
        <v>0</v>
      </c>
      <c r="ER285" s="239">
        <v>12913</v>
      </c>
      <c r="ES285" s="239">
        <v>3228</v>
      </c>
      <c r="ET285" s="239">
        <v>0</v>
      </c>
      <c r="EU285" s="239">
        <v>15694</v>
      </c>
      <c r="EV285" s="239">
        <v>0</v>
      </c>
      <c r="EW285" s="239">
        <v>0</v>
      </c>
      <c r="EX285" s="239">
        <v>-2781</v>
      </c>
      <c r="EY285" s="239">
        <v>3228</v>
      </c>
      <c r="EZ285" s="239">
        <v>0</v>
      </c>
      <c r="FA285" s="239">
        <v>148298</v>
      </c>
      <c r="FB285" s="239">
        <v>37075</v>
      </c>
      <c r="FC285" s="239">
        <v>0</v>
      </c>
      <c r="FD285" s="239">
        <v>154818</v>
      </c>
      <c r="FE285" s="239">
        <v>38705</v>
      </c>
      <c r="FF285" s="239">
        <v>0</v>
      </c>
      <c r="FG285" s="239">
        <v>-6520</v>
      </c>
      <c r="FH285" s="239">
        <v>-1630</v>
      </c>
      <c r="FI285" s="239">
        <v>0</v>
      </c>
      <c r="FJ285" s="239">
        <v>0</v>
      </c>
      <c r="FK285" s="239">
        <v>0</v>
      </c>
      <c r="FL285" s="239">
        <v>0</v>
      </c>
      <c r="FM285" s="239">
        <v>0</v>
      </c>
      <c r="FN285" s="239">
        <v>0</v>
      </c>
      <c r="FO285" s="239">
        <v>0</v>
      </c>
      <c r="FP285" s="239">
        <v>0</v>
      </c>
      <c r="FQ285" s="239">
        <v>0</v>
      </c>
      <c r="FR285" s="239">
        <v>0</v>
      </c>
      <c r="FS285" s="239">
        <v>0</v>
      </c>
      <c r="FT285" s="239">
        <v>0</v>
      </c>
      <c r="FU285" s="239">
        <v>0</v>
      </c>
      <c r="FV285" s="239">
        <v>781578</v>
      </c>
      <c r="FW285" s="239">
        <v>195395</v>
      </c>
      <c r="FX285" s="239">
        <v>0</v>
      </c>
      <c r="FY285" s="834">
        <v>0.5</v>
      </c>
      <c r="FZ285" s="834">
        <v>0.4</v>
      </c>
      <c r="GA285" s="834">
        <v>0.1</v>
      </c>
      <c r="GB285" s="834">
        <v>0</v>
      </c>
      <c r="GC285" s="214" t="s">
        <v>1158</v>
      </c>
    </row>
    <row r="286" spans="2:185" s="214" customFormat="1" x14ac:dyDescent="0.2">
      <c r="B286" s="602" t="s">
        <v>655</v>
      </c>
      <c r="C286" s="602" t="s">
        <v>654</v>
      </c>
      <c r="D286" s="239">
        <v>-4529696</v>
      </c>
      <c r="E286" s="239">
        <v>0</v>
      </c>
      <c r="F286" s="239">
        <v>-4529696</v>
      </c>
      <c r="G286" s="239">
        <v>-2403089</v>
      </c>
      <c r="H286" s="239">
        <v>0</v>
      </c>
      <c r="I286" s="239">
        <v>-2403089</v>
      </c>
      <c r="J286" s="239">
        <v>-2126607</v>
      </c>
      <c r="K286" s="239">
        <v>0</v>
      </c>
      <c r="L286" s="239">
        <v>-2126607</v>
      </c>
      <c r="M286" s="239">
        <v>229558</v>
      </c>
      <c r="N286" s="239">
        <v>229558</v>
      </c>
      <c r="O286" s="239">
        <v>0</v>
      </c>
      <c r="P286" s="239">
        <v>0</v>
      </c>
      <c r="Q286" s="239">
        <v>0</v>
      </c>
      <c r="R286" s="239">
        <v>0</v>
      </c>
      <c r="S286" s="239">
        <v>0</v>
      </c>
      <c r="T286" s="239">
        <v>0</v>
      </c>
      <c r="U286" s="239">
        <v>0</v>
      </c>
      <c r="V286" s="239">
        <v>0</v>
      </c>
      <c r="W286" s="239">
        <v>0</v>
      </c>
      <c r="X286" s="239">
        <v>0</v>
      </c>
      <c r="Y286" s="239">
        <v>0</v>
      </c>
      <c r="Z286" s="239">
        <v>0</v>
      </c>
      <c r="AA286" s="239">
        <v>0</v>
      </c>
      <c r="AB286" s="239">
        <v>0</v>
      </c>
      <c r="AC286" s="239">
        <v>0</v>
      </c>
      <c r="AD286" s="239">
        <v>0</v>
      </c>
      <c r="AE286" s="239">
        <v>0</v>
      </c>
      <c r="AF286" s="239">
        <v>0</v>
      </c>
      <c r="AG286" s="239">
        <v>0</v>
      </c>
      <c r="AH286" s="239">
        <v>0</v>
      </c>
      <c r="AI286" s="239">
        <v>0</v>
      </c>
      <c r="AJ286" s="239">
        <v>0</v>
      </c>
      <c r="AK286" s="239">
        <v>0</v>
      </c>
      <c r="AL286" s="239">
        <v>0</v>
      </c>
      <c r="AM286" s="239">
        <v>0</v>
      </c>
      <c r="AN286" s="239">
        <v>0</v>
      </c>
      <c r="AO286" s="239">
        <v>0</v>
      </c>
      <c r="AP286" s="239">
        <v>0</v>
      </c>
      <c r="AQ286" s="239">
        <v>0</v>
      </c>
      <c r="AR286" s="239">
        <v>0</v>
      </c>
      <c r="AS286" s="239">
        <v>0</v>
      </c>
      <c r="AT286" s="239">
        <v>0</v>
      </c>
      <c r="AU286" s="239">
        <v>0</v>
      </c>
      <c r="AV286" s="239">
        <v>0</v>
      </c>
      <c r="AW286" s="239">
        <v>0</v>
      </c>
      <c r="AX286" s="239">
        <v>0</v>
      </c>
      <c r="AY286" s="239">
        <v>0</v>
      </c>
      <c r="AZ286" s="239">
        <v>0</v>
      </c>
      <c r="BA286" s="239">
        <v>0</v>
      </c>
      <c r="BB286" s="239">
        <v>0</v>
      </c>
      <c r="BC286" s="239">
        <v>1366383</v>
      </c>
      <c r="BD286" s="239">
        <v>0</v>
      </c>
      <c r="BE286" s="239">
        <v>27885</v>
      </c>
      <c r="BF286" s="239">
        <v>1326847.4664030254</v>
      </c>
      <c r="BG286" s="239">
        <v>0</v>
      </c>
      <c r="BH286" s="239">
        <v>27078.519722510729</v>
      </c>
      <c r="BI286" s="239">
        <v>120750.90173068669</v>
      </c>
      <c r="BJ286" s="239">
        <v>0</v>
      </c>
      <c r="BK286" s="239">
        <v>2464.3041169527896</v>
      </c>
      <c r="BL286" s="239">
        <v>1144112</v>
      </c>
      <c r="BM286" s="239">
        <v>0</v>
      </c>
      <c r="BN286" s="239">
        <v>15913</v>
      </c>
      <c r="BO286" s="239">
        <v>222271</v>
      </c>
      <c r="BP286" s="239">
        <v>0</v>
      </c>
      <c r="BQ286" s="239">
        <v>11972</v>
      </c>
      <c r="BR286" s="239">
        <v>8988</v>
      </c>
      <c r="BS286" s="239">
        <v>0</v>
      </c>
      <c r="BT286" s="239">
        <v>183</v>
      </c>
      <c r="BU286" s="239">
        <v>0</v>
      </c>
      <c r="BV286" s="239">
        <v>0</v>
      </c>
      <c r="BW286" s="239">
        <v>0</v>
      </c>
      <c r="BX286" s="239">
        <v>8988</v>
      </c>
      <c r="BY286" s="239">
        <v>0</v>
      </c>
      <c r="BZ286" s="239">
        <v>183</v>
      </c>
      <c r="CA286" s="239">
        <v>0</v>
      </c>
      <c r="CB286" s="239">
        <v>0</v>
      </c>
      <c r="CC286" s="239">
        <v>0</v>
      </c>
      <c r="CD286" s="239">
        <v>0</v>
      </c>
      <c r="CE286" s="239">
        <v>0</v>
      </c>
      <c r="CF286" s="239">
        <v>0</v>
      </c>
      <c r="CG286" s="239">
        <v>0</v>
      </c>
      <c r="CH286" s="239">
        <v>0</v>
      </c>
      <c r="CI286" s="239">
        <v>0</v>
      </c>
      <c r="CJ286" s="239">
        <v>0</v>
      </c>
      <c r="CK286" s="239">
        <v>0</v>
      </c>
      <c r="CL286" s="239">
        <v>0</v>
      </c>
      <c r="CM286" s="239">
        <v>52313</v>
      </c>
      <c r="CN286" s="239">
        <v>0</v>
      </c>
      <c r="CO286" s="239">
        <v>1068</v>
      </c>
      <c r="CP286" s="239">
        <v>-52313</v>
      </c>
      <c r="CQ286" s="239">
        <v>0</v>
      </c>
      <c r="CR286" s="239">
        <v>-1068</v>
      </c>
      <c r="CS286" s="239">
        <v>-746</v>
      </c>
      <c r="CT286" s="239">
        <v>0</v>
      </c>
      <c r="CU286" s="239">
        <v>-15</v>
      </c>
      <c r="CV286" s="239">
        <v>0</v>
      </c>
      <c r="CW286" s="239">
        <v>0</v>
      </c>
      <c r="CX286" s="239">
        <v>0</v>
      </c>
      <c r="CY286" s="239">
        <v>0</v>
      </c>
      <c r="CZ286" s="239">
        <v>0</v>
      </c>
      <c r="DA286" s="239">
        <v>0</v>
      </c>
      <c r="DB286" s="239">
        <v>0</v>
      </c>
      <c r="DC286" s="239">
        <v>0</v>
      </c>
      <c r="DD286" s="239">
        <v>0</v>
      </c>
      <c r="DE286" s="239">
        <v>0</v>
      </c>
      <c r="DF286" s="239">
        <v>0</v>
      </c>
      <c r="DG286" s="239">
        <v>0</v>
      </c>
      <c r="DH286" s="239">
        <v>0</v>
      </c>
      <c r="DI286" s="239">
        <v>0</v>
      </c>
      <c r="DJ286" s="239">
        <v>0</v>
      </c>
      <c r="DK286" s="239">
        <v>0</v>
      </c>
      <c r="DL286" s="239">
        <v>0</v>
      </c>
      <c r="DM286" s="239">
        <v>0</v>
      </c>
      <c r="DN286" s="239">
        <v>0</v>
      </c>
      <c r="DO286" s="239">
        <v>0</v>
      </c>
      <c r="DP286" s="239">
        <v>0</v>
      </c>
      <c r="DQ286" s="239">
        <v>0</v>
      </c>
      <c r="DR286" s="239">
        <v>0</v>
      </c>
      <c r="DS286" s="239">
        <v>0</v>
      </c>
      <c r="DT286" s="239">
        <v>0</v>
      </c>
      <c r="DU286" s="239">
        <v>0</v>
      </c>
      <c r="DV286" s="239">
        <v>0</v>
      </c>
      <c r="DW286" s="239">
        <v>0</v>
      </c>
      <c r="DX286" s="239">
        <v>0</v>
      </c>
      <c r="DY286" s="239">
        <v>0</v>
      </c>
      <c r="DZ286" s="239">
        <v>5992</v>
      </c>
      <c r="EA286" s="239">
        <v>0</v>
      </c>
      <c r="EB286" s="239">
        <v>122</v>
      </c>
      <c r="EC286" s="239">
        <v>4419</v>
      </c>
      <c r="ED286" s="239">
        <v>0</v>
      </c>
      <c r="EE286" s="239">
        <v>0</v>
      </c>
      <c r="EF286" s="239">
        <v>1573</v>
      </c>
      <c r="EG286" s="239">
        <v>0</v>
      </c>
      <c r="EH286" s="239">
        <v>122</v>
      </c>
      <c r="EI286" s="239">
        <v>159635</v>
      </c>
      <c r="EJ286" s="239">
        <v>0</v>
      </c>
      <c r="EK286" s="239">
        <v>3258</v>
      </c>
      <c r="EL286" s="239">
        <v>183845</v>
      </c>
      <c r="EM286" s="239">
        <v>0</v>
      </c>
      <c r="EN286" s="239">
        <v>0</v>
      </c>
      <c r="EO286" s="239">
        <v>-24210</v>
      </c>
      <c r="EP286" s="239">
        <v>0</v>
      </c>
      <c r="EQ286" s="239">
        <v>3258</v>
      </c>
      <c r="ER286" s="239">
        <v>10443</v>
      </c>
      <c r="ES286" s="239">
        <v>0</v>
      </c>
      <c r="ET286" s="239">
        <v>213</v>
      </c>
      <c r="EU286" s="239">
        <v>10851</v>
      </c>
      <c r="EV286" s="239">
        <v>0</v>
      </c>
      <c r="EW286" s="239">
        <v>0</v>
      </c>
      <c r="EX286" s="239">
        <v>-408</v>
      </c>
      <c r="EY286" s="239">
        <v>0</v>
      </c>
      <c r="EZ286" s="239">
        <v>213</v>
      </c>
      <c r="FA286" s="239">
        <v>776563</v>
      </c>
      <c r="FB286" s="239">
        <v>0</v>
      </c>
      <c r="FC286" s="239">
        <v>15848</v>
      </c>
      <c r="FD286" s="239">
        <v>811728</v>
      </c>
      <c r="FE286" s="239">
        <v>0</v>
      </c>
      <c r="FF286" s="239">
        <v>16566</v>
      </c>
      <c r="FG286" s="239">
        <v>-35165</v>
      </c>
      <c r="FH286" s="239">
        <v>0</v>
      </c>
      <c r="FI286" s="239">
        <v>-718</v>
      </c>
      <c r="FJ286" s="239">
        <v>0</v>
      </c>
      <c r="FK286" s="239">
        <v>0</v>
      </c>
      <c r="FL286" s="239">
        <v>0</v>
      </c>
      <c r="FM286" s="239">
        <v>0</v>
      </c>
      <c r="FN286" s="239">
        <v>0</v>
      </c>
      <c r="FO286" s="239">
        <v>0</v>
      </c>
      <c r="FP286" s="239">
        <v>0</v>
      </c>
      <c r="FQ286" s="239">
        <v>0</v>
      </c>
      <c r="FR286" s="239">
        <v>0</v>
      </c>
      <c r="FS286" s="239">
        <v>0</v>
      </c>
      <c r="FT286" s="239">
        <v>0</v>
      </c>
      <c r="FU286" s="239">
        <v>0</v>
      </c>
      <c r="FV286" s="239">
        <v>2327258</v>
      </c>
      <c r="FW286" s="239">
        <v>0</v>
      </c>
      <c r="FX286" s="239">
        <v>47494</v>
      </c>
      <c r="FY286" s="834">
        <v>0.5</v>
      </c>
      <c r="FZ286" s="834">
        <v>0.49</v>
      </c>
      <c r="GA286" s="834">
        <v>0</v>
      </c>
      <c r="GB286" s="834">
        <v>0.01</v>
      </c>
      <c r="GC286" s="214" t="s">
        <v>746</v>
      </c>
    </row>
    <row r="287" spans="2:185" s="214" customFormat="1" x14ac:dyDescent="0.2">
      <c r="B287" s="602" t="s">
        <v>657</v>
      </c>
      <c r="C287" s="602" t="s">
        <v>656</v>
      </c>
      <c r="D287" s="239">
        <v>-290382</v>
      </c>
      <c r="E287" s="239">
        <v>0</v>
      </c>
      <c r="F287" s="239">
        <v>-290382</v>
      </c>
      <c r="G287" s="239">
        <v>52258</v>
      </c>
      <c r="H287" s="239">
        <v>0</v>
      </c>
      <c r="I287" s="239">
        <v>52258</v>
      </c>
      <c r="J287" s="239">
        <v>-342640</v>
      </c>
      <c r="K287" s="239">
        <v>0</v>
      </c>
      <c r="L287" s="239">
        <v>-342640</v>
      </c>
      <c r="M287" s="239">
        <v>162575</v>
      </c>
      <c r="N287" s="239">
        <v>162575</v>
      </c>
      <c r="O287" s="239">
        <v>0</v>
      </c>
      <c r="P287" s="239">
        <v>0</v>
      </c>
      <c r="Q287" s="239">
        <v>0</v>
      </c>
      <c r="R287" s="239">
        <v>0</v>
      </c>
      <c r="S287" s="239">
        <v>0</v>
      </c>
      <c r="T287" s="239">
        <v>0</v>
      </c>
      <c r="U287" s="239">
        <v>0</v>
      </c>
      <c r="V287" s="239">
        <v>0</v>
      </c>
      <c r="W287" s="239">
        <v>0</v>
      </c>
      <c r="X287" s="239">
        <v>0</v>
      </c>
      <c r="Y287" s="239">
        <v>0</v>
      </c>
      <c r="Z287" s="239">
        <v>0</v>
      </c>
      <c r="AA287" s="239">
        <v>0</v>
      </c>
      <c r="AB287" s="239">
        <v>0</v>
      </c>
      <c r="AC287" s="239">
        <v>0</v>
      </c>
      <c r="AD287" s="239">
        <v>0</v>
      </c>
      <c r="AE287" s="239">
        <v>0</v>
      </c>
      <c r="AF287" s="239">
        <v>0</v>
      </c>
      <c r="AG287" s="239">
        <v>0</v>
      </c>
      <c r="AH287" s="239">
        <v>0</v>
      </c>
      <c r="AI287" s="239">
        <v>0</v>
      </c>
      <c r="AJ287" s="239">
        <v>0</v>
      </c>
      <c r="AK287" s="239">
        <v>0</v>
      </c>
      <c r="AL287" s="239">
        <v>0</v>
      </c>
      <c r="AM287" s="239">
        <v>0</v>
      </c>
      <c r="AN287" s="239">
        <v>0</v>
      </c>
      <c r="AO287" s="239">
        <v>0</v>
      </c>
      <c r="AP287" s="239">
        <v>0</v>
      </c>
      <c r="AQ287" s="239">
        <v>0</v>
      </c>
      <c r="AR287" s="239">
        <v>0</v>
      </c>
      <c r="AS287" s="239">
        <v>0</v>
      </c>
      <c r="AT287" s="239">
        <v>0</v>
      </c>
      <c r="AU287" s="239">
        <v>0</v>
      </c>
      <c r="AV287" s="239">
        <v>0</v>
      </c>
      <c r="AW287" s="239">
        <v>0</v>
      </c>
      <c r="AX287" s="239">
        <v>0</v>
      </c>
      <c r="AY287" s="239">
        <v>0</v>
      </c>
      <c r="AZ287" s="239">
        <v>0</v>
      </c>
      <c r="BA287" s="239">
        <v>0</v>
      </c>
      <c r="BB287" s="239">
        <v>0</v>
      </c>
      <c r="BC287" s="239">
        <v>835542</v>
      </c>
      <c r="BD287" s="239">
        <v>187997</v>
      </c>
      <c r="BE287" s="239">
        <v>20889</v>
      </c>
      <c r="BF287" s="239">
        <v>805303.5945819742</v>
      </c>
      <c r="BG287" s="239">
        <v>181193.30878094418</v>
      </c>
      <c r="BH287" s="239">
        <v>20132.589864549354</v>
      </c>
      <c r="BI287" s="239">
        <v>98366.84613733906</v>
      </c>
      <c r="BJ287" s="239">
        <v>22132.540380901286</v>
      </c>
      <c r="BK287" s="239">
        <v>2459.1711534334763</v>
      </c>
      <c r="BL287" s="239">
        <v>825807</v>
      </c>
      <c r="BM287" s="239">
        <v>117413</v>
      </c>
      <c r="BN287" s="239">
        <v>13046</v>
      </c>
      <c r="BO287" s="239">
        <v>9735</v>
      </c>
      <c r="BP287" s="239">
        <v>70584</v>
      </c>
      <c r="BQ287" s="239">
        <v>7843</v>
      </c>
      <c r="BR287" s="239">
        <v>0</v>
      </c>
      <c r="BS287" s="239">
        <v>0</v>
      </c>
      <c r="BT287" s="239">
        <v>0</v>
      </c>
      <c r="BU287" s="239">
        <v>0</v>
      </c>
      <c r="BV287" s="239">
        <v>0</v>
      </c>
      <c r="BW287" s="239">
        <v>0</v>
      </c>
      <c r="BX287" s="239">
        <v>0</v>
      </c>
      <c r="BY287" s="239">
        <v>0</v>
      </c>
      <c r="BZ287" s="239">
        <v>0</v>
      </c>
      <c r="CA287" s="239">
        <v>2853</v>
      </c>
      <c r="CB287" s="239">
        <v>642</v>
      </c>
      <c r="CC287" s="239">
        <v>71</v>
      </c>
      <c r="CD287" s="239">
        <v>0</v>
      </c>
      <c r="CE287" s="239">
        <v>0</v>
      </c>
      <c r="CF287" s="239">
        <v>0</v>
      </c>
      <c r="CG287" s="239">
        <v>2853</v>
      </c>
      <c r="CH287" s="239">
        <v>642</v>
      </c>
      <c r="CI287" s="239">
        <v>71</v>
      </c>
      <c r="CJ287" s="239">
        <v>9664</v>
      </c>
      <c r="CK287" s="239">
        <v>2174</v>
      </c>
      <c r="CL287" s="239">
        <v>242</v>
      </c>
      <c r="CM287" s="239">
        <v>0</v>
      </c>
      <c r="CN287" s="239">
        <v>0</v>
      </c>
      <c r="CO287" s="239">
        <v>0</v>
      </c>
      <c r="CP287" s="239">
        <v>9664</v>
      </c>
      <c r="CQ287" s="239">
        <v>2174</v>
      </c>
      <c r="CR287" s="239">
        <v>242</v>
      </c>
      <c r="CS287" s="239">
        <v>-291</v>
      </c>
      <c r="CT287" s="239">
        <v>-65</v>
      </c>
      <c r="CU287" s="239">
        <v>-7</v>
      </c>
      <c r="CV287" s="239">
        <v>-1650</v>
      </c>
      <c r="CW287" s="239">
        <v>-371</v>
      </c>
      <c r="CX287" s="239">
        <v>-41</v>
      </c>
      <c r="CY287" s="239">
        <v>0</v>
      </c>
      <c r="CZ287" s="239">
        <v>0</v>
      </c>
      <c r="DA287" s="239">
        <v>0</v>
      </c>
      <c r="DB287" s="239">
        <v>-1650</v>
      </c>
      <c r="DC287" s="239">
        <v>-371</v>
      </c>
      <c r="DD287" s="239">
        <v>-41</v>
      </c>
      <c r="DE287" s="239">
        <v>0</v>
      </c>
      <c r="DF287" s="239">
        <v>0</v>
      </c>
      <c r="DG287" s="239">
        <v>0</v>
      </c>
      <c r="DH287" s="239">
        <v>0</v>
      </c>
      <c r="DI287" s="239">
        <v>0</v>
      </c>
      <c r="DJ287" s="239">
        <v>0</v>
      </c>
      <c r="DK287" s="239">
        <v>0</v>
      </c>
      <c r="DL287" s="239">
        <v>0</v>
      </c>
      <c r="DM287" s="239">
        <v>0</v>
      </c>
      <c r="DN287" s="239">
        <v>0</v>
      </c>
      <c r="DO287" s="239">
        <v>0</v>
      </c>
      <c r="DP287" s="239">
        <v>0</v>
      </c>
      <c r="DQ287" s="239">
        <v>0</v>
      </c>
      <c r="DR287" s="239">
        <v>0</v>
      </c>
      <c r="DS287" s="239">
        <v>0</v>
      </c>
      <c r="DT287" s="239">
        <v>0</v>
      </c>
      <c r="DU287" s="239">
        <v>0</v>
      </c>
      <c r="DV287" s="239">
        <v>0</v>
      </c>
      <c r="DW287" s="239">
        <v>0</v>
      </c>
      <c r="DX287" s="239">
        <v>0</v>
      </c>
      <c r="DY287" s="239">
        <v>0</v>
      </c>
      <c r="DZ287" s="239">
        <v>10895</v>
      </c>
      <c r="EA287" s="239">
        <v>2451</v>
      </c>
      <c r="EB287" s="239">
        <v>272</v>
      </c>
      <c r="EC287" s="239">
        <v>13619</v>
      </c>
      <c r="ED287" s="239">
        <v>0</v>
      </c>
      <c r="EE287" s="239">
        <v>0</v>
      </c>
      <c r="EF287" s="239">
        <v>-2724</v>
      </c>
      <c r="EG287" s="239">
        <v>2451</v>
      </c>
      <c r="EH287" s="239">
        <v>272</v>
      </c>
      <c r="EI287" s="239">
        <v>111485</v>
      </c>
      <c r="EJ287" s="239">
        <v>25084</v>
      </c>
      <c r="EK287" s="239">
        <v>2787</v>
      </c>
      <c r="EL287" s="239">
        <v>168790</v>
      </c>
      <c r="EM287" s="239">
        <v>0</v>
      </c>
      <c r="EN287" s="239">
        <v>0</v>
      </c>
      <c r="EO287" s="239">
        <v>-57305</v>
      </c>
      <c r="EP287" s="239">
        <v>25084</v>
      </c>
      <c r="EQ287" s="239">
        <v>2787</v>
      </c>
      <c r="ER287" s="239">
        <v>23758</v>
      </c>
      <c r="ES287" s="239">
        <v>5345</v>
      </c>
      <c r="ET287" s="239">
        <v>594</v>
      </c>
      <c r="EU287" s="239">
        <v>32061</v>
      </c>
      <c r="EV287" s="239">
        <v>0</v>
      </c>
      <c r="EW287" s="239">
        <v>0</v>
      </c>
      <c r="EX287" s="239">
        <v>-8303</v>
      </c>
      <c r="EY287" s="239">
        <v>5345</v>
      </c>
      <c r="EZ287" s="239">
        <v>594</v>
      </c>
      <c r="FA287" s="239">
        <v>325064</v>
      </c>
      <c r="FB287" s="239">
        <v>73139</v>
      </c>
      <c r="FC287" s="239">
        <v>8127</v>
      </c>
      <c r="FD287" s="239">
        <v>320682</v>
      </c>
      <c r="FE287" s="239">
        <v>72153</v>
      </c>
      <c r="FF287" s="239">
        <v>8017</v>
      </c>
      <c r="FG287" s="239">
        <v>4382</v>
      </c>
      <c r="FH287" s="239">
        <v>986</v>
      </c>
      <c r="FI287" s="239">
        <v>110</v>
      </c>
      <c r="FJ287" s="239">
        <v>0</v>
      </c>
      <c r="FK287" s="239">
        <v>0</v>
      </c>
      <c r="FL287" s="239">
        <v>0</v>
      </c>
      <c r="FM287" s="239">
        <v>0</v>
      </c>
      <c r="FN287" s="239">
        <v>0</v>
      </c>
      <c r="FO287" s="239">
        <v>0</v>
      </c>
      <c r="FP287" s="239">
        <v>0</v>
      </c>
      <c r="FQ287" s="239">
        <v>0</v>
      </c>
      <c r="FR287" s="239">
        <v>0</v>
      </c>
      <c r="FS287" s="239">
        <v>0</v>
      </c>
      <c r="FT287" s="239">
        <v>0</v>
      </c>
      <c r="FU287" s="239">
        <v>0</v>
      </c>
      <c r="FV287" s="239">
        <v>1317320</v>
      </c>
      <c r="FW287" s="239">
        <v>296396</v>
      </c>
      <c r="FX287" s="239">
        <v>32934</v>
      </c>
      <c r="FY287" s="834">
        <v>0.5</v>
      </c>
      <c r="FZ287" s="834">
        <v>0.4</v>
      </c>
      <c r="GA287" s="834">
        <v>0.09</v>
      </c>
      <c r="GB287" s="834">
        <v>0.01</v>
      </c>
      <c r="GC287" s="214" t="s">
        <v>1158</v>
      </c>
    </row>
    <row r="288" spans="2:185" s="214" customFormat="1" x14ac:dyDescent="0.2">
      <c r="B288" s="602" t="s">
        <v>659</v>
      </c>
      <c r="C288" s="602" t="s">
        <v>658</v>
      </c>
      <c r="D288" s="239">
        <v>-3599604</v>
      </c>
      <c r="E288" s="239">
        <v>0</v>
      </c>
      <c r="F288" s="239">
        <v>-3599604</v>
      </c>
      <c r="G288" s="239">
        <v>-3609793.3899999997</v>
      </c>
      <c r="H288" s="239">
        <v>0</v>
      </c>
      <c r="I288" s="239">
        <v>-3609793.3899999997</v>
      </c>
      <c r="J288" s="239">
        <v>10189.389999999665</v>
      </c>
      <c r="K288" s="239">
        <v>0</v>
      </c>
      <c r="L288" s="239">
        <v>10189.389999999665</v>
      </c>
      <c r="M288" s="239">
        <v>195813</v>
      </c>
      <c r="N288" s="239">
        <v>195813</v>
      </c>
      <c r="O288" s="239">
        <v>0</v>
      </c>
      <c r="P288" s="239">
        <v>0</v>
      </c>
      <c r="Q288" s="239">
        <v>0</v>
      </c>
      <c r="R288" s="239">
        <v>0</v>
      </c>
      <c r="S288" s="239">
        <v>0</v>
      </c>
      <c r="T288" s="239">
        <v>0</v>
      </c>
      <c r="U288" s="239">
        <v>0</v>
      </c>
      <c r="V288" s="239">
        <v>0</v>
      </c>
      <c r="W288" s="239">
        <v>0</v>
      </c>
      <c r="X288" s="239">
        <v>0</v>
      </c>
      <c r="Y288" s="239">
        <v>0</v>
      </c>
      <c r="Z288" s="239">
        <v>0</v>
      </c>
      <c r="AA288" s="239">
        <v>0</v>
      </c>
      <c r="AB288" s="239">
        <v>0</v>
      </c>
      <c r="AC288" s="239">
        <v>0</v>
      </c>
      <c r="AD288" s="239">
        <v>0</v>
      </c>
      <c r="AE288" s="239">
        <v>0</v>
      </c>
      <c r="AF288" s="239">
        <v>0</v>
      </c>
      <c r="AG288" s="239">
        <v>0</v>
      </c>
      <c r="AH288" s="239">
        <v>0</v>
      </c>
      <c r="AI288" s="239">
        <v>0</v>
      </c>
      <c r="AJ288" s="239">
        <v>0</v>
      </c>
      <c r="AK288" s="239">
        <v>0</v>
      </c>
      <c r="AL288" s="239">
        <v>0</v>
      </c>
      <c r="AM288" s="239">
        <v>0</v>
      </c>
      <c r="AN288" s="239">
        <v>0</v>
      </c>
      <c r="AO288" s="239">
        <v>0</v>
      </c>
      <c r="AP288" s="239">
        <v>0</v>
      </c>
      <c r="AQ288" s="239">
        <v>0</v>
      </c>
      <c r="AR288" s="239">
        <v>0</v>
      </c>
      <c r="AS288" s="239">
        <v>0</v>
      </c>
      <c r="AT288" s="239">
        <v>0</v>
      </c>
      <c r="AU288" s="239">
        <v>0</v>
      </c>
      <c r="AV288" s="239">
        <v>0</v>
      </c>
      <c r="AW288" s="239">
        <v>0</v>
      </c>
      <c r="AX288" s="239">
        <v>0</v>
      </c>
      <c r="AY288" s="239">
        <v>0</v>
      </c>
      <c r="AZ288" s="239">
        <v>0</v>
      </c>
      <c r="BA288" s="239">
        <v>0</v>
      </c>
      <c r="BB288" s="239">
        <v>0</v>
      </c>
      <c r="BC288" s="239">
        <v>2221494</v>
      </c>
      <c r="BD288" s="239">
        <v>0</v>
      </c>
      <c r="BE288" s="239">
        <v>45337</v>
      </c>
      <c r="BF288" s="239">
        <v>2186160.7468922748</v>
      </c>
      <c r="BG288" s="239">
        <v>0</v>
      </c>
      <c r="BH288" s="239">
        <v>44615.525446781117</v>
      </c>
      <c r="BI288" s="239">
        <v>99486.228042918447</v>
      </c>
      <c r="BJ288" s="239">
        <v>0</v>
      </c>
      <c r="BK288" s="239">
        <v>2030.3311845493561</v>
      </c>
      <c r="BL288" s="239">
        <v>1878562</v>
      </c>
      <c r="BM288" s="239">
        <v>0</v>
      </c>
      <c r="BN288" s="239">
        <v>28420</v>
      </c>
      <c r="BO288" s="239">
        <v>342932</v>
      </c>
      <c r="BP288" s="239">
        <v>0</v>
      </c>
      <c r="BQ288" s="239">
        <v>16917</v>
      </c>
      <c r="BR288" s="239">
        <v>0</v>
      </c>
      <c r="BS288" s="239">
        <v>0</v>
      </c>
      <c r="BT288" s="239">
        <v>0</v>
      </c>
      <c r="BU288" s="239">
        <v>6363</v>
      </c>
      <c r="BV288" s="239">
        <v>0</v>
      </c>
      <c r="BW288" s="239">
        <v>130</v>
      </c>
      <c r="BX288" s="239">
        <v>-6363</v>
      </c>
      <c r="BY288" s="239">
        <v>0</v>
      </c>
      <c r="BZ288" s="239">
        <v>-130</v>
      </c>
      <c r="CA288" s="239">
        <v>-6002</v>
      </c>
      <c r="CB288" s="239">
        <v>0</v>
      </c>
      <c r="CC288" s="239">
        <v>-122</v>
      </c>
      <c r="CD288" s="239">
        <v>0</v>
      </c>
      <c r="CE288" s="239">
        <v>0</v>
      </c>
      <c r="CF288" s="239">
        <v>0</v>
      </c>
      <c r="CG288" s="239">
        <v>-6002</v>
      </c>
      <c r="CH288" s="239">
        <v>0</v>
      </c>
      <c r="CI288" s="239">
        <v>-122</v>
      </c>
      <c r="CJ288" s="239">
        <v>29110</v>
      </c>
      <c r="CK288" s="239">
        <v>0</v>
      </c>
      <c r="CL288" s="239">
        <v>594</v>
      </c>
      <c r="CM288" s="239">
        <v>5069</v>
      </c>
      <c r="CN288" s="239">
        <v>0</v>
      </c>
      <c r="CO288" s="239">
        <v>103</v>
      </c>
      <c r="CP288" s="239">
        <v>24041</v>
      </c>
      <c r="CQ288" s="239">
        <v>0</v>
      </c>
      <c r="CR288" s="239">
        <v>491</v>
      </c>
      <c r="CS288" s="239">
        <v>1594</v>
      </c>
      <c r="CT288" s="239">
        <v>0</v>
      </c>
      <c r="CU288" s="239">
        <v>33</v>
      </c>
      <c r="CV288" s="239">
        <v>0</v>
      </c>
      <c r="CW288" s="239">
        <v>0</v>
      </c>
      <c r="CX288" s="239">
        <v>0</v>
      </c>
      <c r="CY288" s="239">
        <v>0</v>
      </c>
      <c r="CZ288" s="239">
        <v>0</v>
      </c>
      <c r="DA288" s="239">
        <v>0</v>
      </c>
      <c r="DB288" s="239">
        <v>0</v>
      </c>
      <c r="DC288" s="239">
        <v>0</v>
      </c>
      <c r="DD288" s="239">
        <v>0</v>
      </c>
      <c r="DE288" s="239">
        <v>-102</v>
      </c>
      <c r="DF288" s="239">
        <v>0</v>
      </c>
      <c r="DG288" s="239">
        <v>-2</v>
      </c>
      <c r="DH288" s="239">
        <v>0</v>
      </c>
      <c r="DI288" s="239">
        <v>0</v>
      </c>
      <c r="DJ288" s="239">
        <v>0</v>
      </c>
      <c r="DK288" s="239">
        <v>0</v>
      </c>
      <c r="DL288" s="239">
        <v>0</v>
      </c>
      <c r="DM288" s="239">
        <v>0</v>
      </c>
      <c r="DN288" s="239">
        <v>0</v>
      </c>
      <c r="DO288" s="239">
        <v>0</v>
      </c>
      <c r="DP288" s="239">
        <v>0</v>
      </c>
      <c r="DQ288" s="239">
        <v>746</v>
      </c>
      <c r="DR288" s="239">
        <v>0</v>
      </c>
      <c r="DS288" s="239">
        <v>15</v>
      </c>
      <c r="DT288" s="239">
        <v>0</v>
      </c>
      <c r="DU288" s="239">
        <v>0</v>
      </c>
      <c r="DV288" s="239">
        <v>0</v>
      </c>
      <c r="DW288" s="239">
        <v>746</v>
      </c>
      <c r="DX288" s="239">
        <v>0</v>
      </c>
      <c r="DY288" s="239">
        <v>15</v>
      </c>
      <c r="DZ288" s="239">
        <v>3776</v>
      </c>
      <c r="EA288" s="239">
        <v>0</v>
      </c>
      <c r="EB288" s="239">
        <v>77</v>
      </c>
      <c r="EC288" s="239">
        <v>4149</v>
      </c>
      <c r="ED288" s="239">
        <v>0</v>
      </c>
      <c r="EE288" s="239">
        <v>0</v>
      </c>
      <c r="EF288" s="239">
        <v>-373</v>
      </c>
      <c r="EG288" s="239">
        <v>0</v>
      </c>
      <c r="EH288" s="239">
        <v>77</v>
      </c>
      <c r="EI288" s="239">
        <v>90273</v>
      </c>
      <c r="EJ288" s="239">
        <v>0</v>
      </c>
      <c r="EK288" s="239">
        <v>1842</v>
      </c>
      <c r="EL288" s="239">
        <v>105634</v>
      </c>
      <c r="EM288" s="239">
        <v>0</v>
      </c>
      <c r="EN288" s="239">
        <v>0</v>
      </c>
      <c r="EO288" s="239">
        <v>-15361</v>
      </c>
      <c r="EP288" s="239">
        <v>0</v>
      </c>
      <c r="EQ288" s="239">
        <v>1842</v>
      </c>
      <c r="ER288" s="239">
        <v>24851</v>
      </c>
      <c r="ES288" s="239">
        <v>0</v>
      </c>
      <c r="ET288" s="239">
        <v>507</v>
      </c>
      <c r="EU288" s="239">
        <v>24427</v>
      </c>
      <c r="EV288" s="239">
        <v>0</v>
      </c>
      <c r="EW288" s="239">
        <v>0</v>
      </c>
      <c r="EX288" s="239">
        <v>424</v>
      </c>
      <c r="EY288" s="239">
        <v>0</v>
      </c>
      <c r="EZ288" s="239">
        <v>507</v>
      </c>
      <c r="FA288" s="239">
        <v>220795</v>
      </c>
      <c r="FB288" s="239">
        <v>0</v>
      </c>
      <c r="FC288" s="239">
        <v>4506</v>
      </c>
      <c r="FD288" s="239">
        <v>224188</v>
      </c>
      <c r="FE288" s="239">
        <v>0</v>
      </c>
      <c r="FF288" s="239">
        <v>4575</v>
      </c>
      <c r="FG288" s="239">
        <v>-3393</v>
      </c>
      <c r="FH288" s="239">
        <v>0</v>
      </c>
      <c r="FI288" s="239">
        <v>-69</v>
      </c>
      <c r="FJ288" s="239">
        <v>0</v>
      </c>
      <c r="FK288" s="239">
        <v>0</v>
      </c>
      <c r="FL288" s="239">
        <v>0</v>
      </c>
      <c r="FM288" s="239">
        <v>0</v>
      </c>
      <c r="FN288" s="239">
        <v>0</v>
      </c>
      <c r="FO288" s="239">
        <v>0</v>
      </c>
      <c r="FP288" s="239">
        <v>0</v>
      </c>
      <c r="FQ288" s="239">
        <v>0</v>
      </c>
      <c r="FR288" s="239">
        <v>0</v>
      </c>
      <c r="FS288" s="239">
        <v>0</v>
      </c>
      <c r="FT288" s="239">
        <v>0</v>
      </c>
      <c r="FU288" s="239">
        <v>0</v>
      </c>
      <c r="FV288" s="239">
        <v>2586535</v>
      </c>
      <c r="FW288" s="239">
        <v>0</v>
      </c>
      <c r="FX288" s="239">
        <v>52787</v>
      </c>
      <c r="FY288" s="834">
        <v>0.5</v>
      </c>
      <c r="FZ288" s="834">
        <v>0.49</v>
      </c>
      <c r="GA288" s="834">
        <v>0</v>
      </c>
      <c r="GB288" s="834">
        <v>0.01</v>
      </c>
      <c r="GC288" s="214" t="s">
        <v>746</v>
      </c>
    </row>
    <row r="289" spans="2:185" s="214" customFormat="1" x14ac:dyDescent="0.2">
      <c r="B289" s="602" t="s">
        <v>661</v>
      </c>
      <c r="C289" s="602" t="s">
        <v>660</v>
      </c>
      <c r="D289" s="239">
        <v>621282</v>
      </c>
      <c r="E289" s="239">
        <v>0</v>
      </c>
      <c r="F289" s="239">
        <v>621282</v>
      </c>
      <c r="G289" s="239">
        <v>648424</v>
      </c>
      <c r="H289" s="239">
        <v>0</v>
      </c>
      <c r="I289" s="239">
        <v>648424</v>
      </c>
      <c r="J289" s="239">
        <v>-27142</v>
      </c>
      <c r="K289" s="239">
        <v>0</v>
      </c>
      <c r="L289" s="239">
        <v>-27142</v>
      </c>
      <c r="M289" s="239">
        <v>132592</v>
      </c>
      <c r="N289" s="239">
        <v>132592</v>
      </c>
      <c r="O289" s="239">
        <v>0</v>
      </c>
      <c r="P289" s="239">
        <v>0</v>
      </c>
      <c r="Q289" s="239">
        <v>0</v>
      </c>
      <c r="R289" s="239">
        <v>0</v>
      </c>
      <c r="S289" s="239">
        <v>802736</v>
      </c>
      <c r="T289" s="239">
        <v>0</v>
      </c>
      <c r="U289" s="239">
        <v>746789</v>
      </c>
      <c r="V289" s="239">
        <v>0</v>
      </c>
      <c r="W289" s="239">
        <v>55947</v>
      </c>
      <c r="X289" s="239">
        <v>0</v>
      </c>
      <c r="Y289" s="239">
        <v>0</v>
      </c>
      <c r="Z289" s="239">
        <v>0</v>
      </c>
      <c r="AA289" s="239">
        <v>0</v>
      </c>
      <c r="AB289" s="239">
        <v>0</v>
      </c>
      <c r="AC289" s="239">
        <v>0</v>
      </c>
      <c r="AD289" s="239">
        <v>0</v>
      </c>
      <c r="AE289" s="239">
        <v>0</v>
      </c>
      <c r="AF289" s="239">
        <v>0</v>
      </c>
      <c r="AG289" s="239">
        <v>0</v>
      </c>
      <c r="AH289" s="239">
        <v>0</v>
      </c>
      <c r="AI289" s="239">
        <v>0</v>
      </c>
      <c r="AJ289" s="239">
        <v>0</v>
      </c>
      <c r="AK289" s="239">
        <v>0</v>
      </c>
      <c r="AL289" s="239">
        <v>0</v>
      </c>
      <c r="AM289" s="239">
        <v>0</v>
      </c>
      <c r="AN289" s="239">
        <v>0</v>
      </c>
      <c r="AO289" s="239">
        <v>0</v>
      </c>
      <c r="AP289" s="239">
        <v>0</v>
      </c>
      <c r="AQ289" s="239">
        <v>0</v>
      </c>
      <c r="AR289" s="239">
        <v>0</v>
      </c>
      <c r="AS289" s="239">
        <v>0</v>
      </c>
      <c r="AT289" s="239">
        <v>0</v>
      </c>
      <c r="AU289" s="239">
        <v>0</v>
      </c>
      <c r="AV289" s="239">
        <v>0</v>
      </c>
      <c r="AW289" s="239">
        <v>0</v>
      </c>
      <c r="AX289" s="239">
        <v>0</v>
      </c>
      <c r="AY289" s="239">
        <v>0</v>
      </c>
      <c r="AZ289" s="239">
        <v>0</v>
      </c>
      <c r="BA289" s="239">
        <v>0</v>
      </c>
      <c r="BB289" s="239">
        <v>0</v>
      </c>
      <c r="BC289" s="239">
        <v>1030826</v>
      </c>
      <c r="BD289" s="239">
        <v>231936</v>
      </c>
      <c r="BE289" s="239">
        <v>25771</v>
      </c>
      <c r="BF289" s="239">
        <v>1018207.6115879829</v>
      </c>
      <c r="BG289" s="239">
        <v>229096.7126072961</v>
      </c>
      <c r="BH289" s="239">
        <v>25455.190289699571</v>
      </c>
      <c r="BI289" s="239">
        <v>36614.787896995709</v>
      </c>
      <c r="BJ289" s="239">
        <v>8238.3272768240349</v>
      </c>
      <c r="BK289" s="239">
        <v>915.36969742489282</v>
      </c>
      <c r="BL289" s="239">
        <v>972075</v>
      </c>
      <c r="BM289" s="239">
        <v>164140</v>
      </c>
      <c r="BN289" s="239">
        <v>18238</v>
      </c>
      <c r="BO289" s="239">
        <v>58751</v>
      </c>
      <c r="BP289" s="239">
        <v>67796</v>
      </c>
      <c r="BQ289" s="239">
        <v>7533</v>
      </c>
      <c r="BR289" s="239">
        <v>3533</v>
      </c>
      <c r="BS289" s="239">
        <v>795</v>
      </c>
      <c r="BT289" s="239">
        <v>88</v>
      </c>
      <c r="BU289" s="239">
        <v>271</v>
      </c>
      <c r="BV289" s="239">
        <v>61</v>
      </c>
      <c r="BW289" s="239">
        <v>7</v>
      </c>
      <c r="BX289" s="239">
        <v>3262</v>
      </c>
      <c r="BY289" s="239">
        <v>734</v>
      </c>
      <c r="BZ289" s="239">
        <v>81</v>
      </c>
      <c r="CA289" s="239">
        <v>0</v>
      </c>
      <c r="CB289" s="239">
        <v>0</v>
      </c>
      <c r="CC289" s="239">
        <v>0</v>
      </c>
      <c r="CD289" s="239">
        <v>0</v>
      </c>
      <c r="CE289" s="239">
        <v>0</v>
      </c>
      <c r="CF289" s="239">
        <v>0</v>
      </c>
      <c r="CG289" s="239">
        <v>0</v>
      </c>
      <c r="CH289" s="239">
        <v>0</v>
      </c>
      <c r="CI289" s="239">
        <v>0</v>
      </c>
      <c r="CJ289" s="239">
        <v>0</v>
      </c>
      <c r="CK289" s="239">
        <v>0</v>
      </c>
      <c r="CL289" s="239">
        <v>0</v>
      </c>
      <c r="CM289" s="239">
        <v>0</v>
      </c>
      <c r="CN289" s="239">
        <v>0</v>
      </c>
      <c r="CO289" s="239">
        <v>0</v>
      </c>
      <c r="CP289" s="239">
        <v>0</v>
      </c>
      <c r="CQ289" s="239">
        <v>0</v>
      </c>
      <c r="CR289" s="239">
        <v>0</v>
      </c>
      <c r="CS289" s="239">
        <v>0</v>
      </c>
      <c r="CT289" s="239">
        <v>0</v>
      </c>
      <c r="CU289" s="239">
        <v>0</v>
      </c>
      <c r="CV289" s="239">
        <v>0</v>
      </c>
      <c r="CW289" s="239">
        <v>0</v>
      </c>
      <c r="CX289" s="239">
        <v>0</v>
      </c>
      <c r="CY289" s="239">
        <v>0</v>
      </c>
      <c r="CZ289" s="239">
        <v>0</v>
      </c>
      <c r="DA289" s="239">
        <v>0</v>
      </c>
      <c r="DB289" s="239">
        <v>0</v>
      </c>
      <c r="DC289" s="239">
        <v>0</v>
      </c>
      <c r="DD289" s="239">
        <v>0</v>
      </c>
      <c r="DE289" s="239">
        <v>0</v>
      </c>
      <c r="DF289" s="239">
        <v>0</v>
      </c>
      <c r="DG289" s="239">
        <v>0</v>
      </c>
      <c r="DH289" s="239">
        <v>19673</v>
      </c>
      <c r="DI289" s="239">
        <v>4426</v>
      </c>
      <c r="DJ289" s="239">
        <v>492</v>
      </c>
      <c r="DK289" s="239">
        <v>19411</v>
      </c>
      <c r="DL289" s="239">
        <v>4368</v>
      </c>
      <c r="DM289" s="239">
        <v>485</v>
      </c>
      <c r="DN289" s="239">
        <v>262</v>
      </c>
      <c r="DO289" s="239">
        <v>58</v>
      </c>
      <c r="DP289" s="239">
        <v>7</v>
      </c>
      <c r="DQ289" s="239">
        <v>0</v>
      </c>
      <c r="DR289" s="239">
        <v>0</v>
      </c>
      <c r="DS289" s="239">
        <v>0</v>
      </c>
      <c r="DT289" s="239">
        <v>0</v>
      </c>
      <c r="DU289" s="239">
        <v>0</v>
      </c>
      <c r="DV289" s="239">
        <v>0</v>
      </c>
      <c r="DW289" s="239">
        <v>0</v>
      </c>
      <c r="DX289" s="239">
        <v>0</v>
      </c>
      <c r="DY289" s="239">
        <v>0</v>
      </c>
      <c r="DZ289" s="239">
        <v>10638</v>
      </c>
      <c r="EA289" s="239">
        <v>2394</v>
      </c>
      <c r="EB289" s="239">
        <v>266</v>
      </c>
      <c r="EC289" s="239">
        <v>12688</v>
      </c>
      <c r="ED289" s="239">
        <v>0</v>
      </c>
      <c r="EE289" s="239">
        <v>0</v>
      </c>
      <c r="EF289" s="239">
        <v>-2050</v>
      </c>
      <c r="EG289" s="239">
        <v>2394</v>
      </c>
      <c r="EH289" s="239">
        <v>266</v>
      </c>
      <c r="EI289" s="239">
        <v>79246</v>
      </c>
      <c r="EJ289" s="239">
        <v>17830</v>
      </c>
      <c r="EK289" s="239">
        <v>1981</v>
      </c>
      <c r="EL289" s="239">
        <v>103992</v>
      </c>
      <c r="EM289" s="239">
        <v>0</v>
      </c>
      <c r="EN289" s="239">
        <v>0</v>
      </c>
      <c r="EO289" s="239">
        <v>-24746</v>
      </c>
      <c r="EP289" s="239">
        <v>17830</v>
      </c>
      <c r="EQ289" s="239">
        <v>1981</v>
      </c>
      <c r="ER289" s="239">
        <v>13301</v>
      </c>
      <c r="ES289" s="239">
        <v>2993</v>
      </c>
      <c r="ET289" s="239">
        <v>333</v>
      </c>
      <c r="EU289" s="239">
        <v>19793</v>
      </c>
      <c r="EV289" s="239">
        <v>0</v>
      </c>
      <c r="EW289" s="239">
        <v>0</v>
      </c>
      <c r="EX289" s="239">
        <v>-6492</v>
      </c>
      <c r="EY289" s="239">
        <v>2993</v>
      </c>
      <c r="EZ289" s="239">
        <v>333</v>
      </c>
      <c r="FA289" s="239">
        <v>78834</v>
      </c>
      <c r="FB289" s="239">
        <v>15024</v>
      </c>
      <c r="FC289" s="239">
        <v>1669</v>
      </c>
      <c r="FD289" s="239">
        <v>74565</v>
      </c>
      <c r="FE289" s="239">
        <v>14253</v>
      </c>
      <c r="FF289" s="239">
        <v>1584</v>
      </c>
      <c r="FG289" s="239">
        <v>4269</v>
      </c>
      <c r="FH289" s="239">
        <v>771</v>
      </c>
      <c r="FI289" s="239">
        <v>85</v>
      </c>
      <c r="FJ289" s="239">
        <v>0</v>
      </c>
      <c r="FK289" s="239">
        <v>0</v>
      </c>
      <c r="FL289" s="239">
        <v>0</v>
      </c>
      <c r="FM289" s="239">
        <v>0</v>
      </c>
      <c r="FN289" s="239">
        <v>0</v>
      </c>
      <c r="FO289" s="239">
        <v>0</v>
      </c>
      <c r="FP289" s="239">
        <v>0</v>
      </c>
      <c r="FQ289" s="239">
        <v>0</v>
      </c>
      <c r="FR289" s="239">
        <v>0</v>
      </c>
      <c r="FS289" s="239">
        <v>0</v>
      </c>
      <c r="FT289" s="239">
        <v>0</v>
      </c>
      <c r="FU289" s="239">
        <v>0</v>
      </c>
      <c r="FV289" s="239">
        <v>1236051</v>
      </c>
      <c r="FW289" s="239">
        <v>275398</v>
      </c>
      <c r="FX289" s="239">
        <v>30600</v>
      </c>
      <c r="FY289" s="834">
        <v>0.5</v>
      </c>
      <c r="FZ289" s="834">
        <v>0.4</v>
      </c>
      <c r="GA289" s="834">
        <v>0.09</v>
      </c>
      <c r="GB289" s="834">
        <v>0.01</v>
      </c>
      <c r="GC289" s="214" t="s">
        <v>1158</v>
      </c>
    </row>
    <row r="290" spans="2:185" s="214" customFormat="1" x14ac:dyDescent="0.2">
      <c r="B290" s="602" t="s">
        <v>663</v>
      </c>
      <c r="C290" s="602" t="s">
        <v>662</v>
      </c>
      <c r="D290" s="239">
        <v>23460578</v>
      </c>
      <c r="E290" s="239">
        <v>0</v>
      </c>
      <c r="F290" s="239">
        <v>23460578</v>
      </c>
      <c r="G290" s="239">
        <v>23454911</v>
      </c>
      <c r="H290" s="239">
        <v>0</v>
      </c>
      <c r="I290" s="239">
        <v>23454911</v>
      </c>
      <c r="J290" s="239">
        <v>5667</v>
      </c>
      <c r="K290" s="239">
        <v>0</v>
      </c>
      <c r="L290" s="239">
        <v>5667</v>
      </c>
      <c r="M290" s="239">
        <v>1016741</v>
      </c>
      <c r="N290" s="239">
        <v>1016741</v>
      </c>
      <c r="O290" s="239">
        <v>0</v>
      </c>
      <c r="P290" s="239">
        <v>0</v>
      </c>
      <c r="Q290" s="239">
        <v>0</v>
      </c>
      <c r="R290" s="239">
        <v>0</v>
      </c>
      <c r="S290" s="239">
        <v>0</v>
      </c>
      <c r="T290" s="239">
        <v>0</v>
      </c>
      <c r="U290" s="239">
        <v>0</v>
      </c>
      <c r="V290" s="239">
        <v>0</v>
      </c>
      <c r="W290" s="239">
        <v>0</v>
      </c>
      <c r="X290" s="239">
        <v>0</v>
      </c>
      <c r="Y290" s="239">
        <v>0</v>
      </c>
      <c r="Z290" s="239">
        <v>0</v>
      </c>
      <c r="AA290" s="239">
        <v>0</v>
      </c>
      <c r="AB290" s="239">
        <v>0</v>
      </c>
      <c r="AC290" s="239">
        <v>0</v>
      </c>
      <c r="AD290" s="239">
        <v>0</v>
      </c>
      <c r="AE290" s="239">
        <v>0</v>
      </c>
      <c r="AF290" s="239">
        <v>0</v>
      </c>
      <c r="AG290" s="239">
        <v>0</v>
      </c>
      <c r="AH290" s="239">
        <v>0</v>
      </c>
      <c r="AI290" s="239">
        <v>0</v>
      </c>
      <c r="AJ290" s="239">
        <v>0</v>
      </c>
      <c r="AK290" s="239">
        <v>0</v>
      </c>
      <c r="AL290" s="239">
        <v>0</v>
      </c>
      <c r="AM290" s="239">
        <v>0</v>
      </c>
      <c r="AN290" s="239">
        <v>0</v>
      </c>
      <c r="AO290" s="239">
        <v>0</v>
      </c>
      <c r="AP290" s="239">
        <v>0</v>
      </c>
      <c r="AQ290" s="239">
        <v>0</v>
      </c>
      <c r="AR290" s="239">
        <v>0</v>
      </c>
      <c r="AS290" s="239">
        <v>0</v>
      </c>
      <c r="AT290" s="239">
        <v>0</v>
      </c>
      <c r="AU290" s="239">
        <v>0</v>
      </c>
      <c r="AV290" s="239">
        <v>0</v>
      </c>
      <c r="AW290" s="239">
        <v>0</v>
      </c>
      <c r="AX290" s="239">
        <v>0</v>
      </c>
      <c r="AY290" s="239">
        <v>0</v>
      </c>
      <c r="AZ290" s="239">
        <v>0</v>
      </c>
      <c r="BA290" s="239">
        <v>0</v>
      </c>
      <c r="BB290" s="239">
        <v>0</v>
      </c>
      <c r="BC290" s="239">
        <v>1895843</v>
      </c>
      <c r="BD290" s="239">
        <v>2338207</v>
      </c>
      <c r="BE290" s="239">
        <v>0</v>
      </c>
      <c r="BF290" s="239">
        <v>1850037.486587768</v>
      </c>
      <c r="BG290" s="239">
        <v>2281712.900124914</v>
      </c>
      <c r="BH290" s="239">
        <v>0</v>
      </c>
      <c r="BI290" s="239">
        <v>214268.33769849781</v>
      </c>
      <c r="BJ290" s="239">
        <v>264264.28316148068</v>
      </c>
      <c r="BK290" s="239">
        <v>0</v>
      </c>
      <c r="BL290" s="239">
        <v>2160125</v>
      </c>
      <c r="BM290" s="239">
        <v>1291356</v>
      </c>
      <c r="BN290" s="239">
        <v>0</v>
      </c>
      <c r="BO290" s="239">
        <v>-264282</v>
      </c>
      <c r="BP290" s="239">
        <v>1046851</v>
      </c>
      <c r="BQ290" s="239">
        <v>0</v>
      </c>
      <c r="BR290" s="239">
        <v>0</v>
      </c>
      <c r="BS290" s="239">
        <v>0</v>
      </c>
      <c r="BT290" s="239">
        <v>0</v>
      </c>
      <c r="BU290" s="239">
        <v>0</v>
      </c>
      <c r="BV290" s="239">
        <v>0</v>
      </c>
      <c r="BW290" s="239">
        <v>0</v>
      </c>
      <c r="BX290" s="239">
        <v>0</v>
      </c>
      <c r="BY290" s="239">
        <v>0</v>
      </c>
      <c r="BZ290" s="239">
        <v>0</v>
      </c>
      <c r="CA290" s="239">
        <v>96800</v>
      </c>
      <c r="CB290" s="239">
        <v>119386</v>
      </c>
      <c r="CC290" s="239">
        <v>0</v>
      </c>
      <c r="CD290" s="239">
        <v>164304</v>
      </c>
      <c r="CE290" s="239">
        <v>202642</v>
      </c>
      <c r="CF290" s="239">
        <v>0</v>
      </c>
      <c r="CG290" s="239">
        <v>-67504</v>
      </c>
      <c r="CH290" s="239">
        <v>-83256</v>
      </c>
      <c r="CI290" s="239">
        <v>0</v>
      </c>
      <c r="CJ290" s="239">
        <v>0</v>
      </c>
      <c r="CK290" s="239">
        <v>0</v>
      </c>
      <c r="CL290" s="239">
        <v>0</v>
      </c>
      <c r="CM290" s="239">
        <v>1400</v>
      </c>
      <c r="CN290" s="239">
        <v>1726</v>
      </c>
      <c r="CO290" s="239">
        <v>0</v>
      </c>
      <c r="CP290" s="239">
        <v>-1400</v>
      </c>
      <c r="CQ290" s="239">
        <v>-1726</v>
      </c>
      <c r="CR290" s="239">
        <v>0</v>
      </c>
      <c r="CS290" s="239">
        <v>-6263</v>
      </c>
      <c r="CT290" s="239">
        <v>-7724</v>
      </c>
      <c r="CU290" s="239">
        <v>0</v>
      </c>
      <c r="CV290" s="239">
        <v>0</v>
      </c>
      <c r="CW290" s="239">
        <v>0</v>
      </c>
      <c r="CX290" s="239">
        <v>0</v>
      </c>
      <c r="CY290" s="239">
        <v>0</v>
      </c>
      <c r="CZ290" s="239">
        <v>0</v>
      </c>
      <c r="DA290" s="239">
        <v>0</v>
      </c>
      <c r="DB290" s="239">
        <v>0</v>
      </c>
      <c r="DC290" s="239">
        <v>0</v>
      </c>
      <c r="DD290" s="239">
        <v>0</v>
      </c>
      <c r="DE290" s="239">
        <v>-5893</v>
      </c>
      <c r="DF290" s="239">
        <v>-7268</v>
      </c>
      <c r="DG290" s="239">
        <v>0</v>
      </c>
      <c r="DH290" s="239">
        <v>0</v>
      </c>
      <c r="DI290" s="239">
        <v>0</v>
      </c>
      <c r="DJ290" s="239">
        <v>0</v>
      </c>
      <c r="DK290" s="239">
        <v>0</v>
      </c>
      <c r="DL290" s="239">
        <v>0</v>
      </c>
      <c r="DM290" s="239">
        <v>0</v>
      </c>
      <c r="DN290" s="239">
        <v>0</v>
      </c>
      <c r="DO290" s="239">
        <v>0</v>
      </c>
      <c r="DP290" s="239">
        <v>0</v>
      </c>
      <c r="DQ290" s="239">
        <v>0</v>
      </c>
      <c r="DR290" s="239">
        <v>0</v>
      </c>
      <c r="DS290" s="239">
        <v>0</v>
      </c>
      <c r="DT290" s="239">
        <v>9135</v>
      </c>
      <c r="DU290" s="239">
        <v>11267</v>
      </c>
      <c r="DV290" s="239">
        <v>0</v>
      </c>
      <c r="DW290" s="239">
        <v>-9135</v>
      </c>
      <c r="DX290" s="239">
        <v>-11267</v>
      </c>
      <c r="DY290" s="239">
        <v>0</v>
      </c>
      <c r="DZ290" s="239">
        <v>233922</v>
      </c>
      <c r="EA290" s="239">
        <v>288504</v>
      </c>
      <c r="EB290" s="239">
        <v>0</v>
      </c>
      <c r="EC290" s="239">
        <v>550078</v>
      </c>
      <c r="ED290" s="239">
        <v>0</v>
      </c>
      <c r="EE290" s="239">
        <v>0</v>
      </c>
      <c r="EF290" s="239">
        <v>-316156</v>
      </c>
      <c r="EG290" s="239">
        <v>288504</v>
      </c>
      <c r="EH290" s="239">
        <v>0</v>
      </c>
      <c r="EI290" s="239">
        <v>1402698</v>
      </c>
      <c r="EJ290" s="239">
        <v>1729994</v>
      </c>
      <c r="EK290" s="239">
        <v>0</v>
      </c>
      <c r="EL290" s="239">
        <v>3198705</v>
      </c>
      <c r="EM290" s="239">
        <v>0</v>
      </c>
      <c r="EN290" s="239">
        <v>0</v>
      </c>
      <c r="EO290" s="239">
        <v>-1796007</v>
      </c>
      <c r="EP290" s="239">
        <v>1729994</v>
      </c>
      <c r="EQ290" s="239">
        <v>0</v>
      </c>
      <c r="ER290" s="239">
        <v>26183</v>
      </c>
      <c r="ES290" s="239">
        <v>32292</v>
      </c>
      <c r="ET290" s="239">
        <v>0</v>
      </c>
      <c r="EU290" s="239">
        <v>58089</v>
      </c>
      <c r="EV290" s="239">
        <v>0</v>
      </c>
      <c r="EW290" s="239">
        <v>0</v>
      </c>
      <c r="EX290" s="239">
        <v>-31906</v>
      </c>
      <c r="EY290" s="239">
        <v>32292</v>
      </c>
      <c r="EZ290" s="239">
        <v>0</v>
      </c>
      <c r="FA290" s="239">
        <v>1910551</v>
      </c>
      <c r="FB290" s="239">
        <v>2356346</v>
      </c>
      <c r="FC290" s="239">
        <v>0</v>
      </c>
      <c r="FD290" s="239">
        <v>2022094</v>
      </c>
      <c r="FE290" s="239">
        <v>2493916</v>
      </c>
      <c r="FF290" s="239">
        <v>0</v>
      </c>
      <c r="FG290" s="239">
        <v>-111543</v>
      </c>
      <c r="FH290" s="239">
        <v>-137570</v>
      </c>
      <c r="FI290" s="239">
        <v>0</v>
      </c>
      <c r="FJ290" s="239">
        <v>0</v>
      </c>
      <c r="FK290" s="239">
        <v>0</v>
      </c>
      <c r="FL290" s="239">
        <v>0</v>
      </c>
      <c r="FM290" s="239">
        <v>0</v>
      </c>
      <c r="FN290" s="239">
        <v>0</v>
      </c>
      <c r="FO290" s="239">
        <v>0</v>
      </c>
      <c r="FP290" s="239">
        <v>0</v>
      </c>
      <c r="FQ290" s="239">
        <v>0</v>
      </c>
      <c r="FR290" s="239">
        <v>0</v>
      </c>
      <c r="FS290" s="239">
        <v>0</v>
      </c>
      <c r="FT290" s="239">
        <v>0</v>
      </c>
      <c r="FU290" s="239">
        <v>0</v>
      </c>
      <c r="FV290" s="239">
        <v>5553841</v>
      </c>
      <c r="FW290" s="239">
        <v>6849737</v>
      </c>
      <c r="FX290" s="239">
        <v>0</v>
      </c>
      <c r="FY290" s="834">
        <v>0.33000000000000007</v>
      </c>
      <c r="FZ290" s="834">
        <v>0.3</v>
      </c>
      <c r="GA290" s="834">
        <v>0.37</v>
      </c>
      <c r="GB290" s="834">
        <v>0</v>
      </c>
      <c r="GC290" s="214" t="s">
        <v>1161</v>
      </c>
    </row>
    <row r="291" spans="2:185" s="214" customFormat="1" x14ac:dyDescent="0.2">
      <c r="B291" s="602" t="s">
        <v>665</v>
      </c>
      <c r="C291" s="602" t="s">
        <v>664</v>
      </c>
      <c r="D291" s="239">
        <v>-8770348</v>
      </c>
      <c r="E291" s="239">
        <v>0</v>
      </c>
      <c r="F291" s="239">
        <v>-8770348</v>
      </c>
      <c r="G291" s="239">
        <v>-9789188</v>
      </c>
      <c r="H291" s="239">
        <v>0</v>
      </c>
      <c r="I291" s="239">
        <v>-9789188</v>
      </c>
      <c r="J291" s="239">
        <v>1018840</v>
      </c>
      <c r="K291" s="239">
        <v>0</v>
      </c>
      <c r="L291" s="239">
        <v>1018840</v>
      </c>
      <c r="M291" s="239">
        <v>442753</v>
      </c>
      <c r="N291" s="239">
        <v>442753</v>
      </c>
      <c r="O291" s="239">
        <v>0</v>
      </c>
      <c r="P291" s="239">
        <v>0</v>
      </c>
      <c r="Q291" s="239">
        <v>0</v>
      </c>
      <c r="R291" s="239">
        <v>0</v>
      </c>
      <c r="S291" s="239">
        <v>82347</v>
      </c>
      <c r="T291" s="239">
        <v>0</v>
      </c>
      <c r="U291" s="239">
        <v>72696</v>
      </c>
      <c r="V291" s="239">
        <v>0</v>
      </c>
      <c r="W291" s="239">
        <v>9651</v>
      </c>
      <c r="X291" s="239">
        <v>0</v>
      </c>
      <c r="Y291" s="239">
        <v>0</v>
      </c>
      <c r="Z291" s="239">
        <v>0</v>
      </c>
      <c r="AA291" s="239">
        <v>0</v>
      </c>
      <c r="AB291" s="239">
        <v>0</v>
      </c>
      <c r="AC291" s="239">
        <v>0</v>
      </c>
      <c r="AD291" s="239">
        <v>0</v>
      </c>
      <c r="AE291" s="239">
        <v>0</v>
      </c>
      <c r="AF291" s="239">
        <v>0</v>
      </c>
      <c r="AG291" s="239">
        <v>0</v>
      </c>
      <c r="AH291" s="239">
        <v>0</v>
      </c>
      <c r="AI291" s="239">
        <v>0</v>
      </c>
      <c r="AJ291" s="239">
        <v>0</v>
      </c>
      <c r="AK291" s="239">
        <v>0</v>
      </c>
      <c r="AL291" s="239">
        <v>0</v>
      </c>
      <c r="AM291" s="239">
        <v>0</v>
      </c>
      <c r="AN291" s="239">
        <v>0</v>
      </c>
      <c r="AO291" s="239">
        <v>0</v>
      </c>
      <c r="AP291" s="239">
        <v>0</v>
      </c>
      <c r="AQ291" s="239">
        <v>0</v>
      </c>
      <c r="AR291" s="239">
        <v>0</v>
      </c>
      <c r="AS291" s="239">
        <v>0</v>
      </c>
      <c r="AT291" s="239">
        <v>0</v>
      </c>
      <c r="AU291" s="239">
        <v>0</v>
      </c>
      <c r="AV291" s="239">
        <v>0</v>
      </c>
      <c r="AW291" s="239">
        <v>0</v>
      </c>
      <c r="AX291" s="239">
        <v>0</v>
      </c>
      <c r="AY291" s="239">
        <v>0</v>
      </c>
      <c r="AZ291" s="239">
        <v>0</v>
      </c>
      <c r="BA291" s="239">
        <v>0</v>
      </c>
      <c r="BB291" s="239">
        <v>0</v>
      </c>
      <c r="BC291" s="239">
        <v>5769535</v>
      </c>
      <c r="BD291" s="239">
        <v>0</v>
      </c>
      <c r="BE291" s="239">
        <v>58278</v>
      </c>
      <c r="BF291" s="239">
        <v>5596131.5467539905</v>
      </c>
      <c r="BG291" s="239">
        <v>0</v>
      </c>
      <c r="BH291" s="239">
        <v>56526.581280343351</v>
      </c>
      <c r="BI291" s="239">
        <v>511497.8024195279</v>
      </c>
      <c r="BJ291" s="239">
        <v>0</v>
      </c>
      <c r="BK291" s="239">
        <v>5166.6444688841202</v>
      </c>
      <c r="BL291" s="239">
        <v>4669967</v>
      </c>
      <c r="BM291" s="239">
        <v>0</v>
      </c>
      <c r="BN291" s="239">
        <v>32703</v>
      </c>
      <c r="BO291" s="239">
        <v>1099568</v>
      </c>
      <c r="BP291" s="239">
        <v>0</v>
      </c>
      <c r="BQ291" s="239">
        <v>25575</v>
      </c>
      <c r="BR291" s="239">
        <v>0</v>
      </c>
      <c r="BS291" s="239">
        <v>0</v>
      </c>
      <c r="BT291" s="239">
        <v>0</v>
      </c>
      <c r="BU291" s="239">
        <v>0</v>
      </c>
      <c r="BV291" s="239">
        <v>0</v>
      </c>
      <c r="BW291" s="239">
        <v>0</v>
      </c>
      <c r="BX291" s="239">
        <v>0</v>
      </c>
      <c r="BY291" s="239">
        <v>0</v>
      </c>
      <c r="BZ291" s="239">
        <v>0</v>
      </c>
      <c r="CA291" s="239">
        <v>0</v>
      </c>
      <c r="CB291" s="239">
        <v>0</v>
      </c>
      <c r="CC291" s="239">
        <v>0</v>
      </c>
      <c r="CD291" s="239">
        <v>0</v>
      </c>
      <c r="CE291" s="239">
        <v>0</v>
      </c>
      <c r="CF291" s="239">
        <v>0</v>
      </c>
      <c r="CG291" s="239">
        <v>0</v>
      </c>
      <c r="CH291" s="239">
        <v>0</v>
      </c>
      <c r="CI291" s="239">
        <v>0</v>
      </c>
      <c r="CJ291" s="239">
        <v>42483</v>
      </c>
      <c r="CK291" s="239">
        <v>0</v>
      </c>
      <c r="CL291" s="239">
        <v>429</v>
      </c>
      <c r="CM291" s="239">
        <v>0</v>
      </c>
      <c r="CN291" s="239">
        <v>0</v>
      </c>
      <c r="CO291" s="239">
        <v>0</v>
      </c>
      <c r="CP291" s="239">
        <v>42483</v>
      </c>
      <c r="CQ291" s="239">
        <v>0</v>
      </c>
      <c r="CR291" s="239">
        <v>429</v>
      </c>
      <c r="CS291" s="239">
        <v>-3759</v>
      </c>
      <c r="CT291" s="239">
        <v>0</v>
      </c>
      <c r="CU291" s="239">
        <v>-38</v>
      </c>
      <c r="CV291" s="239">
        <v>0</v>
      </c>
      <c r="CW291" s="239">
        <v>0</v>
      </c>
      <c r="CX291" s="239">
        <v>0</v>
      </c>
      <c r="CY291" s="239">
        <v>0</v>
      </c>
      <c r="CZ291" s="239">
        <v>0</v>
      </c>
      <c r="DA291" s="239">
        <v>0</v>
      </c>
      <c r="DB291" s="239">
        <v>0</v>
      </c>
      <c r="DC291" s="239">
        <v>0</v>
      </c>
      <c r="DD291" s="239">
        <v>0</v>
      </c>
      <c r="DE291" s="239">
        <v>0</v>
      </c>
      <c r="DF291" s="239">
        <v>0</v>
      </c>
      <c r="DG291" s="239">
        <v>0</v>
      </c>
      <c r="DH291" s="239">
        <v>551</v>
      </c>
      <c r="DI291" s="239">
        <v>0</v>
      </c>
      <c r="DJ291" s="239">
        <v>6</v>
      </c>
      <c r="DK291" s="239">
        <v>0</v>
      </c>
      <c r="DL291" s="239">
        <v>0</v>
      </c>
      <c r="DM291" s="239">
        <v>0</v>
      </c>
      <c r="DN291" s="239">
        <v>551</v>
      </c>
      <c r="DO291" s="239">
        <v>0</v>
      </c>
      <c r="DP291" s="239">
        <v>6</v>
      </c>
      <c r="DQ291" s="239">
        <v>0</v>
      </c>
      <c r="DR291" s="239">
        <v>0</v>
      </c>
      <c r="DS291" s="239">
        <v>0</v>
      </c>
      <c r="DT291" s="239">
        <v>0</v>
      </c>
      <c r="DU291" s="239">
        <v>0</v>
      </c>
      <c r="DV291" s="239">
        <v>0</v>
      </c>
      <c r="DW291" s="239">
        <v>0</v>
      </c>
      <c r="DX291" s="239">
        <v>0</v>
      </c>
      <c r="DY291" s="239">
        <v>0</v>
      </c>
      <c r="DZ291" s="239">
        <v>14875</v>
      </c>
      <c r="EA291" s="239">
        <v>0</v>
      </c>
      <c r="EB291" s="239">
        <v>150</v>
      </c>
      <c r="EC291" s="239">
        <v>16103</v>
      </c>
      <c r="ED291" s="239">
        <v>0</v>
      </c>
      <c r="EE291" s="239">
        <v>0</v>
      </c>
      <c r="EF291" s="239">
        <v>-1228</v>
      </c>
      <c r="EG291" s="239">
        <v>0</v>
      </c>
      <c r="EH291" s="239">
        <v>150</v>
      </c>
      <c r="EI291" s="239">
        <v>48294</v>
      </c>
      <c r="EJ291" s="239">
        <v>0</v>
      </c>
      <c r="EK291" s="239">
        <v>488</v>
      </c>
      <c r="EL291" s="239">
        <v>346320</v>
      </c>
      <c r="EM291" s="239">
        <v>0</v>
      </c>
      <c r="EN291" s="239">
        <v>0</v>
      </c>
      <c r="EO291" s="239">
        <v>-298026</v>
      </c>
      <c r="EP291" s="239">
        <v>0</v>
      </c>
      <c r="EQ291" s="239">
        <v>488</v>
      </c>
      <c r="ER291" s="239">
        <v>29849</v>
      </c>
      <c r="ES291" s="239">
        <v>0</v>
      </c>
      <c r="ET291" s="239">
        <v>302</v>
      </c>
      <c r="EU291" s="239">
        <v>76051</v>
      </c>
      <c r="EV291" s="239">
        <v>0</v>
      </c>
      <c r="EW291" s="239">
        <v>0</v>
      </c>
      <c r="EX291" s="239">
        <v>-46202</v>
      </c>
      <c r="EY291" s="239">
        <v>0</v>
      </c>
      <c r="EZ291" s="239">
        <v>302</v>
      </c>
      <c r="FA291" s="239">
        <v>2282060</v>
      </c>
      <c r="FB291" s="239">
        <v>0</v>
      </c>
      <c r="FC291" s="239">
        <v>23039</v>
      </c>
      <c r="FD291" s="239">
        <v>2264171</v>
      </c>
      <c r="FE291" s="239">
        <v>0</v>
      </c>
      <c r="FF291" s="239">
        <v>22859</v>
      </c>
      <c r="FG291" s="239">
        <v>17889</v>
      </c>
      <c r="FH291" s="239">
        <v>0</v>
      </c>
      <c r="FI291" s="239">
        <v>180</v>
      </c>
      <c r="FJ291" s="239">
        <v>0</v>
      </c>
      <c r="FK291" s="239">
        <v>0</v>
      </c>
      <c r="FL291" s="239">
        <v>0</v>
      </c>
      <c r="FM291" s="239">
        <v>0</v>
      </c>
      <c r="FN291" s="239">
        <v>0</v>
      </c>
      <c r="FO291" s="239">
        <v>0</v>
      </c>
      <c r="FP291" s="239">
        <v>0</v>
      </c>
      <c r="FQ291" s="239">
        <v>0</v>
      </c>
      <c r="FR291" s="239">
        <v>0</v>
      </c>
      <c r="FS291" s="239">
        <v>0</v>
      </c>
      <c r="FT291" s="239">
        <v>0</v>
      </c>
      <c r="FU291" s="239">
        <v>0</v>
      </c>
      <c r="FV291" s="239">
        <v>8183888</v>
      </c>
      <c r="FW291" s="239">
        <v>0</v>
      </c>
      <c r="FX291" s="239">
        <v>82654</v>
      </c>
      <c r="FY291" s="834">
        <v>0</v>
      </c>
      <c r="FZ291" s="834">
        <v>0.99</v>
      </c>
      <c r="GA291" s="834">
        <v>0</v>
      </c>
      <c r="GB291" s="834">
        <v>0.01</v>
      </c>
      <c r="GC291" s="214" t="s">
        <v>1160</v>
      </c>
    </row>
    <row r="292" spans="2:185" s="214" customFormat="1" x14ac:dyDescent="0.2">
      <c r="B292" s="602" t="s">
        <v>667</v>
      </c>
      <c r="C292" s="602" t="s">
        <v>666</v>
      </c>
      <c r="D292" s="239">
        <v>-824628</v>
      </c>
      <c r="E292" s="239">
        <v>0</v>
      </c>
      <c r="F292" s="239">
        <v>-824628</v>
      </c>
      <c r="G292" s="239">
        <v>-732748</v>
      </c>
      <c r="H292" s="239">
        <v>0</v>
      </c>
      <c r="I292" s="239">
        <v>-732748</v>
      </c>
      <c r="J292" s="239">
        <v>-91880</v>
      </c>
      <c r="K292" s="239">
        <v>0</v>
      </c>
      <c r="L292" s="239">
        <v>-91880</v>
      </c>
      <c r="M292" s="239">
        <v>172841</v>
      </c>
      <c r="N292" s="239">
        <v>172841</v>
      </c>
      <c r="O292" s="239">
        <v>0</v>
      </c>
      <c r="P292" s="239">
        <v>0</v>
      </c>
      <c r="Q292" s="239">
        <v>0</v>
      </c>
      <c r="R292" s="239">
        <v>0</v>
      </c>
      <c r="S292" s="239">
        <v>108925</v>
      </c>
      <c r="T292" s="239">
        <v>0</v>
      </c>
      <c r="U292" s="239">
        <v>0</v>
      </c>
      <c r="V292" s="239">
        <v>0</v>
      </c>
      <c r="W292" s="239">
        <v>108925</v>
      </c>
      <c r="X292" s="239">
        <v>0</v>
      </c>
      <c r="Y292" s="239">
        <v>0</v>
      </c>
      <c r="Z292" s="239">
        <v>0</v>
      </c>
      <c r="AA292" s="239">
        <v>0</v>
      </c>
      <c r="AB292" s="239">
        <v>0</v>
      </c>
      <c r="AC292" s="239">
        <v>0</v>
      </c>
      <c r="AD292" s="239">
        <v>0</v>
      </c>
      <c r="AE292" s="239">
        <v>0</v>
      </c>
      <c r="AF292" s="239">
        <v>0</v>
      </c>
      <c r="AG292" s="239">
        <v>0</v>
      </c>
      <c r="AH292" s="239">
        <v>0</v>
      </c>
      <c r="AI292" s="239">
        <v>0</v>
      </c>
      <c r="AJ292" s="239">
        <v>0</v>
      </c>
      <c r="AK292" s="239">
        <v>0</v>
      </c>
      <c r="AL292" s="239">
        <v>0</v>
      </c>
      <c r="AM292" s="239">
        <v>0</v>
      </c>
      <c r="AN292" s="239">
        <v>0</v>
      </c>
      <c r="AO292" s="239">
        <v>0</v>
      </c>
      <c r="AP292" s="239">
        <v>0</v>
      </c>
      <c r="AQ292" s="239">
        <v>0</v>
      </c>
      <c r="AR292" s="239">
        <v>0</v>
      </c>
      <c r="AS292" s="239">
        <v>0</v>
      </c>
      <c r="AT292" s="239">
        <v>0</v>
      </c>
      <c r="AU292" s="239">
        <v>0</v>
      </c>
      <c r="AV292" s="239">
        <v>0</v>
      </c>
      <c r="AW292" s="239">
        <v>0</v>
      </c>
      <c r="AX292" s="239">
        <v>0</v>
      </c>
      <c r="AY292" s="239">
        <v>0</v>
      </c>
      <c r="AZ292" s="239">
        <v>0</v>
      </c>
      <c r="BA292" s="239">
        <v>0</v>
      </c>
      <c r="BB292" s="239">
        <v>0</v>
      </c>
      <c r="BC292" s="239">
        <v>1121743</v>
      </c>
      <c r="BD292" s="239">
        <v>252392</v>
      </c>
      <c r="BE292" s="239">
        <v>28044</v>
      </c>
      <c r="BF292" s="239">
        <v>1083981.4487553649</v>
      </c>
      <c r="BG292" s="239">
        <v>243895.82596995708</v>
      </c>
      <c r="BH292" s="239">
        <v>27099.536218884117</v>
      </c>
      <c r="BI292" s="239">
        <v>113498.13643776823</v>
      </c>
      <c r="BJ292" s="239">
        <v>25537.080698497852</v>
      </c>
      <c r="BK292" s="239">
        <v>2837.4534109442056</v>
      </c>
      <c r="BL292" s="239">
        <v>948652</v>
      </c>
      <c r="BM292" s="239">
        <v>135522</v>
      </c>
      <c r="BN292" s="239">
        <v>15058</v>
      </c>
      <c r="BO292" s="239">
        <v>173091</v>
      </c>
      <c r="BP292" s="239">
        <v>116870</v>
      </c>
      <c r="BQ292" s="239">
        <v>12986</v>
      </c>
      <c r="BR292" s="239">
        <v>2669</v>
      </c>
      <c r="BS292" s="239">
        <v>601</v>
      </c>
      <c r="BT292" s="239">
        <v>67</v>
      </c>
      <c r="BU292" s="239">
        <v>832</v>
      </c>
      <c r="BV292" s="239">
        <v>187</v>
      </c>
      <c r="BW292" s="239">
        <v>21</v>
      </c>
      <c r="BX292" s="239">
        <v>1837</v>
      </c>
      <c r="BY292" s="239">
        <v>414</v>
      </c>
      <c r="BZ292" s="239">
        <v>46</v>
      </c>
      <c r="CA292" s="239">
        <v>0</v>
      </c>
      <c r="CB292" s="239">
        <v>0</v>
      </c>
      <c r="CC292" s="239">
        <v>0</v>
      </c>
      <c r="CD292" s="239">
        <v>0</v>
      </c>
      <c r="CE292" s="239">
        <v>0</v>
      </c>
      <c r="CF292" s="239">
        <v>0</v>
      </c>
      <c r="CG292" s="239">
        <v>0</v>
      </c>
      <c r="CH292" s="239">
        <v>0</v>
      </c>
      <c r="CI292" s="239">
        <v>0</v>
      </c>
      <c r="CJ292" s="239">
        <v>1467</v>
      </c>
      <c r="CK292" s="239">
        <v>330</v>
      </c>
      <c r="CL292" s="239">
        <v>37</v>
      </c>
      <c r="CM292" s="239">
        <v>7630</v>
      </c>
      <c r="CN292" s="239">
        <v>1717</v>
      </c>
      <c r="CO292" s="239">
        <v>191</v>
      </c>
      <c r="CP292" s="239">
        <v>-6163</v>
      </c>
      <c r="CQ292" s="239">
        <v>-1387</v>
      </c>
      <c r="CR292" s="239">
        <v>-154</v>
      </c>
      <c r="CS292" s="239">
        <v>-5123</v>
      </c>
      <c r="CT292" s="239">
        <v>-1153</v>
      </c>
      <c r="CU292" s="239">
        <v>-128</v>
      </c>
      <c r="CV292" s="239">
        <v>0</v>
      </c>
      <c r="CW292" s="239">
        <v>0</v>
      </c>
      <c r="CX292" s="239">
        <v>0</v>
      </c>
      <c r="CY292" s="239">
        <v>0</v>
      </c>
      <c r="CZ292" s="239">
        <v>0</v>
      </c>
      <c r="DA292" s="239">
        <v>0</v>
      </c>
      <c r="DB292" s="239">
        <v>0</v>
      </c>
      <c r="DC292" s="239">
        <v>0</v>
      </c>
      <c r="DD292" s="239">
        <v>0</v>
      </c>
      <c r="DE292" s="239">
        <v>0</v>
      </c>
      <c r="DF292" s="239">
        <v>0</v>
      </c>
      <c r="DG292" s="239">
        <v>0</v>
      </c>
      <c r="DH292" s="239">
        <v>0</v>
      </c>
      <c r="DI292" s="239">
        <v>0</v>
      </c>
      <c r="DJ292" s="239">
        <v>0</v>
      </c>
      <c r="DK292" s="239">
        <v>0</v>
      </c>
      <c r="DL292" s="239">
        <v>0</v>
      </c>
      <c r="DM292" s="239">
        <v>0</v>
      </c>
      <c r="DN292" s="239">
        <v>0</v>
      </c>
      <c r="DO292" s="239">
        <v>0</v>
      </c>
      <c r="DP292" s="239">
        <v>0</v>
      </c>
      <c r="DQ292" s="239">
        <v>609</v>
      </c>
      <c r="DR292" s="239">
        <v>137</v>
      </c>
      <c r="DS292" s="239">
        <v>15</v>
      </c>
      <c r="DT292" s="239">
        <v>0</v>
      </c>
      <c r="DU292" s="239">
        <v>0</v>
      </c>
      <c r="DV292" s="239">
        <v>0</v>
      </c>
      <c r="DW292" s="239">
        <v>609</v>
      </c>
      <c r="DX292" s="239">
        <v>137</v>
      </c>
      <c r="DY292" s="239">
        <v>15</v>
      </c>
      <c r="DZ292" s="239">
        <v>8465</v>
      </c>
      <c r="EA292" s="239">
        <v>1905</v>
      </c>
      <c r="EB292" s="239">
        <v>212</v>
      </c>
      <c r="EC292" s="239">
        <v>11306</v>
      </c>
      <c r="ED292" s="239">
        <v>0</v>
      </c>
      <c r="EE292" s="239">
        <v>0</v>
      </c>
      <c r="EF292" s="239">
        <v>-2841</v>
      </c>
      <c r="EG292" s="239">
        <v>1905</v>
      </c>
      <c r="EH292" s="239">
        <v>212</v>
      </c>
      <c r="EI292" s="239">
        <v>97457</v>
      </c>
      <c r="EJ292" s="239">
        <v>21928</v>
      </c>
      <c r="EK292" s="239">
        <v>2436</v>
      </c>
      <c r="EL292" s="239">
        <v>134314</v>
      </c>
      <c r="EM292" s="239">
        <v>0</v>
      </c>
      <c r="EN292" s="239">
        <v>0</v>
      </c>
      <c r="EO292" s="239">
        <v>-36857</v>
      </c>
      <c r="EP292" s="239">
        <v>21928</v>
      </c>
      <c r="EQ292" s="239">
        <v>2436</v>
      </c>
      <c r="ER292" s="239">
        <v>22911</v>
      </c>
      <c r="ES292" s="239">
        <v>5155</v>
      </c>
      <c r="ET292" s="239">
        <v>573</v>
      </c>
      <c r="EU292" s="239">
        <v>30041</v>
      </c>
      <c r="EV292" s="239">
        <v>0</v>
      </c>
      <c r="EW292" s="239">
        <v>0</v>
      </c>
      <c r="EX292" s="239">
        <v>-7130</v>
      </c>
      <c r="EY292" s="239">
        <v>5155</v>
      </c>
      <c r="EZ292" s="239">
        <v>573</v>
      </c>
      <c r="FA292" s="239">
        <v>317623</v>
      </c>
      <c r="FB292" s="239">
        <v>71097</v>
      </c>
      <c r="FC292" s="239">
        <v>7900</v>
      </c>
      <c r="FD292" s="239">
        <v>327367</v>
      </c>
      <c r="FE292" s="239">
        <v>73658</v>
      </c>
      <c r="FF292" s="239">
        <v>8184</v>
      </c>
      <c r="FG292" s="239">
        <v>-9744</v>
      </c>
      <c r="FH292" s="239">
        <v>-2561</v>
      </c>
      <c r="FI292" s="239">
        <v>-284</v>
      </c>
      <c r="FJ292" s="239">
        <v>0</v>
      </c>
      <c r="FK292" s="239">
        <v>0</v>
      </c>
      <c r="FL292" s="239">
        <v>0</v>
      </c>
      <c r="FM292" s="239">
        <v>0</v>
      </c>
      <c r="FN292" s="239">
        <v>0</v>
      </c>
      <c r="FO292" s="239">
        <v>0</v>
      </c>
      <c r="FP292" s="239">
        <v>0</v>
      </c>
      <c r="FQ292" s="239">
        <v>0</v>
      </c>
      <c r="FR292" s="239">
        <v>0</v>
      </c>
      <c r="FS292" s="239">
        <v>0</v>
      </c>
      <c r="FT292" s="239">
        <v>0</v>
      </c>
      <c r="FU292" s="239">
        <v>0</v>
      </c>
      <c r="FV292" s="239">
        <v>1567821</v>
      </c>
      <c r="FW292" s="239">
        <v>352392</v>
      </c>
      <c r="FX292" s="239">
        <v>39156</v>
      </c>
      <c r="FY292" s="834">
        <v>0.5</v>
      </c>
      <c r="FZ292" s="834">
        <v>0.4</v>
      </c>
      <c r="GA292" s="834">
        <v>0.09</v>
      </c>
      <c r="GB292" s="834">
        <v>0.01</v>
      </c>
      <c r="GC292" s="214" t="s">
        <v>1158</v>
      </c>
    </row>
    <row r="293" spans="2:185" s="214" customFormat="1" x14ac:dyDescent="0.2">
      <c r="B293" s="602" t="s">
        <v>669</v>
      </c>
      <c r="C293" s="602" t="s">
        <v>668</v>
      </c>
      <c r="D293" s="239">
        <v>-850587</v>
      </c>
      <c r="E293" s="239">
        <v>0</v>
      </c>
      <c r="F293" s="239">
        <v>-850587</v>
      </c>
      <c r="G293" s="239">
        <v>-1164784</v>
      </c>
      <c r="H293" s="239">
        <v>0</v>
      </c>
      <c r="I293" s="239">
        <v>-1164784</v>
      </c>
      <c r="J293" s="239">
        <v>314197</v>
      </c>
      <c r="K293" s="239">
        <v>0</v>
      </c>
      <c r="L293" s="239">
        <v>314197</v>
      </c>
      <c r="M293" s="239">
        <v>138766</v>
      </c>
      <c r="N293" s="239">
        <v>138766</v>
      </c>
      <c r="O293" s="239">
        <v>0</v>
      </c>
      <c r="P293" s="239">
        <v>0</v>
      </c>
      <c r="Q293" s="239">
        <v>0</v>
      </c>
      <c r="R293" s="239">
        <v>0</v>
      </c>
      <c r="S293" s="239">
        <v>136903</v>
      </c>
      <c r="T293" s="239">
        <v>0</v>
      </c>
      <c r="U293" s="239">
        <v>136486</v>
      </c>
      <c r="V293" s="239">
        <v>0</v>
      </c>
      <c r="W293" s="239">
        <v>417</v>
      </c>
      <c r="X293" s="239">
        <v>0</v>
      </c>
      <c r="Y293" s="239">
        <v>0</v>
      </c>
      <c r="Z293" s="239">
        <v>0</v>
      </c>
      <c r="AA293" s="239">
        <v>0</v>
      </c>
      <c r="AB293" s="239">
        <v>0</v>
      </c>
      <c r="AC293" s="239">
        <v>0</v>
      </c>
      <c r="AD293" s="239">
        <v>0</v>
      </c>
      <c r="AE293" s="239">
        <v>0</v>
      </c>
      <c r="AF293" s="239">
        <v>0</v>
      </c>
      <c r="AG293" s="239">
        <v>0</v>
      </c>
      <c r="AH293" s="239">
        <v>0</v>
      </c>
      <c r="AI293" s="239">
        <v>0</v>
      </c>
      <c r="AJ293" s="239">
        <v>0</v>
      </c>
      <c r="AK293" s="239">
        <v>0</v>
      </c>
      <c r="AL293" s="239">
        <v>0</v>
      </c>
      <c r="AM293" s="239">
        <v>0</v>
      </c>
      <c r="AN293" s="239">
        <v>0</v>
      </c>
      <c r="AO293" s="239">
        <v>0</v>
      </c>
      <c r="AP293" s="239">
        <v>0</v>
      </c>
      <c r="AQ293" s="239">
        <v>0</v>
      </c>
      <c r="AR293" s="239">
        <v>0</v>
      </c>
      <c r="AS293" s="239">
        <v>0</v>
      </c>
      <c r="AT293" s="239">
        <v>0</v>
      </c>
      <c r="AU293" s="239">
        <v>0</v>
      </c>
      <c r="AV293" s="239">
        <v>0</v>
      </c>
      <c r="AW293" s="239">
        <v>0</v>
      </c>
      <c r="AX293" s="239">
        <v>0</v>
      </c>
      <c r="AY293" s="239">
        <v>0</v>
      </c>
      <c r="AZ293" s="239">
        <v>0</v>
      </c>
      <c r="BA293" s="239">
        <v>0</v>
      </c>
      <c r="BB293" s="239">
        <v>0</v>
      </c>
      <c r="BC293" s="239">
        <v>917447</v>
      </c>
      <c r="BD293" s="239">
        <v>206426</v>
      </c>
      <c r="BE293" s="239">
        <v>22936</v>
      </c>
      <c r="BF293" s="239">
        <v>895307.80640343332</v>
      </c>
      <c r="BG293" s="239">
        <v>201444.2564407725</v>
      </c>
      <c r="BH293" s="239">
        <v>22382.695160085834</v>
      </c>
      <c r="BI293" s="239">
        <v>74020.764721030035</v>
      </c>
      <c r="BJ293" s="239">
        <v>16654.672062231759</v>
      </c>
      <c r="BK293" s="239">
        <v>1850.5191180257509</v>
      </c>
      <c r="BL293" s="239">
        <v>872608</v>
      </c>
      <c r="BM293" s="239">
        <v>125656</v>
      </c>
      <c r="BN293" s="239">
        <v>13962</v>
      </c>
      <c r="BO293" s="239">
        <v>44839</v>
      </c>
      <c r="BP293" s="239">
        <v>80770</v>
      </c>
      <c r="BQ293" s="239">
        <v>8974</v>
      </c>
      <c r="BR293" s="239">
        <v>5239</v>
      </c>
      <c r="BS293" s="239">
        <v>1179</v>
      </c>
      <c r="BT293" s="239">
        <v>131</v>
      </c>
      <c r="BU293" s="239">
        <v>3993</v>
      </c>
      <c r="BV293" s="239">
        <v>898</v>
      </c>
      <c r="BW293" s="239">
        <v>100</v>
      </c>
      <c r="BX293" s="239">
        <v>1246</v>
      </c>
      <c r="BY293" s="239">
        <v>281</v>
      </c>
      <c r="BZ293" s="239">
        <v>31</v>
      </c>
      <c r="CA293" s="239">
        <v>-4440</v>
      </c>
      <c r="CB293" s="239">
        <v>-999</v>
      </c>
      <c r="CC293" s="239">
        <v>-111</v>
      </c>
      <c r="CD293" s="239">
        <v>0</v>
      </c>
      <c r="CE293" s="239">
        <v>0</v>
      </c>
      <c r="CF293" s="239">
        <v>0</v>
      </c>
      <c r="CG293" s="239">
        <v>-4440</v>
      </c>
      <c r="CH293" s="239">
        <v>-999</v>
      </c>
      <c r="CI293" s="239">
        <v>-111</v>
      </c>
      <c r="CJ293" s="239">
        <v>643</v>
      </c>
      <c r="CK293" s="239">
        <v>145</v>
      </c>
      <c r="CL293" s="239">
        <v>16</v>
      </c>
      <c r="CM293" s="239">
        <v>0</v>
      </c>
      <c r="CN293" s="239">
        <v>0</v>
      </c>
      <c r="CO293" s="239">
        <v>0</v>
      </c>
      <c r="CP293" s="239">
        <v>643</v>
      </c>
      <c r="CQ293" s="239">
        <v>145</v>
      </c>
      <c r="CR293" s="239">
        <v>16</v>
      </c>
      <c r="CS293" s="239">
        <v>-804</v>
      </c>
      <c r="CT293" s="239">
        <v>-181</v>
      </c>
      <c r="CU293" s="239">
        <v>-20</v>
      </c>
      <c r="CV293" s="239">
        <v>0</v>
      </c>
      <c r="CW293" s="239">
        <v>0</v>
      </c>
      <c r="CX293" s="239">
        <v>0</v>
      </c>
      <c r="CY293" s="239">
        <v>0</v>
      </c>
      <c r="CZ293" s="239">
        <v>0</v>
      </c>
      <c r="DA293" s="239">
        <v>0</v>
      </c>
      <c r="DB293" s="239">
        <v>0</v>
      </c>
      <c r="DC293" s="239">
        <v>0</v>
      </c>
      <c r="DD293" s="239">
        <v>0</v>
      </c>
      <c r="DE293" s="239">
        <v>0</v>
      </c>
      <c r="DF293" s="239">
        <v>0</v>
      </c>
      <c r="DG293" s="239">
        <v>0</v>
      </c>
      <c r="DH293" s="239">
        <v>13252</v>
      </c>
      <c r="DI293" s="239">
        <v>2982</v>
      </c>
      <c r="DJ293" s="239">
        <v>331</v>
      </c>
      <c r="DK293" s="239">
        <v>13343</v>
      </c>
      <c r="DL293" s="239">
        <v>3002</v>
      </c>
      <c r="DM293" s="239">
        <v>334</v>
      </c>
      <c r="DN293" s="239">
        <v>-91</v>
      </c>
      <c r="DO293" s="239">
        <v>-20</v>
      </c>
      <c r="DP293" s="239">
        <v>-3</v>
      </c>
      <c r="DQ293" s="239">
        <v>609</v>
      </c>
      <c r="DR293" s="239">
        <v>137</v>
      </c>
      <c r="DS293" s="239">
        <v>15</v>
      </c>
      <c r="DT293" s="239">
        <v>1219</v>
      </c>
      <c r="DU293" s="239">
        <v>274</v>
      </c>
      <c r="DV293" s="239">
        <v>30</v>
      </c>
      <c r="DW293" s="239">
        <v>-610</v>
      </c>
      <c r="DX293" s="239">
        <v>-137</v>
      </c>
      <c r="DY293" s="239">
        <v>-15</v>
      </c>
      <c r="DZ293" s="239">
        <v>51286</v>
      </c>
      <c r="EA293" s="239">
        <v>11539</v>
      </c>
      <c r="EB293" s="239">
        <v>1282</v>
      </c>
      <c r="EC293" s="239">
        <v>63904</v>
      </c>
      <c r="ED293" s="239">
        <v>0</v>
      </c>
      <c r="EE293" s="239">
        <v>0</v>
      </c>
      <c r="EF293" s="239">
        <v>-12618</v>
      </c>
      <c r="EG293" s="239">
        <v>11539</v>
      </c>
      <c r="EH293" s="239">
        <v>1282</v>
      </c>
      <c r="EI293" s="239">
        <v>64460</v>
      </c>
      <c r="EJ293" s="239">
        <v>14504</v>
      </c>
      <c r="EK293" s="239">
        <v>1612</v>
      </c>
      <c r="EL293" s="239">
        <v>155669</v>
      </c>
      <c r="EM293" s="239">
        <v>0</v>
      </c>
      <c r="EN293" s="239">
        <v>0</v>
      </c>
      <c r="EO293" s="239">
        <v>-91209</v>
      </c>
      <c r="EP293" s="239">
        <v>14504</v>
      </c>
      <c r="EQ293" s="239">
        <v>1612</v>
      </c>
      <c r="ER293" s="239">
        <v>17177</v>
      </c>
      <c r="ES293" s="239">
        <v>3865</v>
      </c>
      <c r="ET293" s="239">
        <v>429</v>
      </c>
      <c r="EU293" s="239">
        <v>22290</v>
      </c>
      <c r="EV293" s="239">
        <v>0</v>
      </c>
      <c r="EW293" s="239">
        <v>0</v>
      </c>
      <c r="EX293" s="239">
        <v>-5113</v>
      </c>
      <c r="EY293" s="239">
        <v>3865</v>
      </c>
      <c r="EZ293" s="239">
        <v>429</v>
      </c>
      <c r="FA293" s="239">
        <v>239979</v>
      </c>
      <c r="FB293" s="239">
        <v>53532</v>
      </c>
      <c r="FC293" s="239">
        <v>5948</v>
      </c>
      <c r="FD293" s="239">
        <v>253570</v>
      </c>
      <c r="FE293" s="239">
        <v>56592</v>
      </c>
      <c r="FF293" s="239">
        <v>6288</v>
      </c>
      <c r="FG293" s="239">
        <v>-13591</v>
      </c>
      <c r="FH293" s="239">
        <v>-3060</v>
      </c>
      <c r="FI293" s="239">
        <v>-340</v>
      </c>
      <c r="FJ293" s="239">
        <v>0</v>
      </c>
      <c r="FK293" s="239">
        <v>0</v>
      </c>
      <c r="FL293" s="239">
        <v>0</v>
      </c>
      <c r="FM293" s="239">
        <v>0</v>
      </c>
      <c r="FN293" s="239">
        <v>0</v>
      </c>
      <c r="FO293" s="239">
        <v>0</v>
      </c>
      <c r="FP293" s="239">
        <v>0</v>
      </c>
      <c r="FQ293" s="239">
        <v>0</v>
      </c>
      <c r="FR293" s="239">
        <v>0</v>
      </c>
      <c r="FS293" s="239">
        <v>0</v>
      </c>
      <c r="FT293" s="239">
        <v>0</v>
      </c>
      <c r="FU293" s="239">
        <v>0</v>
      </c>
      <c r="FV293" s="239">
        <v>1304848</v>
      </c>
      <c r="FW293" s="239">
        <v>293129</v>
      </c>
      <c r="FX293" s="239">
        <v>32569</v>
      </c>
      <c r="FY293" s="834">
        <v>0.5</v>
      </c>
      <c r="FZ293" s="834">
        <v>0.4</v>
      </c>
      <c r="GA293" s="834">
        <v>0.09</v>
      </c>
      <c r="GB293" s="834">
        <v>0.01</v>
      </c>
      <c r="GC293" s="214" t="s">
        <v>1158</v>
      </c>
    </row>
    <row r="294" spans="2:185" s="214" customFormat="1" x14ac:dyDescent="0.2">
      <c r="B294" s="602" t="s">
        <v>671</v>
      </c>
      <c r="C294" s="602" t="s">
        <v>670</v>
      </c>
      <c r="D294" s="239">
        <v>-4140452</v>
      </c>
      <c r="E294" s="239">
        <v>8423</v>
      </c>
      <c r="F294" s="239">
        <v>-4132029</v>
      </c>
      <c r="G294" s="239">
        <v>-3945400</v>
      </c>
      <c r="H294" s="239">
        <v>-31563</v>
      </c>
      <c r="I294" s="239">
        <v>-3976963</v>
      </c>
      <c r="J294" s="239">
        <v>-195052</v>
      </c>
      <c r="K294" s="239">
        <v>39986</v>
      </c>
      <c r="L294" s="239">
        <v>-155066</v>
      </c>
      <c r="M294" s="239">
        <v>179515</v>
      </c>
      <c r="N294" s="239">
        <v>179515</v>
      </c>
      <c r="O294" s="239">
        <v>0</v>
      </c>
      <c r="P294" s="239">
        <v>1401495</v>
      </c>
      <c r="Q294" s="239">
        <v>817931</v>
      </c>
      <c r="R294" s="239">
        <v>583564</v>
      </c>
      <c r="S294" s="239">
        <v>236429</v>
      </c>
      <c r="T294" s="239">
        <v>0</v>
      </c>
      <c r="U294" s="239">
        <v>236429</v>
      </c>
      <c r="V294" s="239">
        <v>0</v>
      </c>
      <c r="W294" s="239">
        <v>0</v>
      </c>
      <c r="X294" s="239">
        <v>0</v>
      </c>
      <c r="Y294" s="239">
        <v>219909</v>
      </c>
      <c r="Z294" s="239">
        <v>219909</v>
      </c>
      <c r="AA294" s="239">
        <v>0</v>
      </c>
      <c r="AB294" s="239">
        <v>0</v>
      </c>
      <c r="AC294" s="239">
        <v>659722</v>
      </c>
      <c r="AD294" s="239">
        <v>659722</v>
      </c>
      <c r="AE294" s="239">
        <v>0</v>
      </c>
      <c r="AF294" s="239">
        <v>0</v>
      </c>
      <c r="AG294" s="239">
        <v>-439813</v>
      </c>
      <c r="AH294" s="239">
        <v>-439813</v>
      </c>
      <c r="AI294" s="239">
        <v>0</v>
      </c>
      <c r="AJ294" s="239">
        <v>0</v>
      </c>
      <c r="AK294" s="239">
        <v>0</v>
      </c>
      <c r="AL294" s="239">
        <v>0</v>
      </c>
      <c r="AM294" s="239">
        <v>0</v>
      </c>
      <c r="AN294" s="239">
        <v>0</v>
      </c>
      <c r="AO294" s="239">
        <v>0</v>
      </c>
      <c r="AP294" s="239">
        <v>0</v>
      </c>
      <c r="AQ294" s="239">
        <v>0</v>
      </c>
      <c r="AR294" s="239">
        <v>0</v>
      </c>
      <c r="AS294" s="239">
        <v>0</v>
      </c>
      <c r="AT294" s="239">
        <v>0</v>
      </c>
      <c r="AU294" s="239">
        <v>0</v>
      </c>
      <c r="AV294" s="239">
        <v>0</v>
      </c>
      <c r="AW294" s="239">
        <v>0</v>
      </c>
      <c r="AX294" s="239">
        <v>0</v>
      </c>
      <c r="AY294" s="239">
        <v>0</v>
      </c>
      <c r="AZ294" s="239">
        <v>0</v>
      </c>
      <c r="BA294" s="239">
        <v>0</v>
      </c>
      <c r="BB294" s="239">
        <v>0</v>
      </c>
      <c r="BC294" s="239">
        <v>740838</v>
      </c>
      <c r="BD294" s="239">
        <v>180396</v>
      </c>
      <c r="BE294" s="239">
        <v>0</v>
      </c>
      <c r="BF294" s="239">
        <v>717175.38927038619</v>
      </c>
      <c r="BG294" s="239">
        <v>174656.27720171673</v>
      </c>
      <c r="BH294" s="239">
        <v>0</v>
      </c>
      <c r="BI294" s="239">
        <v>98490.881759656651</v>
      </c>
      <c r="BJ294" s="239">
        <v>22514.77462446352</v>
      </c>
      <c r="BK294" s="239">
        <v>0</v>
      </c>
      <c r="BL294" s="239">
        <v>747404</v>
      </c>
      <c r="BM294" s="239">
        <v>117430</v>
      </c>
      <c r="BN294" s="239">
        <v>0</v>
      </c>
      <c r="BO294" s="239">
        <v>-6566</v>
      </c>
      <c r="BP294" s="239">
        <v>62966</v>
      </c>
      <c r="BQ294" s="239">
        <v>0</v>
      </c>
      <c r="BR294" s="239">
        <v>0</v>
      </c>
      <c r="BS294" s="239">
        <v>0</v>
      </c>
      <c r="BT294" s="239">
        <v>0</v>
      </c>
      <c r="BU294" s="239">
        <v>0</v>
      </c>
      <c r="BV294" s="239">
        <v>0</v>
      </c>
      <c r="BW294" s="239">
        <v>0</v>
      </c>
      <c r="BX294" s="239">
        <v>0</v>
      </c>
      <c r="BY294" s="239">
        <v>0</v>
      </c>
      <c r="BZ294" s="239">
        <v>0</v>
      </c>
      <c r="CA294" s="239">
        <v>0</v>
      </c>
      <c r="CB294" s="239">
        <v>0</v>
      </c>
      <c r="CC294" s="239">
        <v>0</v>
      </c>
      <c r="CD294" s="239">
        <v>0</v>
      </c>
      <c r="CE294" s="239">
        <v>0</v>
      </c>
      <c r="CF294" s="239">
        <v>0</v>
      </c>
      <c r="CG294" s="239">
        <v>0</v>
      </c>
      <c r="CH294" s="239">
        <v>0</v>
      </c>
      <c r="CI294" s="239">
        <v>0</v>
      </c>
      <c r="CJ294" s="239">
        <v>8197</v>
      </c>
      <c r="CK294" s="239">
        <v>2049</v>
      </c>
      <c r="CL294" s="239">
        <v>0</v>
      </c>
      <c r="CM294" s="239">
        <v>0</v>
      </c>
      <c r="CN294" s="239">
        <v>0</v>
      </c>
      <c r="CO294" s="239">
        <v>0</v>
      </c>
      <c r="CP294" s="239">
        <v>8197</v>
      </c>
      <c r="CQ294" s="239">
        <v>2049</v>
      </c>
      <c r="CR294" s="239">
        <v>0</v>
      </c>
      <c r="CS294" s="239">
        <v>-2528</v>
      </c>
      <c r="CT294" s="239">
        <v>-632</v>
      </c>
      <c r="CU294" s="239">
        <v>0</v>
      </c>
      <c r="CV294" s="239">
        <v>0</v>
      </c>
      <c r="CW294" s="239">
        <v>0</v>
      </c>
      <c r="CX294" s="239">
        <v>0</v>
      </c>
      <c r="CY294" s="239">
        <v>0</v>
      </c>
      <c r="CZ294" s="239">
        <v>0</v>
      </c>
      <c r="DA294" s="239">
        <v>0</v>
      </c>
      <c r="DB294" s="239">
        <v>0</v>
      </c>
      <c r="DC294" s="239">
        <v>0</v>
      </c>
      <c r="DD294" s="239">
        <v>0</v>
      </c>
      <c r="DE294" s="239">
        <v>0</v>
      </c>
      <c r="DF294" s="239">
        <v>0</v>
      </c>
      <c r="DG294" s="239">
        <v>0</v>
      </c>
      <c r="DH294" s="239">
        <v>9438</v>
      </c>
      <c r="DI294" s="239">
        <v>2360</v>
      </c>
      <c r="DJ294" s="239">
        <v>0</v>
      </c>
      <c r="DK294" s="239">
        <v>9794</v>
      </c>
      <c r="DL294" s="239">
        <v>2448</v>
      </c>
      <c r="DM294" s="239">
        <v>0</v>
      </c>
      <c r="DN294" s="239">
        <v>-356</v>
      </c>
      <c r="DO294" s="239">
        <v>-88</v>
      </c>
      <c r="DP294" s="239">
        <v>0</v>
      </c>
      <c r="DQ294" s="239">
        <v>0</v>
      </c>
      <c r="DR294" s="239">
        <v>0</v>
      </c>
      <c r="DS294" s="239">
        <v>0</v>
      </c>
      <c r="DT294" s="239">
        <v>0</v>
      </c>
      <c r="DU294" s="239">
        <v>0</v>
      </c>
      <c r="DV294" s="239">
        <v>0</v>
      </c>
      <c r="DW294" s="239">
        <v>0</v>
      </c>
      <c r="DX294" s="239">
        <v>0</v>
      </c>
      <c r="DY294" s="239">
        <v>0</v>
      </c>
      <c r="DZ294" s="239">
        <v>11103</v>
      </c>
      <c r="EA294" s="239">
        <v>2776</v>
      </c>
      <c r="EB294" s="239">
        <v>0</v>
      </c>
      <c r="EC294" s="239">
        <v>12887</v>
      </c>
      <c r="ED294" s="239">
        <v>0</v>
      </c>
      <c r="EE294" s="239">
        <v>0</v>
      </c>
      <c r="EF294" s="239">
        <v>-1784</v>
      </c>
      <c r="EG294" s="239">
        <v>2776</v>
      </c>
      <c r="EH294" s="239">
        <v>0</v>
      </c>
      <c r="EI294" s="239">
        <v>138215</v>
      </c>
      <c r="EJ294" s="239">
        <v>32495</v>
      </c>
      <c r="EK294" s="239">
        <v>0</v>
      </c>
      <c r="EL294" s="239">
        <v>167652</v>
      </c>
      <c r="EM294" s="239">
        <v>0</v>
      </c>
      <c r="EN294" s="239">
        <v>0</v>
      </c>
      <c r="EO294" s="239">
        <v>-29437</v>
      </c>
      <c r="EP294" s="239">
        <v>32495</v>
      </c>
      <c r="EQ294" s="239">
        <v>0</v>
      </c>
      <c r="ER294" s="239">
        <v>18233</v>
      </c>
      <c r="ES294" s="239">
        <v>4558</v>
      </c>
      <c r="ET294" s="239">
        <v>0</v>
      </c>
      <c r="EU294" s="239">
        <v>36541</v>
      </c>
      <c r="EV294" s="239">
        <v>0</v>
      </c>
      <c r="EW294" s="239">
        <v>0</v>
      </c>
      <c r="EX294" s="239">
        <v>-18308</v>
      </c>
      <c r="EY294" s="239">
        <v>4558</v>
      </c>
      <c r="EZ294" s="239">
        <v>0</v>
      </c>
      <c r="FA294" s="239">
        <v>318828</v>
      </c>
      <c r="FB294" s="239">
        <v>73556</v>
      </c>
      <c r="FC294" s="239">
        <v>0</v>
      </c>
      <c r="FD294" s="239">
        <v>341010</v>
      </c>
      <c r="FE294" s="239">
        <v>78815</v>
      </c>
      <c r="FF294" s="239">
        <v>0</v>
      </c>
      <c r="FG294" s="239">
        <v>-22182</v>
      </c>
      <c r="FH294" s="239">
        <v>-5259</v>
      </c>
      <c r="FI294" s="239">
        <v>0</v>
      </c>
      <c r="FJ294" s="239">
        <v>0</v>
      </c>
      <c r="FK294" s="239">
        <v>0</v>
      </c>
      <c r="FL294" s="239">
        <v>0</v>
      </c>
      <c r="FM294" s="239">
        <v>0</v>
      </c>
      <c r="FN294" s="239">
        <v>0</v>
      </c>
      <c r="FO294" s="239">
        <v>0</v>
      </c>
      <c r="FP294" s="239">
        <v>0</v>
      </c>
      <c r="FQ294" s="239">
        <v>0</v>
      </c>
      <c r="FR294" s="239">
        <v>0</v>
      </c>
      <c r="FS294" s="239">
        <v>0</v>
      </c>
      <c r="FT294" s="239">
        <v>0</v>
      </c>
      <c r="FU294" s="239">
        <v>0</v>
      </c>
      <c r="FV294" s="239">
        <v>1242324</v>
      </c>
      <c r="FW294" s="239">
        <v>297558</v>
      </c>
      <c r="FX294" s="239">
        <v>0</v>
      </c>
      <c r="FY294" s="834">
        <v>0.5</v>
      </c>
      <c r="FZ294" s="834">
        <v>0.4</v>
      </c>
      <c r="GA294" s="834">
        <v>0.1</v>
      </c>
      <c r="GB294" s="834">
        <v>0</v>
      </c>
      <c r="GC294" s="214" t="s">
        <v>1158</v>
      </c>
    </row>
    <row r="295" spans="2:185" s="214" customFormat="1" x14ac:dyDescent="0.2">
      <c r="B295" s="602" t="s">
        <v>673</v>
      </c>
      <c r="C295" s="602" t="s">
        <v>672</v>
      </c>
      <c r="D295" s="239">
        <v>-5262338</v>
      </c>
      <c r="E295" s="239">
        <v>0</v>
      </c>
      <c r="F295" s="239">
        <v>-5262338</v>
      </c>
      <c r="G295" s="239">
        <v>-6216765</v>
      </c>
      <c r="H295" s="239">
        <v>0</v>
      </c>
      <c r="I295" s="239">
        <v>-6216765</v>
      </c>
      <c r="J295" s="239">
        <v>954427</v>
      </c>
      <c r="K295" s="239">
        <v>0</v>
      </c>
      <c r="L295" s="239">
        <v>954427</v>
      </c>
      <c r="M295" s="239">
        <v>451332</v>
      </c>
      <c r="N295" s="239">
        <v>451332</v>
      </c>
      <c r="O295" s="239">
        <v>0</v>
      </c>
      <c r="P295" s="239">
        <v>7986</v>
      </c>
      <c r="Q295" s="239">
        <v>0</v>
      </c>
      <c r="R295" s="239">
        <v>7986</v>
      </c>
      <c r="S295" s="239">
        <v>489187</v>
      </c>
      <c r="T295" s="239">
        <v>0</v>
      </c>
      <c r="U295" s="239">
        <v>543161</v>
      </c>
      <c r="V295" s="239">
        <v>0</v>
      </c>
      <c r="W295" s="239">
        <v>-53974</v>
      </c>
      <c r="X295" s="239">
        <v>0</v>
      </c>
      <c r="Y295" s="239">
        <v>37576</v>
      </c>
      <c r="Z295" s="239">
        <v>37576</v>
      </c>
      <c r="AA295" s="239">
        <v>0</v>
      </c>
      <c r="AB295" s="239">
        <v>0</v>
      </c>
      <c r="AC295" s="239">
        <v>0</v>
      </c>
      <c r="AD295" s="239">
        <v>0</v>
      </c>
      <c r="AE295" s="239">
        <v>0</v>
      </c>
      <c r="AF295" s="239">
        <v>0</v>
      </c>
      <c r="AG295" s="239">
        <v>37576</v>
      </c>
      <c r="AH295" s="239">
        <v>37576</v>
      </c>
      <c r="AI295" s="239">
        <v>0</v>
      </c>
      <c r="AJ295" s="239">
        <v>0</v>
      </c>
      <c r="AK295" s="239">
        <v>0</v>
      </c>
      <c r="AL295" s="239">
        <v>0</v>
      </c>
      <c r="AM295" s="239">
        <v>0</v>
      </c>
      <c r="AN295" s="239">
        <v>0</v>
      </c>
      <c r="AO295" s="239">
        <v>0</v>
      </c>
      <c r="AP295" s="239">
        <v>0</v>
      </c>
      <c r="AQ295" s="239">
        <v>0</v>
      </c>
      <c r="AR295" s="239">
        <v>0</v>
      </c>
      <c r="AS295" s="239">
        <v>0</v>
      </c>
      <c r="AT295" s="239">
        <v>0</v>
      </c>
      <c r="AU295" s="239">
        <v>0</v>
      </c>
      <c r="AV295" s="239">
        <v>0</v>
      </c>
      <c r="AW295" s="239">
        <v>0</v>
      </c>
      <c r="AX295" s="239">
        <v>0</v>
      </c>
      <c r="AY295" s="239">
        <v>0</v>
      </c>
      <c r="AZ295" s="239">
        <v>0</v>
      </c>
      <c r="BA295" s="239">
        <v>0</v>
      </c>
      <c r="BB295" s="239">
        <v>0</v>
      </c>
      <c r="BC295" s="239">
        <v>4004831</v>
      </c>
      <c r="BD295" s="239">
        <v>0</v>
      </c>
      <c r="BE295" s="239">
        <v>81731</v>
      </c>
      <c r="BF295" s="239">
        <v>3908289.102895794</v>
      </c>
      <c r="BG295" s="239">
        <v>0</v>
      </c>
      <c r="BH295" s="239">
        <v>79761.002099914185</v>
      </c>
      <c r="BI295" s="239">
        <v>303928.05468776822</v>
      </c>
      <c r="BJ295" s="239">
        <v>0</v>
      </c>
      <c r="BK295" s="239">
        <v>6193.6594216738195</v>
      </c>
      <c r="BL295" s="239">
        <v>3521544</v>
      </c>
      <c r="BM295" s="239">
        <v>0</v>
      </c>
      <c r="BN295" s="239">
        <v>51111</v>
      </c>
      <c r="BO295" s="239">
        <v>483287</v>
      </c>
      <c r="BP295" s="239">
        <v>0</v>
      </c>
      <c r="BQ295" s="239">
        <v>30620</v>
      </c>
      <c r="BR295" s="239">
        <v>3730</v>
      </c>
      <c r="BS295" s="239">
        <v>0</v>
      </c>
      <c r="BT295" s="239">
        <v>76</v>
      </c>
      <c r="BU295" s="239">
        <v>4973</v>
      </c>
      <c r="BV295" s="239">
        <v>0</v>
      </c>
      <c r="BW295" s="239">
        <v>102</v>
      </c>
      <c r="BX295" s="239">
        <v>-1243</v>
      </c>
      <c r="BY295" s="239">
        <v>0</v>
      </c>
      <c r="BZ295" s="239">
        <v>-26</v>
      </c>
      <c r="CA295" s="239">
        <v>0</v>
      </c>
      <c r="CB295" s="239">
        <v>0</v>
      </c>
      <c r="CC295" s="239">
        <v>0</v>
      </c>
      <c r="CD295" s="239">
        <v>0</v>
      </c>
      <c r="CE295" s="239">
        <v>0</v>
      </c>
      <c r="CF295" s="239">
        <v>0</v>
      </c>
      <c r="CG295" s="239">
        <v>0</v>
      </c>
      <c r="CH295" s="239">
        <v>0</v>
      </c>
      <c r="CI295" s="239">
        <v>0</v>
      </c>
      <c r="CJ295" s="239">
        <v>23166</v>
      </c>
      <c r="CK295" s="239">
        <v>0</v>
      </c>
      <c r="CL295" s="239">
        <v>473</v>
      </c>
      <c r="CM295" s="239">
        <v>1813</v>
      </c>
      <c r="CN295" s="239">
        <v>0</v>
      </c>
      <c r="CO295" s="239">
        <v>37</v>
      </c>
      <c r="CP295" s="239">
        <v>21353</v>
      </c>
      <c r="CQ295" s="239">
        <v>0</v>
      </c>
      <c r="CR295" s="239">
        <v>436</v>
      </c>
      <c r="CS295" s="239">
        <v>0</v>
      </c>
      <c r="CT295" s="239">
        <v>0</v>
      </c>
      <c r="CU295" s="239">
        <v>0</v>
      </c>
      <c r="CV295" s="239">
        <v>0</v>
      </c>
      <c r="CW295" s="239">
        <v>0</v>
      </c>
      <c r="CX295" s="239">
        <v>0</v>
      </c>
      <c r="CY295" s="239">
        <v>0</v>
      </c>
      <c r="CZ295" s="239">
        <v>0</v>
      </c>
      <c r="DA295" s="239">
        <v>0</v>
      </c>
      <c r="DB295" s="239">
        <v>0</v>
      </c>
      <c r="DC295" s="239">
        <v>0</v>
      </c>
      <c r="DD295" s="239">
        <v>0</v>
      </c>
      <c r="DE295" s="239">
        <v>0</v>
      </c>
      <c r="DF295" s="239">
        <v>0</v>
      </c>
      <c r="DG295" s="239">
        <v>0</v>
      </c>
      <c r="DH295" s="239">
        <v>0</v>
      </c>
      <c r="DI295" s="239">
        <v>0</v>
      </c>
      <c r="DJ295" s="239">
        <v>0</v>
      </c>
      <c r="DK295" s="239">
        <v>3250</v>
      </c>
      <c r="DL295" s="239">
        <v>0</v>
      </c>
      <c r="DM295" s="239">
        <v>66</v>
      </c>
      <c r="DN295" s="239">
        <v>-3250</v>
      </c>
      <c r="DO295" s="239">
        <v>0</v>
      </c>
      <c r="DP295" s="239">
        <v>-66</v>
      </c>
      <c r="DQ295" s="239">
        <v>0</v>
      </c>
      <c r="DR295" s="239">
        <v>0</v>
      </c>
      <c r="DS295" s="239">
        <v>0</v>
      </c>
      <c r="DT295" s="239">
        <v>0</v>
      </c>
      <c r="DU295" s="239">
        <v>0</v>
      </c>
      <c r="DV295" s="239">
        <v>0</v>
      </c>
      <c r="DW295" s="239">
        <v>0</v>
      </c>
      <c r="DX295" s="239">
        <v>0</v>
      </c>
      <c r="DY295" s="239">
        <v>0</v>
      </c>
      <c r="DZ295" s="239">
        <v>36109</v>
      </c>
      <c r="EA295" s="239">
        <v>0</v>
      </c>
      <c r="EB295" s="239">
        <v>737</v>
      </c>
      <c r="EC295" s="239">
        <v>36949</v>
      </c>
      <c r="ED295" s="239">
        <v>0</v>
      </c>
      <c r="EE295" s="239">
        <v>0</v>
      </c>
      <c r="EF295" s="239">
        <v>-840</v>
      </c>
      <c r="EG295" s="239">
        <v>0</v>
      </c>
      <c r="EH295" s="239">
        <v>737</v>
      </c>
      <c r="EI295" s="239">
        <v>395362</v>
      </c>
      <c r="EJ295" s="239">
        <v>0</v>
      </c>
      <c r="EK295" s="239">
        <v>8069</v>
      </c>
      <c r="EL295" s="239">
        <v>417082</v>
      </c>
      <c r="EM295" s="239">
        <v>0</v>
      </c>
      <c r="EN295" s="239">
        <v>0</v>
      </c>
      <c r="EO295" s="239">
        <v>-21720</v>
      </c>
      <c r="EP295" s="239">
        <v>0</v>
      </c>
      <c r="EQ295" s="239">
        <v>8069</v>
      </c>
      <c r="ER295" s="239">
        <v>60063</v>
      </c>
      <c r="ES295" s="239">
        <v>0</v>
      </c>
      <c r="ET295" s="239">
        <v>1226</v>
      </c>
      <c r="EU295" s="239">
        <v>62823</v>
      </c>
      <c r="EV295" s="239">
        <v>0</v>
      </c>
      <c r="EW295" s="239">
        <v>0</v>
      </c>
      <c r="EX295" s="239">
        <v>-2760</v>
      </c>
      <c r="EY295" s="239">
        <v>0</v>
      </c>
      <c r="EZ295" s="239">
        <v>1226</v>
      </c>
      <c r="FA295" s="239">
        <v>852274</v>
      </c>
      <c r="FB295" s="239">
        <v>0</v>
      </c>
      <c r="FC295" s="239">
        <v>17241</v>
      </c>
      <c r="FD295" s="239">
        <v>860826</v>
      </c>
      <c r="FE295" s="239">
        <v>0</v>
      </c>
      <c r="FF295" s="239">
        <v>17401</v>
      </c>
      <c r="FG295" s="239">
        <v>-8552</v>
      </c>
      <c r="FH295" s="239">
        <v>0</v>
      </c>
      <c r="FI295" s="239">
        <v>-160</v>
      </c>
      <c r="FJ295" s="239">
        <v>0</v>
      </c>
      <c r="FK295" s="239">
        <v>0</v>
      </c>
      <c r="FL295" s="239">
        <v>0</v>
      </c>
      <c r="FM295" s="239">
        <v>0</v>
      </c>
      <c r="FN295" s="239">
        <v>0</v>
      </c>
      <c r="FO295" s="239">
        <v>0</v>
      </c>
      <c r="FP295" s="239">
        <v>0</v>
      </c>
      <c r="FQ295" s="239">
        <v>0</v>
      </c>
      <c r="FR295" s="239">
        <v>0</v>
      </c>
      <c r="FS295" s="239">
        <v>0</v>
      </c>
      <c r="FT295" s="239">
        <v>0</v>
      </c>
      <c r="FU295" s="239">
        <v>0</v>
      </c>
      <c r="FV295" s="239">
        <v>5375535</v>
      </c>
      <c r="FW295" s="239">
        <v>0</v>
      </c>
      <c r="FX295" s="239">
        <v>109553</v>
      </c>
      <c r="FY295" s="834">
        <v>0.5</v>
      </c>
      <c r="FZ295" s="834">
        <v>0.49</v>
      </c>
      <c r="GA295" s="834">
        <v>0</v>
      </c>
      <c r="GB295" s="834">
        <v>0.01</v>
      </c>
      <c r="GC295" s="214" t="s">
        <v>1160</v>
      </c>
    </row>
    <row r="296" spans="2:185" s="214" customFormat="1" x14ac:dyDescent="0.2">
      <c r="B296" s="602" t="s">
        <v>675</v>
      </c>
      <c r="C296" s="602" t="s">
        <v>674</v>
      </c>
      <c r="D296" s="239">
        <v>1460140</v>
      </c>
      <c r="E296" s="239">
        <v>-5749</v>
      </c>
      <c r="F296" s="239">
        <v>1454391</v>
      </c>
      <c r="G296" s="239">
        <v>3450076</v>
      </c>
      <c r="H296" s="239">
        <v>-3437</v>
      </c>
      <c r="I296" s="239">
        <v>3446639</v>
      </c>
      <c r="J296" s="239">
        <v>-1989936</v>
      </c>
      <c r="K296" s="239">
        <v>-2312</v>
      </c>
      <c r="L296" s="239">
        <v>-1992248</v>
      </c>
      <c r="M296" s="239">
        <v>337320</v>
      </c>
      <c r="N296" s="239">
        <v>337320</v>
      </c>
      <c r="O296" s="239">
        <v>0</v>
      </c>
      <c r="P296" s="239">
        <v>17341</v>
      </c>
      <c r="Q296" s="239">
        <v>13229</v>
      </c>
      <c r="R296" s="239">
        <v>4112</v>
      </c>
      <c r="S296" s="239">
        <v>0</v>
      </c>
      <c r="T296" s="239">
        <v>0</v>
      </c>
      <c r="U296" s="239">
        <v>0</v>
      </c>
      <c r="V296" s="239">
        <v>0</v>
      </c>
      <c r="W296" s="239">
        <v>0</v>
      </c>
      <c r="X296" s="239">
        <v>0</v>
      </c>
      <c r="Y296" s="239">
        <v>0</v>
      </c>
      <c r="Z296" s="239">
        <v>0</v>
      </c>
      <c r="AA296" s="239">
        <v>0</v>
      </c>
      <c r="AB296" s="239">
        <v>0</v>
      </c>
      <c r="AC296" s="239">
        <v>0</v>
      </c>
      <c r="AD296" s="239">
        <v>0</v>
      </c>
      <c r="AE296" s="239">
        <v>0</v>
      </c>
      <c r="AF296" s="239">
        <v>0</v>
      </c>
      <c r="AG296" s="239">
        <v>0</v>
      </c>
      <c r="AH296" s="239">
        <v>0</v>
      </c>
      <c r="AI296" s="239">
        <v>0</v>
      </c>
      <c r="AJ296" s="239">
        <v>0</v>
      </c>
      <c r="AK296" s="239">
        <v>0</v>
      </c>
      <c r="AL296" s="239">
        <v>0</v>
      </c>
      <c r="AM296" s="239">
        <v>0</v>
      </c>
      <c r="AN296" s="239">
        <v>0</v>
      </c>
      <c r="AO296" s="239">
        <v>0</v>
      </c>
      <c r="AP296" s="239">
        <v>0</v>
      </c>
      <c r="AQ296" s="239">
        <v>0</v>
      </c>
      <c r="AR296" s="239">
        <v>0</v>
      </c>
      <c r="AS296" s="239">
        <v>0</v>
      </c>
      <c r="AT296" s="239">
        <v>0</v>
      </c>
      <c r="AU296" s="239">
        <v>0</v>
      </c>
      <c r="AV296" s="239">
        <v>0</v>
      </c>
      <c r="AW296" s="239">
        <v>0</v>
      </c>
      <c r="AX296" s="239">
        <v>0</v>
      </c>
      <c r="AY296" s="239">
        <v>0</v>
      </c>
      <c r="AZ296" s="239">
        <v>0</v>
      </c>
      <c r="BA296" s="239">
        <v>0</v>
      </c>
      <c r="BB296" s="239">
        <v>0</v>
      </c>
      <c r="BC296" s="239">
        <v>6280399</v>
      </c>
      <c r="BD296" s="239">
        <v>0</v>
      </c>
      <c r="BE296" s="239">
        <v>63432</v>
      </c>
      <c r="BF296" s="239">
        <v>6155219.7629518453</v>
      </c>
      <c r="BG296" s="239">
        <v>0</v>
      </c>
      <c r="BH296" s="239">
        <v>62167.2469623176</v>
      </c>
      <c r="BI296" s="239">
        <v>335365.5693186695</v>
      </c>
      <c r="BJ296" s="239">
        <v>0</v>
      </c>
      <c r="BK296" s="239">
        <v>3377.0347585836907</v>
      </c>
      <c r="BL296" s="239">
        <v>5513592</v>
      </c>
      <c r="BM296" s="239">
        <v>0</v>
      </c>
      <c r="BN296" s="239">
        <v>40477</v>
      </c>
      <c r="BO296" s="239">
        <v>766807</v>
      </c>
      <c r="BP296" s="239">
        <v>0</v>
      </c>
      <c r="BQ296" s="239">
        <v>22955</v>
      </c>
      <c r="BR296" s="239">
        <v>35041</v>
      </c>
      <c r="BS296" s="239">
        <v>0</v>
      </c>
      <c r="BT296" s="239">
        <v>354</v>
      </c>
      <c r="BU296" s="239">
        <v>44106</v>
      </c>
      <c r="BV296" s="239">
        <v>0</v>
      </c>
      <c r="BW296" s="239">
        <v>446</v>
      </c>
      <c r="BX296" s="239">
        <v>-9065</v>
      </c>
      <c r="BY296" s="239">
        <v>0</v>
      </c>
      <c r="BZ296" s="239">
        <v>-92</v>
      </c>
      <c r="CA296" s="239">
        <v>0</v>
      </c>
      <c r="CB296" s="239">
        <v>0</v>
      </c>
      <c r="CC296" s="239">
        <v>0</v>
      </c>
      <c r="CD296" s="239">
        <v>0</v>
      </c>
      <c r="CE296" s="239">
        <v>0</v>
      </c>
      <c r="CF296" s="239">
        <v>0</v>
      </c>
      <c r="CG296" s="239">
        <v>0</v>
      </c>
      <c r="CH296" s="239">
        <v>0</v>
      </c>
      <c r="CI296" s="239">
        <v>0</v>
      </c>
      <c r="CJ296" s="239">
        <v>973</v>
      </c>
      <c r="CK296" s="239">
        <v>0</v>
      </c>
      <c r="CL296" s="239">
        <v>10</v>
      </c>
      <c r="CM296" s="239">
        <v>4023</v>
      </c>
      <c r="CN296" s="239">
        <v>0</v>
      </c>
      <c r="CO296" s="239">
        <v>41</v>
      </c>
      <c r="CP296" s="239">
        <v>-3050</v>
      </c>
      <c r="CQ296" s="239">
        <v>0</v>
      </c>
      <c r="CR296" s="239">
        <v>-31</v>
      </c>
      <c r="CS296" s="239">
        <v>-8044</v>
      </c>
      <c r="CT296" s="239">
        <v>0</v>
      </c>
      <c r="CU296" s="239">
        <v>-81</v>
      </c>
      <c r="CV296" s="239">
        <v>0</v>
      </c>
      <c r="CW296" s="239">
        <v>0</v>
      </c>
      <c r="CX296" s="239">
        <v>0</v>
      </c>
      <c r="CY296" s="239">
        <v>0</v>
      </c>
      <c r="CZ296" s="239">
        <v>0</v>
      </c>
      <c r="DA296" s="239">
        <v>0</v>
      </c>
      <c r="DB296" s="239">
        <v>0</v>
      </c>
      <c r="DC296" s="239">
        <v>0</v>
      </c>
      <c r="DD296" s="239">
        <v>0</v>
      </c>
      <c r="DE296" s="239">
        <v>0</v>
      </c>
      <c r="DF296" s="239">
        <v>0</v>
      </c>
      <c r="DG296" s="239">
        <v>0</v>
      </c>
      <c r="DH296" s="239">
        <v>0</v>
      </c>
      <c r="DI296" s="239">
        <v>0</v>
      </c>
      <c r="DJ296" s="239">
        <v>0</v>
      </c>
      <c r="DK296" s="239">
        <v>0</v>
      </c>
      <c r="DL296" s="239">
        <v>0</v>
      </c>
      <c r="DM296" s="239">
        <v>0</v>
      </c>
      <c r="DN296" s="239">
        <v>0</v>
      </c>
      <c r="DO296" s="239">
        <v>0</v>
      </c>
      <c r="DP296" s="239">
        <v>0</v>
      </c>
      <c r="DQ296" s="239">
        <v>0</v>
      </c>
      <c r="DR296" s="239">
        <v>0</v>
      </c>
      <c r="DS296" s="239">
        <v>0</v>
      </c>
      <c r="DT296" s="239">
        <v>0</v>
      </c>
      <c r="DU296" s="239">
        <v>0</v>
      </c>
      <c r="DV296" s="239">
        <v>0</v>
      </c>
      <c r="DW296" s="239">
        <v>0</v>
      </c>
      <c r="DX296" s="239">
        <v>0</v>
      </c>
      <c r="DY296" s="239">
        <v>0</v>
      </c>
      <c r="DZ296" s="239">
        <v>29672</v>
      </c>
      <c r="EA296" s="239">
        <v>0</v>
      </c>
      <c r="EB296" s="239">
        <v>300</v>
      </c>
      <c r="EC296" s="239">
        <v>29628</v>
      </c>
      <c r="ED296" s="239">
        <v>0</v>
      </c>
      <c r="EE296" s="239">
        <v>0</v>
      </c>
      <c r="EF296" s="239">
        <v>44</v>
      </c>
      <c r="EG296" s="239">
        <v>0</v>
      </c>
      <c r="EH296" s="239">
        <v>300</v>
      </c>
      <c r="EI296" s="239">
        <v>339377</v>
      </c>
      <c r="EJ296" s="239">
        <v>0</v>
      </c>
      <c r="EK296" s="239">
        <v>3428</v>
      </c>
      <c r="EL296" s="239">
        <v>341366</v>
      </c>
      <c r="EM296" s="239">
        <v>0</v>
      </c>
      <c r="EN296" s="239">
        <v>0</v>
      </c>
      <c r="EO296" s="239">
        <v>-1989</v>
      </c>
      <c r="EP296" s="239">
        <v>0</v>
      </c>
      <c r="EQ296" s="239">
        <v>3428</v>
      </c>
      <c r="ER296" s="239">
        <v>40258</v>
      </c>
      <c r="ES296" s="239">
        <v>0</v>
      </c>
      <c r="ET296" s="239">
        <v>407</v>
      </c>
      <c r="EU296" s="239">
        <v>41768</v>
      </c>
      <c r="EV296" s="239">
        <v>0</v>
      </c>
      <c r="EW296" s="239">
        <v>0</v>
      </c>
      <c r="EX296" s="239">
        <v>-1510</v>
      </c>
      <c r="EY296" s="239">
        <v>0</v>
      </c>
      <c r="EZ296" s="239">
        <v>407</v>
      </c>
      <c r="FA296" s="239">
        <v>1042676</v>
      </c>
      <c r="FB296" s="239">
        <v>0</v>
      </c>
      <c r="FC296" s="239">
        <v>10529</v>
      </c>
      <c r="FD296" s="239">
        <v>1086113</v>
      </c>
      <c r="FE296" s="239">
        <v>0</v>
      </c>
      <c r="FF296" s="239">
        <v>10969</v>
      </c>
      <c r="FG296" s="239">
        <v>-43437</v>
      </c>
      <c r="FH296" s="239">
        <v>0</v>
      </c>
      <c r="FI296" s="239">
        <v>-440</v>
      </c>
      <c r="FJ296" s="239">
        <v>17532</v>
      </c>
      <c r="FK296" s="239">
        <v>0</v>
      </c>
      <c r="FL296" s="239">
        <v>0</v>
      </c>
      <c r="FM296" s="239">
        <v>0</v>
      </c>
      <c r="FN296" s="239">
        <v>0</v>
      </c>
      <c r="FO296" s="239">
        <v>0</v>
      </c>
      <c r="FP296" s="239">
        <v>17532</v>
      </c>
      <c r="FQ296" s="239">
        <v>0</v>
      </c>
      <c r="FR296" s="239">
        <v>0</v>
      </c>
      <c r="FS296" s="239">
        <v>0</v>
      </c>
      <c r="FT296" s="239">
        <v>0</v>
      </c>
      <c r="FU296" s="239">
        <v>0</v>
      </c>
      <c r="FV296" s="239">
        <v>7777884</v>
      </c>
      <c r="FW296" s="239">
        <v>0</v>
      </c>
      <c r="FX296" s="239">
        <v>78379</v>
      </c>
      <c r="FY296" s="834">
        <v>0</v>
      </c>
      <c r="FZ296" s="834">
        <v>0.99</v>
      </c>
      <c r="GA296" s="834">
        <v>0</v>
      </c>
      <c r="GB296" s="834">
        <v>0.01</v>
      </c>
      <c r="GC296" s="214" t="s">
        <v>1160</v>
      </c>
    </row>
    <row r="297" spans="2:185" s="214" customFormat="1" x14ac:dyDescent="0.2">
      <c r="B297" s="602" t="s">
        <v>677</v>
      </c>
      <c r="C297" s="602" t="s">
        <v>676</v>
      </c>
      <c r="D297" s="239">
        <v>7998676</v>
      </c>
      <c r="E297" s="239">
        <v>0</v>
      </c>
      <c r="F297" s="239">
        <v>7998676</v>
      </c>
      <c r="G297" s="239">
        <v>10647989</v>
      </c>
      <c r="H297" s="239">
        <v>0</v>
      </c>
      <c r="I297" s="239">
        <v>10647989</v>
      </c>
      <c r="J297" s="239">
        <v>-2649313</v>
      </c>
      <c r="K297" s="239">
        <v>0</v>
      </c>
      <c r="L297" s="239">
        <v>-2649313</v>
      </c>
      <c r="M297" s="239">
        <v>294648</v>
      </c>
      <c r="N297" s="239">
        <v>294648</v>
      </c>
      <c r="O297" s="239">
        <v>0</v>
      </c>
      <c r="P297" s="239">
        <v>0</v>
      </c>
      <c r="Q297" s="239">
        <v>0</v>
      </c>
      <c r="R297" s="239">
        <v>0</v>
      </c>
      <c r="S297" s="239">
        <v>0</v>
      </c>
      <c r="T297" s="239">
        <v>0</v>
      </c>
      <c r="U297" s="239">
        <v>0</v>
      </c>
      <c r="V297" s="239">
        <v>0</v>
      </c>
      <c r="W297" s="239">
        <v>0</v>
      </c>
      <c r="X297" s="239">
        <v>0</v>
      </c>
      <c r="Y297" s="239">
        <v>0</v>
      </c>
      <c r="Z297" s="239">
        <v>0</v>
      </c>
      <c r="AA297" s="239">
        <v>0</v>
      </c>
      <c r="AB297" s="239">
        <v>0</v>
      </c>
      <c r="AC297" s="239">
        <v>0</v>
      </c>
      <c r="AD297" s="239">
        <v>0</v>
      </c>
      <c r="AE297" s="239">
        <v>0</v>
      </c>
      <c r="AF297" s="239">
        <v>0</v>
      </c>
      <c r="AG297" s="239">
        <v>0</v>
      </c>
      <c r="AH297" s="239">
        <v>0</v>
      </c>
      <c r="AI297" s="239">
        <v>0</v>
      </c>
      <c r="AJ297" s="239">
        <v>0</v>
      </c>
      <c r="AK297" s="239">
        <v>0</v>
      </c>
      <c r="AL297" s="239">
        <v>0</v>
      </c>
      <c r="AM297" s="239">
        <v>0</v>
      </c>
      <c r="AN297" s="239">
        <v>0</v>
      </c>
      <c r="AO297" s="239">
        <v>0</v>
      </c>
      <c r="AP297" s="239">
        <v>0</v>
      </c>
      <c r="AQ297" s="239">
        <v>0</v>
      </c>
      <c r="AR297" s="239">
        <v>0</v>
      </c>
      <c r="AS297" s="239">
        <v>0</v>
      </c>
      <c r="AT297" s="239">
        <v>0</v>
      </c>
      <c r="AU297" s="239">
        <v>0</v>
      </c>
      <c r="AV297" s="239">
        <v>0</v>
      </c>
      <c r="AW297" s="239">
        <v>0</v>
      </c>
      <c r="AX297" s="239">
        <v>0</v>
      </c>
      <c r="AY297" s="239">
        <v>0</v>
      </c>
      <c r="AZ297" s="239">
        <v>0</v>
      </c>
      <c r="BA297" s="239">
        <v>0</v>
      </c>
      <c r="BB297" s="239">
        <v>0</v>
      </c>
      <c r="BC297" s="239">
        <v>1768368</v>
      </c>
      <c r="BD297" s="239">
        <v>2180987</v>
      </c>
      <c r="BE297" s="239">
        <v>0</v>
      </c>
      <c r="BF297" s="239">
        <v>1768367.6261182402</v>
      </c>
      <c r="BG297" s="239">
        <v>2180986.7388791633</v>
      </c>
      <c r="BH297" s="239">
        <v>0</v>
      </c>
      <c r="BI297" s="239">
        <v>76835.119796137325</v>
      </c>
      <c r="BJ297" s="239">
        <v>94763.314415236047</v>
      </c>
      <c r="BK297" s="239">
        <v>0</v>
      </c>
      <c r="BL297" s="239">
        <v>2314756</v>
      </c>
      <c r="BM297" s="239">
        <v>1296762</v>
      </c>
      <c r="BN297" s="239">
        <v>0</v>
      </c>
      <c r="BO297" s="239">
        <v>-546388</v>
      </c>
      <c r="BP297" s="239">
        <v>884225</v>
      </c>
      <c r="BQ297" s="239">
        <v>0</v>
      </c>
      <c r="BR297" s="239">
        <v>0</v>
      </c>
      <c r="BS297" s="239">
        <v>0</v>
      </c>
      <c r="BT297" s="239">
        <v>0</v>
      </c>
      <c r="BU297" s="239">
        <v>442</v>
      </c>
      <c r="BV297" s="239">
        <v>545</v>
      </c>
      <c r="BW297" s="239">
        <v>0</v>
      </c>
      <c r="BX297" s="239">
        <v>-442</v>
      </c>
      <c r="BY297" s="239">
        <v>-545</v>
      </c>
      <c r="BZ297" s="239">
        <v>0</v>
      </c>
      <c r="CA297" s="239">
        <v>8633</v>
      </c>
      <c r="CB297" s="239">
        <v>10647</v>
      </c>
      <c r="CC297" s="239">
        <v>0</v>
      </c>
      <c r="CD297" s="239">
        <v>8075</v>
      </c>
      <c r="CE297" s="239">
        <v>9959</v>
      </c>
      <c r="CF297" s="239">
        <v>0</v>
      </c>
      <c r="CG297" s="239">
        <v>558</v>
      </c>
      <c r="CH297" s="239">
        <v>688</v>
      </c>
      <c r="CI297" s="239">
        <v>0</v>
      </c>
      <c r="CJ297" s="239">
        <v>256</v>
      </c>
      <c r="CK297" s="239">
        <v>315</v>
      </c>
      <c r="CL297" s="239">
        <v>0</v>
      </c>
      <c r="CM297" s="239">
        <v>364</v>
      </c>
      <c r="CN297" s="239">
        <v>449</v>
      </c>
      <c r="CO297" s="239">
        <v>0</v>
      </c>
      <c r="CP297" s="239">
        <v>-108</v>
      </c>
      <c r="CQ297" s="239">
        <v>-134</v>
      </c>
      <c r="CR297" s="239">
        <v>0</v>
      </c>
      <c r="CS297" s="239">
        <v>72</v>
      </c>
      <c r="CT297" s="239">
        <v>88</v>
      </c>
      <c r="CU297" s="239">
        <v>0</v>
      </c>
      <c r="CV297" s="239">
        <v>0</v>
      </c>
      <c r="CW297" s="239">
        <v>0</v>
      </c>
      <c r="CX297" s="239">
        <v>0</v>
      </c>
      <c r="CY297" s="239">
        <v>0</v>
      </c>
      <c r="CZ297" s="239">
        <v>0</v>
      </c>
      <c r="DA297" s="239">
        <v>0</v>
      </c>
      <c r="DB297" s="239">
        <v>0</v>
      </c>
      <c r="DC297" s="239">
        <v>0</v>
      </c>
      <c r="DD297" s="239">
        <v>0</v>
      </c>
      <c r="DE297" s="239">
        <v>0</v>
      </c>
      <c r="DF297" s="239">
        <v>0</v>
      </c>
      <c r="DG297" s="239">
        <v>0</v>
      </c>
      <c r="DH297" s="239">
        <v>0</v>
      </c>
      <c r="DI297" s="239">
        <v>0</v>
      </c>
      <c r="DJ297" s="239">
        <v>0</v>
      </c>
      <c r="DK297" s="239">
        <v>0</v>
      </c>
      <c r="DL297" s="239">
        <v>0</v>
      </c>
      <c r="DM297" s="239">
        <v>0</v>
      </c>
      <c r="DN297" s="239">
        <v>0</v>
      </c>
      <c r="DO297" s="239">
        <v>0</v>
      </c>
      <c r="DP297" s="239">
        <v>0</v>
      </c>
      <c r="DQ297" s="239">
        <v>0</v>
      </c>
      <c r="DR297" s="239">
        <v>0</v>
      </c>
      <c r="DS297" s="239">
        <v>0</v>
      </c>
      <c r="DT297" s="239">
        <v>0</v>
      </c>
      <c r="DU297" s="239">
        <v>0</v>
      </c>
      <c r="DV297" s="239">
        <v>0</v>
      </c>
      <c r="DW297" s="239">
        <v>0</v>
      </c>
      <c r="DX297" s="239">
        <v>0</v>
      </c>
      <c r="DY297" s="239">
        <v>0</v>
      </c>
      <c r="DZ297" s="239">
        <v>79333</v>
      </c>
      <c r="EA297" s="239">
        <v>97844</v>
      </c>
      <c r="EB297" s="239">
        <v>0</v>
      </c>
      <c r="EC297" s="239">
        <v>175525</v>
      </c>
      <c r="ED297" s="239">
        <v>0</v>
      </c>
      <c r="EE297" s="239">
        <v>0</v>
      </c>
      <c r="EF297" s="239">
        <v>-96192</v>
      </c>
      <c r="EG297" s="239">
        <v>97844</v>
      </c>
      <c r="EH297" s="239">
        <v>0</v>
      </c>
      <c r="EI297" s="239">
        <v>211561</v>
      </c>
      <c r="EJ297" s="239">
        <v>260925</v>
      </c>
      <c r="EK297" s="239">
        <v>0</v>
      </c>
      <c r="EL297" s="239">
        <v>753561</v>
      </c>
      <c r="EM297" s="239">
        <v>0</v>
      </c>
      <c r="EN297" s="239">
        <v>0</v>
      </c>
      <c r="EO297" s="239">
        <v>-542000</v>
      </c>
      <c r="EP297" s="239">
        <v>260925</v>
      </c>
      <c r="EQ297" s="239">
        <v>0</v>
      </c>
      <c r="ER297" s="239">
        <v>11365</v>
      </c>
      <c r="ES297" s="239">
        <v>14017</v>
      </c>
      <c r="ET297" s="239">
        <v>0</v>
      </c>
      <c r="EU297" s="239">
        <v>25398</v>
      </c>
      <c r="EV297" s="239">
        <v>0</v>
      </c>
      <c r="EW297" s="239">
        <v>0</v>
      </c>
      <c r="EX297" s="239">
        <v>-14033</v>
      </c>
      <c r="EY297" s="239">
        <v>14017</v>
      </c>
      <c r="EZ297" s="239">
        <v>0</v>
      </c>
      <c r="FA297" s="239">
        <v>300627</v>
      </c>
      <c r="FB297" s="239">
        <v>370774</v>
      </c>
      <c r="FC297" s="239">
        <v>0</v>
      </c>
      <c r="FD297" s="239">
        <v>283927</v>
      </c>
      <c r="FE297" s="239">
        <v>350176</v>
      </c>
      <c r="FF297" s="239">
        <v>0</v>
      </c>
      <c r="FG297" s="239">
        <v>16700</v>
      </c>
      <c r="FH297" s="239">
        <v>20598</v>
      </c>
      <c r="FI297" s="239">
        <v>0</v>
      </c>
      <c r="FJ297" s="239">
        <v>0</v>
      </c>
      <c r="FK297" s="239">
        <v>0</v>
      </c>
      <c r="FL297" s="239">
        <v>0</v>
      </c>
      <c r="FM297" s="239">
        <v>0</v>
      </c>
      <c r="FN297" s="239">
        <v>0</v>
      </c>
      <c r="FO297" s="239">
        <v>0</v>
      </c>
      <c r="FP297" s="239">
        <v>0</v>
      </c>
      <c r="FQ297" s="239">
        <v>0</v>
      </c>
      <c r="FR297" s="239">
        <v>0</v>
      </c>
      <c r="FS297" s="239">
        <v>0</v>
      </c>
      <c r="FT297" s="239">
        <v>0</v>
      </c>
      <c r="FU297" s="239">
        <v>0</v>
      </c>
      <c r="FV297" s="239">
        <v>2380215</v>
      </c>
      <c r="FW297" s="239">
        <v>2935597</v>
      </c>
      <c r="FX297" s="239">
        <v>0</v>
      </c>
      <c r="FY297" s="834">
        <v>0.33000000000000007</v>
      </c>
      <c r="FZ297" s="834">
        <v>0.3</v>
      </c>
      <c r="GA297" s="834">
        <v>0.37</v>
      </c>
      <c r="GB297" s="834">
        <v>0</v>
      </c>
      <c r="GC297" s="214" t="s">
        <v>1159</v>
      </c>
    </row>
    <row r="298" spans="2:185" s="214" customFormat="1" x14ac:dyDescent="0.2">
      <c r="B298" s="602" t="s">
        <v>679</v>
      </c>
      <c r="C298" s="602" t="s">
        <v>678</v>
      </c>
      <c r="D298" s="239">
        <v>6610076</v>
      </c>
      <c r="E298" s="239">
        <v>425301</v>
      </c>
      <c r="F298" s="239">
        <v>7035377</v>
      </c>
      <c r="G298" s="239">
        <v>6864065</v>
      </c>
      <c r="H298" s="239">
        <v>380607</v>
      </c>
      <c r="I298" s="239">
        <v>7244672</v>
      </c>
      <c r="J298" s="239">
        <v>-253989</v>
      </c>
      <c r="K298" s="239">
        <v>44694</v>
      </c>
      <c r="L298" s="239">
        <v>-209295</v>
      </c>
      <c r="M298" s="239">
        <v>462945</v>
      </c>
      <c r="N298" s="239">
        <v>462945</v>
      </c>
      <c r="O298" s="239">
        <v>0</v>
      </c>
      <c r="P298" s="239">
        <v>0</v>
      </c>
      <c r="Q298" s="239">
        <v>0</v>
      </c>
      <c r="R298" s="239">
        <v>0</v>
      </c>
      <c r="S298" s="239">
        <v>0</v>
      </c>
      <c r="T298" s="239">
        <v>0</v>
      </c>
      <c r="U298" s="239">
        <v>0</v>
      </c>
      <c r="V298" s="239">
        <v>0</v>
      </c>
      <c r="W298" s="239">
        <v>0</v>
      </c>
      <c r="X298" s="239">
        <v>0</v>
      </c>
      <c r="Y298" s="239">
        <v>0</v>
      </c>
      <c r="Z298" s="239">
        <v>0</v>
      </c>
      <c r="AA298" s="239">
        <v>0</v>
      </c>
      <c r="AB298" s="239">
        <v>0</v>
      </c>
      <c r="AC298" s="239">
        <v>0</v>
      </c>
      <c r="AD298" s="239">
        <v>0</v>
      </c>
      <c r="AE298" s="239">
        <v>0</v>
      </c>
      <c r="AF298" s="239">
        <v>0</v>
      </c>
      <c r="AG298" s="239">
        <v>0</v>
      </c>
      <c r="AH298" s="239">
        <v>0</v>
      </c>
      <c r="AI298" s="239">
        <v>0</v>
      </c>
      <c r="AJ298" s="239">
        <v>0</v>
      </c>
      <c r="AK298" s="239">
        <v>0</v>
      </c>
      <c r="AL298" s="239">
        <v>0</v>
      </c>
      <c r="AM298" s="239">
        <v>0</v>
      </c>
      <c r="AN298" s="239">
        <v>0</v>
      </c>
      <c r="AO298" s="239">
        <v>0</v>
      </c>
      <c r="AP298" s="239">
        <v>0</v>
      </c>
      <c r="AQ298" s="239">
        <v>0</v>
      </c>
      <c r="AR298" s="239">
        <v>0</v>
      </c>
      <c r="AS298" s="239">
        <v>0</v>
      </c>
      <c r="AT298" s="239">
        <v>0</v>
      </c>
      <c r="AU298" s="239">
        <v>0</v>
      </c>
      <c r="AV298" s="239">
        <v>0</v>
      </c>
      <c r="AW298" s="239">
        <v>0</v>
      </c>
      <c r="AX298" s="239">
        <v>0</v>
      </c>
      <c r="AY298" s="239">
        <v>0</v>
      </c>
      <c r="AZ298" s="239">
        <v>0</v>
      </c>
      <c r="BA298" s="239">
        <v>0</v>
      </c>
      <c r="BB298" s="239">
        <v>0</v>
      </c>
      <c r="BC298" s="239">
        <v>1684088</v>
      </c>
      <c r="BD298" s="239">
        <v>1887814</v>
      </c>
      <c r="BE298" s="239">
        <v>0</v>
      </c>
      <c r="BF298" s="239">
        <v>1637336.9672755364</v>
      </c>
      <c r="BG298" s="239">
        <v>1835356.0336194418</v>
      </c>
      <c r="BH298" s="239">
        <v>0</v>
      </c>
      <c r="BI298" s="239">
        <v>159418.43299356222</v>
      </c>
      <c r="BJ298" s="239">
        <v>174949.44128218884</v>
      </c>
      <c r="BK298" s="239">
        <v>0</v>
      </c>
      <c r="BL298" s="239">
        <v>2134815</v>
      </c>
      <c r="BM298" s="239">
        <v>1080352</v>
      </c>
      <c r="BN298" s="239">
        <v>0</v>
      </c>
      <c r="BO298" s="239">
        <v>-450727</v>
      </c>
      <c r="BP298" s="239">
        <v>807462</v>
      </c>
      <c r="BQ298" s="239">
        <v>0</v>
      </c>
      <c r="BR298" s="239">
        <v>6775</v>
      </c>
      <c r="BS298" s="239">
        <v>8252</v>
      </c>
      <c r="BT298" s="239">
        <v>0</v>
      </c>
      <c r="BU298" s="239">
        <v>9703</v>
      </c>
      <c r="BV298" s="239">
        <v>9631</v>
      </c>
      <c r="BW298" s="239">
        <v>0</v>
      </c>
      <c r="BX298" s="239">
        <v>-2928</v>
      </c>
      <c r="BY298" s="239">
        <v>-1379</v>
      </c>
      <c r="BZ298" s="239">
        <v>0</v>
      </c>
      <c r="CA298" s="239">
        <v>0</v>
      </c>
      <c r="CB298" s="239">
        <v>0</v>
      </c>
      <c r="CC298" s="239">
        <v>0</v>
      </c>
      <c r="CD298" s="239">
        <v>0</v>
      </c>
      <c r="CE298" s="239">
        <v>0</v>
      </c>
      <c r="CF298" s="239">
        <v>0</v>
      </c>
      <c r="CG298" s="239">
        <v>0</v>
      </c>
      <c r="CH298" s="239">
        <v>0</v>
      </c>
      <c r="CI298" s="239">
        <v>0</v>
      </c>
      <c r="CJ298" s="239">
        <v>8170</v>
      </c>
      <c r="CK298" s="239">
        <v>10076</v>
      </c>
      <c r="CL298" s="239">
        <v>0</v>
      </c>
      <c r="CM298" s="239">
        <v>15999</v>
      </c>
      <c r="CN298" s="239">
        <v>19732</v>
      </c>
      <c r="CO298" s="239">
        <v>0</v>
      </c>
      <c r="CP298" s="239">
        <v>-7829</v>
      </c>
      <c r="CQ298" s="239">
        <v>-9656</v>
      </c>
      <c r="CR298" s="239">
        <v>0</v>
      </c>
      <c r="CS298" s="239">
        <v>0</v>
      </c>
      <c r="CT298" s="239">
        <v>0</v>
      </c>
      <c r="CU298" s="239">
        <v>0</v>
      </c>
      <c r="CV298" s="239">
        <v>0</v>
      </c>
      <c r="CW298" s="239">
        <v>0</v>
      </c>
      <c r="CX298" s="239">
        <v>0</v>
      </c>
      <c r="CY298" s="239">
        <v>0</v>
      </c>
      <c r="CZ298" s="239">
        <v>0</v>
      </c>
      <c r="DA298" s="239">
        <v>0</v>
      </c>
      <c r="DB298" s="239">
        <v>0</v>
      </c>
      <c r="DC298" s="239">
        <v>0</v>
      </c>
      <c r="DD298" s="239">
        <v>0</v>
      </c>
      <c r="DE298" s="239">
        <v>-96</v>
      </c>
      <c r="DF298" s="239">
        <v>-118</v>
      </c>
      <c r="DG298" s="239">
        <v>0</v>
      </c>
      <c r="DH298" s="239">
        <v>0</v>
      </c>
      <c r="DI298" s="239">
        <v>0</v>
      </c>
      <c r="DJ298" s="239">
        <v>0</v>
      </c>
      <c r="DK298" s="239">
        <v>0</v>
      </c>
      <c r="DL298" s="239">
        <v>0</v>
      </c>
      <c r="DM298" s="239">
        <v>0</v>
      </c>
      <c r="DN298" s="239">
        <v>0</v>
      </c>
      <c r="DO298" s="239">
        <v>0</v>
      </c>
      <c r="DP298" s="239">
        <v>0</v>
      </c>
      <c r="DQ298" s="239">
        <v>0</v>
      </c>
      <c r="DR298" s="239">
        <v>0</v>
      </c>
      <c r="DS298" s="239">
        <v>0</v>
      </c>
      <c r="DT298" s="239">
        <v>0</v>
      </c>
      <c r="DU298" s="239">
        <v>0</v>
      </c>
      <c r="DV298" s="239">
        <v>0</v>
      </c>
      <c r="DW298" s="239">
        <v>0</v>
      </c>
      <c r="DX298" s="239">
        <v>0</v>
      </c>
      <c r="DY298" s="239">
        <v>0</v>
      </c>
      <c r="DZ298" s="239">
        <v>36984</v>
      </c>
      <c r="EA298" s="239">
        <v>42393</v>
      </c>
      <c r="EB298" s="239">
        <v>0</v>
      </c>
      <c r="EC298" s="239">
        <v>70366</v>
      </c>
      <c r="ED298" s="239">
        <v>0</v>
      </c>
      <c r="EE298" s="239">
        <v>0</v>
      </c>
      <c r="EF298" s="239">
        <v>-33382</v>
      </c>
      <c r="EG298" s="239">
        <v>42393</v>
      </c>
      <c r="EH298" s="239">
        <v>0</v>
      </c>
      <c r="EI298" s="239">
        <v>482643</v>
      </c>
      <c r="EJ298" s="239">
        <v>550135</v>
      </c>
      <c r="EK298" s="239">
        <v>0</v>
      </c>
      <c r="EL298" s="239">
        <v>1021763</v>
      </c>
      <c r="EM298" s="239">
        <v>0</v>
      </c>
      <c r="EN298" s="239">
        <v>0</v>
      </c>
      <c r="EO298" s="239">
        <v>-539120</v>
      </c>
      <c r="EP298" s="239">
        <v>550135</v>
      </c>
      <c r="EQ298" s="239">
        <v>0</v>
      </c>
      <c r="ER298" s="239">
        <v>11255</v>
      </c>
      <c r="ES298" s="239">
        <v>13881</v>
      </c>
      <c r="ET298" s="239">
        <v>0</v>
      </c>
      <c r="EU298" s="239">
        <v>23635</v>
      </c>
      <c r="EV298" s="239">
        <v>0</v>
      </c>
      <c r="EW298" s="239">
        <v>0</v>
      </c>
      <c r="EX298" s="239">
        <v>-12380</v>
      </c>
      <c r="EY298" s="239">
        <v>13881</v>
      </c>
      <c r="EZ298" s="239">
        <v>0</v>
      </c>
      <c r="FA298" s="239">
        <v>503558</v>
      </c>
      <c r="FB298" s="239">
        <v>621055</v>
      </c>
      <c r="FC298" s="239">
        <v>0</v>
      </c>
      <c r="FD298" s="239">
        <v>513994</v>
      </c>
      <c r="FE298" s="239">
        <v>633925</v>
      </c>
      <c r="FF298" s="239">
        <v>0</v>
      </c>
      <c r="FG298" s="239">
        <v>-10436</v>
      </c>
      <c r="FH298" s="239">
        <v>-12870</v>
      </c>
      <c r="FI298" s="239">
        <v>0</v>
      </c>
      <c r="FJ298" s="239">
        <v>0</v>
      </c>
      <c r="FK298" s="239">
        <v>0</v>
      </c>
      <c r="FL298" s="239">
        <v>0</v>
      </c>
      <c r="FM298" s="239">
        <v>0</v>
      </c>
      <c r="FN298" s="239">
        <v>0</v>
      </c>
      <c r="FO298" s="239">
        <v>0</v>
      </c>
      <c r="FP298" s="239">
        <v>0</v>
      </c>
      <c r="FQ298" s="239">
        <v>0</v>
      </c>
      <c r="FR298" s="239">
        <v>0</v>
      </c>
      <c r="FS298" s="239">
        <v>0</v>
      </c>
      <c r="FT298" s="239">
        <v>0</v>
      </c>
      <c r="FU298" s="239">
        <v>0</v>
      </c>
      <c r="FV298" s="239">
        <v>2733377</v>
      </c>
      <c r="FW298" s="239">
        <v>3133488</v>
      </c>
      <c r="FX298" s="239">
        <v>0</v>
      </c>
      <c r="FY298" s="834">
        <v>0.33000000000000007</v>
      </c>
      <c r="FZ298" s="834">
        <v>0.3</v>
      </c>
      <c r="GA298" s="834">
        <v>0.37</v>
      </c>
      <c r="GB298" s="834">
        <v>0</v>
      </c>
      <c r="GC298" s="214" t="s">
        <v>1161</v>
      </c>
    </row>
    <row r="299" spans="2:185" s="214" customFormat="1" x14ac:dyDescent="0.2">
      <c r="B299" s="602" t="s">
        <v>681</v>
      </c>
      <c r="C299" s="602" t="s">
        <v>680</v>
      </c>
      <c r="D299" s="239">
        <v>-9736680</v>
      </c>
      <c r="E299" s="239">
        <v>-162522</v>
      </c>
      <c r="F299" s="239">
        <v>-9899202</v>
      </c>
      <c r="G299" s="239">
        <v>-8695887</v>
      </c>
      <c r="H299" s="239">
        <v>-154394</v>
      </c>
      <c r="I299" s="239">
        <v>-8850281</v>
      </c>
      <c r="J299" s="239">
        <v>-1040793</v>
      </c>
      <c r="K299" s="239">
        <v>-8128</v>
      </c>
      <c r="L299" s="239">
        <v>-1048921</v>
      </c>
      <c r="M299" s="239">
        <v>294932</v>
      </c>
      <c r="N299" s="239">
        <v>294932</v>
      </c>
      <c r="O299" s="239">
        <v>0</v>
      </c>
      <c r="P299" s="239">
        <v>0</v>
      </c>
      <c r="Q299" s="239">
        <v>0</v>
      </c>
      <c r="R299" s="239">
        <v>0</v>
      </c>
      <c r="S299" s="239">
        <v>0</v>
      </c>
      <c r="T299" s="239">
        <v>0</v>
      </c>
      <c r="U299" s="239">
        <v>0</v>
      </c>
      <c r="V299" s="239">
        <v>0</v>
      </c>
      <c r="W299" s="239">
        <v>0</v>
      </c>
      <c r="X299" s="239">
        <v>0</v>
      </c>
      <c r="Y299" s="239">
        <v>155550</v>
      </c>
      <c r="Z299" s="239">
        <v>155550</v>
      </c>
      <c r="AA299" s="239">
        <v>0</v>
      </c>
      <c r="AB299" s="239">
        <v>0</v>
      </c>
      <c r="AC299" s="239">
        <v>1065427</v>
      </c>
      <c r="AD299" s="239">
        <v>1065427</v>
      </c>
      <c r="AE299" s="239">
        <v>0</v>
      </c>
      <c r="AF299" s="239">
        <v>0</v>
      </c>
      <c r="AG299" s="239">
        <v>-909877</v>
      </c>
      <c r="AH299" s="239">
        <v>-909877</v>
      </c>
      <c r="AI299" s="239">
        <v>0</v>
      </c>
      <c r="AJ299" s="239">
        <v>0</v>
      </c>
      <c r="AK299" s="239">
        <v>0</v>
      </c>
      <c r="AL299" s="239">
        <v>0</v>
      </c>
      <c r="AM299" s="239">
        <v>0</v>
      </c>
      <c r="AN299" s="239">
        <v>0</v>
      </c>
      <c r="AO299" s="239">
        <v>0</v>
      </c>
      <c r="AP299" s="239">
        <v>0</v>
      </c>
      <c r="AQ299" s="239">
        <v>0</v>
      </c>
      <c r="AR299" s="239">
        <v>0</v>
      </c>
      <c r="AS299" s="239">
        <v>0</v>
      </c>
      <c r="AT299" s="239">
        <v>0</v>
      </c>
      <c r="AU299" s="239">
        <v>0</v>
      </c>
      <c r="AV299" s="239">
        <v>0</v>
      </c>
      <c r="AW299" s="239">
        <v>0</v>
      </c>
      <c r="AX299" s="239">
        <v>0</v>
      </c>
      <c r="AY299" s="239">
        <v>0</v>
      </c>
      <c r="AZ299" s="239">
        <v>0</v>
      </c>
      <c r="BA299" s="239">
        <v>0</v>
      </c>
      <c r="BB299" s="239">
        <v>0</v>
      </c>
      <c r="BC299" s="239">
        <v>1842724</v>
      </c>
      <c r="BD299" s="239">
        <v>0</v>
      </c>
      <c r="BE299" s="239">
        <v>37525</v>
      </c>
      <c r="BF299" s="239">
        <v>1783695.4335561157</v>
      </c>
      <c r="BG299" s="239">
        <v>0</v>
      </c>
      <c r="BH299" s="239">
        <v>36322.967146673815</v>
      </c>
      <c r="BI299" s="239">
        <v>202249.23311480685</v>
      </c>
      <c r="BJ299" s="239">
        <v>0</v>
      </c>
      <c r="BK299" s="239">
        <v>4053.3455869098707</v>
      </c>
      <c r="BL299" s="239">
        <v>1502960</v>
      </c>
      <c r="BM299" s="239">
        <v>0</v>
      </c>
      <c r="BN299" s="239">
        <v>21172</v>
      </c>
      <c r="BO299" s="239">
        <v>339764</v>
      </c>
      <c r="BP299" s="239">
        <v>0</v>
      </c>
      <c r="BQ299" s="239">
        <v>16353</v>
      </c>
      <c r="BR299" s="239">
        <v>0</v>
      </c>
      <c r="BS299" s="239">
        <v>0</v>
      </c>
      <c r="BT299" s="239">
        <v>0</v>
      </c>
      <c r="BU299" s="239">
        <v>0</v>
      </c>
      <c r="BV299" s="239">
        <v>0</v>
      </c>
      <c r="BW299" s="239">
        <v>0</v>
      </c>
      <c r="BX299" s="239">
        <v>0</v>
      </c>
      <c r="BY299" s="239">
        <v>0</v>
      </c>
      <c r="BZ299" s="239">
        <v>0</v>
      </c>
      <c r="CA299" s="239">
        <v>54362</v>
      </c>
      <c r="CB299" s="239">
        <v>0</v>
      </c>
      <c r="CC299" s="239">
        <v>0</v>
      </c>
      <c r="CD299" s="239">
        <v>0</v>
      </c>
      <c r="CE299" s="239">
        <v>0</v>
      </c>
      <c r="CF299" s="239">
        <v>0</v>
      </c>
      <c r="CG299" s="239">
        <v>54362</v>
      </c>
      <c r="CH299" s="239">
        <v>0</v>
      </c>
      <c r="CI299" s="239">
        <v>0</v>
      </c>
      <c r="CJ299" s="239">
        <v>0</v>
      </c>
      <c r="CK299" s="239">
        <v>0</v>
      </c>
      <c r="CL299" s="239">
        <v>0</v>
      </c>
      <c r="CM299" s="239">
        <v>0</v>
      </c>
      <c r="CN299" s="239">
        <v>0</v>
      </c>
      <c r="CO299" s="239">
        <v>0</v>
      </c>
      <c r="CP299" s="239">
        <v>0</v>
      </c>
      <c r="CQ299" s="239">
        <v>0</v>
      </c>
      <c r="CR299" s="239">
        <v>0</v>
      </c>
      <c r="CS299" s="239">
        <v>0</v>
      </c>
      <c r="CT299" s="239">
        <v>0</v>
      </c>
      <c r="CU299" s="239">
        <v>0</v>
      </c>
      <c r="CV299" s="239">
        <v>0</v>
      </c>
      <c r="CW299" s="239">
        <v>0</v>
      </c>
      <c r="CX299" s="239">
        <v>0</v>
      </c>
      <c r="CY299" s="239">
        <v>0</v>
      </c>
      <c r="CZ299" s="239">
        <v>0</v>
      </c>
      <c r="DA299" s="239">
        <v>0</v>
      </c>
      <c r="DB299" s="239">
        <v>0</v>
      </c>
      <c r="DC299" s="239">
        <v>0</v>
      </c>
      <c r="DD299" s="239">
        <v>0</v>
      </c>
      <c r="DE299" s="239">
        <v>0</v>
      </c>
      <c r="DF299" s="239">
        <v>0</v>
      </c>
      <c r="DG299" s="239">
        <v>0</v>
      </c>
      <c r="DH299" s="239">
        <v>1649</v>
      </c>
      <c r="DI299" s="239">
        <v>0</v>
      </c>
      <c r="DJ299" s="239">
        <v>34</v>
      </c>
      <c r="DK299" s="239">
        <v>545</v>
      </c>
      <c r="DL299" s="239">
        <v>0</v>
      </c>
      <c r="DM299" s="239">
        <v>11</v>
      </c>
      <c r="DN299" s="239">
        <v>1104</v>
      </c>
      <c r="DO299" s="239">
        <v>0</v>
      </c>
      <c r="DP299" s="239">
        <v>23</v>
      </c>
      <c r="DQ299" s="239">
        <v>0</v>
      </c>
      <c r="DR299" s="239">
        <v>0</v>
      </c>
      <c r="DS299" s="239">
        <v>0</v>
      </c>
      <c r="DT299" s="239">
        <v>0</v>
      </c>
      <c r="DU299" s="239">
        <v>0</v>
      </c>
      <c r="DV299" s="239">
        <v>0</v>
      </c>
      <c r="DW299" s="239">
        <v>0</v>
      </c>
      <c r="DX299" s="239">
        <v>0</v>
      </c>
      <c r="DY299" s="239">
        <v>0</v>
      </c>
      <c r="DZ299" s="239">
        <v>20600</v>
      </c>
      <c r="EA299" s="239">
        <v>0</v>
      </c>
      <c r="EB299" s="239">
        <v>420</v>
      </c>
      <c r="EC299" s="239">
        <v>22010</v>
      </c>
      <c r="ED299" s="239">
        <v>0</v>
      </c>
      <c r="EE299" s="239">
        <v>0</v>
      </c>
      <c r="EF299" s="239">
        <v>-1410</v>
      </c>
      <c r="EG299" s="239">
        <v>0</v>
      </c>
      <c r="EH299" s="239">
        <v>420</v>
      </c>
      <c r="EI299" s="239">
        <v>170542</v>
      </c>
      <c r="EJ299" s="239">
        <v>0</v>
      </c>
      <c r="EK299" s="239">
        <v>3388</v>
      </c>
      <c r="EL299" s="239">
        <v>182199</v>
      </c>
      <c r="EM299" s="239">
        <v>0</v>
      </c>
      <c r="EN299" s="239">
        <v>0</v>
      </c>
      <c r="EO299" s="239">
        <v>-11657</v>
      </c>
      <c r="EP299" s="239">
        <v>0</v>
      </c>
      <c r="EQ299" s="239">
        <v>3388</v>
      </c>
      <c r="ER299" s="239">
        <v>50579</v>
      </c>
      <c r="ES299" s="239">
        <v>0</v>
      </c>
      <c r="ET299" s="239">
        <v>1032</v>
      </c>
      <c r="EU299" s="239">
        <v>53553</v>
      </c>
      <c r="EV299" s="239">
        <v>0</v>
      </c>
      <c r="EW299" s="239">
        <v>0</v>
      </c>
      <c r="EX299" s="239">
        <v>-2974</v>
      </c>
      <c r="EY299" s="239">
        <v>0</v>
      </c>
      <c r="EZ299" s="239">
        <v>1032</v>
      </c>
      <c r="FA299" s="239">
        <v>675761</v>
      </c>
      <c r="FB299" s="239">
        <v>0</v>
      </c>
      <c r="FC299" s="239">
        <v>13791</v>
      </c>
      <c r="FD299" s="239">
        <v>772652</v>
      </c>
      <c r="FE299" s="239">
        <v>0</v>
      </c>
      <c r="FF299" s="239">
        <v>15442</v>
      </c>
      <c r="FG299" s="239">
        <v>-96891</v>
      </c>
      <c r="FH299" s="239">
        <v>0</v>
      </c>
      <c r="FI299" s="239">
        <v>-1651</v>
      </c>
      <c r="FJ299" s="239">
        <v>0</v>
      </c>
      <c r="FK299" s="239">
        <v>0</v>
      </c>
      <c r="FL299" s="239">
        <v>0</v>
      </c>
      <c r="FM299" s="239">
        <v>0</v>
      </c>
      <c r="FN299" s="239">
        <v>0</v>
      </c>
      <c r="FO299" s="239">
        <v>0</v>
      </c>
      <c r="FP299" s="239">
        <v>0</v>
      </c>
      <c r="FQ299" s="239">
        <v>0</v>
      </c>
      <c r="FR299" s="239">
        <v>0</v>
      </c>
      <c r="FS299" s="239">
        <v>0</v>
      </c>
      <c r="FT299" s="239">
        <v>0</v>
      </c>
      <c r="FU299" s="239">
        <v>0</v>
      </c>
      <c r="FV299" s="239">
        <v>2816217</v>
      </c>
      <c r="FW299" s="239">
        <v>0</v>
      </c>
      <c r="FX299" s="239">
        <v>56190</v>
      </c>
      <c r="FY299" s="834">
        <v>0.5</v>
      </c>
      <c r="FZ299" s="834">
        <v>0.49</v>
      </c>
      <c r="GA299" s="834">
        <v>0</v>
      </c>
      <c r="GB299" s="834">
        <v>0.01</v>
      </c>
      <c r="GC299" s="214" t="s">
        <v>746</v>
      </c>
    </row>
    <row r="300" spans="2:185" s="214" customFormat="1" x14ac:dyDescent="0.2">
      <c r="B300" s="602" t="s">
        <v>683</v>
      </c>
      <c r="C300" s="602" t="s">
        <v>682</v>
      </c>
      <c r="D300" s="239">
        <v>-1247544</v>
      </c>
      <c r="E300" s="239">
        <v>0</v>
      </c>
      <c r="F300" s="239">
        <v>-1247544</v>
      </c>
      <c r="G300" s="239">
        <v>-589545</v>
      </c>
      <c r="H300" s="239">
        <v>0</v>
      </c>
      <c r="I300" s="239">
        <v>-589545</v>
      </c>
      <c r="J300" s="239">
        <v>-657999</v>
      </c>
      <c r="K300" s="239">
        <v>0</v>
      </c>
      <c r="L300" s="239">
        <v>-657999</v>
      </c>
      <c r="M300" s="239">
        <v>209611</v>
      </c>
      <c r="N300" s="239">
        <v>209611</v>
      </c>
      <c r="O300" s="239">
        <v>0</v>
      </c>
      <c r="P300" s="239">
        <v>0</v>
      </c>
      <c r="Q300" s="239">
        <v>0</v>
      </c>
      <c r="R300" s="239">
        <v>0</v>
      </c>
      <c r="S300" s="239">
        <v>31852</v>
      </c>
      <c r="T300" s="239">
        <v>0</v>
      </c>
      <c r="U300" s="239">
        <v>8505</v>
      </c>
      <c r="V300" s="239">
        <v>0</v>
      </c>
      <c r="W300" s="239">
        <v>23347</v>
      </c>
      <c r="X300" s="239">
        <v>0</v>
      </c>
      <c r="Y300" s="239">
        <v>0</v>
      </c>
      <c r="Z300" s="239">
        <v>0</v>
      </c>
      <c r="AA300" s="239">
        <v>0</v>
      </c>
      <c r="AB300" s="239">
        <v>0</v>
      </c>
      <c r="AC300" s="239">
        <v>0</v>
      </c>
      <c r="AD300" s="239">
        <v>0</v>
      </c>
      <c r="AE300" s="239">
        <v>0</v>
      </c>
      <c r="AF300" s="239">
        <v>0</v>
      </c>
      <c r="AG300" s="239">
        <v>0</v>
      </c>
      <c r="AH300" s="239">
        <v>0</v>
      </c>
      <c r="AI300" s="239">
        <v>0</v>
      </c>
      <c r="AJ300" s="239">
        <v>0</v>
      </c>
      <c r="AK300" s="239">
        <v>0</v>
      </c>
      <c r="AL300" s="239">
        <v>0</v>
      </c>
      <c r="AM300" s="239">
        <v>0</v>
      </c>
      <c r="AN300" s="239">
        <v>0</v>
      </c>
      <c r="AO300" s="239">
        <v>0</v>
      </c>
      <c r="AP300" s="239">
        <v>0</v>
      </c>
      <c r="AQ300" s="239">
        <v>0</v>
      </c>
      <c r="AR300" s="239">
        <v>0</v>
      </c>
      <c r="AS300" s="239">
        <v>0</v>
      </c>
      <c r="AT300" s="239">
        <v>0</v>
      </c>
      <c r="AU300" s="239">
        <v>0</v>
      </c>
      <c r="AV300" s="239">
        <v>0</v>
      </c>
      <c r="AW300" s="239">
        <v>0</v>
      </c>
      <c r="AX300" s="239">
        <v>0</v>
      </c>
      <c r="AY300" s="239">
        <v>0</v>
      </c>
      <c r="AZ300" s="239">
        <v>0</v>
      </c>
      <c r="BA300" s="239">
        <v>0</v>
      </c>
      <c r="BB300" s="239">
        <v>0</v>
      </c>
      <c r="BC300" s="239">
        <v>1458727</v>
      </c>
      <c r="BD300" s="239">
        <v>364682</v>
      </c>
      <c r="BE300" s="239">
        <v>0</v>
      </c>
      <c r="BF300" s="239">
        <v>1413099.1118454935</v>
      </c>
      <c r="BG300" s="239">
        <v>353274.77796137339</v>
      </c>
      <c r="BH300" s="239">
        <v>0</v>
      </c>
      <c r="BI300" s="239">
        <v>127034.47114420601</v>
      </c>
      <c r="BJ300" s="239">
        <v>31758.617786051502</v>
      </c>
      <c r="BK300" s="239">
        <v>0</v>
      </c>
      <c r="BL300" s="239">
        <v>1785728</v>
      </c>
      <c r="BM300" s="239">
        <v>286634</v>
      </c>
      <c r="BN300" s="239">
        <v>0</v>
      </c>
      <c r="BO300" s="239">
        <v>-327001</v>
      </c>
      <c r="BP300" s="239">
        <v>78048</v>
      </c>
      <c r="BQ300" s="239">
        <v>0</v>
      </c>
      <c r="BR300" s="239">
        <v>0</v>
      </c>
      <c r="BS300" s="239">
        <v>0</v>
      </c>
      <c r="BT300" s="239">
        <v>0</v>
      </c>
      <c r="BU300" s="239">
        <v>0</v>
      </c>
      <c r="BV300" s="239">
        <v>0</v>
      </c>
      <c r="BW300" s="239">
        <v>0</v>
      </c>
      <c r="BX300" s="239">
        <v>0</v>
      </c>
      <c r="BY300" s="239">
        <v>0</v>
      </c>
      <c r="BZ300" s="239">
        <v>0</v>
      </c>
      <c r="CA300" s="239">
        <v>0</v>
      </c>
      <c r="CB300" s="239">
        <v>0</v>
      </c>
      <c r="CC300" s="239">
        <v>0</v>
      </c>
      <c r="CD300" s="239">
        <v>0</v>
      </c>
      <c r="CE300" s="239">
        <v>0</v>
      </c>
      <c r="CF300" s="239">
        <v>0</v>
      </c>
      <c r="CG300" s="239">
        <v>0</v>
      </c>
      <c r="CH300" s="239">
        <v>0</v>
      </c>
      <c r="CI300" s="239">
        <v>0</v>
      </c>
      <c r="CJ300" s="239">
        <v>2879</v>
      </c>
      <c r="CK300" s="239">
        <v>720</v>
      </c>
      <c r="CL300" s="239">
        <v>0</v>
      </c>
      <c r="CM300" s="239">
        <v>0</v>
      </c>
      <c r="CN300" s="239">
        <v>0</v>
      </c>
      <c r="CO300" s="239">
        <v>0</v>
      </c>
      <c r="CP300" s="239">
        <v>2879</v>
      </c>
      <c r="CQ300" s="239">
        <v>720</v>
      </c>
      <c r="CR300" s="239">
        <v>0</v>
      </c>
      <c r="CS300" s="239">
        <v>-1653</v>
      </c>
      <c r="CT300" s="239">
        <v>-413</v>
      </c>
      <c r="CU300" s="239">
        <v>0</v>
      </c>
      <c r="CV300" s="239">
        <v>0</v>
      </c>
      <c r="CW300" s="239">
        <v>0</v>
      </c>
      <c r="CX300" s="239">
        <v>0</v>
      </c>
      <c r="CY300" s="239">
        <v>0</v>
      </c>
      <c r="CZ300" s="239">
        <v>0</v>
      </c>
      <c r="DA300" s="239">
        <v>0</v>
      </c>
      <c r="DB300" s="239">
        <v>0</v>
      </c>
      <c r="DC300" s="239">
        <v>0</v>
      </c>
      <c r="DD300" s="239">
        <v>0</v>
      </c>
      <c r="DE300" s="239">
        <v>-631</v>
      </c>
      <c r="DF300" s="239">
        <v>-158</v>
      </c>
      <c r="DG300" s="239">
        <v>0</v>
      </c>
      <c r="DH300" s="239">
        <v>3082</v>
      </c>
      <c r="DI300" s="239">
        <v>771</v>
      </c>
      <c r="DJ300" s="239">
        <v>0</v>
      </c>
      <c r="DK300" s="239">
        <v>4616</v>
      </c>
      <c r="DL300" s="239">
        <v>1154</v>
      </c>
      <c r="DM300" s="239">
        <v>0</v>
      </c>
      <c r="DN300" s="239">
        <v>-1534</v>
      </c>
      <c r="DO300" s="239">
        <v>-383</v>
      </c>
      <c r="DP300" s="239">
        <v>0</v>
      </c>
      <c r="DQ300" s="239">
        <v>609</v>
      </c>
      <c r="DR300" s="239">
        <v>152</v>
      </c>
      <c r="DS300" s="239">
        <v>0</v>
      </c>
      <c r="DT300" s="239">
        <v>0</v>
      </c>
      <c r="DU300" s="239">
        <v>0</v>
      </c>
      <c r="DV300" s="239">
        <v>0</v>
      </c>
      <c r="DW300" s="239">
        <v>609</v>
      </c>
      <c r="DX300" s="239">
        <v>152</v>
      </c>
      <c r="DY300" s="239">
        <v>0</v>
      </c>
      <c r="DZ300" s="239">
        <v>7218</v>
      </c>
      <c r="EA300" s="239">
        <v>1805</v>
      </c>
      <c r="EB300" s="239">
        <v>0</v>
      </c>
      <c r="EC300" s="239">
        <v>9135</v>
      </c>
      <c r="ED300" s="239">
        <v>0</v>
      </c>
      <c r="EE300" s="239">
        <v>0</v>
      </c>
      <c r="EF300" s="239">
        <v>-1917</v>
      </c>
      <c r="EG300" s="239">
        <v>1805</v>
      </c>
      <c r="EH300" s="239">
        <v>0</v>
      </c>
      <c r="EI300" s="239">
        <v>106105</v>
      </c>
      <c r="EJ300" s="239">
        <v>26526</v>
      </c>
      <c r="EK300" s="239">
        <v>0</v>
      </c>
      <c r="EL300" s="239">
        <v>136554</v>
      </c>
      <c r="EM300" s="239">
        <v>0</v>
      </c>
      <c r="EN300" s="239">
        <v>0</v>
      </c>
      <c r="EO300" s="239">
        <v>-30449</v>
      </c>
      <c r="EP300" s="239">
        <v>26526</v>
      </c>
      <c r="EQ300" s="239">
        <v>0</v>
      </c>
      <c r="ER300" s="239">
        <v>30028</v>
      </c>
      <c r="ES300" s="239">
        <v>7507</v>
      </c>
      <c r="ET300" s="239">
        <v>0</v>
      </c>
      <c r="EU300" s="239">
        <v>40601</v>
      </c>
      <c r="EV300" s="239">
        <v>0</v>
      </c>
      <c r="EW300" s="239">
        <v>0</v>
      </c>
      <c r="EX300" s="239">
        <v>-10573</v>
      </c>
      <c r="EY300" s="239">
        <v>7507</v>
      </c>
      <c r="EZ300" s="239">
        <v>0</v>
      </c>
      <c r="FA300" s="239">
        <v>404374</v>
      </c>
      <c r="FB300" s="239">
        <v>100974</v>
      </c>
      <c r="FC300" s="239">
        <v>0</v>
      </c>
      <c r="FD300" s="239">
        <v>368077</v>
      </c>
      <c r="FE300" s="239">
        <v>91987</v>
      </c>
      <c r="FF300" s="239">
        <v>0</v>
      </c>
      <c r="FG300" s="239">
        <v>36297</v>
      </c>
      <c r="FH300" s="239">
        <v>8987</v>
      </c>
      <c r="FI300" s="239">
        <v>0</v>
      </c>
      <c r="FJ300" s="239">
        <v>0</v>
      </c>
      <c r="FK300" s="239">
        <v>0</v>
      </c>
      <c r="FL300" s="239">
        <v>0</v>
      </c>
      <c r="FM300" s="239">
        <v>0</v>
      </c>
      <c r="FN300" s="239">
        <v>0</v>
      </c>
      <c r="FO300" s="239">
        <v>0</v>
      </c>
      <c r="FP300" s="239">
        <v>0</v>
      </c>
      <c r="FQ300" s="239">
        <v>0</v>
      </c>
      <c r="FR300" s="239">
        <v>0</v>
      </c>
      <c r="FS300" s="239">
        <v>0</v>
      </c>
      <c r="FT300" s="239">
        <v>0</v>
      </c>
      <c r="FU300" s="239">
        <v>0</v>
      </c>
      <c r="FV300" s="239">
        <v>2010738</v>
      </c>
      <c r="FW300" s="239">
        <v>502566</v>
      </c>
      <c r="FX300" s="239">
        <v>0</v>
      </c>
      <c r="FY300" s="834">
        <v>0.5</v>
      </c>
      <c r="FZ300" s="834">
        <v>0.4</v>
      </c>
      <c r="GA300" s="834">
        <v>0.1</v>
      </c>
      <c r="GB300" s="834">
        <v>0</v>
      </c>
      <c r="GC300" s="214" t="s">
        <v>1158</v>
      </c>
    </row>
    <row r="301" spans="2:185" s="214" customFormat="1" x14ac:dyDescent="0.2">
      <c r="B301" s="602" t="s">
        <v>685</v>
      </c>
      <c r="C301" s="602" t="s">
        <v>684</v>
      </c>
      <c r="D301" s="239">
        <v>-4826018</v>
      </c>
      <c r="E301" s="239">
        <v>0</v>
      </c>
      <c r="F301" s="239">
        <v>-4826018</v>
      </c>
      <c r="G301" s="239">
        <v>0</v>
      </c>
      <c r="H301" s="239">
        <v>0</v>
      </c>
      <c r="I301" s="239">
        <v>0</v>
      </c>
      <c r="J301" s="239">
        <v>-4826018</v>
      </c>
      <c r="K301" s="239">
        <v>0</v>
      </c>
      <c r="L301" s="239">
        <v>-4826018</v>
      </c>
      <c r="M301" s="239">
        <v>166600</v>
      </c>
      <c r="N301" s="239">
        <v>166600</v>
      </c>
      <c r="O301" s="239">
        <v>0</v>
      </c>
      <c r="P301" s="239">
        <v>0</v>
      </c>
      <c r="Q301" s="239">
        <v>0</v>
      </c>
      <c r="R301" s="239">
        <v>0</v>
      </c>
      <c r="S301" s="239">
        <v>0</v>
      </c>
      <c r="T301" s="239">
        <v>0</v>
      </c>
      <c r="U301" s="239">
        <v>0</v>
      </c>
      <c r="V301" s="239">
        <v>0</v>
      </c>
      <c r="W301" s="239">
        <v>0</v>
      </c>
      <c r="X301" s="239">
        <v>0</v>
      </c>
      <c r="Y301" s="239">
        <v>0</v>
      </c>
      <c r="Z301" s="239">
        <v>0</v>
      </c>
      <c r="AA301" s="239">
        <v>0</v>
      </c>
      <c r="AB301" s="239">
        <v>0</v>
      </c>
      <c r="AC301" s="239">
        <v>0</v>
      </c>
      <c r="AD301" s="239">
        <v>0</v>
      </c>
      <c r="AE301" s="239">
        <v>0</v>
      </c>
      <c r="AF301" s="239">
        <v>0</v>
      </c>
      <c r="AG301" s="239">
        <v>0</v>
      </c>
      <c r="AH301" s="239">
        <v>0</v>
      </c>
      <c r="AI301" s="239">
        <v>0</v>
      </c>
      <c r="AJ301" s="239">
        <v>0</v>
      </c>
      <c r="AK301" s="239">
        <v>0</v>
      </c>
      <c r="AL301" s="239">
        <v>0</v>
      </c>
      <c r="AM301" s="239">
        <v>0</v>
      </c>
      <c r="AN301" s="239">
        <v>0</v>
      </c>
      <c r="AO301" s="239">
        <v>0</v>
      </c>
      <c r="AP301" s="239">
        <v>0</v>
      </c>
      <c r="AQ301" s="239">
        <v>0</v>
      </c>
      <c r="AR301" s="239">
        <v>0</v>
      </c>
      <c r="AS301" s="239">
        <v>0</v>
      </c>
      <c r="AT301" s="239">
        <v>0</v>
      </c>
      <c r="AU301" s="239">
        <v>0</v>
      </c>
      <c r="AV301" s="239">
        <v>0</v>
      </c>
      <c r="AW301" s="239">
        <v>0</v>
      </c>
      <c r="AX301" s="239">
        <v>0</v>
      </c>
      <c r="AY301" s="239">
        <v>0</v>
      </c>
      <c r="AZ301" s="239">
        <v>0</v>
      </c>
      <c r="BA301" s="239">
        <v>0</v>
      </c>
      <c r="BB301" s="239">
        <v>0</v>
      </c>
      <c r="BC301" s="239">
        <v>773489</v>
      </c>
      <c r="BD301" s="239">
        <v>193372</v>
      </c>
      <c r="BE301" s="239">
        <v>0</v>
      </c>
      <c r="BF301" s="239">
        <v>745568.81110214605</v>
      </c>
      <c r="BG301" s="239">
        <v>186392.20277553651</v>
      </c>
      <c r="BH301" s="239">
        <v>0</v>
      </c>
      <c r="BI301" s="239">
        <v>88833.257081545074</v>
      </c>
      <c r="BJ301" s="239">
        <v>22208.314270386269</v>
      </c>
      <c r="BK301" s="239">
        <v>0</v>
      </c>
      <c r="BL301" s="239">
        <v>697842</v>
      </c>
      <c r="BM301" s="239">
        <v>106541</v>
      </c>
      <c r="BN301" s="239">
        <v>0</v>
      </c>
      <c r="BO301" s="239">
        <v>75647</v>
      </c>
      <c r="BP301" s="239">
        <v>86831</v>
      </c>
      <c r="BQ301" s="239">
        <v>0</v>
      </c>
      <c r="BR301" s="239">
        <v>4059</v>
      </c>
      <c r="BS301" s="239">
        <v>1015</v>
      </c>
      <c r="BT301" s="239">
        <v>0</v>
      </c>
      <c r="BU301" s="239">
        <v>6595</v>
      </c>
      <c r="BV301" s="239">
        <v>1649</v>
      </c>
      <c r="BW301" s="239">
        <v>0</v>
      </c>
      <c r="BX301" s="239">
        <v>-2536</v>
      </c>
      <c r="BY301" s="239">
        <v>-634</v>
      </c>
      <c r="BZ301" s="239">
        <v>0</v>
      </c>
      <c r="CA301" s="239">
        <v>0</v>
      </c>
      <c r="CB301" s="239">
        <v>0</v>
      </c>
      <c r="CC301" s="239">
        <v>0</v>
      </c>
      <c r="CD301" s="239">
        <v>0</v>
      </c>
      <c r="CE301" s="239">
        <v>0</v>
      </c>
      <c r="CF301" s="239">
        <v>0</v>
      </c>
      <c r="CG301" s="239">
        <v>0</v>
      </c>
      <c r="CH301" s="239">
        <v>0</v>
      </c>
      <c r="CI301" s="239">
        <v>0</v>
      </c>
      <c r="CJ301" s="239">
        <v>45930</v>
      </c>
      <c r="CK301" s="239">
        <v>11482</v>
      </c>
      <c r="CL301" s="239">
        <v>0</v>
      </c>
      <c r="CM301" s="239">
        <v>46166</v>
      </c>
      <c r="CN301" s="239">
        <v>11541</v>
      </c>
      <c r="CO301" s="239">
        <v>0</v>
      </c>
      <c r="CP301" s="239">
        <v>-236</v>
      </c>
      <c r="CQ301" s="239">
        <v>-59</v>
      </c>
      <c r="CR301" s="239">
        <v>0</v>
      </c>
      <c r="CS301" s="239">
        <v>-1173</v>
      </c>
      <c r="CT301" s="239">
        <v>-293</v>
      </c>
      <c r="CU301" s="239">
        <v>0</v>
      </c>
      <c r="CV301" s="239">
        <v>0</v>
      </c>
      <c r="CW301" s="239">
        <v>0</v>
      </c>
      <c r="CX301" s="239">
        <v>0</v>
      </c>
      <c r="CY301" s="239">
        <v>0</v>
      </c>
      <c r="CZ301" s="239">
        <v>0</v>
      </c>
      <c r="DA301" s="239">
        <v>0</v>
      </c>
      <c r="DB301" s="239">
        <v>0</v>
      </c>
      <c r="DC301" s="239">
        <v>0</v>
      </c>
      <c r="DD301" s="239">
        <v>0</v>
      </c>
      <c r="DE301" s="239">
        <v>0</v>
      </c>
      <c r="DF301" s="239">
        <v>0</v>
      </c>
      <c r="DG301" s="239">
        <v>0</v>
      </c>
      <c r="DH301" s="239">
        <v>0</v>
      </c>
      <c r="DI301" s="239">
        <v>0</v>
      </c>
      <c r="DJ301" s="239">
        <v>0</v>
      </c>
      <c r="DK301" s="239">
        <v>0</v>
      </c>
      <c r="DL301" s="239">
        <v>0</v>
      </c>
      <c r="DM301" s="239">
        <v>0</v>
      </c>
      <c r="DN301" s="239">
        <v>0</v>
      </c>
      <c r="DO301" s="239">
        <v>0</v>
      </c>
      <c r="DP301" s="239">
        <v>0</v>
      </c>
      <c r="DQ301" s="239">
        <v>609</v>
      </c>
      <c r="DR301" s="239">
        <v>152</v>
      </c>
      <c r="DS301" s="239">
        <v>0</v>
      </c>
      <c r="DT301" s="239">
        <v>0</v>
      </c>
      <c r="DU301" s="239">
        <v>0</v>
      </c>
      <c r="DV301" s="239">
        <v>0</v>
      </c>
      <c r="DW301" s="239">
        <v>609</v>
      </c>
      <c r="DX301" s="239">
        <v>152</v>
      </c>
      <c r="DY301" s="239">
        <v>0</v>
      </c>
      <c r="DZ301" s="239">
        <v>8350</v>
      </c>
      <c r="EA301" s="239">
        <v>2087</v>
      </c>
      <c r="EB301" s="239">
        <v>0</v>
      </c>
      <c r="EC301" s="239">
        <v>9754</v>
      </c>
      <c r="ED301" s="239">
        <v>0</v>
      </c>
      <c r="EE301" s="239">
        <v>0</v>
      </c>
      <c r="EF301" s="239">
        <v>-1404</v>
      </c>
      <c r="EG301" s="239">
        <v>2087</v>
      </c>
      <c r="EH301" s="239">
        <v>0</v>
      </c>
      <c r="EI301" s="239">
        <v>88104</v>
      </c>
      <c r="EJ301" s="239">
        <v>22026</v>
      </c>
      <c r="EK301" s="239">
        <v>0</v>
      </c>
      <c r="EL301" s="239">
        <v>108637</v>
      </c>
      <c r="EM301" s="239">
        <v>0</v>
      </c>
      <c r="EN301" s="239">
        <v>0</v>
      </c>
      <c r="EO301" s="239">
        <v>-20533</v>
      </c>
      <c r="EP301" s="239">
        <v>22026</v>
      </c>
      <c r="EQ301" s="239">
        <v>0</v>
      </c>
      <c r="ER301" s="239">
        <v>12409</v>
      </c>
      <c r="ES301" s="239">
        <v>3102</v>
      </c>
      <c r="ET301" s="239">
        <v>0</v>
      </c>
      <c r="EU301" s="239">
        <v>15250</v>
      </c>
      <c r="EV301" s="239">
        <v>0</v>
      </c>
      <c r="EW301" s="239">
        <v>0</v>
      </c>
      <c r="EX301" s="239">
        <v>-2841</v>
      </c>
      <c r="EY301" s="239">
        <v>3102</v>
      </c>
      <c r="EZ301" s="239">
        <v>0</v>
      </c>
      <c r="FA301" s="239">
        <v>315177</v>
      </c>
      <c r="FB301" s="239">
        <v>78794</v>
      </c>
      <c r="FC301" s="239">
        <v>0</v>
      </c>
      <c r="FD301" s="239">
        <v>359665</v>
      </c>
      <c r="FE301" s="239">
        <v>89916</v>
      </c>
      <c r="FF301" s="239">
        <v>0</v>
      </c>
      <c r="FG301" s="239">
        <v>-44488</v>
      </c>
      <c r="FH301" s="239">
        <v>-11122</v>
      </c>
      <c r="FI301" s="239">
        <v>0</v>
      </c>
      <c r="FJ301" s="239">
        <v>0</v>
      </c>
      <c r="FK301" s="239">
        <v>0</v>
      </c>
      <c r="FL301" s="239">
        <v>0</v>
      </c>
      <c r="FM301" s="239">
        <v>0</v>
      </c>
      <c r="FN301" s="239">
        <v>0</v>
      </c>
      <c r="FO301" s="239">
        <v>0</v>
      </c>
      <c r="FP301" s="239">
        <v>0</v>
      </c>
      <c r="FQ301" s="239">
        <v>0</v>
      </c>
      <c r="FR301" s="239">
        <v>0</v>
      </c>
      <c r="FS301" s="239">
        <v>0</v>
      </c>
      <c r="FT301" s="239">
        <v>0</v>
      </c>
      <c r="FU301" s="239">
        <v>0</v>
      </c>
      <c r="FV301" s="239">
        <v>1246954</v>
      </c>
      <c r="FW301" s="239">
        <v>311737</v>
      </c>
      <c r="FX301" s="239">
        <v>0</v>
      </c>
      <c r="FY301" s="834">
        <v>0.5</v>
      </c>
      <c r="FZ301" s="834">
        <v>0.4</v>
      </c>
      <c r="GA301" s="834">
        <v>0.1</v>
      </c>
      <c r="GB301" s="834">
        <v>0</v>
      </c>
      <c r="GC301" s="214" t="s">
        <v>1158</v>
      </c>
    </row>
    <row r="302" spans="2:185" s="214" customFormat="1" x14ac:dyDescent="0.2">
      <c r="B302" s="602" t="s">
        <v>687</v>
      </c>
      <c r="C302" s="602" t="s">
        <v>686</v>
      </c>
      <c r="D302" s="239">
        <v>544885</v>
      </c>
      <c r="E302" s="239">
        <v>-8817</v>
      </c>
      <c r="F302" s="239">
        <v>536068</v>
      </c>
      <c r="G302" s="239">
        <v>644820</v>
      </c>
      <c r="H302" s="239">
        <v>-9712</v>
      </c>
      <c r="I302" s="239">
        <v>635108</v>
      </c>
      <c r="J302" s="239">
        <v>-99935</v>
      </c>
      <c r="K302" s="239">
        <v>895</v>
      </c>
      <c r="L302" s="239">
        <v>-99040</v>
      </c>
      <c r="M302" s="239">
        <v>202129</v>
      </c>
      <c r="N302" s="239">
        <v>202129</v>
      </c>
      <c r="O302" s="239">
        <v>0</v>
      </c>
      <c r="P302" s="239">
        <v>211256</v>
      </c>
      <c r="Q302" s="239">
        <v>238342</v>
      </c>
      <c r="R302" s="239">
        <v>-27086</v>
      </c>
      <c r="S302" s="239">
        <v>252068</v>
      </c>
      <c r="T302" s="239">
        <v>0</v>
      </c>
      <c r="U302" s="239">
        <v>201779</v>
      </c>
      <c r="V302" s="239">
        <v>0</v>
      </c>
      <c r="W302" s="239">
        <v>50289</v>
      </c>
      <c r="X302" s="239">
        <v>0</v>
      </c>
      <c r="Y302" s="239">
        <v>168333</v>
      </c>
      <c r="Z302" s="239">
        <v>168333</v>
      </c>
      <c r="AA302" s="239">
        <v>0</v>
      </c>
      <c r="AB302" s="239">
        <v>0</v>
      </c>
      <c r="AC302" s="239">
        <v>169145</v>
      </c>
      <c r="AD302" s="239">
        <v>169145</v>
      </c>
      <c r="AE302" s="239">
        <v>0</v>
      </c>
      <c r="AF302" s="239">
        <v>0</v>
      </c>
      <c r="AG302" s="239">
        <v>-812</v>
      </c>
      <c r="AH302" s="239">
        <v>-812</v>
      </c>
      <c r="AI302" s="239">
        <v>0</v>
      </c>
      <c r="AJ302" s="239">
        <v>0</v>
      </c>
      <c r="AK302" s="239">
        <v>0</v>
      </c>
      <c r="AL302" s="239">
        <v>0</v>
      </c>
      <c r="AM302" s="239">
        <v>0</v>
      </c>
      <c r="AN302" s="239">
        <v>0</v>
      </c>
      <c r="AO302" s="239">
        <v>0</v>
      </c>
      <c r="AP302" s="239">
        <v>0</v>
      </c>
      <c r="AQ302" s="239">
        <v>0</v>
      </c>
      <c r="AR302" s="239">
        <v>0</v>
      </c>
      <c r="AS302" s="239">
        <v>0</v>
      </c>
      <c r="AT302" s="239">
        <v>0</v>
      </c>
      <c r="AU302" s="239">
        <v>0</v>
      </c>
      <c r="AV302" s="239">
        <v>0</v>
      </c>
      <c r="AW302" s="239">
        <v>0</v>
      </c>
      <c r="AX302" s="239">
        <v>0</v>
      </c>
      <c r="AY302" s="239">
        <v>0</v>
      </c>
      <c r="AZ302" s="239">
        <v>0</v>
      </c>
      <c r="BA302" s="239">
        <v>0</v>
      </c>
      <c r="BB302" s="239">
        <v>0</v>
      </c>
      <c r="BC302" s="239">
        <v>1174335</v>
      </c>
      <c r="BD302" s="239">
        <v>292230</v>
      </c>
      <c r="BE302" s="239">
        <v>0</v>
      </c>
      <c r="BF302" s="239">
        <v>1155026.6435579399</v>
      </c>
      <c r="BG302" s="239">
        <v>287425.68862553651</v>
      </c>
      <c r="BH302" s="239">
        <v>0</v>
      </c>
      <c r="BI302" s="239">
        <v>62040.348695278968</v>
      </c>
      <c r="BJ302" s="239">
        <v>15151.340526824033</v>
      </c>
      <c r="BK302" s="239">
        <v>0</v>
      </c>
      <c r="BL302" s="239">
        <v>1107097</v>
      </c>
      <c r="BM302" s="239">
        <v>202765</v>
      </c>
      <c r="BN302" s="239">
        <v>0</v>
      </c>
      <c r="BO302" s="239">
        <v>67238</v>
      </c>
      <c r="BP302" s="239">
        <v>89465</v>
      </c>
      <c r="BQ302" s="239">
        <v>0</v>
      </c>
      <c r="BR302" s="239">
        <v>0</v>
      </c>
      <c r="BS302" s="239">
        <v>0</v>
      </c>
      <c r="BT302" s="239">
        <v>0</v>
      </c>
      <c r="BU302" s="239">
        <v>0</v>
      </c>
      <c r="BV302" s="239">
        <v>0</v>
      </c>
      <c r="BW302" s="239">
        <v>0</v>
      </c>
      <c r="BX302" s="239">
        <v>0</v>
      </c>
      <c r="BY302" s="239">
        <v>0</v>
      </c>
      <c r="BZ302" s="239">
        <v>0</v>
      </c>
      <c r="CA302" s="239">
        <v>0</v>
      </c>
      <c r="CB302" s="239">
        <v>0</v>
      </c>
      <c r="CC302" s="239">
        <v>0</v>
      </c>
      <c r="CD302" s="239">
        <v>0</v>
      </c>
      <c r="CE302" s="239">
        <v>0</v>
      </c>
      <c r="CF302" s="239">
        <v>0</v>
      </c>
      <c r="CG302" s="239">
        <v>0</v>
      </c>
      <c r="CH302" s="239">
        <v>0</v>
      </c>
      <c r="CI302" s="239">
        <v>0</v>
      </c>
      <c r="CJ302" s="239">
        <v>177</v>
      </c>
      <c r="CK302" s="239">
        <v>44</v>
      </c>
      <c r="CL302" s="239">
        <v>0</v>
      </c>
      <c r="CM302" s="239">
        <v>4206</v>
      </c>
      <c r="CN302" s="239">
        <v>1051</v>
      </c>
      <c r="CO302" s="239">
        <v>0</v>
      </c>
      <c r="CP302" s="239">
        <v>-4029</v>
      </c>
      <c r="CQ302" s="239">
        <v>-1007</v>
      </c>
      <c r="CR302" s="239">
        <v>0</v>
      </c>
      <c r="CS302" s="239">
        <v>-4183</v>
      </c>
      <c r="CT302" s="239">
        <v>-1046</v>
      </c>
      <c r="CU302" s="239">
        <v>0</v>
      </c>
      <c r="CV302" s="239">
        <v>0</v>
      </c>
      <c r="CW302" s="239">
        <v>0</v>
      </c>
      <c r="CX302" s="239">
        <v>0</v>
      </c>
      <c r="CY302" s="239">
        <v>0</v>
      </c>
      <c r="CZ302" s="239">
        <v>0</v>
      </c>
      <c r="DA302" s="239">
        <v>0</v>
      </c>
      <c r="DB302" s="239">
        <v>0</v>
      </c>
      <c r="DC302" s="239">
        <v>0</v>
      </c>
      <c r="DD302" s="239">
        <v>0</v>
      </c>
      <c r="DE302" s="239">
        <v>-31</v>
      </c>
      <c r="DF302" s="239">
        <v>-8</v>
      </c>
      <c r="DG302" s="239">
        <v>0</v>
      </c>
      <c r="DH302" s="239">
        <v>5344</v>
      </c>
      <c r="DI302" s="239">
        <v>1336</v>
      </c>
      <c r="DJ302" s="239">
        <v>0</v>
      </c>
      <c r="DK302" s="239">
        <v>5768</v>
      </c>
      <c r="DL302" s="239">
        <v>1442</v>
      </c>
      <c r="DM302" s="239">
        <v>0</v>
      </c>
      <c r="DN302" s="239">
        <v>-424</v>
      </c>
      <c r="DO302" s="239">
        <v>-106</v>
      </c>
      <c r="DP302" s="239">
        <v>0</v>
      </c>
      <c r="DQ302" s="239">
        <v>1218</v>
      </c>
      <c r="DR302" s="239">
        <v>305</v>
      </c>
      <c r="DS302" s="239">
        <v>0</v>
      </c>
      <c r="DT302" s="239">
        <v>0</v>
      </c>
      <c r="DU302" s="239">
        <v>0</v>
      </c>
      <c r="DV302" s="239">
        <v>0</v>
      </c>
      <c r="DW302" s="239">
        <v>1218</v>
      </c>
      <c r="DX302" s="239">
        <v>305</v>
      </c>
      <c r="DY302" s="239">
        <v>0</v>
      </c>
      <c r="DZ302" s="239">
        <v>33253</v>
      </c>
      <c r="EA302" s="239">
        <v>8313</v>
      </c>
      <c r="EB302" s="239">
        <v>0</v>
      </c>
      <c r="EC302" s="239">
        <v>42490</v>
      </c>
      <c r="ED302" s="239">
        <v>0</v>
      </c>
      <c r="EE302" s="239">
        <v>0</v>
      </c>
      <c r="EF302" s="239">
        <v>-9237</v>
      </c>
      <c r="EG302" s="239">
        <v>8313</v>
      </c>
      <c r="EH302" s="239">
        <v>0</v>
      </c>
      <c r="EI302" s="239">
        <v>82955</v>
      </c>
      <c r="EJ302" s="239">
        <v>20739</v>
      </c>
      <c r="EK302" s="239">
        <v>0</v>
      </c>
      <c r="EL302" s="239">
        <v>208472</v>
      </c>
      <c r="EM302" s="239">
        <v>0</v>
      </c>
      <c r="EN302" s="239">
        <v>0</v>
      </c>
      <c r="EO302" s="239">
        <v>-125517</v>
      </c>
      <c r="EP302" s="239">
        <v>20739</v>
      </c>
      <c r="EQ302" s="239">
        <v>0</v>
      </c>
      <c r="ER302" s="239">
        <v>16691</v>
      </c>
      <c r="ES302" s="239">
        <v>4173</v>
      </c>
      <c r="ET302" s="239">
        <v>0</v>
      </c>
      <c r="EU302" s="239">
        <v>23115</v>
      </c>
      <c r="EV302" s="239">
        <v>0</v>
      </c>
      <c r="EW302" s="239">
        <v>0</v>
      </c>
      <c r="EX302" s="239">
        <v>-6424</v>
      </c>
      <c r="EY302" s="239">
        <v>4173</v>
      </c>
      <c r="EZ302" s="239">
        <v>0</v>
      </c>
      <c r="FA302" s="239">
        <v>150258</v>
      </c>
      <c r="FB302" s="239">
        <v>35825</v>
      </c>
      <c r="FC302" s="239">
        <v>0</v>
      </c>
      <c r="FD302" s="239">
        <v>168667</v>
      </c>
      <c r="FE302" s="239">
        <v>39879</v>
      </c>
      <c r="FF302" s="239">
        <v>0</v>
      </c>
      <c r="FG302" s="239">
        <v>-18409</v>
      </c>
      <c r="FH302" s="239">
        <v>-4054</v>
      </c>
      <c r="FI302" s="239">
        <v>0</v>
      </c>
      <c r="FJ302" s="239">
        <v>0</v>
      </c>
      <c r="FK302" s="239">
        <v>0</v>
      </c>
      <c r="FL302" s="239">
        <v>0</v>
      </c>
      <c r="FM302" s="239">
        <v>0</v>
      </c>
      <c r="FN302" s="239">
        <v>0</v>
      </c>
      <c r="FO302" s="239">
        <v>0</v>
      </c>
      <c r="FP302" s="239">
        <v>0</v>
      </c>
      <c r="FQ302" s="239">
        <v>0</v>
      </c>
      <c r="FR302" s="239">
        <v>0</v>
      </c>
      <c r="FS302" s="239">
        <v>0</v>
      </c>
      <c r="FT302" s="239">
        <v>0</v>
      </c>
      <c r="FU302" s="239">
        <v>0</v>
      </c>
      <c r="FV302" s="239">
        <v>1460017</v>
      </c>
      <c r="FW302" s="239">
        <v>361911</v>
      </c>
      <c r="FX302" s="239">
        <v>0</v>
      </c>
      <c r="FY302" s="834">
        <v>0.5</v>
      </c>
      <c r="FZ302" s="834">
        <v>0.4</v>
      </c>
      <c r="GA302" s="834">
        <v>0.1</v>
      </c>
      <c r="GB302" s="834">
        <v>0</v>
      </c>
      <c r="GC302" s="214" t="s">
        <v>1158</v>
      </c>
    </row>
    <row r="303" spans="2:185" s="214" customFormat="1" x14ac:dyDescent="0.2">
      <c r="B303" s="602" t="s">
        <v>689</v>
      </c>
      <c r="C303" s="602" t="s">
        <v>688</v>
      </c>
      <c r="D303" s="239">
        <v>1847089</v>
      </c>
      <c r="E303" s="239">
        <v>0</v>
      </c>
      <c r="F303" s="239">
        <v>1847089</v>
      </c>
      <c r="G303" s="239">
        <v>1961408</v>
      </c>
      <c r="H303" s="239">
        <v>0</v>
      </c>
      <c r="I303" s="239">
        <v>1961408</v>
      </c>
      <c r="J303" s="239">
        <v>-114319</v>
      </c>
      <c r="K303" s="239">
        <v>0</v>
      </c>
      <c r="L303" s="239">
        <v>-114319</v>
      </c>
      <c r="M303" s="239">
        <v>177540</v>
      </c>
      <c r="N303" s="239">
        <v>177540</v>
      </c>
      <c r="O303" s="239">
        <v>0</v>
      </c>
      <c r="P303" s="239">
        <v>0</v>
      </c>
      <c r="Q303" s="239">
        <v>0</v>
      </c>
      <c r="R303" s="239">
        <v>0</v>
      </c>
      <c r="S303" s="239">
        <v>0</v>
      </c>
      <c r="T303" s="239">
        <v>0</v>
      </c>
      <c r="U303" s="239">
        <v>0</v>
      </c>
      <c r="V303" s="239">
        <v>0</v>
      </c>
      <c r="W303" s="239">
        <v>0</v>
      </c>
      <c r="X303" s="239">
        <v>0</v>
      </c>
      <c r="Y303" s="239">
        <v>0</v>
      </c>
      <c r="Z303" s="239">
        <v>0</v>
      </c>
      <c r="AA303" s="239">
        <v>0</v>
      </c>
      <c r="AB303" s="239">
        <v>0</v>
      </c>
      <c r="AC303" s="239">
        <v>0</v>
      </c>
      <c r="AD303" s="239">
        <v>0</v>
      </c>
      <c r="AE303" s="239">
        <v>0</v>
      </c>
      <c r="AF303" s="239">
        <v>0</v>
      </c>
      <c r="AG303" s="239">
        <v>0</v>
      </c>
      <c r="AH303" s="239">
        <v>0</v>
      </c>
      <c r="AI303" s="239">
        <v>0</v>
      </c>
      <c r="AJ303" s="239">
        <v>0</v>
      </c>
      <c r="AK303" s="239">
        <v>0</v>
      </c>
      <c r="AL303" s="239">
        <v>0</v>
      </c>
      <c r="AM303" s="239">
        <v>0</v>
      </c>
      <c r="AN303" s="239">
        <v>0</v>
      </c>
      <c r="AO303" s="239">
        <v>0</v>
      </c>
      <c r="AP303" s="239">
        <v>0</v>
      </c>
      <c r="AQ303" s="239">
        <v>0</v>
      </c>
      <c r="AR303" s="239">
        <v>0</v>
      </c>
      <c r="AS303" s="239">
        <v>0</v>
      </c>
      <c r="AT303" s="239">
        <v>0</v>
      </c>
      <c r="AU303" s="239">
        <v>0</v>
      </c>
      <c r="AV303" s="239">
        <v>0</v>
      </c>
      <c r="AW303" s="239">
        <v>0</v>
      </c>
      <c r="AX303" s="239">
        <v>0</v>
      </c>
      <c r="AY303" s="239">
        <v>0</v>
      </c>
      <c r="AZ303" s="239">
        <v>0</v>
      </c>
      <c r="BA303" s="239">
        <v>0</v>
      </c>
      <c r="BB303" s="239">
        <v>0</v>
      </c>
      <c r="BC303" s="239">
        <v>1103591</v>
      </c>
      <c r="BD303" s="239">
        <v>275898</v>
      </c>
      <c r="BE303" s="239">
        <v>0</v>
      </c>
      <c r="BF303" s="239">
        <v>1068450.4007793991</v>
      </c>
      <c r="BG303" s="239">
        <v>267112.60019484977</v>
      </c>
      <c r="BH303" s="239">
        <v>0</v>
      </c>
      <c r="BI303" s="239">
        <v>109208.35124463518</v>
      </c>
      <c r="BJ303" s="239">
        <v>27302.087811158795</v>
      </c>
      <c r="BK303" s="239">
        <v>0</v>
      </c>
      <c r="BL303" s="239">
        <v>1071562</v>
      </c>
      <c r="BM303" s="239">
        <v>165364</v>
      </c>
      <c r="BN303" s="239">
        <v>0</v>
      </c>
      <c r="BO303" s="239">
        <v>32029</v>
      </c>
      <c r="BP303" s="239">
        <v>110534</v>
      </c>
      <c r="BQ303" s="239">
        <v>0</v>
      </c>
      <c r="BR303" s="239">
        <v>29</v>
      </c>
      <c r="BS303" s="239">
        <v>7</v>
      </c>
      <c r="BT303" s="239">
        <v>0</v>
      </c>
      <c r="BU303" s="239">
        <v>0</v>
      </c>
      <c r="BV303" s="239">
        <v>0</v>
      </c>
      <c r="BW303" s="239">
        <v>0</v>
      </c>
      <c r="BX303" s="239">
        <v>29</v>
      </c>
      <c r="BY303" s="239">
        <v>7</v>
      </c>
      <c r="BZ303" s="239">
        <v>0</v>
      </c>
      <c r="CA303" s="239">
        <v>0</v>
      </c>
      <c r="CB303" s="239">
        <v>0</v>
      </c>
      <c r="CC303" s="239">
        <v>0</v>
      </c>
      <c r="CD303" s="239">
        <v>0</v>
      </c>
      <c r="CE303" s="239">
        <v>0</v>
      </c>
      <c r="CF303" s="239">
        <v>0</v>
      </c>
      <c r="CG303" s="239">
        <v>0</v>
      </c>
      <c r="CH303" s="239">
        <v>0</v>
      </c>
      <c r="CI303" s="239">
        <v>0</v>
      </c>
      <c r="CJ303" s="239">
        <v>2405</v>
      </c>
      <c r="CK303" s="239">
        <v>601</v>
      </c>
      <c r="CL303" s="239">
        <v>0</v>
      </c>
      <c r="CM303" s="239">
        <v>0</v>
      </c>
      <c r="CN303" s="239">
        <v>0</v>
      </c>
      <c r="CO303" s="239">
        <v>0</v>
      </c>
      <c r="CP303" s="239">
        <v>2405</v>
      </c>
      <c r="CQ303" s="239">
        <v>601</v>
      </c>
      <c r="CR303" s="239">
        <v>0</v>
      </c>
      <c r="CS303" s="239">
        <v>-2956</v>
      </c>
      <c r="CT303" s="239">
        <v>-739</v>
      </c>
      <c r="CU303" s="239">
        <v>0</v>
      </c>
      <c r="CV303" s="239">
        <v>0</v>
      </c>
      <c r="CW303" s="239">
        <v>0</v>
      </c>
      <c r="CX303" s="239">
        <v>0</v>
      </c>
      <c r="CY303" s="239">
        <v>0</v>
      </c>
      <c r="CZ303" s="239">
        <v>0</v>
      </c>
      <c r="DA303" s="239">
        <v>0</v>
      </c>
      <c r="DB303" s="239">
        <v>0</v>
      </c>
      <c r="DC303" s="239">
        <v>0</v>
      </c>
      <c r="DD303" s="239">
        <v>0</v>
      </c>
      <c r="DE303" s="239">
        <v>-1</v>
      </c>
      <c r="DF303" s="239">
        <v>0</v>
      </c>
      <c r="DG303" s="239">
        <v>0</v>
      </c>
      <c r="DH303" s="239">
        <v>2270</v>
      </c>
      <c r="DI303" s="239">
        <v>567</v>
      </c>
      <c r="DJ303" s="239">
        <v>0</v>
      </c>
      <c r="DK303" s="239">
        <v>2171</v>
      </c>
      <c r="DL303" s="239">
        <v>543</v>
      </c>
      <c r="DM303" s="239">
        <v>0</v>
      </c>
      <c r="DN303" s="239">
        <v>99</v>
      </c>
      <c r="DO303" s="239">
        <v>24</v>
      </c>
      <c r="DP303" s="239">
        <v>0</v>
      </c>
      <c r="DQ303" s="239">
        <v>609</v>
      </c>
      <c r="DR303" s="239">
        <v>152</v>
      </c>
      <c r="DS303" s="239">
        <v>0</v>
      </c>
      <c r="DT303" s="239">
        <v>609</v>
      </c>
      <c r="DU303" s="239">
        <v>152</v>
      </c>
      <c r="DV303" s="239">
        <v>0</v>
      </c>
      <c r="DW303" s="239">
        <v>0</v>
      </c>
      <c r="DX303" s="239">
        <v>0</v>
      </c>
      <c r="DY303" s="239">
        <v>0</v>
      </c>
      <c r="DZ303" s="239">
        <v>18514</v>
      </c>
      <c r="EA303" s="239">
        <v>4628</v>
      </c>
      <c r="EB303" s="239">
        <v>0</v>
      </c>
      <c r="EC303" s="239">
        <v>25003</v>
      </c>
      <c r="ED303" s="239">
        <v>0</v>
      </c>
      <c r="EE303" s="239">
        <v>0</v>
      </c>
      <c r="EF303" s="239">
        <v>-6489</v>
      </c>
      <c r="EG303" s="239">
        <v>4628</v>
      </c>
      <c r="EH303" s="239">
        <v>0</v>
      </c>
      <c r="EI303" s="239">
        <v>193576</v>
      </c>
      <c r="EJ303" s="239">
        <v>48394</v>
      </c>
      <c r="EK303" s="239">
        <v>0</v>
      </c>
      <c r="EL303" s="239">
        <v>246898</v>
      </c>
      <c r="EM303" s="239">
        <v>0</v>
      </c>
      <c r="EN303" s="239">
        <v>0</v>
      </c>
      <c r="EO303" s="239">
        <v>-53322</v>
      </c>
      <c r="EP303" s="239">
        <v>48394</v>
      </c>
      <c r="EQ303" s="239">
        <v>0</v>
      </c>
      <c r="ER303" s="239">
        <v>24743</v>
      </c>
      <c r="ES303" s="239">
        <v>6186</v>
      </c>
      <c r="ET303" s="239">
        <v>0</v>
      </c>
      <c r="EU303" s="239">
        <v>31101</v>
      </c>
      <c r="EV303" s="239">
        <v>0</v>
      </c>
      <c r="EW303" s="239">
        <v>0</v>
      </c>
      <c r="EX303" s="239">
        <v>-6358</v>
      </c>
      <c r="EY303" s="239">
        <v>6186</v>
      </c>
      <c r="EZ303" s="239">
        <v>0</v>
      </c>
      <c r="FA303" s="239">
        <v>208571</v>
      </c>
      <c r="FB303" s="239">
        <v>52143</v>
      </c>
      <c r="FC303" s="239">
        <v>0</v>
      </c>
      <c r="FD303" s="239">
        <v>227699</v>
      </c>
      <c r="FE303" s="239">
        <v>56925</v>
      </c>
      <c r="FF303" s="239">
        <v>0</v>
      </c>
      <c r="FG303" s="239">
        <v>-19128</v>
      </c>
      <c r="FH303" s="239">
        <v>-4782</v>
      </c>
      <c r="FI303" s="239">
        <v>0</v>
      </c>
      <c r="FJ303" s="239">
        <v>0</v>
      </c>
      <c r="FK303" s="239">
        <v>0</v>
      </c>
      <c r="FL303" s="239">
        <v>0</v>
      </c>
      <c r="FM303" s="239">
        <v>0</v>
      </c>
      <c r="FN303" s="239">
        <v>0</v>
      </c>
      <c r="FO303" s="239">
        <v>0</v>
      </c>
      <c r="FP303" s="239">
        <v>0</v>
      </c>
      <c r="FQ303" s="239">
        <v>0</v>
      </c>
      <c r="FR303" s="239">
        <v>0</v>
      </c>
      <c r="FS303" s="239">
        <v>0</v>
      </c>
      <c r="FT303" s="239">
        <v>0</v>
      </c>
      <c r="FU303" s="239">
        <v>0</v>
      </c>
      <c r="FV303" s="239">
        <v>1551351</v>
      </c>
      <c r="FW303" s="239">
        <v>387837</v>
      </c>
      <c r="FX303" s="239">
        <v>0</v>
      </c>
      <c r="FY303" s="834">
        <v>0.5</v>
      </c>
      <c r="FZ303" s="834">
        <v>0.4</v>
      </c>
      <c r="GA303" s="834">
        <v>0.1</v>
      </c>
      <c r="GB303" s="834">
        <v>0</v>
      </c>
      <c r="GC303" s="214" t="s">
        <v>1158</v>
      </c>
    </row>
    <row r="304" spans="2:185" s="214" customFormat="1" x14ac:dyDescent="0.2">
      <c r="B304" s="602" t="s">
        <v>691</v>
      </c>
      <c r="C304" s="602" t="s">
        <v>690</v>
      </c>
      <c r="D304" s="239">
        <v>1265796</v>
      </c>
      <c r="E304" s="239">
        <v>0</v>
      </c>
      <c r="F304" s="239">
        <v>1265796</v>
      </c>
      <c r="G304" s="239">
        <v>1061787</v>
      </c>
      <c r="H304" s="239">
        <v>0</v>
      </c>
      <c r="I304" s="239">
        <v>1061787</v>
      </c>
      <c r="J304" s="239">
        <v>204009</v>
      </c>
      <c r="K304" s="239">
        <v>0</v>
      </c>
      <c r="L304" s="239">
        <v>204009</v>
      </c>
      <c r="M304" s="239">
        <v>214771</v>
      </c>
      <c r="N304" s="239">
        <v>214771</v>
      </c>
      <c r="O304" s="239">
        <v>0</v>
      </c>
      <c r="P304" s="239">
        <v>0</v>
      </c>
      <c r="Q304" s="239">
        <v>0</v>
      </c>
      <c r="R304" s="239">
        <v>0</v>
      </c>
      <c r="S304" s="239">
        <v>269375</v>
      </c>
      <c r="T304" s="239">
        <v>0</v>
      </c>
      <c r="U304" s="239">
        <v>155165</v>
      </c>
      <c r="V304" s="239">
        <v>0</v>
      </c>
      <c r="W304" s="239">
        <v>114210</v>
      </c>
      <c r="X304" s="239">
        <v>0</v>
      </c>
      <c r="Y304" s="239">
        <v>0</v>
      </c>
      <c r="Z304" s="239">
        <v>0</v>
      </c>
      <c r="AA304" s="239">
        <v>0</v>
      </c>
      <c r="AB304" s="239">
        <v>0</v>
      </c>
      <c r="AC304" s="239">
        <v>0</v>
      </c>
      <c r="AD304" s="239">
        <v>0</v>
      </c>
      <c r="AE304" s="239">
        <v>0</v>
      </c>
      <c r="AF304" s="239">
        <v>0</v>
      </c>
      <c r="AG304" s="239">
        <v>0</v>
      </c>
      <c r="AH304" s="239">
        <v>0</v>
      </c>
      <c r="AI304" s="239">
        <v>0</v>
      </c>
      <c r="AJ304" s="239">
        <v>0</v>
      </c>
      <c r="AK304" s="239">
        <v>0</v>
      </c>
      <c r="AL304" s="239">
        <v>0</v>
      </c>
      <c r="AM304" s="239">
        <v>0</v>
      </c>
      <c r="AN304" s="239">
        <v>0</v>
      </c>
      <c r="AO304" s="239">
        <v>0</v>
      </c>
      <c r="AP304" s="239">
        <v>0</v>
      </c>
      <c r="AQ304" s="239">
        <v>0</v>
      </c>
      <c r="AR304" s="239">
        <v>0</v>
      </c>
      <c r="AS304" s="239">
        <v>0</v>
      </c>
      <c r="AT304" s="239">
        <v>0</v>
      </c>
      <c r="AU304" s="239">
        <v>0</v>
      </c>
      <c r="AV304" s="239">
        <v>0</v>
      </c>
      <c r="AW304" s="239">
        <v>0</v>
      </c>
      <c r="AX304" s="239">
        <v>0</v>
      </c>
      <c r="AY304" s="239">
        <v>0</v>
      </c>
      <c r="AZ304" s="239">
        <v>0</v>
      </c>
      <c r="BA304" s="239">
        <v>0</v>
      </c>
      <c r="BB304" s="239">
        <v>0</v>
      </c>
      <c r="BC304" s="239">
        <v>2238899</v>
      </c>
      <c r="BD304" s="239">
        <v>503752</v>
      </c>
      <c r="BE304" s="239">
        <v>55972</v>
      </c>
      <c r="BF304" s="239">
        <v>2201656.1889304724</v>
      </c>
      <c r="BG304" s="239">
        <v>495372.6425093562</v>
      </c>
      <c r="BH304" s="239">
        <v>55041.40472326181</v>
      </c>
      <c r="BI304" s="239">
        <v>103642.3186695279</v>
      </c>
      <c r="BJ304" s="239">
        <v>23319.521700643774</v>
      </c>
      <c r="BK304" s="239">
        <v>2591.0579667381976</v>
      </c>
      <c r="BL304" s="239">
        <v>2014550</v>
      </c>
      <c r="BM304" s="239">
        <v>305235</v>
      </c>
      <c r="BN304" s="239">
        <v>33915</v>
      </c>
      <c r="BO304" s="239">
        <v>224349</v>
      </c>
      <c r="BP304" s="239">
        <v>198517</v>
      </c>
      <c r="BQ304" s="239">
        <v>22057</v>
      </c>
      <c r="BR304" s="239">
        <v>10166</v>
      </c>
      <c r="BS304" s="239">
        <v>2287</v>
      </c>
      <c r="BT304" s="239">
        <v>254</v>
      </c>
      <c r="BU304" s="239">
        <v>10781</v>
      </c>
      <c r="BV304" s="239">
        <v>2426</v>
      </c>
      <c r="BW304" s="239">
        <v>270</v>
      </c>
      <c r="BX304" s="239">
        <v>-615</v>
      </c>
      <c r="BY304" s="239">
        <v>-139</v>
      </c>
      <c r="BZ304" s="239">
        <v>-16</v>
      </c>
      <c r="CA304" s="239">
        <v>0</v>
      </c>
      <c r="CB304" s="239">
        <v>0</v>
      </c>
      <c r="CC304" s="239">
        <v>0</v>
      </c>
      <c r="CD304" s="239">
        <v>0</v>
      </c>
      <c r="CE304" s="239">
        <v>0</v>
      </c>
      <c r="CF304" s="239">
        <v>0</v>
      </c>
      <c r="CG304" s="239">
        <v>0</v>
      </c>
      <c r="CH304" s="239">
        <v>0</v>
      </c>
      <c r="CI304" s="239">
        <v>0</v>
      </c>
      <c r="CJ304" s="239">
        <v>268</v>
      </c>
      <c r="CK304" s="239">
        <v>60</v>
      </c>
      <c r="CL304" s="239">
        <v>7</v>
      </c>
      <c r="CM304" s="239">
        <v>1545</v>
      </c>
      <c r="CN304" s="239">
        <v>348</v>
      </c>
      <c r="CO304" s="239">
        <v>39</v>
      </c>
      <c r="CP304" s="239">
        <v>-1277</v>
      </c>
      <c r="CQ304" s="239">
        <v>-288</v>
      </c>
      <c r="CR304" s="239">
        <v>-32</v>
      </c>
      <c r="CS304" s="239">
        <v>-557</v>
      </c>
      <c r="CT304" s="239">
        <v>-125</v>
      </c>
      <c r="CU304" s="239">
        <v>-14</v>
      </c>
      <c r="CV304" s="239">
        <v>0</v>
      </c>
      <c r="CW304" s="239">
        <v>0</v>
      </c>
      <c r="CX304" s="239">
        <v>0</v>
      </c>
      <c r="CY304" s="239">
        <v>0</v>
      </c>
      <c r="CZ304" s="239">
        <v>0</v>
      </c>
      <c r="DA304" s="239">
        <v>0</v>
      </c>
      <c r="DB304" s="239">
        <v>0</v>
      </c>
      <c r="DC304" s="239">
        <v>0</v>
      </c>
      <c r="DD304" s="239">
        <v>0</v>
      </c>
      <c r="DE304" s="239">
        <v>-58</v>
      </c>
      <c r="DF304" s="239">
        <v>-13</v>
      </c>
      <c r="DG304" s="239">
        <v>-1</v>
      </c>
      <c r="DH304" s="239">
        <v>14302</v>
      </c>
      <c r="DI304" s="239">
        <v>3218</v>
      </c>
      <c r="DJ304" s="239">
        <v>358</v>
      </c>
      <c r="DK304" s="239">
        <v>14341</v>
      </c>
      <c r="DL304" s="239">
        <v>3226</v>
      </c>
      <c r="DM304" s="239">
        <v>358</v>
      </c>
      <c r="DN304" s="239">
        <v>-39</v>
      </c>
      <c r="DO304" s="239">
        <v>-8</v>
      </c>
      <c r="DP304" s="239">
        <v>0</v>
      </c>
      <c r="DQ304" s="239">
        <v>0</v>
      </c>
      <c r="DR304" s="239">
        <v>0</v>
      </c>
      <c r="DS304" s="239">
        <v>0</v>
      </c>
      <c r="DT304" s="239">
        <v>0</v>
      </c>
      <c r="DU304" s="239">
        <v>0</v>
      </c>
      <c r="DV304" s="239">
        <v>0</v>
      </c>
      <c r="DW304" s="239">
        <v>0</v>
      </c>
      <c r="DX304" s="239">
        <v>0</v>
      </c>
      <c r="DY304" s="239">
        <v>0</v>
      </c>
      <c r="DZ304" s="239">
        <v>25826</v>
      </c>
      <c r="EA304" s="239">
        <v>5811</v>
      </c>
      <c r="EB304" s="239">
        <v>646</v>
      </c>
      <c r="EC304" s="239">
        <v>32340</v>
      </c>
      <c r="ED304" s="239">
        <v>0</v>
      </c>
      <c r="EE304" s="239">
        <v>0</v>
      </c>
      <c r="EF304" s="239">
        <v>-6514</v>
      </c>
      <c r="EG304" s="239">
        <v>5811</v>
      </c>
      <c r="EH304" s="239">
        <v>646</v>
      </c>
      <c r="EI304" s="239">
        <v>104117</v>
      </c>
      <c r="EJ304" s="239">
        <v>23426</v>
      </c>
      <c r="EK304" s="239">
        <v>2603</v>
      </c>
      <c r="EL304" s="239">
        <v>156769</v>
      </c>
      <c r="EM304" s="239">
        <v>0</v>
      </c>
      <c r="EN304" s="239">
        <v>0</v>
      </c>
      <c r="EO304" s="239">
        <v>-52652</v>
      </c>
      <c r="EP304" s="239">
        <v>23426</v>
      </c>
      <c r="EQ304" s="239">
        <v>2603</v>
      </c>
      <c r="ER304" s="239">
        <v>35348</v>
      </c>
      <c r="ES304" s="239">
        <v>7953</v>
      </c>
      <c r="ET304" s="239">
        <v>884</v>
      </c>
      <c r="EU304" s="239">
        <v>44661</v>
      </c>
      <c r="EV304" s="239">
        <v>0</v>
      </c>
      <c r="EW304" s="239">
        <v>0</v>
      </c>
      <c r="EX304" s="239">
        <v>-9313</v>
      </c>
      <c r="EY304" s="239">
        <v>7953</v>
      </c>
      <c r="EZ304" s="239">
        <v>884</v>
      </c>
      <c r="FA304" s="239">
        <v>166619</v>
      </c>
      <c r="FB304" s="239">
        <v>36579</v>
      </c>
      <c r="FC304" s="239">
        <v>4064</v>
      </c>
      <c r="FD304" s="239">
        <v>162269</v>
      </c>
      <c r="FE304" s="239">
        <v>35986</v>
      </c>
      <c r="FF304" s="239">
        <v>3998</v>
      </c>
      <c r="FG304" s="239">
        <v>4350</v>
      </c>
      <c r="FH304" s="239">
        <v>593</v>
      </c>
      <c r="FI304" s="239">
        <v>66</v>
      </c>
      <c r="FJ304" s="239">
        <v>0</v>
      </c>
      <c r="FK304" s="239">
        <v>0</v>
      </c>
      <c r="FL304" s="239">
        <v>0</v>
      </c>
      <c r="FM304" s="239">
        <v>0</v>
      </c>
      <c r="FN304" s="239">
        <v>0</v>
      </c>
      <c r="FO304" s="239">
        <v>0</v>
      </c>
      <c r="FP304" s="239">
        <v>0</v>
      </c>
      <c r="FQ304" s="239">
        <v>0</v>
      </c>
      <c r="FR304" s="239">
        <v>0</v>
      </c>
      <c r="FS304" s="239">
        <v>0</v>
      </c>
      <c r="FT304" s="239">
        <v>0</v>
      </c>
      <c r="FU304" s="239">
        <v>0</v>
      </c>
      <c r="FV304" s="239">
        <v>2594930</v>
      </c>
      <c r="FW304" s="239">
        <v>582948</v>
      </c>
      <c r="FX304" s="239">
        <v>64773</v>
      </c>
      <c r="FY304" s="834">
        <v>0.5</v>
      </c>
      <c r="FZ304" s="834">
        <v>0.4</v>
      </c>
      <c r="GA304" s="834">
        <v>0.09</v>
      </c>
      <c r="GB304" s="834">
        <v>0.01</v>
      </c>
      <c r="GC304" s="214" t="s">
        <v>1158</v>
      </c>
    </row>
    <row r="305" spans="2:185" s="214" customFormat="1" x14ac:dyDescent="0.2">
      <c r="B305" s="602" t="s">
        <v>693</v>
      </c>
      <c r="C305" s="602" t="s">
        <v>692</v>
      </c>
      <c r="D305" s="239">
        <v>-1433957</v>
      </c>
      <c r="E305" s="239">
        <v>0</v>
      </c>
      <c r="F305" s="239">
        <v>-1433957</v>
      </c>
      <c r="G305" s="239">
        <v>-975612</v>
      </c>
      <c r="H305" s="239">
        <v>0</v>
      </c>
      <c r="I305" s="239">
        <v>-975612</v>
      </c>
      <c r="J305" s="239">
        <v>-458345</v>
      </c>
      <c r="K305" s="239">
        <v>0</v>
      </c>
      <c r="L305" s="239">
        <v>-458345</v>
      </c>
      <c r="M305" s="239">
        <v>109064</v>
      </c>
      <c r="N305" s="239">
        <v>109064</v>
      </c>
      <c r="O305" s="239">
        <v>0</v>
      </c>
      <c r="P305" s="239">
        <v>0</v>
      </c>
      <c r="Q305" s="239">
        <v>0</v>
      </c>
      <c r="R305" s="239">
        <v>0</v>
      </c>
      <c r="S305" s="239">
        <v>82103</v>
      </c>
      <c r="T305" s="239">
        <v>0</v>
      </c>
      <c r="U305" s="239">
        <v>30277</v>
      </c>
      <c r="V305" s="239">
        <v>0</v>
      </c>
      <c r="W305" s="239">
        <v>51826</v>
      </c>
      <c r="X305" s="239">
        <v>0</v>
      </c>
      <c r="Y305" s="239">
        <v>0</v>
      </c>
      <c r="Z305" s="239">
        <v>0</v>
      </c>
      <c r="AA305" s="239">
        <v>0</v>
      </c>
      <c r="AB305" s="239">
        <v>0</v>
      </c>
      <c r="AC305" s="239">
        <v>0</v>
      </c>
      <c r="AD305" s="239">
        <v>0</v>
      </c>
      <c r="AE305" s="239">
        <v>0</v>
      </c>
      <c r="AF305" s="239">
        <v>0</v>
      </c>
      <c r="AG305" s="239">
        <v>0</v>
      </c>
      <c r="AH305" s="239">
        <v>0</v>
      </c>
      <c r="AI305" s="239">
        <v>0</v>
      </c>
      <c r="AJ305" s="239">
        <v>0</v>
      </c>
      <c r="AK305" s="239">
        <v>0</v>
      </c>
      <c r="AL305" s="239">
        <v>0</v>
      </c>
      <c r="AM305" s="239">
        <v>0</v>
      </c>
      <c r="AN305" s="239">
        <v>0</v>
      </c>
      <c r="AO305" s="239">
        <v>0</v>
      </c>
      <c r="AP305" s="239">
        <v>0</v>
      </c>
      <c r="AQ305" s="239">
        <v>0</v>
      </c>
      <c r="AR305" s="239">
        <v>0</v>
      </c>
      <c r="AS305" s="239">
        <v>0</v>
      </c>
      <c r="AT305" s="239">
        <v>0</v>
      </c>
      <c r="AU305" s="239">
        <v>0</v>
      </c>
      <c r="AV305" s="239">
        <v>0</v>
      </c>
      <c r="AW305" s="239">
        <v>0</v>
      </c>
      <c r="AX305" s="239">
        <v>0</v>
      </c>
      <c r="AY305" s="239">
        <v>0</v>
      </c>
      <c r="AZ305" s="239">
        <v>0</v>
      </c>
      <c r="BA305" s="239">
        <v>0</v>
      </c>
      <c r="BB305" s="239">
        <v>0</v>
      </c>
      <c r="BC305" s="239">
        <v>936317</v>
      </c>
      <c r="BD305" s="239">
        <v>234079</v>
      </c>
      <c r="BE305" s="239">
        <v>0</v>
      </c>
      <c r="BF305" s="239">
        <v>912714.74395879847</v>
      </c>
      <c r="BG305" s="239">
        <v>228178.68598969962</v>
      </c>
      <c r="BH305" s="239">
        <v>0</v>
      </c>
      <c r="BI305" s="239">
        <v>56137.730944206007</v>
      </c>
      <c r="BJ305" s="239">
        <v>14034.432736051502</v>
      </c>
      <c r="BK305" s="239">
        <v>0</v>
      </c>
      <c r="BL305" s="239">
        <v>1038780</v>
      </c>
      <c r="BM305" s="239">
        <v>174000</v>
      </c>
      <c r="BN305" s="239">
        <v>0</v>
      </c>
      <c r="BO305" s="239">
        <v>-102463</v>
      </c>
      <c r="BP305" s="239">
        <v>60079</v>
      </c>
      <c r="BQ305" s="239">
        <v>0</v>
      </c>
      <c r="BR305" s="239">
        <v>0</v>
      </c>
      <c r="BS305" s="239">
        <v>0</v>
      </c>
      <c r="BT305" s="239">
        <v>0</v>
      </c>
      <c r="BU305" s="239">
        <v>0</v>
      </c>
      <c r="BV305" s="239">
        <v>0</v>
      </c>
      <c r="BW305" s="239">
        <v>0</v>
      </c>
      <c r="BX305" s="239">
        <v>0</v>
      </c>
      <c r="BY305" s="239">
        <v>0</v>
      </c>
      <c r="BZ305" s="239">
        <v>0</v>
      </c>
      <c r="CA305" s="239">
        <v>0</v>
      </c>
      <c r="CB305" s="239">
        <v>0</v>
      </c>
      <c r="CC305" s="239">
        <v>0</v>
      </c>
      <c r="CD305" s="239">
        <v>0</v>
      </c>
      <c r="CE305" s="239">
        <v>0</v>
      </c>
      <c r="CF305" s="239">
        <v>0</v>
      </c>
      <c r="CG305" s="239">
        <v>0</v>
      </c>
      <c r="CH305" s="239">
        <v>0</v>
      </c>
      <c r="CI305" s="239">
        <v>0</v>
      </c>
      <c r="CJ305" s="239">
        <v>9822</v>
      </c>
      <c r="CK305" s="239">
        <v>2455</v>
      </c>
      <c r="CL305" s="239">
        <v>0</v>
      </c>
      <c r="CM305" s="239">
        <v>0</v>
      </c>
      <c r="CN305" s="239">
        <v>0</v>
      </c>
      <c r="CO305" s="239">
        <v>0</v>
      </c>
      <c r="CP305" s="239">
        <v>9822</v>
      </c>
      <c r="CQ305" s="239">
        <v>2455</v>
      </c>
      <c r="CR305" s="239">
        <v>0</v>
      </c>
      <c r="CS305" s="239">
        <v>-608</v>
      </c>
      <c r="CT305" s="239">
        <v>-152</v>
      </c>
      <c r="CU305" s="239">
        <v>0</v>
      </c>
      <c r="CV305" s="239">
        <v>0</v>
      </c>
      <c r="CW305" s="239">
        <v>0</v>
      </c>
      <c r="CX305" s="239">
        <v>0</v>
      </c>
      <c r="CY305" s="239">
        <v>0</v>
      </c>
      <c r="CZ305" s="239">
        <v>0</v>
      </c>
      <c r="DA305" s="239">
        <v>0</v>
      </c>
      <c r="DB305" s="239">
        <v>0</v>
      </c>
      <c r="DC305" s="239">
        <v>0</v>
      </c>
      <c r="DD305" s="239">
        <v>0</v>
      </c>
      <c r="DE305" s="239">
        <v>0</v>
      </c>
      <c r="DF305" s="239">
        <v>0</v>
      </c>
      <c r="DG305" s="239">
        <v>0</v>
      </c>
      <c r="DH305" s="239">
        <v>0</v>
      </c>
      <c r="DI305" s="239">
        <v>0</v>
      </c>
      <c r="DJ305" s="239">
        <v>0</v>
      </c>
      <c r="DK305" s="239">
        <v>0</v>
      </c>
      <c r="DL305" s="239">
        <v>0</v>
      </c>
      <c r="DM305" s="239">
        <v>0</v>
      </c>
      <c r="DN305" s="239">
        <v>0</v>
      </c>
      <c r="DO305" s="239">
        <v>0</v>
      </c>
      <c r="DP305" s="239">
        <v>0</v>
      </c>
      <c r="DQ305" s="239">
        <v>0</v>
      </c>
      <c r="DR305" s="239">
        <v>0</v>
      </c>
      <c r="DS305" s="239">
        <v>0</v>
      </c>
      <c r="DT305" s="239">
        <v>0</v>
      </c>
      <c r="DU305" s="239">
        <v>0</v>
      </c>
      <c r="DV305" s="239">
        <v>0</v>
      </c>
      <c r="DW305" s="239">
        <v>0</v>
      </c>
      <c r="DX305" s="239">
        <v>0</v>
      </c>
      <c r="DY305" s="239">
        <v>0</v>
      </c>
      <c r="DZ305" s="239">
        <v>0</v>
      </c>
      <c r="EA305" s="239">
        <v>0</v>
      </c>
      <c r="EB305" s="239">
        <v>0</v>
      </c>
      <c r="EC305" s="239">
        <v>0</v>
      </c>
      <c r="ED305" s="239">
        <v>0</v>
      </c>
      <c r="EE305" s="239">
        <v>0</v>
      </c>
      <c r="EF305" s="239">
        <v>0</v>
      </c>
      <c r="EG305" s="239">
        <v>0</v>
      </c>
      <c r="EH305" s="239">
        <v>0</v>
      </c>
      <c r="EI305" s="239">
        <v>27027</v>
      </c>
      <c r="EJ305" s="239">
        <v>6757</v>
      </c>
      <c r="EK305" s="239">
        <v>0</v>
      </c>
      <c r="EL305" s="239">
        <v>50000</v>
      </c>
      <c r="EM305" s="239">
        <v>0</v>
      </c>
      <c r="EN305" s="239">
        <v>0</v>
      </c>
      <c r="EO305" s="239">
        <v>-22973</v>
      </c>
      <c r="EP305" s="239">
        <v>6757</v>
      </c>
      <c r="EQ305" s="239">
        <v>0</v>
      </c>
      <c r="ER305" s="239">
        <v>7331</v>
      </c>
      <c r="ES305" s="239">
        <v>1833</v>
      </c>
      <c r="ET305" s="239">
        <v>0</v>
      </c>
      <c r="EU305" s="239">
        <v>9845</v>
      </c>
      <c r="EV305" s="239">
        <v>0</v>
      </c>
      <c r="EW305" s="239">
        <v>0</v>
      </c>
      <c r="EX305" s="239">
        <v>-2514</v>
      </c>
      <c r="EY305" s="239">
        <v>1833</v>
      </c>
      <c r="EZ305" s="239">
        <v>0</v>
      </c>
      <c r="FA305" s="239">
        <v>154049</v>
      </c>
      <c r="FB305" s="239">
        <v>38204</v>
      </c>
      <c r="FC305" s="239">
        <v>0</v>
      </c>
      <c r="FD305" s="239">
        <v>168157</v>
      </c>
      <c r="FE305" s="239">
        <v>41925</v>
      </c>
      <c r="FF305" s="239">
        <v>0</v>
      </c>
      <c r="FG305" s="239">
        <v>-14108</v>
      </c>
      <c r="FH305" s="239">
        <v>-3721</v>
      </c>
      <c r="FI305" s="239">
        <v>0</v>
      </c>
      <c r="FJ305" s="239">
        <v>0</v>
      </c>
      <c r="FK305" s="239">
        <v>0</v>
      </c>
      <c r="FL305" s="239">
        <v>0</v>
      </c>
      <c r="FM305" s="239">
        <v>0</v>
      </c>
      <c r="FN305" s="239">
        <v>0</v>
      </c>
      <c r="FO305" s="239">
        <v>0</v>
      </c>
      <c r="FP305" s="239">
        <v>0</v>
      </c>
      <c r="FQ305" s="239">
        <v>0</v>
      </c>
      <c r="FR305" s="239">
        <v>0</v>
      </c>
      <c r="FS305" s="239">
        <v>0</v>
      </c>
      <c r="FT305" s="239">
        <v>0</v>
      </c>
      <c r="FU305" s="239">
        <v>0</v>
      </c>
      <c r="FV305" s="239">
        <v>1133938</v>
      </c>
      <c r="FW305" s="239">
        <v>283176</v>
      </c>
      <c r="FX305" s="239">
        <v>0</v>
      </c>
      <c r="FY305" s="834">
        <v>0.5</v>
      </c>
      <c r="FZ305" s="834">
        <v>0.4</v>
      </c>
      <c r="GA305" s="834">
        <v>0.1</v>
      </c>
      <c r="GB305" s="834">
        <v>0</v>
      </c>
      <c r="GC305" s="214" t="s">
        <v>1158</v>
      </c>
    </row>
    <row r="306" spans="2:185" s="214" customFormat="1" x14ac:dyDescent="0.2">
      <c r="B306" s="602" t="s">
        <v>695</v>
      </c>
      <c r="C306" s="602" t="s">
        <v>694</v>
      </c>
      <c r="D306" s="239">
        <v>-1000088</v>
      </c>
      <c r="E306" s="239">
        <v>0</v>
      </c>
      <c r="F306" s="239">
        <v>-1000088</v>
      </c>
      <c r="G306" s="239">
        <v>-513096</v>
      </c>
      <c r="H306" s="239">
        <v>0</v>
      </c>
      <c r="I306" s="239">
        <v>-513096</v>
      </c>
      <c r="J306" s="239">
        <v>-486992</v>
      </c>
      <c r="K306" s="239">
        <v>0</v>
      </c>
      <c r="L306" s="239">
        <v>-486992</v>
      </c>
      <c r="M306" s="239">
        <v>152235</v>
      </c>
      <c r="N306" s="239">
        <v>152235</v>
      </c>
      <c r="O306" s="239">
        <v>0</v>
      </c>
      <c r="P306" s="239">
        <v>0</v>
      </c>
      <c r="Q306" s="239">
        <v>0</v>
      </c>
      <c r="R306" s="239">
        <v>0</v>
      </c>
      <c r="S306" s="239">
        <v>0</v>
      </c>
      <c r="T306" s="239">
        <v>0</v>
      </c>
      <c r="U306" s="239">
        <v>0</v>
      </c>
      <c r="V306" s="239">
        <v>0</v>
      </c>
      <c r="W306" s="239">
        <v>0</v>
      </c>
      <c r="X306" s="239">
        <v>0</v>
      </c>
      <c r="Y306" s="239">
        <v>0</v>
      </c>
      <c r="Z306" s="239">
        <v>0</v>
      </c>
      <c r="AA306" s="239">
        <v>0</v>
      </c>
      <c r="AB306" s="239">
        <v>0</v>
      </c>
      <c r="AC306" s="239">
        <v>0</v>
      </c>
      <c r="AD306" s="239">
        <v>0</v>
      </c>
      <c r="AE306" s="239">
        <v>0</v>
      </c>
      <c r="AF306" s="239">
        <v>0</v>
      </c>
      <c r="AG306" s="239">
        <v>0</v>
      </c>
      <c r="AH306" s="239">
        <v>0</v>
      </c>
      <c r="AI306" s="239">
        <v>0</v>
      </c>
      <c r="AJ306" s="239">
        <v>0</v>
      </c>
      <c r="AK306" s="239">
        <v>0</v>
      </c>
      <c r="AL306" s="239">
        <v>0</v>
      </c>
      <c r="AM306" s="239">
        <v>0</v>
      </c>
      <c r="AN306" s="239">
        <v>0</v>
      </c>
      <c r="AO306" s="239">
        <v>0</v>
      </c>
      <c r="AP306" s="239">
        <v>0</v>
      </c>
      <c r="AQ306" s="239">
        <v>0</v>
      </c>
      <c r="AR306" s="239">
        <v>0</v>
      </c>
      <c r="AS306" s="239">
        <v>0</v>
      </c>
      <c r="AT306" s="239">
        <v>0</v>
      </c>
      <c r="AU306" s="239">
        <v>0</v>
      </c>
      <c r="AV306" s="239">
        <v>0</v>
      </c>
      <c r="AW306" s="239">
        <v>0</v>
      </c>
      <c r="AX306" s="239">
        <v>0</v>
      </c>
      <c r="AY306" s="239">
        <v>0</v>
      </c>
      <c r="AZ306" s="239">
        <v>0</v>
      </c>
      <c r="BA306" s="239">
        <v>0</v>
      </c>
      <c r="BB306" s="239">
        <v>0</v>
      </c>
      <c r="BC306" s="239">
        <v>598551</v>
      </c>
      <c r="BD306" s="239">
        <v>149638</v>
      </c>
      <c r="BE306" s="239">
        <v>0</v>
      </c>
      <c r="BF306" s="239">
        <v>575962.91446180257</v>
      </c>
      <c r="BG306" s="239">
        <v>143990.72861545064</v>
      </c>
      <c r="BH306" s="239">
        <v>0</v>
      </c>
      <c r="BI306" s="239">
        <v>84114.36141630901</v>
      </c>
      <c r="BJ306" s="239">
        <v>21028.590354077252</v>
      </c>
      <c r="BK306" s="239">
        <v>0</v>
      </c>
      <c r="BL306" s="239">
        <v>550172</v>
      </c>
      <c r="BM306" s="239">
        <v>84382</v>
      </c>
      <c r="BN306" s="239">
        <v>0</v>
      </c>
      <c r="BO306" s="239">
        <v>48379</v>
      </c>
      <c r="BP306" s="239">
        <v>65256</v>
      </c>
      <c r="BQ306" s="239">
        <v>0</v>
      </c>
      <c r="BR306" s="239">
        <v>0</v>
      </c>
      <c r="BS306" s="239">
        <v>0</v>
      </c>
      <c r="BT306" s="239">
        <v>0</v>
      </c>
      <c r="BU306" s="239">
        <v>0</v>
      </c>
      <c r="BV306" s="239">
        <v>0</v>
      </c>
      <c r="BW306" s="239">
        <v>0</v>
      </c>
      <c r="BX306" s="239">
        <v>0</v>
      </c>
      <c r="BY306" s="239">
        <v>0</v>
      </c>
      <c r="BZ306" s="239">
        <v>0</v>
      </c>
      <c r="CA306" s="239">
        <v>0</v>
      </c>
      <c r="CB306" s="239">
        <v>0</v>
      </c>
      <c r="CC306" s="239">
        <v>0</v>
      </c>
      <c r="CD306" s="239">
        <v>0</v>
      </c>
      <c r="CE306" s="239">
        <v>0</v>
      </c>
      <c r="CF306" s="239">
        <v>0</v>
      </c>
      <c r="CG306" s="239">
        <v>0</v>
      </c>
      <c r="CH306" s="239">
        <v>0</v>
      </c>
      <c r="CI306" s="239">
        <v>0</v>
      </c>
      <c r="CJ306" s="239">
        <v>9798</v>
      </c>
      <c r="CK306" s="239">
        <v>2449</v>
      </c>
      <c r="CL306" s="239">
        <v>0</v>
      </c>
      <c r="CM306" s="239">
        <v>7245</v>
      </c>
      <c r="CN306" s="239">
        <v>1811</v>
      </c>
      <c r="CO306" s="239">
        <v>0</v>
      </c>
      <c r="CP306" s="239">
        <v>2553</v>
      </c>
      <c r="CQ306" s="239">
        <v>638</v>
      </c>
      <c r="CR306" s="239">
        <v>0</v>
      </c>
      <c r="CS306" s="239">
        <v>0</v>
      </c>
      <c r="CT306" s="239">
        <v>0</v>
      </c>
      <c r="CU306" s="239">
        <v>0</v>
      </c>
      <c r="CV306" s="239">
        <v>0</v>
      </c>
      <c r="CW306" s="239">
        <v>0</v>
      </c>
      <c r="CX306" s="239">
        <v>0</v>
      </c>
      <c r="CY306" s="239">
        <v>0</v>
      </c>
      <c r="CZ306" s="239">
        <v>0</v>
      </c>
      <c r="DA306" s="239">
        <v>0</v>
      </c>
      <c r="DB306" s="239">
        <v>0</v>
      </c>
      <c r="DC306" s="239">
        <v>0</v>
      </c>
      <c r="DD306" s="239">
        <v>0</v>
      </c>
      <c r="DE306" s="239">
        <v>0</v>
      </c>
      <c r="DF306" s="239">
        <v>0</v>
      </c>
      <c r="DG306" s="239">
        <v>0</v>
      </c>
      <c r="DH306" s="239">
        <v>0</v>
      </c>
      <c r="DI306" s="239">
        <v>0</v>
      </c>
      <c r="DJ306" s="239">
        <v>0</v>
      </c>
      <c r="DK306" s="239">
        <v>0</v>
      </c>
      <c r="DL306" s="239">
        <v>0</v>
      </c>
      <c r="DM306" s="239">
        <v>0</v>
      </c>
      <c r="DN306" s="239">
        <v>0</v>
      </c>
      <c r="DO306" s="239">
        <v>0</v>
      </c>
      <c r="DP306" s="239">
        <v>0</v>
      </c>
      <c r="DQ306" s="239">
        <v>609</v>
      </c>
      <c r="DR306" s="239">
        <v>152</v>
      </c>
      <c r="DS306" s="239">
        <v>0</v>
      </c>
      <c r="DT306" s="239">
        <v>609</v>
      </c>
      <c r="DU306" s="239">
        <v>152</v>
      </c>
      <c r="DV306" s="239">
        <v>0</v>
      </c>
      <c r="DW306" s="239">
        <v>0</v>
      </c>
      <c r="DX306" s="239">
        <v>0</v>
      </c>
      <c r="DY306" s="239">
        <v>0</v>
      </c>
      <c r="DZ306" s="239">
        <v>23412</v>
      </c>
      <c r="EA306" s="239">
        <v>5853</v>
      </c>
      <c r="EB306" s="239">
        <v>0</v>
      </c>
      <c r="EC306" s="239">
        <v>29471</v>
      </c>
      <c r="ED306" s="239">
        <v>0</v>
      </c>
      <c r="EE306" s="239">
        <v>0</v>
      </c>
      <c r="EF306" s="239">
        <v>-6059</v>
      </c>
      <c r="EG306" s="239">
        <v>5853</v>
      </c>
      <c r="EH306" s="239">
        <v>0</v>
      </c>
      <c r="EI306" s="239">
        <v>51697</v>
      </c>
      <c r="EJ306" s="239">
        <v>12924</v>
      </c>
      <c r="EK306" s="239">
        <v>0</v>
      </c>
      <c r="EL306" s="239">
        <v>149942</v>
      </c>
      <c r="EM306" s="239">
        <v>0</v>
      </c>
      <c r="EN306" s="239">
        <v>0</v>
      </c>
      <c r="EO306" s="239">
        <v>-98245</v>
      </c>
      <c r="EP306" s="239">
        <v>12924</v>
      </c>
      <c r="EQ306" s="239">
        <v>0</v>
      </c>
      <c r="ER306" s="239">
        <v>15544</v>
      </c>
      <c r="ES306" s="239">
        <v>3886</v>
      </c>
      <c r="ET306" s="239">
        <v>0</v>
      </c>
      <c r="EU306" s="239">
        <v>19000</v>
      </c>
      <c r="EV306" s="239">
        <v>0</v>
      </c>
      <c r="EW306" s="239">
        <v>0</v>
      </c>
      <c r="EX306" s="239">
        <v>-3456</v>
      </c>
      <c r="EY306" s="239">
        <v>3886</v>
      </c>
      <c r="EZ306" s="239">
        <v>0</v>
      </c>
      <c r="FA306" s="239">
        <v>324165</v>
      </c>
      <c r="FB306" s="239">
        <v>81041</v>
      </c>
      <c r="FC306" s="239">
        <v>0</v>
      </c>
      <c r="FD306" s="239">
        <v>351915</v>
      </c>
      <c r="FE306" s="239">
        <v>87979</v>
      </c>
      <c r="FF306" s="239">
        <v>0</v>
      </c>
      <c r="FG306" s="239">
        <v>-27750</v>
      </c>
      <c r="FH306" s="239">
        <v>-6938</v>
      </c>
      <c r="FI306" s="239">
        <v>0</v>
      </c>
      <c r="FJ306" s="239">
        <v>0</v>
      </c>
      <c r="FK306" s="239">
        <v>0</v>
      </c>
      <c r="FL306" s="239">
        <v>0</v>
      </c>
      <c r="FM306" s="239">
        <v>0</v>
      </c>
      <c r="FN306" s="239">
        <v>0</v>
      </c>
      <c r="FO306" s="239">
        <v>0</v>
      </c>
      <c r="FP306" s="239">
        <v>0</v>
      </c>
      <c r="FQ306" s="239">
        <v>0</v>
      </c>
      <c r="FR306" s="239">
        <v>0</v>
      </c>
      <c r="FS306" s="239">
        <v>0</v>
      </c>
      <c r="FT306" s="239">
        <v>0</v>
      </c>
      <c r="FU306" s="239">
        <v>0</v>
      </c>
      <c r="FV306" s="239">
        <v>1023776</v>
      </c>
      <c r="FW306" s="239">
        <v>255943</v>
      </c>
      <c r="FX306" s="239">
        <v>0</v>
      </c>
      <c r="FY306" s="834">
        <v>0.5</v>
      </c>
      <c r="FZ306" s="834">
        <v>0.4</v>
      </c>
      <c r="GA306" s="834">
        <v>0.1</v>
      </c>
      <c r="GB306" s="834">
        <v>0</v>
      </c>
      <c r="GC306" s="214" t="s">
        <v>1158</v>
      </c>
    </row>
    <row r="307" spans="2:185" s="214" customFormat="1" x14ac:dyDescent="0.2">
      <c r="B307" s="602" t="s">
        <v>697</v>
      </c>
      <c r="C307" s="602" t="s">
        <v>696</v>
      </c>
      <c r="D307" s="239">
        <v>-2096469</v>
      </c>
      <c r="E307" s="239">
        <v>0</v>
      </c>
      <c r="F307" s="239">
        <v>-2096469</v>
      </c>
      <c r="G307" s="239">
        <v>-1019381</v>
      </c>
      <c r="H307" s="239">
        <v>0</v>
      </c>
      <c r="I307" s="239">
        <v>-1019381</v>
      </c>
      <c r="J307" s="239">
        <v>-1077088</v>
      </c>
      <c r="K307" s="239">
        <v>0</v>
      </c>
      <c r="L307" s="239">
        <v>-1077088</v>
      </c>
      <c r="M307" s="239">
        <v>257198</v>
      </c>
      <c r="N307" s="239">
        <v>257198</v>
      </c>
      <c r="O307" s="239">
        <v>0</v>
      </c>
      <c r="P307" s="239">
        <v>0</v>
      </c>
      <c r="Q307" s="239">
        <v>0</v>
      </c>
      <c r="R307" s="239">
        <v>0</v>
      </c>
      <c r="S307" s="239">
        <v>0</v>
      </c>
      <c r="T307" s="239">
        <v>0</v>
      </c>
      <c r="U307" s="239">
        <v>0</v>
      </c>
      <c r="V307" s="239">
        <v>0</v>
      </c>
      <c r="W307" s="239">
        <v>0</v>
      </c>
      <c r="X307" s="239">
        <v>0</v>
      </c>
      <c r="Y307" s="239">
        <v>0</v>
      </c>
      <c r="Z307" s="239">
        <v>0</v>
      </c>
      <c r="AA307" s="239">
        <v>0</v>
      </c>
      <c r="AB307" s="239">
        <v>0</v>
      </c>
      <c r="AC307" s="239">
        <v>0</v>
      </c>
      <c r="AD307" s="239">
        <v>0</v>
      </c>
      <c r="AE307" s="239">
        <v>0</v>
      </c>
      <c r="AF307" s="239">
        <v>0</v>
      </c>
      <c r="AG307" s="239">
        <v>0</v>
      </c>
      <c r="AH307" s="239">
        <v>0</v>
      </c>
      <c r="AI307" s="239">
        <v>0</v>
      </c>
      <c r="AJ307" s="239">
        <v>0</v>
      </c>
      <c r="AK307" s="239">
        <v>0</v>
      </c>
      <c r="AL307" s="239">
        <v>0</v>
      </c>
      <c r="AM307" s="239">
        <v>0</v>
      </c>
      <c r="AN307" s="239">
        <v>0</v>
      </c>
      <c r="AO307" s="239">
        <v>0</v>
      </c>
      <c r="AP307" s="239">
        <v>0</v>
      </c>
      <c r="AQ307" s="239">
        <v>0</v>
      </c>
      <c r="AR307" s="239">
        <v>0</v>
      </c>
      <c r="AS307" s="239">
        <v>0</v>
      </c>
      <c r="AT307" s="239">
        <v>0</v>
      </c>
      <c r="AU307" s="239">
        <v>0</v>
      </c>
      <c r="AV307" s="239">
        <v>0</v>
      </c>
      <c r="AW307" s="239">
        <v>0</v>
      </c>
      <c r="AX307" s="239">
        <v>0</v>
      </c>
      <c r="AY307" s="239">
        <v>0</v>
      </c>
      <c r="AZ307" s="239">
        <v>0</v>
      </c>
      <c r="BA307" s="239">
        <v>0</v>
      </c>
      <c r="BB307" s="239">
        <v>0</v>
      </c>
      <c r="BC307" s="239">
        <v>1628230</v>
      </c>
      <c r="BD307" s="239">
        <v>0</v>
      </c>
      <c r="BE307" s="239">
        <v>33229</v>
      </c>
      <c r="BF307" s="239">
        <v>1574103.1824345493</v>
      </c>
      <c r="BG307" s="239">
        <v>0</v>
      </c>
      <c r="BH307" s="239">
        <v>32124.554743562232</v>
      </c>
      <c r="BI307" s="239">
        <v>188384.89412231758</v>
      </c>
      <c r="BJ307" s="239">
        <v>0</v>
      </c>
      <c r="BK307" s="239">
        <v>3844.5896759656648</v>
      </c>
      <c r="BL307" s="239">
        <v>1248558</v>
      </c>
      <c r="BM307" s="239">
        <v>0</v>
      </c>
      <c r="BN307" s="239">
        <v>16850</v>
      </c>
      <c r="BO307" s="239">
        <v>379672</v>
      </c>
      <c r="BP307" s="239">
        <v>0</v>
      </c>
      <c r="BQ307" s="239">
        <v>16379</v>
      </c>
      <c r="BR307" s="239">
        <v>8534</v>
      </c>
      <c r="BS307" s="239">
        <v>0</v>
      </c>
      <c r="BT307" s="239">
        <v>174</v>
      </c>
      <c r="BU307" s="239">
        <v>7815</v>
      </c>
      <c r="BV307" s="239">
        <v>0</v>
      </c>
      <c r="BW307" s="239">
        <v>160</v>
      </c>
      <c r="BX307" s="239">
        <v>719</v>
      </c>
      <c r="BY307" s="239">
        <v>0</v>
      </c>
      <c r="BZ307" s="239">
        <v>14</v>
      </c>
      <c r="CA307" s="239">
        <v>0</v>
      </c>
      <c r="CB307" s="239">
        <v>0</v>
      </c>
      <c r="CC307" s="239">
        <v>0</v>
      </c>
      <c r="CD307" s="239">
        <v>0</v>
      </c>
      <c r="CE307" s="239">
        <v>0</v>
      </c>
      <c r="CF307" s="239">
        <v>0</v>
      </c>
      <c r="CG307" s="239">
        <v>0</v>
      </c>
      <c r="CH307" s="239">
        <v>0</v>
      </c>
      <c r="CI307" s="239">
        <v>0</v>
      </c>
      <c r="CJ307" s="239">
        <v>1276</v>
      </c>
      <c r="CK307" s="239">
        <v>0</v>
      </c>
      <c r="CL307" s="239">
        <v>26</v>
      </c>
      <c r="CM307" s="239">
        <v>0</v>
      </c>
      <c r="CN307" s="239">
        <v>0</v>
      </c>
      <c r="CO307" s="239">
        <v>0</v>
      </c>
      <c r="CP307" s="239">
        <v>1276</v>
      </c>
      <c r="CQ307" s="239">
        <v>0</v>
      </c>
      <c r="CR307" s="239">
        <v>26</v>
      </c>
      <c r="CS307" s="239">
        <v>-609</v>
      </c>
      <c r="CT307" s="239">
        <v>0</v>
      </c>
      <c r="CU307" s="239">
        <v>-12</v>
      </c>
      <c r="CV307" s="239">
        <v>-5220</v>
      </c>
      <c r="CW307" s="239">
        <v>0</v>
      </c>
      <c r="CX307" s="239">
        <v>-107</v>
      </c>
      <c r="CY307" s="239">
        <v>0</v>
      </c>
      <c r="CZ307" s="239">
        <v>0</v>
      </c>
      <c r="DA307" s="239">
        <v>0</v>
      </c>
      <c r="DB307" s="239">
        <v>-5220</v>
      </c>
      <c r="DC307" s="239">
        <v>0</v>
      </c>
      <c r="DD307" s="239">
        <v>-107</v>
      </c>
      <c r="DE307" s="239">
        <v>0</v>
      </c>
      <c r="DF307" s="239">
        <v>0</v>
      </c>
      <c r="DG307" s="239">
        <v>0</v>
      </c>
      <c r="DH307" s="239">
        <v>1916</v>
      </c>
      <c r="DI307" s="239">
        <v>0</v>
      </c>
      <c r="DJ307" s="239">
        <v>39</v>
      </c>
      <c r="DK307" s="239">
        <v>0</v>
      </c>
      <c r="DL307" s="239">
        <v>0</v>
      </c>
      <c r="DM307" s="239">
        <v>0</v>
      </c>
      <c r="DN307" s="239">
        <v>1916</v>
      </c>
      <c r="DO307" s="239">
        <v>0</v>
      </c>
      <c r="DP307" s="239">
        <v>39</v>
      </c>
      <c r="DQ307" s="239">
        <v>0</v>
      </c>
      <c r="DR307" s="239">
        <v>0</v>
      </c>
      <c r="DS307" s="239">
        <v>0</v>
      </c>
      <c r="DT307" s="239">
        <v>0</v>
      </c>
      <c r="DU307" s="239">
        <v>0</v>
      </c>
      <c r="DV307" s="239">
        <v>0</v>
      </c>
      <c r="DW307" s="239">
        <v>0</v>
      </c>
      <c r="DX307" s="239">
        <v>0</v>
      </c>
      <c r="DY307" s="239">
        <v>0</v>
      </c>
      <c r="DZ307" s="239">
        <v>30546</v>
      </c>
      <c r="EA307" s="239">
        <v>0</v>
      </c>
      <c r="EB307" s="239">
        <v>623</v>
      </c>
      <c r="EC307" s="239">
        <v>4174</v>
      </c>
      <c r="ED307" s="239">
        <v>0</v>
      </c>
      <c r="EE307" s="239">
        <v>0</v>
      </c>
      <c r="EF307" s="239">
        <v>26372</v>
      </c>
      <c r="EG307" s="239">
        <v>0</v>
      </c>
      <c r="EH307" s="239">
        <v>623</v>
      </c>
      <c r="EI307" s="239">
        <v>214283</v>
      </c>
      <c r="EJ307" s="239">
        <v>0</v>
      </c>
      <c r="EK307" s="239">
        <v>4373</v>
      </c>
      <c r="EL307" s="239">
        <v>275465</v>
      </c>
      <c r="EM307" s="239">
        <v>0</v>
      </c>
      <c r="EN307" s="239">
        <v>0</v>
      </c>
      <c r="EO307" s="239">
        <v>-61182</v>
      </c>
      <c r="EP307" s="239">
        <v>0</v>
      </c>
      <c r="EQ307" s="239">
        <v>4373</v>
      </c>
      <c r="ER307" s="239">
        <v>46838</v>
      </c>
      <c r="ES307" s="239">
        <v>0</v>
      </c>
      <c r="ET307" s="239">
        <v>956</v>
      </c>
      <c r="EU307" s="239">
        <v>10950</v>
      </c>
      <c r="EV307" s="239">
        <v>0</v>
      </c>
      <c r="EW307" s="239">
        <v>0</v>
      </c>
      <c r="EX307" s="239">
        <v>35888</v>
      </c>
      <c r="EY307" s="239">
        <v>0</v>
      </c>
      <c r="EZ307" s="239">
        <v>956</v>
      </c>
      <c r="FA307" s="239">
        <v>593549</v>
      </c>
      <c r="FB307" s="239">
        <v>0</v>
      </c>
      <c r="FC307" s="239">
        <v>12113</v>
      </c>
      <c r="FD307" s="239">
        <v>628669</v>
      </c>
      <c r="FE307" s="239">
        <v>0</v>
      </c>
      <c r="FF307" s="239">
        <v>12830</v>
      </c>
      <c r="FG307" s="239">
        <v>-35120</v>
      </c>
      <c r="FH307" s="239">
        <v>0</v>
      </c>
      <c r="FI307" s="239">
        <v>-717</v>
      </c>
      <c r="FJ307" s="239">
        <v>0</v>
      </c>
      <c r="FK307" s="239">
        <v>0</v>
      </c>
      <c r="FL307" s="239">
        <v>0</v>
      </c>
      <c r="FM307" s="239">
        <v>0</v>
      </c>
      <c r="FN307" s="239">
        <v>0</v>
      </c>
      <c r="FO307" s="239">
        <v>0</v>
      </c>
      <c r="FP307" s="239">
        <v>0</v>
      </c>
      <c r="FQ307" s="239">
        <v>0</v>
      </c>
      <c r="FR307" s="239">
        <v>0</v>
      </c>
      <c r="FS307" s="239">
        <v>0</v>
      </c>
      <c r="FT307" s="239">
        <v>0</v>
      </c>
      <c r="FU307" s="239">
        <v>0</v>
      </c>
      <c r="FV307" s="239">
        <v>2519343</v>
      </c>
      <c r="FW307" s="239">
        <v>0</v>
      </c>
      <c r="FX307" s="239">
        <v>51414</v>
      </c>
      <c r="FY307" s="834">
        <v>0.5</v>
      </c>
      <c r="FZ307" s="834">
        <v>0.49</v>
      </c>
      <c r="GA307" s="834">
        <v>0</v>
      </c>
      <c r="GB307" s="834">
        <v>0.01</v>
      </c>
      <c r="GC307" s="214" t="s">
        <v>746</v>
      </c>
    </row>
    <row r="308" spans="2:185" s="214" customFormat="1" x14ac:dyDescent="0.2">
      <c r="B308" s="602" t="s">
        <v>699</v>
      </c>
      <c r="C308" s="602" t="s">
        <v>698</v>
      </c>
      <c r="D308" s="239">
        <v>416304</v>
      </c>
      <c r="E308" s="239">
        <v>0</v>
      </c>
      <c r="F308" s="239">
        <v>416304</v>
      </c>
      <c r="G308" s="239">
        <v>339571</v>
      </c>
      <c r="H308" s="239">
        <v>0</v>
      </c>
      <c r="I308" s="239">
        <v>339571</v>
      </c>
      <c r="J308" s="239">
        <v>76733</v>
      </c>
      <c r="K308" s="239">
        <v>0</v>
      </c>
      <c r="L308" s="239">
        <v>76733</v>
      </c>
      <c r="M308" s="239">
        <v>83792</v>
      </c>
      <c r="N308" s="239">
        <v>83792</v>
      </c>
      <c r="O308" s="239">
        <v>0</v>
      </c>
      <c r="P308" s="239">
        <v>0</v>
      </c>
      <c r="Q308" s="239">
        <v>0</v>
      </c>
      <c r="R308" s="239">
        <v>0</v>
      </c>
      <c r="S308" s="239">
        <v>0</v>
      </c>
      <c r="T308" s="239">
        <v>0</v>
      </c>
      <c r="U308" s="239">
        <v>0</v>
      </c>
      <c r="V308" s="239">
        <v>0</v>
      </c>
      <c r="W308" s="239">
        <v>0</v>
      </c>
      <c r="X308" s="239">
        <v>0</v>
      </c>
      <c r="Y308" s="239">
        <v>0</v>
      </c>
      <c r="Z308" s="239">
        <v>0</v>
      </c>
      <c r="AA308" s="239">
        <v>0</v>
      </c>
      <c r="AB308" s="239">
        <v>0</v>
      </c>
      <c r="AC308" s="239">
        <v>0</v>
      </c>
      <c r="AD308" s="239">
        <v>0</v>
      </c>
      <c r="AE308" s="239">
        <v>0</v>
      </c>
      <c r="AF308" s="239">
        <v>0</v>
      </c>
      <c r="AG308" s="239">
        <v>0</v>
      </c>
      <c r="AH308" s="239">
        <v>0</v>
      </c>
      <c r="AI308" s="239">
        <v>0</v>
      </c>
      <c r="AJ308" s="239">
        <v>0</v>
      </c>
      <c r="AK308" s="239">
        <v>0</v>
      </c>
      <c r="AL308" s="239">
        <v>0</v>
      </c>
      <c r="AM308" s="239">
        <v>0</v>
      </c>
      <c r="AN308" s="239">
        <v>0</v>
      </c>
      <c r="AO308" s="239">
        <v>0</v>
      </c>
      <c r="AP308" s="239">
        <v>0</v>
      </c>
      <c r="AQ308" s="239">
        <v>0</v>
      </c>
      <c r="AR308" s="239">
        <v>0</v>
      </c>
      <c r="AS308" s="239">
        <v>0</v>
      </c>
      <c r="AT308" s="239">
        <v>0</v>
      </c>
      <c r="AU308" s="239">
        <v>0</v>
      </c>
      <c r="AV308" s="239">
        <v>0</v>
      </c>
      <c r="AW308" s="239">
        <v>0</v>
      </c>
      <c r="AX308" s="239">
        <v>0</v>
      </c>
      <c r="AY308" s="239">
        <v>0</v>
      </c>
      <c r="AZ308" s="239">
        <v>0</v>
      </c>
      <c r="BA308" s="239">
        <v>0</v>
      </c>
      <c r="BB308" s="239">
        <v>0</v>
      </c>
      <c r="BC308" s="239">
        <v>638868</v>
      </c>
      <c r="BD308" s="239">
        <v>143745</v>
      </c>
      <c r="BE308" s="239">
        <v>15972</v>
      </c>
      <c r="BF308" s="239">
        <v>628985.59895278979</v>
      </c>
      <c r="BG308" s="239">
        <v>141521.7597643777</v>
      </c>
      <c r="BH308" s="239">
        <v>15724.639973819743</v>
      </c>
      <c r="BI308" s="239">
        <v>32877.09317596566</v>
      </c>
      <c r="BJ308" s="239">
        <v>7397.345964592274</v>
      </c>
      <c r="BK308" s="239">
        <v>821.92732939914151</v>
      </c>
      <c r="BL308" s="239">
        <v>651569</v>
      </c>
      <c r="BM308" s="239">
        <v>101280</v>
      </c>
      <c r="BN308" s="239">
        <v>11253</v>
      </c>
      <c r="BO308" s="239">
        <v>-12701</v>
      </c>
      <c r="BP308" s="239">
        <v>42465</v>
      </c>
      <c r="BQ308" s="239">
        <v>4719</v>
      </c>
      <c r="BR308" s="239">
        <v>0</v>
      </c>
      <c r="BS308" s="239">
        <v>0</v>
      </c>
      <c r="BT308" s="239">
        <v>0</v>
      </c>
      <c r="BU308" s="239">
        <v>0</v>
      </c>
      <c r="BV308" s="239">
        <v>0</v>
      </c>
      <c r="BW308" s="239">
        <v>0</v>
      </c>
      <c r="BX308" s="239">
        <v>0</v>
      </c>
      <c r="BY308" s="239">
        <v>0</v>
      </c>
      <c r="BZ308" s="239">
        <v>0</v>
      </c>
      <c r="CA308" s="239">
        <v>0</v>
      </c>
      <c r="CB308" s="239">
        <v>0</v>
      </c>
      <c r="CC308" s="239">
        <v>0</v>
      </c>
      <c r="CD308" s="239">
        <v>812</v>
      </c>
      <c r="CE308" s="239">
        <v>183</v>
      </c>
      <c r="CF308" s="239">
        <v>20</v>
      </c>
      <c r="CG308" s="239">
        <v>-812</v>
      </c>
      <c r="CH308" s="239">
        <v>-183</v>
      </c>
      <c r="CI308" s="239">
        <v>-20</v>
      </c>
      <c r="CJ308" s="239">
        <v>0</v>
      </c>
      <c r="CK308" s="239">
        <v>0</v>
      </c>
      <c r="CL308" s="239">
        <v>0</v>
      </c>
      <c r="CM308" s="239">
        <v>0</v>
      </c>
      <c r="CN308" s="239">
        <v>0</v>
      </c>
      <c r="CO308" s="239">
        <v>0</v>
      </c>
      <c r="CP308" s="239">
        <v>0</v>
      </c>
      <c r="CQ308" s="239">
        <v>0</v>
      </c>
      <c r="CR308" s="239">
        <v>0</v>
      </c>
      <c r="CS308" s="239">
        <v>-1355</v>
      </c>
      <c r="CT308" s="239">
        <v>-305</v>
      </c>
      <c r="CU308" s="239">
        <v>-34</v>
      </c>
      <c r="CV308" s="239">
        <v>0</v>
      </c>
      <c r="CW308" s="239">
        <v>0</v>
      </c>
      <c r="CX308" s="239">
        <v>0</v>
      </c>
      <c r="CY308" s="239">
        <v>0</v>
      </c>
      <c r="CZ308" s="239">
        <v>0</v>
      </c>
      <c r="DA308" s="239">
        <v>0</v>
      </c>
      <c r="DB308" s="239">
        <v>0</v>
      </c>
      <c r="DC308" s="239">
        <v>0</v>
      </c>
      <c r="DD308" s="239">
        <v>0</v>
      </c>
      <c r="DE308" s="239">
        <v>0</v>
      </c>
      <c r="DF308" s="239">
        <v>0</v>
      </c>
      <c r="DG308" s="239">
        <v>0</v>
      </c>
      <c r="DH308" s="239">
        <v>15872</v>
      </c>
      <c r="DI308" s="239">
        <v>3571</v>
      </c>
      <c r="DJ308" s="239">
        <v>397</v>
      </c>
      <c r="DK308" s="239">
        <v>18163</v>
      </c>
      <c r="DL308" s="239">
        <v>4087</v>
      </c>
      <c r="DM308" s="239">
        <v>454</v>
      </c>
      <c r="DN308" s="239">
        <v>-2291</v>
      </c>
      <c r="DO308" s="239">
        <v>-516</v>
      </c>
      <c r="DP308" s="239">
        <v>-57</v>
      </c>
      <c r="DQ308" s="239">
        <v>609</v>
      </c>
      <c r="DR308" s="239">
        <v>137</v>
      </c>
      <c r="DS308" s="239">
        <v>15</v>
      </c>
      <c r="DT308" s="239">
        <v>0</v>
      </c>
      <c r="DU308" s="239">
        <v>0</v>
      </c>
      <c r="DV308" s="239">
        <v>0</v>
      </c>
      <c r="DW308" s="239">
        <v>609</v>
      </c>
      <c r="DX308" s="239">
        <v>137</v>
      </c>
      <c r="DY308" s="239">
        <v>15</v>
      </c>
      <c r="DZ308" s="239">
        <v>7933</v>
      </c>
      <c r="EA308" s="239">
        <v>1785</v>
      </c>
      <c r="EB308" s="239">
        <v>198</v>
      </c>
      <c r="EC308" s="239">
        <v>9367</v>
      </c>
      <c r="ED308" s="239">
        <v>0</v>
      </c>
      <c r="EE308" s="239">
        <v>0</v>
      </c>
      <c r="EF308" s="239">
        <v>-1434</v>
      </c>
      <c r="EG308" s="239">
        <v>1785</v>
      </c>
      <c r="EH308" s="239">
        <v>198</v>
      </c>
      <c r="EI308" s="239">
        <v>45229</v>
      </c>
      <c r="EJ308" s="239">
        <v>10177</v>
      </c>
      <c r="EK308" s="239">
        <v>1131</v>
      </c>
      <c r="EL308" s="239">
        <v>55965</v>
      </c>
      <c r="EM308" s="239">
        <v>0</v>
      </c>
      <c r="EN308" s="239">
        <v>0</v>
      </c>
      <c r="EO308" s="239">
        <v>-10736</v>
      </c>
      <c r="EP308" s="239">
        <v>10177</v>
      </c>
      <c r="EQ308" s="239">
        <v>1131</v>
      </c>
      <c r="ER308" s="239">
        <v>15867</v>
      </c>
      <c r="ES308" s="239">
        <v>3570</v>
      </c>
      <c r="ET308" s="239">
        <v>397</v>
      </c>
      <c r="EU308" s="239">
        <v>26898</v>
      </c>
      <c r="EV308" s="239">
        <v>0</v>
      </c>
      <c r="EW308" s="239">
        <v>0</v>
      </c>
      <c r="EX308" s="239">
        <v>-11031</v>
      </c>
      <c r="EY308" s="239">
        <v>3570</v>
      </c>
      <c r="EZ308" s="239">
        <v>397</v>
      </c>
      <c r="FA308" s="239">
        <v>60280</v>
      </c>
      <c r="FB308" s="239">
        <v>13563</v>
      </c>
      <c r="FC308" s="239">
        <v>1507</v>
      </c>
      <c r="FD308" s="239">
        <v>61576</v>
      </c>
      <c r="FE308" s="239">
        <v>13855</v>
      </c>
      <c r="FF308" s="239">
        <v>1539</v>
      </c>
      <c r="FG308" s="239">
        <v>-1296</v>
      </c>
      <c r="FH308" s="239">
        <v>-292</v>
      </c>
      <c r="FI308" s="239">
        <v>-32</v>
      </c>
      <c r="FJ308" s="239">
        <v>0</v>
      </c>
      <c r="FK308" s="239">
        <v>0</v>
      </c>
      <c r="FL308" s="239">
        <v>0</v>
      </c>
      <c r="FM308" s="239">
        <v>0</v>
      </c>
      <c r="FN308" s="239">
        <v>0</v>
      </c>
      <c r="FO308" s="239">
        <v>0</v>
      </c>
      <c r="FP308" s="239">
        <v>0</v>
      </c>
      <c r="FQ308" s="239">
        <v>0</v>
      </c>
      <c r="FR308" s="239">
        <v>0</v>
      </c>
      <c r="FS308" s="239">
        <v>0</v>
      </c>
      <c r="FT308" s="239">
        <v>0</v>
      </c>
      <c r="FU308" s="239">
        <v>0</v>
      </c>
      <c r="FV308" s="239">
        <v>783303</v>
      </c>
      <c r="FW308" s="239">
        <v>176243</v>
      </c>
      <c r="FX308" s="239">
        <v>19583</v>
      </c>
      <c r="FY308" s="834">
        <v>0.5</v>
      </c>
      <c r="FZ308" s="834">
        <v>0.4</v>
      </c>
      <c r="GA308" s="834">
        <v>0.09</v>
      </c>
      <c r="GB308" s="834">
        <v>0.01</v>
      </c>
      <c r="GC308" s="214" t="s">
        <v>1158</v>
      </c>
    </row>
    <row r="309" spans="2:185" s="214" customFormat="1" x14ac:dyDescent="0.2">
      <c r="B309" s="602" t="s">
        <v>701</v>
      </c>
      <c r="C309" s="602" t="s">
        <v>700</v>
      </c>
      <c r="D309" s="239">
        <v>1653132</v>
      </c>
      <c r="E309" s="239">
        <v>0</v>
      </c>
      <c r="F309" s="239">
        <v>1653132</v>
      </c>
      <c r="G309" s="239">
        <v>1704916</v>
      </c>
      <c r="H309" s="239">
        <v>0</v>
      </c>
      <c r="I309" s="239">
        <v>1704916</v>
      </c>
      <c r="J309" s="239">
        <v>-51784</v>
      </c>
      <c r="K309" s="239">
        <v>0</v>
      </c>
      <c r="L309" s="239">
        <v>-51784</v>
      </c>
      <c r="M309" s="239">
        <v>211340</v>
      </c>
      <c r="N309" s="239">
        <v>211340</v>
      </c>
      <c r="O309" s="239">
        <v>0</v>
      </c>
      <c r="P309" s="239">
        <v>0</v>
      </c>
      <c r="Q309" s="239">
        <v>0</v>
      </c>
      <c r="R309" s="239">
        <v>0</v>
      </c>
      <c r="S309" s="239">
        <v>271174</v>
      </c>
      <c r="T309" s="239">
        <v>2696</v>
      </c>
      <c r="U309" s="239">
        <v>96399</v>
      </c>
      <c r="V309" s="239">
        <v>0</v>
      </c>
      <c r="W309" s="239">
        <v>174775</v>
      </c>
      <c r="X309" s="239">
        <v>2696</v>
      </c>
      <c r="Y309" s="239">
        <v>0</v>
      </c>
      <c r="Z309" s="239">
        <v>0</v>
      </c>
      <c r="AA309" s="239">
        <v>0</v>
      </c>
      <c r="AB309" s="239">
        <v>0</v>
      </c>
      <c r="AC309" s="239">
        <v>0</v>
      </c>
      <c r="AD309" s="239">
        <v>0</v>
      </c>
      <c r="AE309" s="239">
        <v>0</v>
      </c>
      <c r="AF309" s="239">
        <v>0</v>
      </c>
      <c r="AG309" s="239">
        <v>0</v>
      </c>
      <c r="AH309" s="239">
        <v>0</v>
      </c>
      <c r="AI309" s="239">
        <v>0</v>
      </c>
      <c r="AJ309" s="239">
        <v>0</v>
      </c>
      <c r="AK309" s="239">
        <v>0</v>
      </c>
      <c r="AL309" s="239">
        <v>0</v>
      </c>
      <c r="AM309" s="239">
        <v>0</v>
      </c>
      <c r="AN309" s="239">
        <v>0</v>
      </c>
      <c r="AO309" s="239">
        <v>0</v>
      </c>
      <c r="AP309" s="239">
        <v>0</v>
      </c>
      <c r="AQ309" s="239">
        <v>0</v>
      </c>
      <c r="AR309" s="239">
        <v>0</v>
      </c>
      <c r="AS309" s="239">
        <v>0</v>
      </c>
      <c r="AT309" s="239">
        <v>0</v>
      </c>
      <c r="AU309" s="239">
        <v>0</v>
      </c>
      <c r="AV309" s="239">
        <v>0</v>
      </c>
      <c r="AW309" s="239">
        <v>0</v>
      </c>
      <c r="AX309" s="239">
        <v>0</v>
      </c>
      <c r="AY309" s="239">
        <v>0</v>
      </c>
      <c r="AZ309" s="239">
        <v>0</v>
      </c>
      <c r="BA309" s="239">
        <v>0</v>
      </c>
      <c r="BB309" s="239">
        <v>0</v>
      </c>
      <c r="BC309" s="239">
        <v>1650915</v>
      </c>
      <c r="BD309" s="239">
        <v>371456</v>
      </c>
      <c r="BE309" s="239">
        <v>41273</v>
      </c>
      <c r="BF309" s="239">
        <v>1618347.3522317596</v>
      </c>
      <c r="BG309" s="239">
        <v>364128.15425214591</v>
      </c>
      <c r="BH309" s="239">
        <v>40458.683805793989</v>
      </c>
      <c r="BI309" s="239">
        <v>104606.36575107295</v>
      </c>
      <c r="BJ309" s="239">
        <v>23536.432293991413</v>
      </c>
      <c r="BK309" s="239">
        <v>2615.1591437768238</v>
      </c>
      <c r="BL309" s="239">
        <v>1545925</v>
      </c>
      <c r="BM309" s="239">
        <v>236220</v>
      </c>
      <c r="BN309" s="239">
        <v>26247</v>
      </c>
      <c r="BO309" s="239">
        <v>104990</v>
      </c>
      <c r="BP309" s="239">
        <v>135236</v>
      </c>
      <c r="BQ309" s="239">
        <v>15026</v>
      </c>
      <c r="BR309" s="239">
        <v>7990</v>
      </c>
      <c r="BS309" s="239">
        <v>1798</v>
      </c>
      <c r="BT309" s="239">
        <v>200</v>
      </c>
      <c r="BU309" s="239">
        <v>4339</v>
      </c>
      <c r="BV309" s="239">
        <v>976</v>
      </c>
      <c r="BW309" s="239">
        <v>108</v>
      </c>
      <c r="BX309" s="239">
        <v>3651</v>
      </c>
      <c r="BY309" s="239">
        <v>822</v>
      </c>
      <c r="BZ309" s="239">
        <v>92</v>
      </c>
      <c r="CA309" s="239">
        <v>44127</v>
      </c>
      <c r="CB309" s="239">
        <v>9929</v>
      </c>
      <c r="CC309" s="239">
        <v>1103</v>
      </c>
      <c r="CD309" s="239">
        <v>100964</v>
      </c>
      <c r="CE309" s="239">
        <v>22717</v>
      </c>
      <c r="CF309" s="239">
        <v>2524</v>
      </c>
      <c r="CG309" s="239">
        <v>-56837</v>
      </c>
      <c r="CH309" s="239">
        <v>-12788</v>
      </c>
      <c r="CI309" s="239">
        <v>-1421</v>
      </c>
      <c r="CJ309" s="239">
        <v>891</v>
      </c>
      <c r="CK309" s="239">
        <v>201</v>
      </c>
      <c r="CL309" s="239">
        <v>22</v>
      </c>
      <c r="CM309" s="239">
        <v>3141</v>
      </c>
      <c r="CN309" s="239">
        <v>707</v>
      </c>
      <c r="CO309" s="239">
        <v>79</v>
      </c>
      <c r="CP309" s="239">
        <v>-2250</v>
      </c>
      <c r="CQ309" s="239">
        <v>-506</v>
      </c>
      <c r="CR309" s="239">
        <v>-57</v>
      </c>
      <c r="CS309" s="239">
        <v>-3394</v>
      </c>
      <c r="CT309" s="239">
        <v>-764</v>
      </c>
      <c r="CU309" s="239">
        <v>-85</v>
      </c>
      <c r="CV309" s="239">
        <v>0</v>
      </c>
      <c r="CW309" s="239">
        <v>0</v>
      </c>
      <c r="CX309" s="239">
        <v>0</v>
      </c>
      <c r="CY309" s="239">
        <v>0</v>
      </c>
      <c r="CZ309" s="239">
        <v>0</v>
      </c>
      <c r="DA309" s="239">
        <v>0</v>
      </c>
      <c r="DB309" s="239">
        <v>0</v>
      </c>
      <c r="DC309" s="239">
        <v>0</v>
      </c>
      <c r="DD309" s="239">
        <v>0</v>
      </c>
      <c r="DE309" s="239">
        <v>-92</v>
      </c>
      <c r="DF309" s="239">
        <v>-21</v>
      </c>
      <c r="DG309" s="239">
        <v>-2</v>
      </c>
      <c r="DH309" s="239">
        <v>24348</v>
      </c>
      <c r="DI309" s="239">
        <v>5478</v>
      </c>
      <c r="DJ309" s="239">
        <v>609</v>
      </c>
      <c r="DK309" s="239">
        <v>14436</v>
      </c>
      <c r="DL309" s="239">
        <v>3248</v>
      </c>
      <c r="DM309" s="239">
        <v>361</v>
      </c>
      <c r="DN309" s="239">
        <v>9912</v>
      </c>
      <c r="DO309" s="239">
        <v>2230</v>
      </c>
      <c r="DP309" s="239">
        <v>248</v>
      </c>
      <c r="DQ309" s="239">
        <v>0</v>
      </c>
      <c r="DR309" s="239">
        <v>0</v>
      </c>
      <c r="DS309" s="239">
        <v>0</v>
      </c>
      <c r="DT309" s="239">
        <v>0</v>
      </c>
      <c r="DU309" s="239">
        <v>0</v>
      </c>
      <c r="DV309" s="239">
        <v>0</v>
      </c>
      <c r="DW309" s="239">
        <v>0</v>
      </c>
      <c r="DX309" s="239">
        <v>0</v>
      </c>
      <c r="DY309" s="239">
        <v>0</v>
      </c>
      <c r="DZ309" s="239">
        <v>23955</v>
      </c>
      <c r="EA309" s="239">
        <v>5390</v>
      </c>
      <c r="EB309" s="239">
        <v>599</v>
      </c>
      <c r="EC309" s="239">
        <v>30588</v>
      </c>
      <c r="ED309" s="239">
        <v>0</v>
      </c>
      <c r="EE309" s="239">
        <v>0</v>
      </c>
      <c r="EF309" s="239">
        <v>-6633</v>
      </c>
      <c r="EG309" s="239">
        <v>5390</v>
      </c>
      <c r="EH309" s="239">
        <v>599</v>
      </c>
      <c r="EI309" s="239">
        <v>176904</v>
      </c>
      <c r="EJ309" s="239">
        <v>39803</v>
      </c>
      <c r="EK309" s="239">
        <v>4423</v>
      </c>
      <c r="EL309" s="239">
        <v>217974</v>
      </c>
      <c r="EM309" s="239">
        <v>0</v>
      </c>
      <c r="EN309" s="239">
        <v>0</v>
      </c>
      <c r="EO309" s="239">
        <v>-41070</v>
      </c>
      <c r="EP309" s="239">
        <v>39803</v>
      </c>
      <c r="EQ309" s="239">
        <v>4423</v>
      </c>
      <c r="ER309" s="239">
        <v>33655</v>
      </c>
      <c r="ES309" s="239">
        <v>7572</v>
      </c>
      <c r="ET309" s="239">
        <v>841</v>
      </c>
      <c r="EU309" s="239">
        <v>42243</v>
      </c>
      <c r="EV309" s="239">
        <v>0</v>
      </c>
      <c r="EW309" s="239">
        <v>0</v>
      </c>
      <c r="EX309" s="239">
        <v>-8588</v>
      </c>
      <c r="EY309" s="239">
        <v>7572</v>
      </c>
      <c r="EZ309" s="239">
        <v>841</v>
      </c>
      <c r="FA309" s="239">
        <v>163055</v>
      </c>
      <c r="FB309" s="239">
        <v>35811</v>
      </c>
      <c r="FC309" s="239">
        <v>3975</v>
      </c>
      <c r="FD309" s="239">
        <v>168526</v>
      </c>
      <c r="FE309" s="239">
        <v>37593</v>
      </c>
      <c r="FF309" s="239">
        <v>4177</v>
      </c>
      <c r="FG309" s="239">
        <v>-5471</v>
      </c>
      <c r="FH309" s="239">
        <v>-1782</v>
      </c>
      <c r="FI309" s="239">
        <v>-202</v>
      </c>
      <c r="FJ309" s="239">
        <v>0</v>
      </c>
      <c r="FK309" s="239">
        <v>0</v>
      </c>
      <c r="FL309" s="239">
        <v>0</v>
      </c>
      <c r="FM309" s="239">
        <v>0</v>
      </c>
      <c r="FN309" s="239">
        <v>0</v>
      </c>
      <c r="FO309" s="239">
        <v>0</v>
      </c>
      <c r="FP309" s="239">
        <v>0</v>
      </c>
      <c r="FQ309" s="239">
        <v>0</v>
      </c>
      <c r="FR309" s="239">
        <v>0</v>
      </c>
      <c r="FS309" s="239">
        <v>0</v>
      </c>
      <c r="FT309" s="239">
        <v>0</v>
      </c>
      <c r="FU309" s="239">
        <v>0</v>
      </c>
      <c r="FV309" s="239">
        <v>2122354</v>
      </c>
      <c r="FW309" s="239">
        <v>476653</v>
      </c>
      <c r="FX309" s="239">
        <v>52958</v>
      </c>
      <c r="FY309" s="834">
        <v>0.5</v>
      </c>
      <c r="FZ309" s="834">
        <v>0.4</v>
      </c>
      <c r="GA309" s="834">
        <v>0.09</v>
      </c>
      <c r="GB309" s="834">
        <v>0.01</v>
      </c>
      <c r="GC309" s="214" t="s">
        <v>1158</v>
      </c>
    </row>
    <row r="310" spans="2:185" s="214" customFormat="1" x14ac:dyDescent="0.2">
      <c r="B310" s="602" t="s">
        <v>703</v>
      </c>
      <c r="C310" s="602" t="s">
        <v>702</v>
      </c>
      <c r="D310" s="239">
        <v>-2135665</v>
      </c>
      <c r="E310" s="239">
        <v>0</v>
      </c>
      <c r="F310" s="239">
        <v>-2135665</v>
      </c>
      <c r="G310" s="239">
        <v>-1920400</v>
      </c>
      <c r="H310" s="239">
        <v>0</v>
      </c>
      <c r="I310" s="239">
        <v>-1920400</v>
      </c>
      <c r="J310" s="239">
        <v>-215265</v>
      </c>
      <c r="K310" s="239">
        <v>0</v>
      </c>
      <c r="L310" s="239">
        <v>-215265</v>
      </c>
      <c r="M310" s="239">
        <v>128797</v>
      </c>
      <c r="N310" s="239">
        <v>128797</v>
      </c>
      <c r="O310" s="239">
        <v>0</v>
      </c>
      <c r="P310" s="239">
        <v>0</v>
      </c>
      <c r="Q310" s="239">
        <v>0</v>
      </c>
      <c r="R310" s="239">
        <v>0</v>
      </c>
      <c r="S310" s="239">
        <v>0</v>
      </c>
      <c r="T310" s="239">
        <v>0</v>
      </c>
      <c r="U310" s="239">
        <v>0</v>
      </c>
      <c r="V310" s="239">
        <v>0</v>
      </c>
      <c r="W310" s="239">
        <v>0</v>
      </c>
      <c r="X310" s="239">
        <v>0</v>
      </c>
      <c r="Y310" s="239">
        <v>0</v>
      </c>
      <c r="Z310" s="239">
        <v>0</v>
      </c>
      <c r="AA310" s="239">
        <v>0</v>
      </c>
      <c r="AB310" s="239">
        <v>0</v>
      </c>
      <c r="AC310" s="239">
        <v>0</v>
      </c>
      <c r="AD310" s="239">
        <v>0</v>
      </c>
      <c r="AE310" s="239">
        <v>0</v>
      </c>
      <c r="AF310" s="239">
        <v>0</v>
      </c>
      <c r="AG310" s="239">
        <v>0</v>
      </c>
      <c r="AH310" s="239">
        <v>0</v>
      </c>
      <c r="AI310" s="239">
        <v>0</v>
      </c>
      <c r="AJ310" s="239">
        <v>0</v>
      </c>
      <c r="AK310" s="239">
        <v>0</v>
      </c>
      <c r="AL310" s="239">
        <v>0</v>
      </c>
      <c r="AM310" s="239">
        <v>0</v>
      </c>
      <c r="AN310" s="239">
        <v>0</v>
      </c>
      <c r="AO310" s="239">
        <v>0</v>
      </c>
      <c r="AP310" s="239">
        <v>0</v>
      </c>
      <c r="AQ310" s="239">
        <v>0</v>
      </c>
      <c r="AR310" s="239">
        <v>0</v>
      </c>
      <c r="AS310" s="239">
        <v>0</v>
      </c>
      <c r="AT310" s="239">
        <v>0</v>
      </c>
      <c r="AU310" s="239">
        <v>0</v>
      </c>
      <c r="AV310" s="239">
        <v>0</v>
      </c>
      <c r="AW310" s="239">
        <v>0</v>
      </c>
      <c r="AX310" s="239">
        <v>0</v>
      </c>
      <c r="AY310" s="239">
        <v>0</v>
      </c>
      <c r="AZ310" s="239">
        <v>0</v>
      </c>
      <c r="BA310" s="239">
        <v>0</v>
      </c>
      <c r="BB310" s="239">
        <v>0</v>
      </c>
      <c r="BC310" s="239">
        <v>970189</v>
      </c>
      <c r="BD310" s="239">
        <v>218293</v>
      </c>
      <c r="BE310" s="239">
        <v>24255</v>
      </c>
      <c r="BF310" s="239">
        <v>945875.33019227488</v>
      </c>
      <c r="BG310" s="239">
        <v>212821.94929326177</v>
      </c>
      <c r="BH310" s="239">
        <v>23646.883254806871</v>
      </c>
      <c r="BI310" s="239">
        <v>67165.817296137335</v>
      </c>
      <c r="BJ310" s="239">
        <v>15112.308891630899</v>
      </c>
      <c r="BK310" s="239">
        <v>1679.1454324034335</v>
      </c>
      <c r="BL310" s="239">
        <v>844743</v>
      </c>
      <c r="BM310" s="239">
        <v>126501</v>
      </c>
      <c r="BN310" s="239">
        <v>14056</v>
      </c>
      <c r="BO310" s="239">
        <v>125446</v>
      </c>
      <c r="BP310" s="239">
        <v>91792</v>
      </c>
      <c r="BQ310" s="239">
        <v>10199</v>
      </c>
      <c r="BR310" s="239">
        <v>10272</v>
      </c>
      <c r="BS310" s="239">
        <v>2311</v>
      </c>
      <c r="BT310" s="239">
        <v>257</v>
      </c>
      <c r="BU310" s="239">
        <v>4429</v>
      </c>
      <c r="BV310" s="239">
        <v>997</v>
      </c>
      <c r="BW310" s="239">
        <v>111</v>
      </c>
      <c r="BX310" s="239">
        <v>5843</v>
      </c>
      <c r="BY310" s="239">
        <v>1314</v>
      </c>
      <c r="BZ310" s="239">
        <v>146</v>
      </c>
      <c r="CA310" s="239">
        <v>0</v>
      </c>
      <c r="CB310" s="239">
        <v>0</v>
      </c>
      <c r="CC310" s="239">
        <v>0</v>
      </c>
      <c r="CD310" s="239">
        <v>0</v>
      </c>
      <c r="CE310" s="239">
        <v>0</v>
      </c>
      <c r="CF310" s="239">
        <v>0</v>
      </c>
      <c r="CG310" s="239">
        <v>0</v>
      </c>
      <c r="CH310" s="239">
        <v>0</v>
      </c>
      <c r="CI310" s="239">
        <v>0</v>
      </c>
      <c r="CJ310" s="239">
        <v>0</v>
      </c>
      <c r="CK310" s="239">
        <v>0</v>
      </c>
      <c r="CL310" s="239">
        <v>0</v>
      </c>
      <c r="CM310" s="239">
        <v>0</v>
      </c>
      <c r="CN310" s="239">
        <v>0</v>
      </c>
      <c r="CO310" s="239">
        <v>0</v>
      </c>
      <c r="CP310" s="239">
        <v>0</v>
      </c>
      <c r="CQ310" s="239">
        <v>0</v>
      </c>
      <c r="CR310" s="239">
        <v>0</v>
      </c>
      <c r="CS310" s="239">
        <v>0</v>
      </c>
      <c r="CT310" s="239">
        <v>0</v>
      </c>
      <c r="CU310" s="239">
        <v>0</v>
      </c>
      <c r="CV310" s="239">
        <v>0</v>
      </c>
      <c r="CW310" s="239">
        <v>0</v>
      </c>
      <c r="CX310" s="239">
        <v>0</v>
      </c>
      <c r="CY310" s="239">
        <v>0</v>
      </c>
      <c r="CZ310" s="239">
        <v>0</v>
      </c>
      <c r="DA310" s="239">
        <v>0</v>
      </c>
      <c r="DB310" s="239">
        <v>0</v>
      </c>
      <c r="DC310" s="239">
        <v>0</v>
      </c>
      <c r="DD310" s="239">
        <v>0</v>
      </c>
      <c r="DE310" s="239">
        <v>0</v>
      </c>
      <c r="DF310" s="239">
        <v>0</v>
      </c>
      <c r="DG310" s="239">
        <v>0</v>
      </c>
      <c r="DH310" s="239">
        <v>0</v>
      </c>
      <c r="DI310" s="239">
        <v>0</v>
      </c>
      <c r="DJ310" s="239">
        <v>0</v>
      </c>
      <c r="DK310" s="239">
        <v>0</v>
      </c>
      <c r="DL310" s="239">
        <v>0</v>
      </c>
      <c r="DM310" s="239">
        <v>0</v>
      </c>
      <c r="DN310" s="239">
        <v>0</v>
      </c>
      <c r="DO310" s="239">
        <v>0</v>
      </c>
      <c r="DP310" s="239">
        <v>0</v>
      </c>
      <c r="DQ310" s="239">
        <v>0</v>
      </c>
      <c r="DR310" s="239">
        <v>0</v>
      </c>
      <c r="DS310" s="239">
        <v>0</v>
      </c>
      <c r="DT310" s="239">
        <v>0</v>
      </c>
      <c r="DU310" s="239">
        <v>0</v>
      </c>
      <c r="DV310" s="239">
        <v>0</v>
      </c>
      <c r="DW310" s="239">
        <v>0</v>
      </c>
      <c r="DX310" s="239">
        <v>0</v>
      </c>
      <c r="DY310" s="239">
        <v>0</v>
      </c>
      <c r="DZ310" s="239">
        <v>5532</v>
      </c>
      <c r="EA310" s="239">
        <v>1245</v>
      </c>
      <c r="EB310" s="239">
        <v>138</v>
      </c>
      <c r="EC310" s="239">
        <v>6598</v>
      </c>
      <c r="ED310" s="239">
        <v>0</v>
      </c>
      <c r="EE310" s="239">
        <v>0</v>
      </c>
      <c r="EF310" s="239">
        <v>-1066</v>
      </c>
      <c r="EG310" s="239">
        <v>1245</v>
      </c>
      <c r="EH310" s="239">
        <v>138</v>
      </c>
      <c r="EI310" s="239">
        <v>60779</v>
      </c>
      <c r="EJ310" s="239">
        <v>13675</v>
      </c>
      <c r="EK310" s="239">
        <v>1519</v>
      </c>
      <c r="EL310" s="239">
        <v>84287</v>
      </c>
      <c r="EM310" s="239">
        <v>0</v>
      </c>
      <c r="EN310" s="239">
        <v>0</v>
      </c>
      <c r="EO310" s="239">
        <v>-23508</v>
      </c>
      <c r="EP310" s="239">
        <v>13675</v>
      </c>
      <c r="EQ310" s="239">
        <v>1519</v>
      </c>
      <c r="ER310" s="239">
        <v>12861</v>
      </c>
      <c r="ES310" s="239">
        <v>2894</v>
      </c>
      <c r="ET310" s="239">
        <v>322</v>
      </c>
      <c r="EU310" s="239">
        <v>31466</v>
      </c>
      <c r="EV310" s="239">
        <v>0</v>
      </c>
      <c r="EW310" s="239">
        <v>0</v>
      </c>
      <c r="EX310" s="239">
        <v>-18605</v>
      </c>
      <c r="EY310" s="239">
        <v>2894</v>
      </c>
      <c r="EZ310" s="239">
        <v>322</v>
      </c>
      <c r="FA310" s="239">
        <v>173010</v>
      </c>
      <c r="FB310" s="239">
        <v>38927</v>
      </c>
      <c r="FC310" s="239">
        <v>4325</v>
      </c>
      <c r="FD310" s="239">
        <v>176046</v>
      </c>
      <c r="FE310" s="239">
        <v>39610</v>
      </c>
      <c r="FF310" s="239">
        <v>4401</v>
      </c>
      <c r="FG310" s="239">
        <v>-3036</v>
      </c>
      <c r="FH310" s="239">
        <v>-683</v>
      </c>
      <c r="FI310" s="239">
        <v>-76</v>
      </c>
      <c r="FJ310" s="239">
        <v>0</v>
      </c>
      <c r="FK310" s="239">
        <v>0</v>
      </c>
      <c r="FL310" s="239">
        <v>0</v>
      </c>
      <c r="FM310" s="239">
        <v>0</v>
      </c>
      <c r="FN310" s="239">
        <v>0</v>
      </c>
      <c r="FO310" s="239">
        <v>0</v>
      </c>
      <c r="FP310" s="239">
        <v>0</v>
      </c>
      <c r="FQ310" s="239">
        <v>0</v>
      </c>
      <c r="FR310" s="239">
        <v>0</v>
      </c>
      <c r="FS310" s="239">
        <v>0</v>
      </c>
      <c r="FT310" s="239">
        <v>0</v>
      </c>
      <c r="FU310" s="239">
        <v>0</v>
      </c>
      <c r="FV310" s="239">
        <v>1232643</v>
      </c>
      <c r="FW310" s="239">
        <v>277345</v>
      </c>
      <c r="FX310" s="239">
        <v>30816</v>
      </c>
      <c r="FY310" s="834">
        <v>0.5</v>
      </c>
      <c r="FZ310" s="834">
        <v>0.4</v>
      </c>
      <c r="GA310" s="834">
        <v>0.09</v>
      </c>
      <c r="GB310" s="834">
        <v>0.01</v>
      </c>
      <c r="GC310" s="214" t="s">
        <v>1158</v>
      </c>
    </row>
    <row r="311" spans="2:185" s="214" customFormat="1" x14ac:dyDescent="0.2">
      <c r="B311" s="602" t="s">
        <v>705</v>
      </c>
      <c r="C311" s="602" t="s">
        <v>704</v>
      </c>
      <c r="D311" s="239">
        <v>607685</v>
      </c>
      <c r="E311" s="239">
        <v>0</v>
      </c>
      <c r="F311" s="239">
        <v>607685</v>
      </c>
      <c r="G311" s="239">
        <v>595030</v>
      </c>
      <c r="H311" s="239">
        <v>0</v>
      </c>
      <c r="I311" s="239">
        <v>595030</v>
      </c>
      <c r="J311" s="239">
        <v>12655</v>
      </c>
      <c r="K311" s="239">
        <v>0</v>
      </c>
      <c r="L311" s="239">
        <v>12655</v>
      </c>
      <c r="M311" s="239">
        <v>104972</v>
      </c>
      <c r="N311" s="239">
        <v>104972</v>
      </c>
      <c r="O311" s="239">
        <v>0</v>
      </c>
      <c r="P311" s="239">
        <v>0</v>
      </c>
      <c r="Q311" s="239">
        <v>0</v>
      </c>
      <c r="R311" s="239">
        <v>0</v>
      </c>
      <c r="S311" s="239">
        <v>52320</v>
      </c>
      <c r="T311" s="239">
        <v>0</v>
      </c>
      <c r="U311" s="239">
        <v>24558</v>
      </c>
      <c r="V311" s="239">
        <v>0</v>
      </c>
      <c r="W311" s="239">
        <v>27762</v>
      </c>
      <c r="X311" s="239">
        <v>0</v>
      </c>
      <c r="Y311" s="239">
        <v>0</v>
      </c>
      <c r="Z311" s="239">
        <v>0</v>
      </c>
      <c r="AA311" s="239">
        <v>0</v>
      </c>
      <c r="AB311" s="239">
        <v>0</v>
      </c>
      <c r="AC311" s="239">
        <v>0</v>
      </c>
      <c r="AD311" s="239">
        <v>0</v>
      </c>
      <c r="AE311" s="239">
        <v>0</v>
      </c>
      <c r="AF311" s="239">
        <v>0</v>
      </c>
      <c r="AG311" s="239">
        <v>0</v>
      </c>
      <c r="AH311" s="239">
        <v>0</v>
      </c>
      <c r="AI311" s="239">
        <v>0</v>
      </c>
      <c r="AJ311" s="239">
        <v>0</v>
      </c>
      <c r="AK311" s="239">
        <v>0</v>
      </c>
      <c r="AL311" s="239">
        <v>0</v>
      </c>
      <c r="AM311" s="239">
        <v>0</v>
      </c>
      <c r="AN311" s="239">
        <v>0</v>
      </c>
      <c r="AO311" s="239">
        <v>0</v>
      </c>
      <c r="AP311" s="239">
        <v>0</v>
      </c>
      <c r="AQ311" s="239">
        <v>0</v>
      </c>
      <c r="AR311" s="239">
        <v>0</v>
      </c>
      <c r="AS311" s="239">
        <v>0</v>
      </c>
      <c r="AT311" s="239">
        <v>0</v>
      </c>
      <c r="AU311" s="239">
        <v>0</v>
      </c>
      <c r="AV311" s="239">
        <v>0</v>
      </c>
      <c r="AW311" s="239">
        <v>0</v>
      </c>
      <c r="AX311" s="239">
        <v>0</v>
      </c>
      <c r="AY311" s="239">
        <v>0</v>
      </c>
      <c r="AZ311" s="239">
        <v>0</v>
      </c>
      <c r="BA311" s="239">
        <v>0</v>
      </c>
      <c r="BB311" s="239">
        <v>0</v>
      </c>
      <c r="BC311" s="239">
        <v>722687</v>
      </c>
      <c r="BD311" s="239">
        <v>180672</v>
      </c>
      <c r="BE311" s="239">
        <v>0</v>
      </c>
      <c r="BF311" s="239">
        <v>708979.05038626608</v>
      </c>
      <c r="BG311" s="239">
        <v>177244.76259656652</v>
      </c>
      <c r="BH311" s="239">
        <v>0</v>
      </c>
      <c r="BI311" s="239">
        <v>43225.094849785411</v>
      </c>
      <c r="BJ311" s="239">
        <v>10806.273712446353</v>
      </c>
      <c r="BK311" s="239">
        <v>0</v>
      </c>
      <c r="BL311" s="239">
        <v>645339</v>
      </c>
      <c r="BM311" s="239">
        <v>115034</v>
      </c>
      <c r="BN311" s="239">
        <v>0</v>
      </c>
      <c r="BO311" s="239">
        <v>77348</v>
      </c>
      <c r="BP311" s="239">
        <v>65638</v>
      </c>
      <c r="BQ311" s="239">
        <v>0</v>
      </c>
      <c r="BR311" s="239">
        <v>4873</v>
      </c>
      <c r="BS311" s="239">
        <v>1218</v>
      </c>
      <c r="BT311" s="239">
        <v>0</v>
      </c>
      <c r="BU311" s="239">
        <v>3672</v>
      </c>
      <c r="BV311" s="239">
        <v>918</v>
      </c>
      <c r="BW311" s="239">
        <v>0</v>
      </c>
      <c r="BX311" s="239">
        <v>1201</v>
      </c>
      <c r="BY311" s="239">
        <v>300</v>
      </c>
      <c r="BZ311" s="239">
        <v>0</v>
      </c>
      <c r="CA311" s="239">
        <v>0</v>
      </c>
      <c r="CB311" s="239">
        <v>0</v>
      </c>
      <c r="CC311" s="239">
        <v>0</v>
      </c>
      <c r="CD311" s="239">
        <v>5121</v>
      </c>
      <c r="CE311" s="239">
        <v>1280</v>
      </c>
      <c r="CF311" s="239">
        <v>0</v>
      </c>
      <c r="CG311" s="239">
        <v>-5121</v>
      </c>
      <c r="CH311" s="239">
        <v>-1280</v>
      </c>
      <c r="CI311" s="239">
        <v>0</v>
      </c>
      <c r="CJ311" s="239">
        <v>101</v>
      </c>
      <c r="CK311" s="239">
        <v>25</v>
      </c>
      <c r="CL311" s="239">
        <v>0</v>
      </c>
      <c r="CM311" s="239">
        <v>1662</v>
      </c>
      <c r="CN311" s="239">
        <v>415</v>
      </c>
      <c r="CO311" s="239">
        <v>0</v>
      </c>
      <c r="CP311" s="239">
        <v>-1561</v>
      </c>
      <c r="CQ311" s="239">
        <v>-390</v>
      </c>
      <c r="CR311" s="239">
        <v>0</v>
      </c>
      <c r="CS311" s="239">
        <v>-151</v>
      </c>
      <c r="CT311" s="239">
        <v>-38</v>
      </c>
      <c r="CU311" s="239">
        <v>0</v>
      </c>
      <c r="CV311" s="239">
        <v>0</v>
      </c>
      <c r="CW311" s="239">
        <v>0</v>
      </c>
      <c r="CX311" s="239">
        <v>0</v>
      </c>
      <c r="CY311" s="239">
        <v>0</v>
      </c>
      <c r="CZ311" s="239">
        <v>0</v>
      </c>
      <c r="DA311" s="239">
        <v>0</v>
      </c>
      <c r="DB311" s="239">
        <v>0</v>
      </c>
      <c r="DC311" s="239">
        <v>0</v>
      </c>
      <c r="DD311" s="239">
        <v>0</v>
      </c>
      <c r="DE311" s="239">
        <v>0</v>
      </c>
      <c r="DF311" s="239">
        <v>0</v>
      </c>
      <c r="DG311" s="239">
        <v>0</v>
      </c>
      <c r="DH311" s="239">
        <v>11987</v>
      </c>
      <c r="DI311" s="239">
        <v>2997</v>
      </c>
      <c r="DJ311" s="239">
        <v>0</v>
      </c>
      <c r="DK311" s="239">
        <v>13313</v>
      </c>
      <c r="DL311" s="239">
        <v>3328</v>
      </c>
      <c r="DM311" s="239">
        <v>0</v>
      </c>
      <c r="DN311" s="239">
        <v>-1326</v>
      </c>
      <c r="DO311" s="239">
        <v>-331</v>
      </c>
      <c r="DP311" s="239">
        <v>0</v>
      </c>
      <c r="DQ311" s="239">
        <v>416</v>
      </c>
      <c r="DR311" s="239">
        <v>104</v>
      </c>
      <c r="DS311" s="239">
        <v>0</v>
      </c>
      <c r="DT311" s="239">
        <v>1218</v>
      </c>
      <c r="DU311" s="239">
        <v>305</v>
      </c>
      <c r="DV311" s="239">
        <v>0</v>
      </c>
      <c r="DW311" s="239">
        <v>-802</v>
      </c>
      <c r="DX311" s="239">
        <v>-201</v>
      </c>
      <c r="DY311" s="239">
        <v>0</v>
      </c>
      <c r="DZ311" s="239">
        <v>8933</v>
      </c>
      <c r="EA311" s="239">
        <v>2233</v>
      </c>
      <c r="EB311" s="239">
        <v>0</v>
      </c>
      <c r="EC311" s="239">
        <v>6623</v>
      </c>
      <c r="ED311" s="239">
        <v>0</v>
      </c>
      <c r="EE311" s="239">
        <v>0</v>
      </c>
      <c r="EF311" s="239">
        <v>2310</v>
      </c>
      <c r="EG311" s="239">
        <v>2233</v>
      </c>
      <c r="EH311" s="239">
        <v>0</v>
      </c>
      <c r="EI311" s="239">
        <v>41410</v>
      </c>
      <c r="EJ311" s="239">
        <v>10353</v>
      </c>
      <c r="EK311" s="239">
        <v>0</v>
      </c>
      <c r="EL311" s="239">
        <v>78687</v>
      </c>
      <c r="EM311" s="239">
        <v>0</v>
      </c>
      <c r="EN311" s="239">
        <v>0</v>
      </c>
      <c r="EO311" s="239">
        <v>-37277</v>
      </c>
      <c r="EP311" s="239">
        <v>10353</v>
      </c>
      <c r="EQ311" s="239">
        <v>0</v>
      </c>
      <c r="ER311" s="239">
        <v>12048</v>
      </c>
      <c r="ES311" s="239">
        <v>3012</v>
      </c>
      <c r="ET311" s="239">
        <v>0</v>
      </c>
      <c r="EU311" s="239">
        <v>25376</v>
      </c>
      <c r="EV311" s="239">
        <v>0</v>
      </c>
      <c r="EW311" s="239">
        <v>0</v>
      </c>
      <c r="EX311" s="239">
        <v>-13328</v>
      </c>
      <c r="EY311" s="239">
        <v>3012</v>
      </c>
      <c r="EZ311" s="239">
        <v>0</v>
      </c>
      <c r="FA311" s="239">
        <v>99303</v>
      </c>
      <c r="FB311" s="239">
        <v>24629</v>
      </c>
      <c r="FC311" s="239">
        <v>0</v>
      </c>
      <c r="FD311" s="239">
        <v>98723</v>
      </c>
      <c r="FE311" s="239">
        <v>24589</v>
      </c>
      <c r="FF311" s="239">
        <v>0</v>
      </c>
      <c r="FG311" s="239">
        <v>580</v>
      </c>
      <c r="FH311" s="239">
        <v>40</v>
      </c>
      <c r="FI311" s="239">
        <v>0</v>
      </c>
      <c r="FJ311" s="239">
        <v>0</v>
      </c>
      <c r="FK311" s="239">
        <v>0</v>
      </c>
      <c r="FL311" s="239">
        <v>0</v>
      </c>
      <c r="FM311" s="239">
        <v>0</v>
      </c>
      <c r="FN311" s="239">
        <v>0</v>
      </c>
      <c r="FO311" s="239">
        <v>0</v>
      </c>
      <c r="FP311" s="239">
        <v>0</v>
      </c>
      <c r="FQ311" s="239">
        <v>0</v>
      </c>
      <c r="FR311" s="239">
        <v>0</v>
      </c>
      <c r="FS311" s="239">
        <v>0</v>
      </c>
      <c r="FT311" s="239">
        <v>0</v>
      </c>
      <c r="FU311" s="239">
        <v>0</v>
      </c>
      <c r="FV311" s="239">
        <v>901607</v>
      </c>
      <c r="FW311" s="239">
        <v>225205</v>
      </c>
      <c r="FX311" s="239">
        <v>0</v>
      </c>
      <c r="FY311" s="834">
        <v>0.5</v>
      </c>
      <c r="FZ311" s="834">
        <v>0.4</v>
      </c>
      <c r="GA311" s="834">
        <v>0.1</v>
      </c>
      <c r="GB311" s="834">
        <v>0</v>
      </c>
      <c r="GC311" s="214" t="s">
        <v>1158</v>
      </c>
    </row>
    <row r="312" spans="2:185" s="214" customFormat="1" x14ac:dyDescent="0.2">
      <c r="B312" s="602" t="s">
        <v>707</v>
      </c>
      <c r="C312" s="602" t="s">
        <v>706</v>
      </c>
      <c r="D312" s="239">
        <v>2011730</v>
      </c>
      <c r="E312" s="239">
        <v>0</v>
      </c>
      <c r="F312" s="239">
        <v>2011730</v>
      </c>
      <c r="G312" s="239">
        <v>2333653</v>
      </c>
      <c r="H312" s="239">
        <v>0</v>
      </c>
      <c r="I312" s="239">
        <v>2333653</v>
      </c>
      <c r="J312" s="239">
        <v>-321923</v>
      </c>
      <c r="K312" s="239">
        <v>0</v>
      </c>
      <c r="L312" s="239">
        <v>-321923</v>
      </c>
      <c r="M312" s="239">
        <v>163845</v>
      </c>
      <c r="N312" s="239">
        <v>163845</v>
      </c>
      <c r="O312" s="239">
        <v>0</v>
      </c>
      <c r="P312" s="239">
        <v>0</v>
      </c>
      <c r="Q312" s="239">
        <v>0</v>
      </c>
      <c r="R312" s="239">
        <v>0</v>
      </c>
      <c r="S312" s="239">
        <v>239063</v>
      </c>
      <c r="T312" s="239">
        <v>0</v>
      </c>
      <c r="U312" s="239">
        <v>174866</v>
      </c>
      <c r="V312" s="239">
        <v>0</v>
      </c>
      <c r="W312" s="239">
        <v>64197</v>
      </c>
      <c r="X312" s="239">
        <v>0</v>
      </c>
      <c r="Y312" s="239">
        <v>0</v>
      </c>
      <c r="Z312" s="239">
        <v>0</v>
      </c>
      <c r="AA312" s="239">
        <v>0</v>
      </c>
      <c r="AB312" s="239">
        <v>0</v>
      </c>
      <c r="AC312" s="239">
        <v>0</v>
      </c>
      <c r="AD312" s="239">
        <v>0</v>
      </c>
      <c r="AE312" s="239">
        <v>0</v>
      </c>
      <c r="AF312" s="239">
        <v>0</v>
      </c>
      <c r="AG312" s="239">
        <v>0</v>
      </c>
      <c r="AH312" s="239">
        <v>0</v>
      </c>
      <c r="AI312" s="239">
        <v>0</v>
      </c>
      <c r="AJ312" s="239">
        <v>0</v>
      </c>
      <c r="AK312" s="239">
        <v>0</v>
      </c>
      <c r="AL312" s="239">
        <v>0</v>
      </c>
      <c r="AM312" s="239">
        <v>0</v>
      </c>
      <c r="AN312" s="239">
        <v>0</v>
      </c>
      <c r="AO312" s="239">
        <v>0</v>
      </c>
      <c r="AP312" s="239">
        <v>0</v>
      </c>
      <c r="AQ312" s="239">
        <v>0</v>
      </c>
      <c r="AR312" s="239">
        <v>0</v>
      </c>
      <c r="AS312" s="239">
        <v>0</v>
      </c>
      <c r="AT312" s="239">
        <v>0</v>
      </c>
      <c r="AU312" s="239">
        <v>0</v>
      </c>
      <c r="AV312" s="239">
        <v>0</v>
      </c>
      <c r="AW312" s="239">
        <v>0</v>
      </c>
      <c r="AX312" s="239">
        <v>0</v>
      </c>
      <c r="AY312" s="239">
        <v>0</v>
      </c>
      <c r="AZ312" s="239">
        <v>0</v>
      </c>
      <c r="BA312" s="239">
        <v>0</v>
      </c>
      <c r="BB312" s="239">
        <v>0</v>
      </c>
      <c r="BC312" s="239">
        <v>993402</v>
      </c>
      <c r="BD312" s="239">
        <v>248350</v>
      </c>
      <c r="BE312" s="239">
        <v>0</v>
      </c>
      <c r="BF312" s="239">
        <v>963074.12257510726</v>
      </c>
      <c r="BG312" s="239">
        <v>240768.53064377682</v>
      </c>
      <c r="BH312" s="239">
        <v>0</v>
      </c>
      <c r="BI312" s="239">
        <v>102797.24550128754</v>
      </c>
      <c r="BJ312" s="239">
        <v>25699.311375321886</v>
      </c>
      <c r="BK312" s="239">
        <v>0</v>
      </c>
      <c r="BL312" s="239">
        <v>853088</v>
      </c>
      <c r="BM312" s="239">
        <v>136932</v>
      </c>
      <c r="BN312" s="239">
        <v>0</v>
      </c>
      <c r="BO312" s="239">
        <v>140314</v>
      </c>
      <c r="BP312" s="239">
        <v>111418</v>
      </c>
      <c r="BQ312" s="239">
        <v>0</v>
      </c>
      <c r="BR312" s="239">
        <v>8638</v>
      </c>
      <c r="BS312" s="239">
        <v>2160</v>
      </c>
      <c r="BT312" s="239">
        <v>0</v>
      </c>
      <c r="BU312" s="239">
        <v>7162</v>
      </c>
      <c r="BV312" s="239">
        <v>1790</v>
      </c>
      <c r="BW312" s="239">
        <v>0</v>
      </c>
      <c r="BX312" s="239">
        <v>1476</v>
      </c>
      <c r="BY312" s="239">
        <v>370</v>
      </c>
      <c r="BZ312" s="239">
        <v>0</v>
      </c>
      <c r="CA312" s="239">
        <v>13022</v>
      </c>
      <c r="CB312" s="239">
        <v>3255</v>
      </c>
      <c r="CC312" s="239">
        <v>0</v>
      </c>
      <c r="CD312" s="239">
        <v>0</v>
      </c>
      <c r="CE312" s="239">
        <v>0</v>
      </c>
      <c r="CF312" s="239">
        <v>0</v>
      </c>
      <c r="CG312" s="239">
        <v>13022</v>
      </c>
      <c r="CH312" s="239">
        <v>3255</v>
      </c>
      <c r="CI312" s="239">
        <v>0</v>
      </c>
      <c r="CJ312" s="239">
        <v>287</v>
      </c>
      <c r="CK312" s="239">
        <v>72</v>
      </c>
      <c r="CL312" s="239">
        <v>0</v>
      </c>
      <c r="CM312" s="239">
        <v>0</v>
      </c>
      <c r="CN312" s="239">
        <v>0</v>
      </c>
      <c r="CO312" s="239">
        <v>0</v>
      </c>
      <c r="CP312" s="239">
        <v>287</v>
      </c>
      <c r="CQ312" s="239">
        <v>72</v>
      </c>
      <c r="CR312" s="239">
        <v>0</v>
      </c>
      <c r="CS312" s="239">
        <v>-618</v>
      </c>
      <c r="CT312" s="239">
        <v>-155</v>
      </c>
      <c r="CU312" s="239">
        <v>0</v>
      </c>
      <c r="CV312" s="239">
        <v>0</v>
      </c>
      <c r="CW312" s="239">
        <v>0</v>
      </c>
      <c r="CX312" s="239">
        <v>0</v>
      </c>
      <c r="CY312" s="239">
        <v>0</v>
      </c>
      <c r="CZ312" s="239">
        <v>0</v>
      </c>
      <c r="DA312" s="239">
        <v>0</v>
      </c>
      <c r="DB312" s="239">
        <v>0</v>
      </c>
      <c r="DC312" s="239">
        <v>0</v>
      </c>
      <c r="DD312" s="239">
        <v>0</v>
      </c>
      <c r="DE312" s="239">
        <v>0</v>
      </c>
      <c r="DF312" s="239">
        <v>0</v>
      </c>
      <c r="DG312" s="239">
        <v>0</v>
      </c>
      <c r="DH312" s="239">
        <v>12456</v>
      </c>
      <c r="DI312" s="239">
        <v>3114</v>
      </c>
      <c r="DJ312" s="239">
        <v>0</v>
      </c>
      <c r="DK312" s="239">
        <v>12918</v>
      </c>
      <c r="DL312" s="239">
        <v>3229</v>
      </c>
      <c r="DM312" s="239">
        <v>0</v>
      </c>
      <c r="DN312" s="239">
        <v>-462</v>
      </c>
      <c r="DO312" s="239">
        <v>-115</v>
      </c>
      <c r="DP312" s="239">
        <v>0</v>
      </c>
      <c r="DQ312" s="239">
        <v>0</v>
      </c>
      <c r="DR312" s="239">
        <v>0</v>
      </c>
      <c r="DS312" s="239">
        <v>0</v>
      </c>
      <c r="DT312" s="239">
        <v>0</v>
      </c>
      <c r="DU312" s="239">
        <v>0</v>
      </c>
      <c r="DV312" s="239">
        <v>0</v>
      </c>
      <c r="DW312" s="239">
        <v>0</v>
      </c>
      <c r="DX312" s="239">
        <v>0</v>
      </c>
      <c r="DY312" s="239">
        <v>0</v>
      </c>
      <c r="DZ312" s="239">
        <v>28566</v>
      </c>
      <c r="EA312" s="239">
        <v>7141</v>
      </c>
      <c r="EB312" s="239">
        <v>0</v>
      </c>
      <c r="EC312" s="239">
        <v>34398</v>
      </c>
      <c r="ED312" s="239">
        <v>0</v>
      </c>
      <c r="EE312" s="239">
        <v>0</v>
      </c>
      <c r="EF312" s="239">
        <v>-5832</v>
      </c>
      <c r="EG312" s="239">
        <v>7141</v>
      </c>
      <c r="EH312" s="239">
        <v>0</v>
      </c>
      <c r="EI312" s="239">
        <v>224281</v>
      </c>
      <c r="EJ312" s="239">
        <v>56070</v>
      </c>
      <c r="EK312" s="239">
        <v>0</v>
      </c>
      <c r="EL312" s="239">
        <v>279645</v>
      </c>
      <c r="EM312" s="239">
        <v>0</v>
      </c>
      <c r="EN312" s="239">
        <v>0</v>
      </c>
      <c r="EO312" s="239">
        <v>-55364</v>
      </c>
      <c r="EP312" s="239">
        <v>56070</v>
      </c>
      <c r="EQ312" s="239">
        <v>0</v>
      </c>
      <c r="ER312" s="239">
        <v>33028</v>
      </c>
      <c r="ES312" s="239">
        <v>8257</v>
      </c>
      <c r="ET312" s="239">
        <v>0</v>
      </c>
      <c r="EU312" s="239">
        <v>41492</v>
      </c>
      <c r="EV312" s="239">
        <v>0</v>
      </c>
      <c r="EW312" s="239">
        <v>0</v>
      </c>
      <c r="EX312" s="239">
        <v>-8464</v>
      </c>
      <c r="EY312" s="239">
        <v>8257</v>
      </c>
      <c r="EZ312" s="239">
        <v>0</v>
      </c>
      <c r="FA312" s="239">
        <v>222898</v>
      </c>
      <c r="FB312" s="239">
        <v>54827</v>
      </c>
      <c r="FC312" s="239">
        <v>0</v>
      </c>
      <c r="FD312" s="239">
        <v>228303</v>
      </c>
      <c r="FE312" s="239">
        <v>56419</v>
      </c>
      <c r="FF312" s="239">
        <v>0</v>
      </c>
      <c r="FG312" s="239">
        <v>-5405</v>
      </c>
      <c r="FH312" s="239">
        <v>-1592</v>
      </c>
      <c r="FI312" s="239">
        <v>0</v>
      </c>
      <c r="FJ312" s="239">
        <v>0</v>
      </c>
      <c r="FK312" s="239">
        <v>0</v>
      </c>
      <c r="FL312" s="239">
        <v>0</v>
      </c>
      <c r="FM312" s="239">
        <v>0</v>
      </c>
      <c r="FN312" s="239">
        <v>0</v>
      </c>
      <c r="FO312" s="239">
        <v>0</v>
      </c>
      <c r="FP312" s="239">
        <v>0</v>
      </c>
      <c r="FQ312" s="239">
        <v>0</v>
      </c>
      <c r="FR312" s="239">
        <v>0</v>
      </c>
      <c r="FS312" s="239">
        <v>0</v>
      </c>
      <c r="FT312" s="239">
        <v>0</v>
      </c>
      <c r="FU312" s="239">
        <v>0</v>
      </c>
      <c r="FV312" s="239">
        <v>1535960</v>
      </c>
      <c r="FW312" s="239">
        <v>383091</v>
      </c>
      <c r="FX312" s="239">
        <v>0</v>
      </c>
      <c r="FY312" s="834">
        <v>0.5</v>
      </c>
      <c r="FZ312" s="834">
        <v>0.4</v>
      </c>
      <c r="GA312" s="834">
        <v>0.1</v>
      </c>
      <c r="GB312" s="834">
        <v>0</v>
      </c>
      <c r="GC312" s="214" t="s">
        <v>1158</v>
      </c>
    </row>
    <row r="313" spans="2:185" s="214" customFormat="1" x14ac:dyDescent="0.2">
      <c r="B313" s="602" t="s">
        <v>709</v>
      </c>
      <c r="C313" s="602" t="s">
        <v>708</v>
      </c>
      <c r="D313" s="239">
        <v>3513446</v>
      </c>
      <c r="E313" s="239">
        <v>0</v>
      </c>
      <c r="F313" s="239">
        <v>3513446</v>
      </c>
      <c r="G313" s="239">
        <v>3509571</v>
      </c>
      <c r="H313" s="239">
        <v>0</v>
      </c>
      <c r="I313" s="239">
        <v>3509571</v>
      </c>
      <c r="J313" s="239">
        <v>3875</v>
      </c>
      <c r="K313" s="239">
        <v>0</v>
      </c>
      <c r="L313" s="239">
        <v>3875</v>
      </c>
      <c r="M313" s="239">
        <v>78132</v>
      </c>
      <c r="N313" s="239">
        <v>78132</v>
      </c>
      <c r="O313" s="239">
        <v>0</v>
      </c>
      <c r="P313" s="239">
        <v>0</v>
      </c>
      <c r="Q313" s="239">
        <v>0</v>
      </c>
      <c r="R313" s="239">
        <v>0</v>
      </c>
      <c r="S313" s="239">
        <v>29490</v>
      </c>
      <c r="T313" s="239">
        <v>0</v>
      </c>
      <c r="U313" s="239">
        <v>50000</v>
      </c>
      <c r="V313" s="239">
        <v>0</v>
      </c>
      <c r="W313" s="239">
        <v>-20510</v>
      </c>
      <c r="X313" s="239">
        <v>0</v>
      </c>
      <c r="Y313" s="239">
        <v>0</v>
      </c>
      <c r="Z313" s="239">
        <v>0</v>
      </c>
      <c r="AA313" s="239">
        <v>0</v>
      </c>
      <c r="AB313" s="239">
        <v>0</v>
      </c>
      <c r="AC313" s="239">
        <v>0</v>
      </c>
      <c r="AD313" s="239">
        <v>0</v>
      </c>
      <c r="AE313" s="239">
        <v>0</v>
      </c>
      <c r="AF313" s="239">
        <v>0</v>
      </c>
      <c r="AG313" s="239">
        <v>0</v>
      </c>
      <c r="AH313" s="239">
        <v>0</v>
      </c>
      <c r="AI313" s="239">
        <v>0</v>
      </c>
      <c r="AJ313" s="239">
        <v>0</v>
      </c>
      <c r="AK313" s="239">
        <v>0</v>
      </c>
      <c r="AL313" s="239">
        <v>0</v>
      </c>
      <c r="AM313" s="239">
        <v>0</v>
      </c>
      <c r="AN313" s="239">
        <v>0</v>
      </c>
      <c r="AO313" s="239">
        <v>0</v>
      </c>
      <c r="AP313" s="239">
        <v>0</v>
      </c>
      <c r="AQ313" s="239">
        <v>0</v>
      </c>
      <c r="AR313" s="239">
        <v>0</v>
      </c>
      <c r="AS313" s="239">
        <v>0</v>
      </c>
      <c r="AT313" s="239">
        <v>0</v>
      </c>
      <c r="AU313" s="239">
        <v>0</v>
      </c>
      <c r="AV313" s="239">
        <v>0</v>
      </c>
      <c r="AW313" s="239">
        <v>0</v>
      </c>
      <c r="AX313" s="239">
        <v>0</v>
      </c>
      <c r="AY313" s="239">
        <v>0</v>
      </c>
      <c r="AZ313" s="239">
        <v>0</v>
      </c>
      <c r="BA313" s="239">
        <v>0</v>
      </c>
      <c r="BB313" s="239">
        <v>0</v>
      </c>
      <c r="BC313" s="239">
        <v>586465</v>
      </c>
      <c r="BD313" s="239">
        <v>131955</v>
      </c>
      <c r="BE313" s="239">
        <v>14662</v>
      </c>
      <c r="BF313" s="239">
        <v>578094.40755708155</v>
      </c>
      <c r="BG313" s="239">
        <v>130071.24170034335</v>
      </c>
      <c r="BH313" s="239">
        <v>14452.360188927038</v>
      </c>
      <c r="BI313" s="239">
        <v>24337.810615450642</v>
      </c>
      <c r="BJ313" s="239">
        <v>5476.0073884763942</v>
      </c>
      <c r="BK313" s="239">
        <v>608.4452653862661</v>
      </c>
      <c r="BL313" s="239">
        <v>469676</v>
      </c>
      <c r="BM313" s="239">
        <v>76578</v>
      </c>
      <c r="BN313" s="239">
        <v>8509</v>
      </c>
      <c r="BO313" s="239">
        <v>116789</v>
      </c>
      <c r="BP313" s="239">
        <v>55377</v>
      </c>
      <c r="BQ313" s="239">
        <v>6153</v>
      </c>
      <c r="BR313" s="239">
        <v>0</v>
      </c>
      <c r="BS313" s="239">
        <v>0</v>
      </c>
      <c r="BT313" s="239">
        <v>0</v>
      </c>
      <c r="BU313" s="239">
        <v>0</v>
      </c>
      <c r="BV313" s="239">
        <v>0</v>
      </c>
      <c r="BW313" s="239">
        <v>0</v>
      </c>
      <c r="BX313" s="239">
        <v>0</v>
      </c>
      <c r="BY313" s="239">
        <v>0</v>
      </c>
      <c r="BZ313" s="239">
        <v>0</v>
      </c>
      <c r="CA313" s="239">
        <v>0</v>
      </c>
      <c r="CB313" s="239">
        <v>0</v>
      </c>
      <c r="CC313" s="239">
        <v>0</v>
      </c>
      <c r="CD313" s="239">
        <v>0</v>
      </c>
      <c r="CE313" s="239">
        <v>0</v>
      </c>
      <c r="CF313" s="239">
        <v>0</v>
      </c>
      <c r="CG313" s="239">
        <v>0</v>
      </c>
      <c r="CH313" s="239">
        <v>0</v>
      </c>
      <c r="CI313" s="239">
        <v>0</v>
      </c>
      <c r="CJ313" s="239">
        <v>0</v>
      </c>
      <c r="CK313" s="239">
        <v>0</v>
      </c>
      <c r="CL313" s="239">
        <v>0</v>
      </c>
      <c r="CM313" s="239">
        <v>0</v>
      </c>
      <c r="CN313" s="239">
        <v>0</v>
      </c>
      <c r="CO313" s="239">
        <v>0</v>
      </c>
      <c r="CP313" s="239">
        <v>0</v>
      </c>
      <c r="CQ313" s="239">
        <v>0</v>
      </c>
      <c r="CR313" s="239">
        <v>0</v>
      </c>
      <c r="CS313" s="239">
        <v>-785</v>
      </c>
      <c r="CT313" s="239">
        <v>-177</v>
      </c>
      <c r="CU313" s="239">
        <v>-20</v>
      </c>
      <c r="CV313" s="239">
        <v>0</v>
      </c>
      <c r="CW313" s="239">
        <v>0</v>
      </c>
      <c r="CX313" s="239">
        <v>0</v>
      </c>
      <c r="CY313" s="239">
        <v>0</v>
      </c>
      <c r="CZ313" s="239">
        <v>0</v>
      </c>
      <c r="DA313" s="239">
        <v>0</v>
      </c>
      <c r="DB313" s="239">
        <v>0</v>
      </c>
      <c r="DC313" s="239">
        <v>0</v>
      </c>
      <c r="DD313" s="239">
        <v>0</v>
      </c>
      <c r="DE313" s="239">
        <v>-21</v>
      </c>
      <c r="DF313" s="239">
        <v>-5</v>
      </c>
      <c r="DG313" s="239">
        <v>-1</v>
      </c>
      <c r="DH313" s="239">
        <v>10215</v>
      </c>
      <c r="DI313" s="239">
        <v>2298</v>
      </c>
      <c r="DJ313" s="239">
        <v>255</v>
      </c>
      <c r="DK313" s="239">
        <v>22955</v>
      </c>
      <c r="DL313" s="239">
        <v>5165</v>
      </c>
      <c r="DM313" s="239">
        <v>574</v>
      </c>
      <c r="DN313" s="239">
        <v>-12740</v>
      </c>
      <c r="DO313" s="239">
        <v>-2867</v>
      </c>
      <c r="DP313" s="239">
        <v>-319</v>
      </c>
      <c r="DQ313" s="239">
        <v>1218</v>
      </c>
      <c r="DR313" s="239">
        <v>274</v>
      </c>
      <c r="DS313" s="239">
        <v>30</v>
      </c>
      <c r="DT313" s="239">
        <v>628</v>
      </c>
      <c r="DU313" s="239">
        <v>142</v>
      </c>
      <c r="DV313" s="239">
        <v>16</v>
      </c>
      <c r="DW313" s="239">
        <v>590</v>
      </c>
      <c r="DX313" s="239">
        <v>132</v>
      </c>
      <c r="DY313" s="239">
        <v>14</v>
      </c>
      <c r="DZ313" s="239">
        <v>9946</v>
      </c>
      <c r="EA313" s="239">
        <v>2238</v>
      </c>
      <c r="EB313" s="239">
        <v>249</v>
      </c>
      <c r="EC313" s="239">
        <v>13471</v>
      </c>
      <c r="ED313" s="239">
        <v>0</v>
      </c>
      <c r="EE313" s="239">
        <v>0</v>
      </c>
      <c r="EF313" s="239">
        <v>-3525</v>
      </c>
      <c r="EG313" s="239">
        <v>2238</v>
      </c>
      <c r="EH313" s="239">
        <v>249</v>
      </c>
      <c r="EI313" s="239">
        <v>60088</v>
      </c>
      <c r="EJ313" s="239">
        <v>13520</v>
      </c>
      <c r="EK313" s="239">
        <v>1502</v>
      </c>
      <c r="EL313" s="239">
        <v>74200</v>
      </c>
      <c r="EM313" s="239">
        <v>0</v>
      </c>
      <c r="EN313" s="239">
        <v>0</v>
      </c>
      <c r="EO313" s="239">
        <v>-14112</v>
      </c>
      <c r="EP313" s="239">
        <v>13520</v>
      </c>
      <c r="EQ313" s="239">
        <v>1502</v>
      </c>
      <c r="ER313" s="239">
        <v>14030</v>
      </c>
      <c r="ES313" s="239">
        <v>3157</v>
      </c>
      <c r="ET313" s="239">
        <v>351</v>
      </c>
      <c r="EU313" s="239">
        <v>17269</v>
      </c>
      <c r="EV313" s="239">
        <v>0</v>
      </c>
      <c r="EW313" s="239">
        <v>0</v>
      </c>
      <c r="EX313" s="239">
        <v>-3239</v>
      </c>
      <c r="EY313" s="239">
        <v>3157</v>
      </c>
      <c r="EZ313" s="239">
        <v>351</v>
      </c>
      <c r="FA313" s="239">
        <v>101583</v>
      </c>
      <c r="FB313" s="239">
        <v>22757</v>
      </c>
      <c r="FC313" s="239">
        <v>2529</v>
      </c>
      <c r="FD313" s="239">
        <v>100194</v>
      </c>
      <c r="FE313" s="239">
        <v>22375</v>
      </c>
      <c r="FF313" s="239">
        <v>2486</v>
      </c>
      <c r="FG313" s="239">
        <v>1389</v>
      </c>
      <c r="FH313" s="239">
        <v>382</v>
      </c>
      <c r="FI313" s="239">
        <v>43</v>
      </c>
      <c r="FJ313" s="239">
        <v>0</v>
      </c>
      <c r="FK313" s="239">
        <v>0</v>
      </c>
      <c r="FL313" s="239">
        <v>0</v>
      </c>
      <c r="FM313" s="239">
        <v>0</v>
      </c>
      <c r="FN313" s="239">
        <v>0</v>
      </c>
      <c r="FO313" s="239">
        <v>0</v>
      </c>
      <c r="FP313" s="239">
        <v>0</v>
      </c>
      <c r="FQ313" s="239">
        <v>0</v>
      </c>
      <c r="FR313" s="239">
        <v>0</v>
      </c>
      <c r="FS313" s="239">
        <v>0</v>
      </c>
      <c r="FT313" s="239">
        <v>0</v>
      </c>
      <c r="FU313" s="239">
        <v>0</v>
      </c>
      <c r="FV313" s="239">
        <v>782739</v>
      </c>
      <c r="FW313" s="239">
        <v>176017</v>
      </c>
      <c r="FX313" s="239">
        <v>19557</v>
      </c>
      <c r="FY313" s="834">
        <v>0.5</v>
      </c>
      <c r="FZ313" s="834">
        <v>0.4</v>
      </c>
      <c r="GA313" s="834">
        <v>0.09</v>
      </c>
      <c r="GB313" s="834">
        <v>0.01</v>
      </c>
      <c r="GC313" s="214" t="s">
        <v>1158</v>
      </c>
    </row>
    <row r="314" spans="2:185" s="214" customFormat="1" x14ac:dyDescent="0.2">
      <c r="B314" s="602" t="s">
        <v>711</v>
      </c>
      <c r="C314" s="602" t="s">
        <v>710</v>
      </c>
      <c r="D314" s="239">
        <v>113086221</v>
      </c>
      <c r="E314" s="239">
        <v>0</v>
      </c>
      <c r="F314" s="239">
        <v>113086221</v>
      </c>
      <c r="G314" s="239">
        <v>111000928</v>
      </c>
      <c r="H314" s="239">
        <v>0</v>
      </c>
      <c r="I314" s="239">
        <v>111000928</v>
      </c>
      <c r="J314" s="239">
        <v>2085293</v>
      </c>
      <c r="K314" s="239">
        <v>0</v>
      </c>
      <c r="L314" s="239">
        <v>2085293</v>
      </c>
      <c r="M314" s="239">
        <v>3306395</v>
      </c>
      <c r="N314" s="239">
        <v>3306395</v>
      </c>
      <c r="O314" s="239">
        <v>0</v>
      </c>
      <c r="P314" s="239">
        <v>0</v>
      </c>
      <c r="Q314" s="239">
        <v>0</v>
      </c>
      <c r="R314" s="239">
        <v>0</v>
      </c>
      <c r="S314" s="239">
        <v>0</v>
      </c>
      <c r="T314" s="239">
        <v>0</v>
      </c>
      <c r="U314" s="239">
        <v>0</v>
      </c>
      <c r="V314" s="239">
        <v>0</v>
      </c>
      <c r="W314" s="239">
        <v>0</v>
      </c>
      <c r="X314" s="239">
        <v>0</v>
      </c>
      <c r="Y314" s="239">
        <v>0</v>
      </c>
      <c r="Z314" s="239">
        <v>0</v>
      </c>
      <c r="AA314" s="239">
        <v>0</v>
      </c>
      <c r="AB314" s="239">
        <v>0</v>
      </c>
      <c r="AC314" s="239">
        <v>0</v>
      </c>
      <c r="AD314" s="239">
        <v>0</v>
      </c>
      <c r="AE314" s="239">
        <v>0</v>
      </c>
      <c r="AF314" s="239">
        <v>0</v>
      </c>
      <c r="AG314" s="239">
        <v>0</v>
      </c>
      <c r="AH314" s="239">
        <v>0</v>
      </c>
      <c r="AI314" s="239">
        <v>0</v>
      </c>
      <c r="AJ314" s="239">
        <v>0</v>
      </c>
      <c r="AK314" s="239">
        <v>0</v>
      </c>
      <c r="AL314" s="239">
        <v>0</v>
      </c>
      <c r="AM314" s="239">
        <v>0</v>
      </c>
      <c r="AN314" s="239">
        <v>0</v>
      </c>
      <c r="AO314" s="239">
        <v>0</v>
      </c>
      <c r="AP314" s="239">
        <v>0</v>
      </c>
      <c r="AQ314" s="239">
        <v>0</v>
      </c>
      <c r="AR314" s="239">
        <v>0</v>
      </c>
      <c r="AS314" s="239">
        <v>0</v>
      </c>
      <c r="AT314" s="239">
        <v>0</v>
      </c>
      <c r="AU314" s="239">
        <v>0</v>
      </c>
      <c r="AV314" s="239">
        <v>0</v>
      </c>
      <c r="AW314" s="239">
        <v>0</v>
      </c>
      <c r="AX314" s="239">
        <v>0</v>
      </c>
      <c r="AY314" s="239">
        <v>0</v>
      </c>
      <c r="AZ314" s="239">
        <v>0</v>
      </c>
      <c r="BA314" s="239">
        <v>0</v>
      </c>
      <c r="BB314" s="239">
        <v>0</v>
      </c>
      <c r="BC314" s="239">
        <v>962989</v>
      </c>
      <c r="BD314" s="239">
        <v>1187686</v>
      </c>
      <c r="BE314" s="239">
        <v>0</v>
      </c>
      <c r="BF314" s="239">
        <v>908343.63199828321</v>
      </c>
      <c r="BG314" s="239">
        <v>1120290.4794645493</v>
      </c>
      <c r="BH314" s="239">
        <v>0</v>
      </c>
      <c r="BI314" s="239">
        <v>635141.88782188832</v>
      </c>
      <c r="BJ314" s="239">
        <v>783341.66164699558</v>
      </c>
      <c r="BK314" s="239">
        <v>0</v>
      </c>
      <c r="BL314" s="239">
        <v>1154323</v>
      </c>
      <c r="BM314" s="239">
        <v>630051</v>
      </c>
      <c r="BN314" s="239">
        <v>0</v>
      </c>
      <c r="BO314" s="239">
        <v>-191334</v>
      </c>
      <c r="BP314" s="239">
        <v>557635</v>
      </c>
      <c r="BQ314" s="239">
        <v>0</v>
      </c>
      <c r="BR314" s="239">
        <v>0</v>
      </c>
      <c r="BS314" s="239">
        <v>0</v>
      </c>
      <c r="BT314" s="239">
        <v>0</v>
      </c>
      <c r="BU314" s="239">
        <v>0</v>
      </c>
      <c r="BV314" s="239">
        <v>0</v>
      </c>
      <c r="BW314" s="239">
        <v>0</v>
      </c>
      <c r="BX314" s="239">
        <v>0</v>
      </c>
      <c r="BY314" s="239">
        <v>0</v>
      </c>
      <c r="BZ314" s="239">
        <v>0</v>
      </c>
      <c r="CA314" s="239">
        <v>88803</v>
      </c>
      <c r="CB314" s="239">
        <v>109524</v>
      </c>
      <c r="CC314" s="239">
        <v>0</v>
      </c>
      <c r="CD314" s="239">
        <v>71544</v>
      </c>
      <c r="CE314" s="239">
        <v>88237</v>
      </c>
      <c r="CF314" s="239">
        <v>0</v>
      </c>
      <c r="CG314" s="239">
        <v>17259</v>
      </c>
      <c r="CH314" s="239">
        <v>21287</v>
      </c>
      <c r="CI314" s="239">
        <v>0</v>
      </c>
      <c r="CJ314" s="239">
        <v>6721</v>
      </c>
      <c r="CK314" s="239">
        <v>8289</v>
      </c>
      <c r="CL314" s="239">
        <v>0</v>
      </c>
      <c r="CM314" s="239">
        <v>8946</v>
      </c>
      <c r="CN314" s="239">
        <v>11034</v>
      </c>
      <c r="CO314" s="239">
        <v>0</v>
      </c>
      <c r="CP314" s="239">
        <v>-2225</v>
      </c>
      <c r="CQ314" s="239">
        <v>-2745</v>
      </c>
      <c r="CR314" s="239">
        <v>0</v>
      </c>
      <c r="CS314" s="239">
        <v>-4096</v>
      </c>
      <c r="CT314" s="239">
        <v>-5051</v>
      </c>
      <c r="CU314" s="239">
        <v>0</v>
      </c>
      <c r="CV314" s="239">
        <v>0</v>
      </c>
      <c r="CW314" s="239">
        <v>0</v>
      </c>
      <c r="CX314" s="239">
        <v>0</v>
      </c>
      <c r="CY314" s="239">
        <v>0</v>
      </c>
      <c r="CZ314" s="239">
        <v>0</v>
      </c>
      <c r="DA314" s="239">
        <v>0</v>
      </c>
      <c r="DB314" s="239">
        <v>0</v>
      </c>
      <c r="DC314" s="239">
        <v>0</v>
      </c>
      <c r="DD314" s="239">
        <v>0</v>
      </c>
      <c r="DE314" s="239">
        <v>0</v>
      </c>
      <c r="DF314" s="239">
        <v>0</v>
      </c>
      <c r="DG314" s="239">
        <v>0</v>
      </c>
      <c r="DH314" s="239">
        <v>0</v>
      </c>
      <c r="DI314" s="239">
        <v>0</v>
      </c>
      <c r="DJ314" s="239">
        <v>0</v>
      </c>
      <c r="DK314" s="239">
        <v>0</v>
      </c>
      <c r="DL314" s="239">
        <v>0</v>
      </c>
      <c r="DM314" s="239">
        <v>0</v>
      </c>
      <c r="DN314" s="239">
        <v>0</v>
      </c>
      <c r="DO314" s="239">
        <v>0</v>
      </c>
      <c r="DP314" s="239">
        <v>0</v>
      </c>
      <c r="DQ314" s="239">
        <v>0</v>
      </c>
      <c r="DR314" s="239">
        <v>0</v>
      </c>
      <c r="DS314" s="239">
        <v>0</v>
      </c>
      <c r="DT314" s="239">
        <v>0</v>
      </c>
      <c r="DU314" s="239">
        <v>0</v>
      </c>
      <c r="DV314" s="239">
        <v>0</v>
      </c>
      <c r="DW314" s="239">
        <v>0</v>
      </c>
      <c r="DX314" s="239">
        <v>0</v>
      </c>
      <c r="DY314" s="239">
        <v>0</v>
      </c>
      <c r="DZ314" s="239">
        <v>27300</v>
      </c>
      <c r="EA314" s="239">
        <v>33670</v>
      </c>
      <c r="EB314" s="239">
        <v>0</v>
      </c>
      <c r="EC314" s="239">
        <v>63246</v>
      </c>
      <c r="ED314" s="239">
        <v>0</v>
      </c>
      <c r="EE314" s="239">
        <v>0</v>
      </c>
      <c r="EF314" s="239">
        <v>-35946</v>
      </c>
      <c r="EG314" s="239">
        <v>33670</v>
      </c>
      <c r="EH314" s="239">
        <v>0</v>
      </c>
      <c r="EI314" s="239">
        <v>3311248</v>
      </c>
      <c r="EJ314" s="239">
        <v>4083872</v>
      </c>
      <c r="EK314" s="239">
        <v>0</v>
      </c>
      <c r="EL314" s="239">
        <v>7773866</v>
      </c>
      <c r="EM314" s="239">
        <v>0</v>
      </c>
      <c r="EN314" s="239">
        <v>0</v>
      </c>
      <c r="EO314" s="239">
        <v>-4462618</v>
      </c>
      <c r="EP314" s="239">
        <v>4083872</v>
      </c>
      <c r="EQ314" s="239">
        <v>0</v>
      </c>
      <c r="ER314" s="239">
        <v>20677</v>
      </c>
      <c r="ES314" s="239">
        <v>25502</v>
      </c>
      <c r="ET314" s="239">
        <v>0</v>
      </c>
      <c r="EU314" s="239">
        <v>54405</v>
      </c>
      <c r="EV314" s="239">
        <v>0</v>
      </c>
      <c r="EW314" s="239">
        <v>0</v>
      </c>
      <c r="EX314" s="239">
        <v>-33728</v>
      </c>
      <c r="EY314" s="239">
        <v>25502</v>
      </c>
      <c r="EZ314" s="239">
        <v>0</v>
      </c>
      <c r="FA314" s="239">
        <v>9624545</v>
      </c>
      <c r="FB314" s="239">
        <v>11870272</v>
      </c>
      <c r="FC314" s="239">
        <v>0</v>
      </c>
      <c r="FD314" s="239">
        <v>9251374</v>
      </c>
      <c r="FE314" s="239">
        <v>11410028</v>
      </c>
      <c r="FF314" s="239">
        <v>0</v>
      </c>
      <c r="FG314" s="239">
        <v>373171</v>
      </c>
      <c r="FH314" s="239">
        <v>460244</v>
      </c>
      <c r="FI314" s="239">
        <v>0</v>
      </c>
      <c r="FJ314" s="239">
        <v>0</v>
      </c>
      <c r="FK314" s="239">
        <v>0</v>
      </c>
      <c r="FL314" s="239">
        <v>0</v>
      </c>
      <c r="FM314" s="239">
        <v>0</v>
      </c>
      <c r="FN314" s="239">
        <v>0</v>
      </c>
      <c r="FO314" s="239">
        <v>0</v>
      </c>
      <c r="FP314" s="239">
        <v>0</v>
      </c>
      <c r="FQ314" s="239">
        <v>0</v>
      </c>
      <c r="FR314" s="239">
        <v>0</v>
      </c>
      <c r="FS314" s="239">
        <v>0</v>
      </c>
      <c r="FT314" s="239">
        <v>0</v>
      </c>
      <c r="FU314" s="239">
        <v>0</v>
      </c>
      <c r="FV314" s="239">
        <v>14038187</v>
      </c>
      <c r="FW314" s="239">
        <v>17313764</v>
      </c>
      <c r="FX314" s="239">
        <v>0</v>
      </c>
      <c r="FY314" s="834">
        <v>0.33000000000000007</v>
      </c>
      <c r="FZ314" s="834">
        <v>0.3</v>
      </c>
      <c r="GA314" s="834">
        <v>0.37</v>
      </c>
      <c r="GB314" s="834">
        <v>0</v>
      </c>
      <c r="GC314" s="214" t="s">
        <v>1161</v>
      </c>
    </row>
    <row r="315" spans="2:185" s="214" customFormat="1" x14ac:dyDescent="0.2">
      <c r="B315" s="602" t="s">
        <v>713</v>
      </c>
      <c r="C315" s="602" t="s">
        <v>712</v>
      </c>
      <c r="D315" s="239">
        <v>-464157</v>
      </c>
      <c r="E315" s="239">
        <v>0</v>
      </c>
      <c r="F315" s="239">
        <v>-464157</v>
      </c>
      <c r="G315" s="239">
        <v>-475114</v>
      </c>
      <c r="H315" s="239">
        <v>0</v>
      </c>
      <c r="I315" s="239">
        <v>-475114</v>
      </c>
      <c r="J315" s="239">
        <v>10957</v>
      </c>
      <c r="K315" s="239">
        <v>0</v>
      </c>
      <c r="L315" s="239">
        <v>10957</v>
      </c>
      <c r="M315" s="239">
        <v>106013</v>
      </c>
      <c r="N315" s="239">
        <v>106013</v>
      </c>
      <c r="O315" s="239">
        <v>0</v>
      </c>
      <c r="P315" s="239">
        <v>0</v>
      </c>
      <c r="Q315" s="239">
        <v>0</v>
      </c>
      <c r="R315" s="239">
        <v>0</v>
      </c>
      <c r="S315" s="239">
        <v>0</v>
      </c>
      <c r="T315" s="239">
        <v>0</v>
      </c>
      <c r="U315" s="239">
        <v>0</v>
      </c>
      <c r="V315" s="239">
        <v>0</v>
      </c>
      <c r="W315" s="239">
        <v>0</v>
      </c>
      <c r="X315" s="239">
        <v>0</v>
      </c>
      <c r="Y315" s="239">
        <v>0</v>
      </c>
      <c r="Z315" s="239">
        <v>0</v>
      </c>
      <c r="AA315" s="239">
        <v>0</v>
      </c>
      <c r="AB315" s="239">
        <v>0</v>
      </c>
      <c r="AC315" s="239">
        <v>0</v>
      </c>
      <c r="AD315" s="239">
        <v>0</v>
      </c>
      <c r="AE315" s="239">
        <v>0</v>
      </c>
      <c r="AF315" s="239">
        <v>0</v>
      </c>
      <c r="AG315" s="239">
        <v>0</v>
      </c>
      <c r="AH315" s="239">
        <v>0</v>
      </c>
      <c r="AI315" s="239">
        <v>0</v>
      </c>
      <c r="AJ315" s="239">
        <v>0</v>
      </c>
      <c r="AK315" s="239">
        <v>0</v>
      </c>
      <c r="AL315" s="239">
        <v>0</v>
      </c>
      <c r="AM315" s="239">
        <v>0</v>
      </c>
      <c r="AN315" s="239">
        <v>0</v>
      </c>
      <c r="AO315" s="239">
        <v>0</v>
      </c>
      <c r="AP315" s="239">
        <v>0</v>
      </c>
      <c r="AQ315" s="239">
        <v>0</v>
      </c>
      <c r="AR315" s="239">
        <v>0</v>
      </c>
      <c r="AS315" s="239">
        <v>0</v>
      </c>
      <c r="AT315" s="239">
        <v>0</v>
      </c>
      <c r="AU315" s="239">
        <v>0</v>
      </c>
      <c r="AV315" s="239">
        <v>0</v>
      </c>
      <c r="AW315" s="239">
        <v>0</v>
      </c>
      <c r="AX315" s="239">
        <v>0</v>
      </c>
      <c r="AY315" s="239">
        <v>0</v>
      </c>
      <c r="AZ315" s="239">
        <v>0</v>
      </c>
      <c r="BA315" s="239">
        <v>0</v>
      </c>
      <c r="BB315" s="239">
        <v>0</v>
      </c>
      <c r="BC315" s="239">
        <v>666351</v>
      </c>
      <c r="BD315" s="239">
        <v>149929</v>
      </c>
      <c r="BE315" s="239">
        <v>16659</v>
      </c>
      <c r="BF315" s="239">
        <v>654845.4752532189</v>
      </c>
      <c r="BG315" s="239">
        <v>147340.23193197424</v>
      </c>
      <c r="BH315" s="239">
        <v>16371.136881330473</v>
      </c>
      <c r="BI315" s="239">
        <v>35336.170642918456</v>
      </c>
      <c r="BJ315" s="239">
        <v>7950.6383946566511</v>
      </c>
      <c r="BK315" s="239">
        <v>883.40426607296126</v>
      </c>
      <c r="BL315" s="239">
        <v>603154</v>
      </c>
      <c r="BM315" s="239">
        <v>94571</v>
      </c>
      <c r="BN315" s="239">
        <v>10508</v>
      </c>
      <c r="BO315" s="239">
        <v>63197</v>
      </c>
      <c r="BP315" s="239">
        <v>55358</v>
      </c>
      <c r="BQ315" s="239">
        <v>6151</v>
      </c>
      <c r="BR315" s="239">
        <v>-891</v>
      </c>
      <c r="BS315" s="239">
        <v>-200</v>
      </c>
      <c r="BT315" s="239">
        <v>-22</v>
      </c>
      <c r="BU315" s="239">
        <v>1098</v>
      </c>
      <c r="BV315" s="239">
        <v>247</v>
      </c>
      <c r="BW315" s="239">
        <v>27</v>
      </c>
      <c r="BX315" s="239">
        <v>-1989</v>
      </c>
      <c r="BY315" s="239">
        <v>-447</v>
      </c>
      <c r="BZ315" s="239">
        <v>-49</v>
      </c>
      <c r="CA315" s="239">
        <v>0</v>
      </c>
      <c r="CB315" s="239">
        <v>0</v>
      </c>
      <c r="CC315" s="239">
        <v>0</v>
      </c>
      <c r="CD315" s="239">
        <v>0</v>
      </c>
      <c r="CE315" s="239">
        <v>0</v>
      </c>
      <c r="CF315" s="239">
        <v>0</v>
      </c>
      <c r="CG315" s="239">
        <v>0</v>
      </c>
      <c r="CH315" s="239">
        <v>0</v>
      </c>
      <c r="CI315" s="239">
        <v>0</v>
      </c>
      <c r="CJ315" s="239">
        <v>-6</v>
      </c>
      <c r="CK315" s="239">
        <v>-1</v>
      </c>
      <c r="CL315" s="239">
        <v>0</v>
      </c>
      <c r="CM315" s="239">
        <v>0</v>
      </c>
      <c r="CN315" s="239">
        <v>0</v>
      </c>
      <c r="CO315" s="239">
        <v>0</v>
      </c>
      <c r="CP315" s="239">
        <v>-6</v>
      </c>
      <c r="CQ315" s="239">
        <v>-1</v>
      </c>
      <c r="CR315" s="239">
        <v>0</v>
      </c>
      <c r="CS315" s="239">
        <v>52</v>
      </c>
      <c r="CT315" s="239">
        <v>12</v>
      </c>
      <c r="CU315" s="239">
        <v>1</v>
      </c>
      <c r="CV315" s="239">
        <v>0</v>
      </c>
      <c r="CW315" s="239">
        <v>0</v>
      </c>
      <c r="CX315" s="239">
        <v>0</v>
      </c>
      <c r="CY315" s="239">
        <v>0</v>
      </c>
      <c r="CZ315" s="239">
        <v>0</v>
      </c>
      <c r="DA315" s="239">
        <v>0</v>
      </c>
      <c r="DB315" s="239">
        <v>0</v>
      </c>
      <c r="DC315" s="239">
        <v>0</v>
      </c>
      <c r="DD315" s="239">
        <v>0</v>
      </c>
      <c r="DE315" s="239">
        <v>0</v>
      </c>
      <c r="DF315" s="239">
        <v>0</v>
      </c>
      <c r="DG315" s="239">
        <v>0</v>
      </c>
      <c r="DH315" s="239">
        <v>0</v>
      </c>
      <c r="DI315" s="239">
        <v>0</v>
      </c>
      <c r="DJ315" s="239">
        <v>0</v>
      </c>
      <c r="DK315" s="239">
        <v>0</v>
      </c>
      <c r="DL315" s="239">
        <v>0</v>
      </c>
      <c r="DM315" s="239">
        <v>0</v>
      </c>
      <c r="DN315" s="239">
        <v>0</v>
      </c>
      <c r="DO315" s="239">
        <v>0</v>
      </c>
      <c r="DP315" s="239">
        <v>0</v>
      </c>
      <c r="DQ315" s="239">
        <v>0</v>
      </c>
      <c r="DR315" s="239">
        <v>0</v>
      </c>
      <c r="DS315" s="239">
        <v>0</v>
      </c>
      <c r="DT315" s="239">
        <v>0</v>
      </c>
      <c r="DU315" s="239">
        <v>0</v>
      </c>
      <c r="DV315" s="239">
        <v>0</v>
      </c>
      <c r="DW315" s="239">
        <v>0</v>
      </c>
      <c r="DX315" s="239">
        <v>0</v>
      </c>
      <c r="DY315" s="239">
        <v>0</v>
      </c>
      <c r="DZ315" s="239">
        <v>10524</v>
      </c>
      <c r="EA315" s="239">
        <v>2368</v>
      </c>
      <c r="EB315" s="239">
        <v>263</v>
      </c>
      <c r="EC315" s="239">
        <v>13155</v>
      </c>
      <c r="ED315" s="239">
        <v>0</v>
      </c>
      <c r="EE315" s="239">
        <v>0</v>
      </c>
      <c r="EF315" s="239">
        <v>-2631</v>
      </c>
      <c r="EG315" s="239">
        <v>2368</v>
      </c>
      <c r="EH315" s="239">
        <v>263</v>
      </c>
      <c r="EI315" s="239">
        <v>72037</v>
      </c>
      <c r="EJ315" s="239">
        <v>16208</v>
      </c>
      <c r="EK315" s="239">
        <v>1801</v>
      </c>
      <c r="EL315" s="239">
        <v>89346</v>
      </c>
      <c r="EM315" s="239">
        <v>0</v>
      </c>
      <c r="EN315" s="239">
        <v>0</v>
      </c>
      <c r="EO315" s="239">
        <v>-17309</v>
      </c>
      <c r="EP315" s="239">
        <v>16208</v>
      </c>
      <c r="EQ315" s="239">
        <v>1801</v>
      </c>
      <c r="ER315" s="239">
        <v>17924</v>
      </c>
      <c r="ES315" s="239">
        <v>4033</v>
      </c>
      <c r="ET315" s="239">
        <v>448</v>
      </c>
      <c r="EU315" s="239">
        <v>22769</v>
      </c>
      <c r="EV315" s="239">
        <v>0</v>
      </c>
      <c r="EW315" s="239">
        <v>0</v>
      </c>
      <c r="EX315" s="239">
        <v>-4845</v>
      </c>
      <c r="EY315" s="239">
        <v>4033</v>
      </c>
      <c r="EZ315" s="239">
        <v>448</v>
      </c>
      <c r="FA315" s="239">
        <v>84825</v>
      </c>
      <c r="FB315" s="239">
        <v>19086</v>
      </c>
      <c r="FC315" s="239">
        <v>2121</v>
      </c>
      <c r="FD315" s="239">
        <v>88104</v>
      </c>
      <c r="FE315" s="239">
        <v>19824</v>
      </c>
      <c r="FF315" s="239">
        <v>2203</v>
      </c>
      <c r="FG315" s="239">
        <v>-3279</v>
      </c>
      <c r="FH315" s="239">
        <v>-738</v>
      </c>
      <c r="FI315" s="239">
        <v>-82</v>
      </c>
      <c r="FJ315" s="239">
        <v>0</v>
      </c>
      <c r="FK315" s="239">
        <v>0</v>
      </c>
      <c r="FL315" s="239">
        <v>0</v>
      </c>
      <c r="FM315" s="239">
        <v>0</v>
      </c>
      <c r="FN315" s="239">
        <v>0</v>
      </c>
      <c r="FO315" s="239">
        <v>0</v>
      </c>
      <c r="FP315" s="239">
        <v>0</v>
      </c>
      <c r="FQ315" s="239">
        <v>0</v>
      </c>
      <c r="FR315" s="239">
        <v>0</v>
      </c>
      <c r="FS315" s="239">
        <v>0</v>
      </c>
      <c r="FT315" s="239">
        <v>0</v>
      </c>
      <c r="FU315" s="239">
        <v>0</v>
      </c>
      <c r="FV315" s="239">
        <v>850816</v>
      </c>
      <c r="FW315" s="239">
        <v>191435</v>
      </c>
      <c r="FX315" s="239">
        <v>21271</v>
      </c>
      <c r="FY315" s="834">
        <v>0.5</v>
      </c>
      <c r="FZ315" s="834">
        <v>0.4</v>
      </c>
      <c r="GA315" s="834">
        <v>0.09</v>
      </c>
      <c r="GB315" s="834">
        <v>0.01</v>
      </c>
      <c r="GC315" s="214" t="s">
        <v>1158</v>
      </c>
    </row>
    <row r="316" spans="2:185" s="214" customFormat="1" x14ac:dyDescent="0.2">
      <c r="B316" s="602" t="s">
        <v>715</v>
      </c>
      <c r="C316" s="602" t="s">
        <v>714</v>
      </c>
      <c r="D316" s="239">
        <v>-3631196</v>
      </c>
      <c r="E316" s="239">
        <v>0</v>
      </c>
      <c r="F316" s="239">
        <v>-3631196</v>
      </c>
      <c r="G316" s="239">
        <v>-3151753</v>
      </c>
      <c r="H316" s="239">
        <v>0</v>
      </c>
      <c r="I316" s="239">
        <v>-3151753</v>
      </c>
      <c r="J316" s="239">
        <v>-479443</v>
      </c>
      <c r="K316" s="239">
        <v>0</v>
      </c>
      <c r="L316" s="239">
        <v>-479443</v>
      </c>
      <c r="M316" s="239">
        <v>411592</v>
      </c>
      <c r="N316" s="239">
        <v>379246</v>
      </c>
      <c r="O316" s="239">
        <v>32346</v>
      </c>
      <c r="P316" s="239">
        <v>0</v>
      </c>
      <c r="Q316" s="239">
        <v>0</v>
      </c>
      <c r="R316" s="239">
        <v>0</v>
      </c>
      <c r="S316" s="239">
        <v>0</v>
      </c>
      <c r="T316" s="239">
        <v>0</v>
      </c>
      <c r="U316" s="239">
        <v>0</v>
      </c>
      <c r="V316" s="239">
        <v>0</v>
      </c>
      <c r="W316" s="239">
        <v>0</v>
      </c>
      <c r="X316" s="239">
        <v>0</v>
      </c>
      <c r="Y316" s="239">
        <v>0</v>
      </c>
      <c r="Z316" s="239">
        <v>0</v>
      </c>
      <c r="AA316" s="239">
        <v>0</v>
      </c>
      <c r="AB316" s="239">
        <v>0</v>
      </c>
      <c r="AC316" s="239">
        <v>0</v>
      </c>
      <c r="AD316" s="239">
        <v>0</v>
      </c>
      <c r="AE316" s="239">
        <v>0</v>
      </c>
      <c r="AF316" s="239">
        <v>0</v>
      </c>
      <c r="AG316" s="239">
        <v>0</v>
      </c>
      <c r="AH316" s="239">
        <v>0</v>
      </c>
      <c r="AI316" s="239">
        <v>0</v>
      </c>
      <c r="AJ316" s="239">
        <v>0</v>
      </c>
      <c r="AK316" s="239">
        <v>0</v>
      </c>
      <c r="AL316" s="239">
        <v>0</v>
      </c>
      <c r="AM316" s="239">
        <v>0</v>
      </c>
      <c r="AN316" s="239">
        <v>0</v>
      </c>
      <c r="AO316" s="239">
        <v>0</v>
      </c>
      <c r="AP316" s="239">
        <v>0</v>
      </c>
      <c r="AQ316" s="239">
        <v>0</v>
      </c>
      <c r="AR316" s="239">
        <v>0</v>
      </c>
      <c r="AS316" s="239">
        <v>0</v>
      </c>
      <c r="AT316" s="239">
        <v>0</v>
      </c>
      <c r="AU316" s="239">
        <v>0</v>
      </c>
      <c r="AV316" s="239">
        <v>0</v>
      </c>
      <c r="AW316" s="239">
        <v>0</v>
      </c>
      <c r="AX316" s="239">
        <v>0</v>
      </c>
      <c r="AY316" s="239">
        <v>0</v>
      </c>
      <c r="AZ316" s="239">
        <v>0</v>
      </c>
      <c r="BA316" s="239">
        <v>0</v>
      </c>
      <c r="BB316" s="239">
        <v>0</v>
      </c>
      <c r="BC316" s="239">
        <v>6894091</v>
      </c>
      <c r="BD316" s="239">
        <v>0</v>
      </c>
      <c r="BE316" s="239">
        <v>69637</v>
      </c>
      <c r="BF316" s="239">
        <v>6744571.7828311156</v>
      </c>
      <c r="BG316" s="239">
        <v>0</v>
      </c>
      <c r="BH316" s="239">
        <v>68126.987705364809</v>
      </c>
      <c r="BI316" s="239">
        <v>397088.53856652358</v>
      </c>
      <c r="BJ316" s="239">
        <v>0</v>
      </c>
      <c r="BK316" s="239">
        <v>4010.9953390557939</v>
      </c>
      <c r="BL316" s="239">
        <v>6489535</v>
      </c>
      <c r="BM316" s="239">
        <v>0</v>
      </c>
      <c r="BN316" s="239">
        <v>48071</v>
      </c>
      <c r="BO316" s="239">
        <v>404556</v>
      </c>
      <c r="BP316" s="239">
        <v>0</v>
      </c>
      <c r="BQ316" s="239">
        <v>21566</v>
      </c>
      <c r="BR316" s="239">
        <v>53947</v>
      </c>
      <c r="BS316" s="239">
        <v>0</v>
      </c>
      <c r="BT316" s="239">
        <v>545</v>
      </c>
      <c r="BU316" s="239">
        <v>9733</v>
      </c>
      <c r="BV316" s="239">
        <v>0</v>
      </c>
      <c r="BW316" s="239">
        <v>98</v>
      </c>
      <c r="BX316" s="239">
        <v>44214</v>
      </c>
      <c r="BY316" s="239">
        <v>0</v>
      </c>
      <c r="BZ316" s="239">
        <v>447</v>
      </c>
      <c r="CA316" s="239">
        <v>24994</v>
      </c>
      <c r="CB316" s="239">
        <v>0</v>
      </c>
      <c r="CC316" s="239">
        <v>252</v>
      </c>
      <c r="CD316" s="239">
        <v>237557</v>
      </c>
      <c r="CE316" s="239">
        <v>0</v>
      </c>
      <c r="CF316" s="239">
        <v>2400</v>
      </c>
      <c r="CG316" s="239">
        <v>-212563</v>
      </c>
      <c r="CH316" s="239">
        <v>0</v>
      </c>
      <c r="CI316" s="239">
        <v>-2148</v>
      </c>
      <c r="CJ316" s="239">
        <v>12510</v>
      </c>
      <c r="CK316" s="239">
        <v>0</v>
      </c>
      <c r="CL316" s="239">
        <v>126</v>
      </c>
      <c r="CM316" s="239">
        <v>14855</v>
      </c>
      <c r="CN316" s="239">
        <v>0</v>
      </c>
      <c r="CO316" s="239">
        <v>150</v>
      </c>
      <c r="CP316" s="239">
        <v>-2345</v>
      </c>
      <c r="CQ316" s="239">
        <v>0</v>
      </c>
      <c r="CR316" s="239">
        <v>-24</v>
      </c>
      <c r="CS316" s="239">
        <v>0</v>
      </c>
      <c r="CT316" s="239">
        <v>0</v>
      </c>
      <c r="CU316" s="239">
        <v>0</v>
      </c>
      <c r="CV316" s="239">
        <v>0</v>
      </c>
      <c r="CW316" s="239">
        <v>0</v>
      </c>
      <c r="CX316" s="239">
        <v>0</v>
      </c>
      <c r="CY316" s="239">
        <v>0</v>
      </c>
      <c r="CZ316" s="239">
        <v>0</v>
      </c>
      <c r="DA316" s="239">
        <v>0</v>
      </c>
      <c r="DB316" s="239">
        <v>0</v>
      </c>
      <c r="DC316" s="239">
        <v>0</v>
      </c>
      <c r="DD316" s="239">
        <v>0</v>
      </c>
      <c r="DE316" s="239">
        <v>0</v>
      </c>
      <c r="DF316" s="239">
        <v>0</v>
      </c>
      <c r="DG316" s="239">
        <v>0</v>
      </c>
      <c r="DH316" s="239">
        <v>0</v>
      </c>
      <c r="DI316" s="239">
        <v>0</v>
      </c>
      <c r="DJ316" s="239">
        <v>0</v>
      </c>
      <c r="DK316" s="239">
        <v>0</v>
      </c>
      <c r="DL316" s="239">
        <v>0</v>
      </c>
      <c r="DM316" s="239">
        <v>0</v>
      </c>
      <c r="DN316" s="239">
        <v>0</v>
      </c>
      <c r="DO316" s="239">
        <v>0</v>
      </c>
      <c r="DP316" s="239">
        <v>0</v>
      </c>
      <c r="DQ316" s="239">
        <v>1507</v>
      </c>
      <c r="DR316" s="239">
        <v>0</v>
      </c>
      <c r="DS316" s="239">
        <v>15</v>
      </c>
      <c r="DT316" s="239">
        <v>0</v>
      </c>
      <c r="DU316" s="239">
        <v>0</v>
      </c>
      <c r="DV316" s="239">
        <v>0</v>
      </c>
      <c r="DW316" s="239">
        <v>1507</v>
      </c>
      <c r="DX316" s="239">
        <v>0</v>
      </c>
      <c r="DY316" s="239">
        <v>15</v>
      </c>
      <c r="DZ316" s="239">
        <v>21084</v>
      </c>
      <c r="EA316" s="239">
        <v>0</v>
      </c>
      <c r="EB316" s="239">
        <v>213</v>
      </c>
      <c r="EC316" s="239">
        <v>21696</v>
      </c>
      <c r="ED316" s="239">
        <v>0</v>
      </c>
      <c r="EE316" s="239">
        <v>0</v>
      </c>
      <c r="EF316" s="239">
        <v>-612</v>
      </c>
      <c r="EG316" s="239">
        <v>0</v>
      </c>
      <c r="EH316" s="239">
        <v>213</v>
      </c>
      <c r="EI316" s="239">
        <v>503106</v>
      </c>
      <c r="EJ316" s="239">
        <v>0</v>
      </c>
      <c r="EK316" s="239">
        <v>5082</v>
      </c>
      <c r="EL316" s="239">
        <v>512221</v>
      </c>
      <c r="EM316" s="239">
        <v>0</v>
      </c>
      <c r="EN316" s="239">
        <v>0</v>
      </c>
      <c r="EO316" s="239">
        <v>-9115</v>
      </c>
      <c r="EP316" s="239">
        <v>0</v>
      </c>
      <c r="EQ316" s="239">
        <v>5082</v>
      </c>
      <c r="ER316" s="239">
        <v>128614</v>
      </c>
      <c r="ES316" s="239">
        <v>0</v>
      </c>
      <c r="ET316" s="239">
        <v>1299</v>
      </c>
      <c r="EU316" s="239">
        <v>127764</v>
      </c>
      <c r="EV316" s="239">
        <v>0</v>
      </c>
      <c r="EW316" s="239">
        <v>0</v>
      </c>
      <c r="EX316" s="239">
        <v>850</v>
      </c>
      <c r="EY316" s="239">
        <v>0</v>
      </c>
      <c r="EZ316" s="239">
        <v>1299</v>
      </c>
      <c r="FA316" s="239">
        <v>1135539</v>
      </c>
      <c r="FB316" s="239">
        <v>0</v>
      </c>
      <c r="FC316" s="239">
        <v>11470</v>
      </c>
      <c r="FD316" s="239">
        <v>1084523</v>
      </c>
      <c r="FE316" s="239">
        <v>0</v>
      </c>
      <c r="FF316" s="239">
        <v>10955</v>
      </c>
      <c r="FG316" s="239">
        <v>51016</v>
      </c>
      <c r="FH316" s="239">
        <v>0</v>
      </c>
      <c r="FI316" s="239">
        <v>515</v>
      </c>
      <c r="FJ316" s="239">
        <v>0</v>
      </c>
      <c r="FK316" s="239">
        <v>0</v>
      </c>
      <c r="FL316" s="239">
        <v>0</v>
      </c>
      <c r="FM316" s="239">
        <v>0</v>
      </c>
      <c r="FN316" s="239">
        <v>0</v>
      </c>
      <c r="FO316" s="239">
        <v>0</v>
      </c>
      <c r="FP316" s="239">
        <v>0</v>
      </c>
      <c r="FQ316" s="239">
        <v>0</v>
      </c>
      <c r="FR316" s="239">
        <v>0</v>
      </c>
      <c r="FS316" s="239">
        <v>0</v>
      </c>
      <c r="FT316" s="239">
        <v>0</v>
      </c>
      <c r="FU316" s="239">
        <v>0</v>
      </c>
      <c r="FV316" s="239">
        <v>8775392</v>
      </c>
      <c r="FW316" s="239">
        <v>0</v>
      </c>
      <c r="FX316" s="239">
        <v>88639</v>
      </c>
      <c r="FY316" s="834">
        <v>0</v>
      </c>
      <c r="FZ316" s="834">
        <v>0.99</v>
      </c>
      <c r="GA316" s="834">
        <v>0</v>
      </c>
      <c r="GB316" s="834">
        <v>0.01</v>
      </c>
      <c r="GC316" s="214" t="s">
        <v>1160</v>
      </c>
    </row>
    <row r="317" spans="2:185" s="214" customFormat="1" x14ac:dyDescent="0.2">
      <c r="B317" s="602" t="s">
        <v>717</v>
      </c>
      <c r="C317" s="602" t="s">
        <v>716</v>
      </c>
      <c r="D317" s="239">
        <v>-3234428</v>
      </c>
      <c r="E317" s="239">
        <v>0</v>
      </c>
      <c r="F317" s="239">
        <v>-3234428</v>
      </c>
      <c r="G317" s="239">
        <v>-2920722</v>
      </c>
      <c r="H317" s="239">
        <v>0</v>
      </c>
      <c r="I317" s="239">
        <v>-2920722</v>
      </c>
      <c r="J317" s="239">
        <v>-313706</v>
      </c>
      <c r="K317" s="239">
        <v>0</v>
      </c>
      <c r="L317" s="239">
        <v>-313706</v>
      </c>
      <c r="M317" s="239">
        <v>621868</v>
      </c>
      <c r="N317" s="239">
        <v>621868</v>
      </c>
      <c r="O317" s="239">
        <v>0</v>
      </c>
      <c r="P317" s="239">
        <v>0</v>
      </c>
      <c r="Q317" s="239">
        <v>0</v>
      </c>
      <c r="R317" s="239">
        <v>0</v>
      </c>
      <c r="S317" s="239">
        <v>2371741</v>
      </c>
      <c r="T317" s="239">
        <v>0</v>
      </c>
      <c r="U317" s="239">
        <v>797648</v>
      </c>
      <c r="V317" s="239">
        <v>0</v>
      </c>
      <c r="W317" s="239">
        <v>1574093</v>
      </c>
      <c r="X317" s="239">
        <v>0</v>
      </c>
      <c r="Y317" s="239">
        <v>0</v>
      </c>
      <c r="Z317" s="239">
        <v>0</v>
      </c>
      <c r="AA317" s="239">
        <v>0</v>
      </c>
      <c r="AB317" s="239">
        <v>0</v>
      </c>
      <c r="AC317" s="239">
        <v>0</v>
      </c>
      <c r="AD317" s="239">
        <v>0</v>
      </c>
      <c r="AE317" s="239">
        <v>0</v>
      </c>
      <c r="AF317" s="239">
        <v>0</v>
      </c>
      <c r="AG317" s="239">
        <v>0</v>
      </c>
      <c r="AH317" s="239">
        <v>0</v>
      </c>
      <c r="AI317" s="239">
        <v>0</v>
      </c>
      <c r="AJ317" s="239">
        <v>0</v>
      </c>
      <c r="AK317" s="239">
        <v>0</v>
      </c>
      <c r="AL317" s="239">
        <v>0</v>
      </c>
      <c r="AM317" s="239">
        <v>0</v>
      </c>
      <c r="AN317" s="239">
        <v>0</v>
      </c>
      <c r="AO317" s="239">
        <v>0</v>
      </c>
      <c r="AP317" s="239">
        <v>0</v>
      </c>
      <c r="AQ317" s="239">
        <v>0</v>
      </c>
      <c r="AR317" s="239">
        <v>0</v>
      </c>
      <c r="AS317" s="239">
        <v>0</v>
      </c>
      <c r="AT317" s="239">
        <v>0</v>
      </c>
      <c r="AU317" s="239">
        <v>0</v>
      </c>
      <c r="AV317" s="239">
        <v>0</v>
      </c>
      <c r="AW317" s="239">
        <v>0</v>
      </c>
      <c r="AX317" s="239">
        <v>0</v>
      </c>
      <c r="AY317" s="239">
        <v>0</v>
      </c>
      <c r="AZ317" s="239">
        <v>0</v>
      </c>
      <c r="BA317" s="239">
        <v>0</v>
      </c>
      <c r="BB317" s="239">
        <v>0</v>
      </c>
      <c r="BC317" s="239">
        <v>5527648</v>
      </c>
      <c r="BD317" s="239">
        <v>0</v>
      </c>
      <c r="BE317" s="239">
        <v>112809</v>
      </c>
      <c r="BF317" s="239">
        <v>5395737.2214866951</v>
      </c>
      <c r="BG317" s="239">
        <v>0</v>
      </c>
      <c r="BH317" s="239">
        <v>110117.08615278971</v>
      </c>
      <c r="BI317" s="239">
        <v>341705.23780096561</v>
      </c>
      <c r="BJ317" s="239">
        <v>0</v>
      </c>
      <c r="BK317" s="239">
        <v>6973.5762816523602</v>
      </c>
      <c r="BL317" s="239">
        <v>4757641</v>
      </c>
      <c r="BM317" s="239">
        <v>0</v>
      </c>
      <c r="BN317" s="239">
        <v>68752</v>
      </c>
      <c r="BO317" s="239">
        <v>770007</v>
      </c>
      <c r="BP317" s="239">
        <v>0</v>
      </c>
      <c r="BQ317" s="239">
        <v>44057</v>
      </c>
      <c r="BR317" s="239">
        <v>38582</v>
      </c>
      <c r="BS317" s="239">
        <v>0</v>
      </c>
      <c r="BT317" s="239">
        <v>787</v>
      </c>
      <c r="BU317" s="239">
        <v>37840</v>
      </c>
      <c r="BV317" s="239">
        <v>0</v>
      </c>
      <c r="BW317" s="239">
        <v>772</v>
      </c>
      <c r="BX317" s="239">
        <v>742</v>
      </c>
      <c r="BY317" s="239">
        <v>0</v>
      </c>
      <c r="BZ317" s="239">
        <v>15</v>
      </c>
      <c r="CA317" s="239">
        <v>13703</v>
      </c>
      <c r="CB317" s="239">
        <v>0</v>
      </c>
      <c r="CC317" s="239">
        <v>280</v>
      </c>
      <c r="CD317" s="239">
        <v>46441</v>
      </c>
      <c r="CE317" s="239">
        <v>0</v>
      </c>
      <c r="CF317" s="239">
        <v>948</v>
      </c>
      <c r="CG317" s="239">
        <v>-32738</v>
      </c>
      <c r="CH317" s="239">
        <v>0</v>
      </c>
      <c r="CI317" s="239">
        <v>-668</v>
      </c>
      <c r="CJ317" s="239">
        <v>26199</v>
      </c>
      <c r="CK317" s="239">
        <v>0</v>
      </c>
      <c r="CL317" s="239">
        <v>535</v>
      </c>
      <c r="CM317" s="239">
        <v>10936</v>
      </c>
      <c r="CN317" s="239">
        <v>0</v>
      </c>
      <c r="CO317" s="239">
        <v>223</v>
      </c>
      <c r="CP317" s="239">
        <v>15263</v>
      </c>
      <c r="CQ317" s="239">
        <v>0</v>
      </c>
      <c r="CR317" s="239">
        <v>312</v>
      </c>
      <c r="CS317" s="239">
        <v>-2674</v>
      </c>
      <c r="CT317" s="239">
        <v>0</v>
      </c>
      <c r="CU317" s="239">
        <v>-55</v>
      </c>
      <c r="CV317" s="239">
        <v>0</v>
      </c>
      <c r="CW317" s="239">
        <v>0</v>
      </c>
      <c r="CX317" s="239">
        <v>0</v>
      </c>
      <c r="CY317" s="239">
        <v>0</v>
      </c>
      <c r="CZ317" s="239">
        <v>0</v>
      </c>
      <c r="DA317" s="239">
        <v>0</v>
      </c>
      <c r="DB317" s="239">
        <v>0</v>
      </c>
      <c r="DC317" s="239">
        <v>0</v>
      </c>
      <c r="DD317" s="239">
        <v>0</v>
      </c>
      <c r="DE317" s="239">
        <v>0</v>
      </c>
      <c r="DF317" s="239">
        <v>0</v>
      </c>
      <c r="DG317" s="239">
        <v>0</v>
      </c>
      <c r="DH317" s="239">
        <v>92162</v>
      </c>
      <c r="DI317" s="239">
        <v>0</v>
      </c>
      <c r="DJ317" s="239">
        <v>1881</v>
      </c>
      <c r="DK317" s="239">
        <v>124984</v>
      </c>
      <c r="DL317" s="239">
        <v>0</v>
      </c>
      <c r="DM317" s="239">
        <v>2551</v>
      </c>
      <c r="DN317" s="239">
        <v>-32822</v>
      </c>
      <c r="DO317" s="239">
        <v>0</v>
      </c>
      <c r="DP317" s="239">
        <v>-670</v>
      </c>
      <c r="DQ317" s="239">
        <v>2984</v>
      </c>
      <c r="DR317" s="239">
        <v>0</v>
      </c>
      <c r="DS317" s="239">
        <v>61</v>
      </c>
      <c r="DT317" s="239">
        <v>7461</v>
      </c>
      <c r="DU317" s="239">
        <v>0</v>
      </c>
      <c r="DV317" s="239">
        <v>152</v>
      </c>
      <c r="DW317" s="239">
        <v>-4477</v>
      </c>
      <c r="DX317" s="239">
        <v>0</v>
      </c>
      <c r="DY317" s="239">
        <v>-91</v>
      </c>
      <c r="DZ317" s="239">
        <v>90145</v>
      </c>
      <c r="EA317" s="239">
        <v>0</v>
      </c>
      <c r="EB317" s="239">
        <v>1840</v>
      </c>
      <c r="EC317" s="239">
        <v>93889</v>
      </c>
      <c r="ED317" s="239">
        <v>0</v>
      </c>
      <c r="EE317" s="239">
        <v>0</v>
      </c>
      <c r="EF317" s="239">
        <v>-3744</v>
      </c>
      <c r="EG317" s="239">
        <v>0</v>
      </c>
      <c r="EH317" s="239">
        <v>1840</v>
      </c>
      <c r="EI317" s="239">
        <v>462454</v>
      </c>
      <c r="EJ317" s="239">
        <v>0</v>
      </c>
      <c r="EK317" s="239">
        <v>9438</v>
      </c>
      <c r="EL317" s="239">
        <v>464908</v>
      </c>
      <c r="EM317" s="239">
        <v>0</v>
      </c>
      <c r="EN317" s="239">
        <v>0</v>
      </c>
      <c r="EO317" s="239">
        <v>-2454</v>
      </c>
      <c r="EP317" s="239">
        <v>0</v>
      </c>
      <c r="EQ317" s="239">
        <v>9438</v>
      </c>
      <c r="ER317" s="239">
        <v>101250</v>
      </c>
      <c r="ES317" s="239">
        <v>0</v>
      </c>
      <c r="ET317" s="239">
        <v>2066</v>
      </c>
      <c r="EU317" s="239">
        <v>101502</v>
      </c>
      <c r="EV317" s="239">
        <v>0</v>
      </c>
      <c r="EW317" s="239">
        <v>0</v>
      </c>
      <c r="EX317" s="239">
        <v>-252</v>
      </c>
      <c r="EY317" s="239">
        <v>0</v>
      </c>
      <c r="EZ317" s="239">
        <v>2066</v>
      </c>
      <c r="FA317" s="239">
        <v>1067072</v>
      </c>
      <c r="FB317" s="239">
        <v>0</v>
      </c>
      <c r="FC317" s="239">
        <v>21050</v>
      </c>
      <c r="FD317" s="239">
        <v>1093429</v>
      </c>
      <c r="FE317" s="239">
        <v>0</v>
      </c>
      <c r="FF317" s="239">
        <v>22070</v>
      </c>
      <c r="FG317" s="239">
        <v>-26357</v>
      </c>
      <c r="FH317" s="239">
        <v>0</v>
      </c>
      <c r="FI317" s="239">
        <v>-1020</v>
      </c>
      <c r="FJ317" s="239">
        <v>0</v>
      </c>
      <c r="FK317" s="239">
        <v>0</v>
      </c>
      <c r="FL317" s="239">
        <v>0</v>
      </c>
      <c r="FM317" s="239">
        <v>0</v>
      </c>
      <c r="FN317" s="239">
        <v>0</v>
      </c>
      <c r="FO317" s="239">
        <v>0</v>
      </c>
      <c r="FP317" s="239">
        <v>0</v>
      </c>
      <c r="FQ317" s="239">
        <v>0</v>
      </c>
      <c r="FR317" s="239">
        <v>0</v>
      </c>
      <c r="FS317" s="239">
        <v>0</v>
      </c>
      <c r="FT317" s="239">
        <v>0</v>
      </c>
      <c r="FU317" s="239">
        <v>0</v>
      </c>
      <c r="FV317" s="239">
        <v>7419525</v>
      </c>
      <c r="FW317" s="239">
        <v>0</v>
      </c>
      <c r="FX317" s="239">
        <v>150692</v>
      </c>
      <c r="FY317" s="834">
        <v>0.5</v>
      </c>
      <c r="FZ317" s="834">
        <v>0.49</v>
      </c>
      <c r="GA317" s="834">
        <v>0</v>
      </c>
      <c r="GB317" s="834">
        <v>0.01</v>
      </c>
      <c r="GC317" s="214" t="s">
        <v>746</v>
      </c>
    </row>
    <row r="318" spans="2:185" s="214" customFormat="1" x14ac:dyDescent="0.2">
      <c r="B318" s="602" t="s">
        <v>719</v>
      </c>
      <c r="C318" s="602" t="s">
        <v>718</v>
      </c>
      <c r="D318" s="239">
        <v>1642298</v>
      </c>
      <c r="E318" s="239">
        <v>0</v>
      </c>
      <c r="F318" s="239">
        <v>1642298</v>
      </c>
      <c r="G318" s="239">
        <v>1527982</v>
      </c>
      <c r="H318" s="239">
        <v>0</v>
      </c>
      <c r="I318" s="239">
        <v>1527982</v>
      </c>
      <c r="J318" s="239">
        <v>114316</v>
      </c>
      <c r="K318" s="239">
        <v>0</v>
      </c>
      <c r="L318" s="239">
        <v>114316</v>
      </c>
      <c r="M318" s="239">
        <v>198201</v>
      </c>
      <c r="N318" s="239">
        <v>198201</v>
      </c>
      <c r="O318" s="239">
        <v>0</v>
      </c>
      <c r="P318" s="239">
        <v>0</v>
      </c>
      <c r="Q318" s="239">
        <v>0</v>
      </c>
      <c r="R318" s="239">
        <v>0</v>
      </c>
      <c r="S318" s="239">
        <v>330056</v>
      </c>
      <c r="T318" s="239">
        <v>0</v>
      </c>
      <c r="U318" s="239">
        <v>285000</v>
      </c>
      <c r="V318" s="239">
        <v>0</v>
      </c>
      <c r="W318" s="239">
        <v>45056</v>
      </c>
      <c r="X318" s="239">
        <v>0</v>
      </c>
      <c r="Y318" s="239">
        <v>0</v>
      </c>
      <c r="Z318" s="239">
        <v>0</v>
      </c>
      <c r="AA318" s="239">
        <v>0</v>
      </c>
      <c r="AB318" s="239">
        <v>0</v>
      </c>
      <c r="AC318" s="239">
        <v>0</v>
      </c>
      <c r="AD318" s="239">
        <v>0</v>
      </c>
      <c r="AE318" s="239">
        <v>0</v>
      </c>
      <c r="AF318" s="239">
        <v>0</v>
      </c>
      <c r="AG318" s="239">
        <v>0</v>
      </c>
      <c r="AH318" s="239">
        <v>0</v>
      </c>
      <c r="AI318" s="239">
        <v>0</v>
      </c>
      <c r="AJ318" s="239">
        <v>0</v>
      </c>
      <c r="AK318" s="239">
        <v>0</v>
      </c>
      <c r="AL318" s="239">
        <v>0</v>
      </c>
      <c r="AM318" s="239">
        <v>0</v>
      </c>
      <c r="AN318" s="239">
        <v>0</v>
      </c>
      <c r="AO318" s="239">
        <v>0</v>
      </c>
      <c r="AP318" s="239">
        <v>0</v>
      </c>
      <c r="AQ318" s="239">
        <v>0</v>
      </c>
      <c r="AR318" s="239">
        <v>0</v>
      </c>
      <c r="AS318" s="239">
        <v>0</v>
      </c>
      <c r="AT318" s="239">
        <v>0</v>
      </c>
      <c r="AU318" s="239">
        <v>0</v>
      </c>
      <c r="AV318" s="239">
        <v>0</v>
      </c>
      <c r="AW318" s="239">
        <v>0</v>
      </c>
      <c r="AX318" s="239">
        <v>0</v>
      </c>
      <c r="AY318" s="239">
        <v>0</v>
      </c>
      <c r="AZ318" s="239">
        <v>0</v>
      </c>
      <c r="BA318" s="239">
        <v>0</v>
      </c>
      <c r="BB318" s="239">
        <v>0</v>
      </c>
      <c r="BC318" s="239">
        <v>1173164</v>
      </c>
      <c r="BD318" s="239">
        <v>263962</v>
      </c>
      <c r="BE318" s="239">
        <v>29329</v>
      </c>
      <c r="BF318" s="239">
        <v>1134078.5214660945</v>
      </c>
      <c r="BG318" s="239">
        <v>255167.66732987124</v>
      </c>
      <c r="BH318" s="239">
        <v>28351.96303665236</v>
      </c>
      <c r="BI318" s="239">
        <v>117465.95682403434</v>
      </c>
      <c r="BJ318" s="239">
        <v>26429.840285407721</v>
      </c>
      <c r="BK318" s="239">
        <v>2936.6489206008582</v>
      </c>
      <c r="BL318" s="239">
        <v>1099950</v>
      </c>
      <c r="BM318" s="239">
        <v>156639</v>
      </c>
      <c r="BN318" s="239">
        <v>17404</v>
      </c>
      <c r="BO318" s="239">
        <v>73214</v>
      </c>
      <c r="BP318" s="239">
        <v>107323</v>
      </c>
      <c r="BQ318" s="239">
        <v>11925</v>
      </c>
      <c r="BR318" s="239">
        <v>1510</v>
      </c>
      <c r="BS318" s="239">
        <v>340</v>
      </c>
      <c r="BT318" s="239">
        <v>38</v>
      </c>
      <c r="BU318" s="239">
        <v>8120</v>
      </c>
      <c r="BV318" s="239">
        <v>1827</v>
      </c>
      <c r="BW318" s="239">
        <v>203</v>
      </c>
      <c r="BX318" s="239">
        <v>-6610</v>
      </c>
      <c r="BY318" s="239">
        <v>-1487</v>
      </c>
      <c r="BZ318" s="239">
        <v>-165</v>
      </c>
      <c r="CA318" s="239">
        <v>75445</v>
      </c>
      <c r="CB318" s="239">
        <v>16975</v>
      </c>
      <c r="CC318" s="239">
        <v>1886</v>
      </c>
      <c r="CD318" s="239">
        <v>0</v>
      </c>
      <c r="CE318" s="239">
        <v>0</v>
      </c>
      <c r="CF318" s="239">
        <v>0</v>
      </c>
      <c r="CG318" s="239">
        <v>75445</v>
      </c>
      <c r="CH318" s="239">
        <v>16975</v>
      </c>
      <c r="CI318" s="239">
        <v>1886</v>
      </c>
      <c r="CJ318" s="239">
        <v>0</v>
      </c>
      <c r="CK318" s="239">
        <v>0</v>
      </c>
      <c r="CL318" s="239">
        <v>0</v>
      </c>
      <c r="CM318" s="239">
        <v>0</v>
      </c>
      <c r="CN318" s="239">
        <v>0</v>
      </c>
      <c r="CO318" s="239">
        <v>0</v>
      </c>
      <c r="CP318" s="239">
        <v>0</v>
      </c>
      <c r="CQ318" s="239">
        <v>0</v>
      </c>
      <c r="CR318" s="239">
        <v>0</v>
      </c>
      <c r="CS318" s="239">
        <v>-1939</v>
      </c>
      <c r="CT318" s="239">
        <v>-436</v>
      </c>
      <c r="CU318" s="239">
        <v>-48</v>
      </c>
      <c r="CV318" s="239">
        <v>0</v>
      </c>
      <c r="CW318" s="239">
        <v>0</v>
      </c>
      <c r="CX318" s="239">
        <v>0</v>
      </c>
      <c r="CY318" s="239">
        <v>0</v>
      </c>
      <c r="CZ318" s="239">
        <v>0</v>
      </c>
      <c r="DA318" s="239">
        <v>0</v>
      </c>
      <c r="DB318" s="239">
        <v>0</v>
      </c>
      <c r="DC318" s="239">
        <v>0</v>
      </c>
      <c r="DD318" s="239">
        <v>0</v>
      </c>
      <c r="DE318" s="239">
        <v>0</v>
      </c>
      <c r="DF318" s="239">
        <v>0</v>
      </c>
      <c r="DG318" s="239">
        <v>0</v>
      </c>
      <c r="DH318" s="239">
        <v>2441</v>
      </c>
      <c r="DI318" s="239">
        <v>549</v>
      </c>
      <c r="DJ318" s="239">
        <v>61</v>
      </c>
      <c r="DK318" s="239">
        <v>3248</v>
      </c>
      <c r="DL318" s="239">
        <v>731</v>
      </c>
      <c r="DM318" s="239">
        <v>81</v>
      </c>
      <c r="DN318" s="239">
        <v>-807</v>
      </c>
      <c r="DO318" s="239">
        <v>-182</v>
      </c>
      <c r="DP318" s="239">
        <v>-20</v>
      </c>
      <c r="DQ318" s="239">
        <v>0</v>
      </c>
      <c r="DR318" s="239">
        <v>0</v>
      </c>
      <c r="DS318" s="239">
        <v>0</v>
      </c>
      <c r="DT318" s="239">
        <v>1219</v>
      </c>
      <c r="DU318" s="239">
        <v>274</v>
      </c>
      <c r="DV318" s="239">
        <v>30</v>
      </c>
      <c r="DW318" s="239">
        <v>-1219</v>
      </c>
      <c r="DX318" s="239">
        <v>-274</v>
      </c>
      <c r="DY318" s="239">
        <v>-30</v>
      </c>
      <c r="DZ318" s="239">
        <v>31920</v>
      </c>
      <c r="EA318" s="239">
        <v>7182</v>
      </c>
      <c r="EB318" s="239">
        <v>798</v>
      </c>
      <c r="EC318" s="239">
        <v>41082</v>
      </c>
      <c r="ED318" s="239">
        <v>0</v>
      </c>
      <c r="EE318" s="239">
        <v>0</v>
      </c>
      <c r="EF318" s="239">
        <v>-9162</v>
      </c>
      <c r="EG318" s="239">
        <v>7182</v>
      </c>
      <c r="EH318" s="239">
        <v>798</v>
      </c>
      <c r="EI318" s="239">
        <v>215172</v>
      </c>
      <c r="EJ318" s="239">
        <v>48414</v>
      </c>
      <c r="EK318" s="239">
        <v>5379</v>
      </c>
      <c r="EL318" s="239">
        <v>264984</v>
      </c>
      <c r="EM318" s="239">
        <v>0</v>
      </c>
      <c r="EN318" s="239">
        <v>0</v>
      </c>
      <c r="EO318" s="239">
        <v>-49812</v>
      </c>
      <c r="EP318" s="239">
        <v>48414</v>
      </c>
      <c r="EQ318" s="239">
        <v>5379</v>
      </c>
      <c r="ER318" s="239">
        <v>37523</v>
      </c>
      <c r="ES318" s="239">
        <v>8443</v>
      </c>
      <c r="ET318" s="239">
        <v>938</v>
      </c>
      <c r="EU318" s="239">
        <v>47146</v>
      </c>
      <c r="EV318" s="239">
        <v>0</v>
      </c>
      <c r="EW318" s="239">
        <v>0</v>
      </c>
      <c r="EX318" s="239">
        <v>-9623</v>
      </c>
      <c r="EY318" s="239">
        <v>8443</v>
      </c>
      <c r="EZ318" s="239">
        <v>938</v>
      </c>
      <c r="FA318" s="239">
        <v>348472</v>
      </c>
      <c r="FB318" s="239">
        <v>77291</v>
      </c>
      <c r="FC318" s="239">
        <v>8588</v>
      </c>
      <c r="FD318" s="239">
        <v>354437</v>
      </c>
      <c r="FE318" s="239">
        <v>78785</v>
      </c>
      <c r="FF318" s="239">
        <v>8754</v>
      </c>
      <c r="FG318" s="239">
        <v>-5965</v>
      </c>
      <c r="FH318" s="239">
        <v>-1494</v>
      </c>
      <c r="FI318" s="239">
        <v>-166</v>
      </c>
      <c r="FJ318" s="239">
        <v>0</v>
      </c>
      <c r="FK318" s="239">
        <v>0</v>
      </c>
      <c r="FL318" s="239">
        <v>0</v>
      </c>
      <c r="FM318" s="239">
        <v>0</v>
      </c>
      <c r="FN318" s="239">
        <v>0</v>
      </c>
      <c r="FO318" s="239">
        <v>0</v>
      </c>
      <c r="FP318" s="239">
        <v>0</v>
      </c>
      <c r="FQ318" s="239">
        <v>0</v>
      </c>
      <c r="FR318" s="239">
        <v>0</v>
      </c>
      <c r="FS318" s="239">
        <v>0</v>
      </c>
      <c r="FT318" s="239">
        <v>0</v>
      </c>
      <c r="FU318" s="239">
        <v>0</v>
      </c>
      <c r="FV318" s="239">
        <v>1883708</v>
      </c>
      <c r="FW318" s="239">
        <v>422720</v>
      </c>
      <c r="FX318" s="239">
        <v>46969</v>
      </c>
      <c r="FY318" s="834">
        <v>0.5</v>
      </c>
      <c r="FZ318" s="834">
        <v>0.4</v>
      </c>
      <c r="GA318" s="834">
        <v>0.09</v>
      </c>
      <c r="GB318" s="834">
        <v>0.01</v>
      </c>
      <c r="GC318" s="214" t="s">
        <v>1158</v>
      </c>
    </row>
    <row r="319" spans="2:185" s="214" customFormat="1" x14ac:dyDescent="0.2">
      <c r="B319" s="602" t="s">
        <v>721</v>
      </c>
      <c r="C319" s="602" t="s">
        <v>720</v>
      </c>
      <c r="D319" s="239">
        <v>1286007</v>
      </c>
      <c r="E319" s="239">
        <v>0</v>
      </c>
      <c r="F319" s="239">
        <v>1286007</v>
      </c>
      <c r="G319" s="239">
        <v>4761580</v>
      </c>
      <c r="H319" s="239">
        <v>0</v>
      </c>
      <c r="I319" s="239">
        <v>4761580</v>
      </c>
      <c r="J319" s="239">
        <v>-3475573</v>
      </c>
      <c r="K319" s="239">
        <v>0</v>
      </c>
      <c r="L319" s="239">
        <v>-3475573</v>
      </c>
      <c r="M319" s="239">
        <v>249199</v>
      </c>
      <c r="N319" s="239">
        <v>249199</v>
      </c>
      <c r="O319" s="239">
        <v>0</v>
      </c>
      <c r="P319" s="239">
        <v>0</v>
      </c>
      <c r="Q319" s="239">
        <v>0</v>
      </c>
      <c r="R319" s="239">
        <v>0</v>
      </c>
      <c r="S319" s="239">
        <v>9261</v>
      </c>
      <c r="T319" s="239">
        <v>0</v>
      </c>
      <c r="U319" s="239">
        <v>9261</v>
      </c>
      <c r="V319" s="239">
        <v>0</v>
      </c>
      <c r="W319" s="239">
        <v>0</v>
      </c>
      <c r="X319" s="239">
        <v>0</v>
      </c>
      <c r="Y319" s="239">
        <v>0</v>
      </c>
      <c r="Z319" s="239">
        <v>0</v>
      </c>
      <c r="AA319" s="239">
        <v>0</v>
      </c>
      <c r="AB319" s="239">
        <v>0</v>
      </c>
      <c r="AC319" s="239">
        <v>0</v>
      </c>
      <c r="AD319" s="239">
        <v>0</v>
      </c>
      <c r="AE319" s="239">
        <v>0</v>
      </c>
      <c r="AF319" s="239">
        <v>0</v>
      </c>
      <c r="AG319" s="239">
        <v>0</v>
      </c>
      <c r="AH319" s="239">
        <v>0</v>
      </c>
      <c r="AI319" s="239">
        <v>0</v>
      </c>
      <c r="AJ319" s="239">
        <v>0</v>
      </c>
      <c r="AK319" s="239">
        <v>0</v>
      </c>
      <c r="AL319" s="239">
        <v>0</v>
      </c>
      <c r="AM319" s="239">
        <v>0</v>
      </c>
      <c r="AN319" s="239">
        <v>0</v>
      </c>
      <c r="AO319" s="239">
        <v>0</v>
      </c>
      <c r="AP319" s="239">
        <v>0</v>
      </c>
      <c r="AQ319" s="239">
        <v>0</v>
      </c>
      <c r="AR319" s="239">
        <v>0</v>
      </c>
      <c r="AS319" s="239">
        <v>0</v>
      </c>
      <c r="AT319" s="239">
        <v>0</v>
      </c>
      <c r="AU319" s="239">
        <v>0</v>
      </c>
      <c r="AV319" s="239">
        <v>0</v>
      </c>
      <c r="AW319" s="239">
        <v>0</v>
      </c>
      <c r="AX319" s="239">
        <v>0</v>
      </c>
      <c r="AY319" s="239">
        <v>0</v>
      </c>
      <c r="AZ319" s="239">
        <v>0</v>
      </c>
      <c r="BA319" s="239">
        <v>0</v>
      </c>
      <c r="BB319" s="239">
        <v>0</v>
      </c>
      <c r="BC319" s="239">
        <v>1249634</v>
      </c>
      <c r="BD319" s="239">
        <v>0</v>
      </c>
      <c r="BE319" s="239">
        <v>25503</v>
      </c>
      <c r="BF319" s="239">
        <v>1199323.683254957</v>
      </c>
      <c r="BG319" s="239">
        <v>0</v>
      </c>
      <c r="BH319" s="239">
        <v>24475.993535815451</v>
      </c>
      <c r="BI319" s="239">
        <v>184004.39138626607</v>
      </c>
      <c r="BJ319" s="239">
        <v>0</v>
      </c>
      <c r="BK319" s="239">
        <v>3755.191660944206</v>
      </c>
      <c r="BL319" s="239">
        <v>1061282</v>
      </c>
      <c r="BM319" s="239">
        <v>0</v>
      </c>
      <c r="BN319" s="239">
        <v>13964</v>
      </c>
      <c r="BO319" s="239">
        <v>188352</v>
      </c>
      <c r="BP319" s="239">
        <v>0</v>
      </c>
      <c r="BQ319" s="239">
        <v>11539</v>
      </c>
      <c r="BR319" s="239">
        <v>0</v>
      </c>
      <c r="BS319" s="239">
        <v>0</v>
      </c>
      <c r="BT319" s="239">
        <v>0</v>
      </c>
      <c r="BU319" s="239">
        <v>0</v>
      </c>
      <c r="BV319" s="239">
        <v>0</v>
      </c>
      <c r="BW319" s="239">
        <v>0</v>
      </c>
      <c r="BX319" s="239">
        <v>0</v>
      </c>
      <c r="BY319" s="239">
        <v>0</v>
      </c>
      <c r="BZ319" s="239">
        <v>0</v>
      </c>
      <c r="CA319" s="239">
        <v>0</v>
      </c>
      <c r="CB319" s="239">
        <v>0</v>
      </c>
      <c r="CC319" s="239">
        <v>0</v>
      </c>
      <c r="CD319" s="239">
        <v>0</v>
      </c>
      <c r="CE319" s="239">
        <v>0</v>
      </c>
      <c r="CF319" s="239">
        <v>0</v>
      </c>
      <c r="CG319" s="239">
        <v>0</v>
      </c>
      <c r="CH319" s="239">
        <v>0</v>
      </c>
      <c r="CI319" s="239">
        <v>0</v>
      </c>
      <c r="CJ319" s="239">
        <v>110009</v>
      </c>
      <c r="CK319" s="239">
        <v>0</v>
      </c>
      <c r="CL319" s="239">
        <v>2245</v>
      </c>
      <c r="CM319" s="239">
        <v>9017</v>
      </c>
      <c r="CN319" s="239">
        <v>0</v>
      </c>
      <c r="CO319" s="239">
        <v>184</v>
      </c>
      <c r="CP319" s="239">
        <v>100992</v>
      </c>
      <c r="CQ319" s="239">
        <v>0</v>
      </c>
      <c r="CR319" s="239">
        <v>2061</v>
      </c>
      <c r="CS319" s="239">
        <v>0</v>
      </c>
      <c r="CT319" s="239">
        <v>0</v>
      </c>
      <c r="CU319" s="239">
        <v>0</v>
      </c>
      <c r="CV319" s="239">
        <v>0</v>
      </c>
      <c r="CW319" s="239">
        <v>0</v>
      </c>
      <c r="CX319" s="239">
        <v>0</v>
      </c>
      <c r="CY319" s="239">
        <v>0</v>
      </c>
      <c r="CZ319" s="239">
        <v>0</v>
      </c>
      <c r="DA319" s="239">
        <v>0</v>
      </c>
      <c r="DB319" s="239">
        <v>0</v>
      </c>
      <c r="DC319" s="239">
        <v>0</v>
      </c>
      <c r="DD319" s="239">
        <v>0</v>
      </c>
      <c r="DE319" s="239">
        <v>0</v>
      </c>
      <c r="DF319" s="239">
        <v>0</v>
      </c>
      <c r="DG319" s="239">
        <v>0</v>
      </c>
      <c r="DH319" s="239">
        <v>3187</v>
      </c>
      <c r="DI319" s="239">
        <v>0</v>
      </c>
      <c r="DJ319" s="239">
        <v>65</v>
      </c>
      <c r="DK319" s="239">
        <v>3187</v>
      </c>
      <c r="DL319" s="239">
        <v>0</v>
      </c>
      <c r="DM319" s="239">
        <v>65</v>
      </c>
      <c r="DN319" s="239">
        <v>0</v>
      </c>
      <c r="DO319" s="239">
        <v>0</v>
      </c>
      <c r="DP319" s="239">
        <v>0</v>
      </c>
      <c r="DQ319" s="239">
        <v>746</v>
      </c>
      <c r="DR319" s="239">
        <v>0</v>
      </c>
      <c r="DS319" s="239">
        <v>15</v>
      </c>
      <c r="DT319" s="239">
        <v>746</v>
      </c>
      <c r="DU319" s="239">
        <v>0</v>
      </c>
      <c r="DV319" s="239">
        <v>15</v>
      </c>
      <c r="DW319" s="239">
        <v>0</v>
      </c>
      <c r="DX319" s="239">
        <v>0</v>
      </c>
      <c r="DY319" s="239">
        <v>0</v>
      </c>
      <c r="DZ319" s="239">
        <v>6389</v>
      </c>
      <c r="EA319" s="239">
        <v>0</v>
      </c>
      <c r="EB319" s="239">
        <v>130</v>
      </c>
      <c r="EC319" s="239">
        <v>42149</v>
      </c>
      <c r="ED319" s="239">
        <v>0</v>
      </c>
      <c r="EE319" s="239">
        <v>0</v>
      </c>
      <c r="EF319" s="239">
        <v>-35760</v>
      </c>
      <c r="EG319" s="239">
        <v>0</v>
      </c>
      <c r="EH319" s="239">
        <v>130</v>
      </c>
      <c r="EI319" s="239">
        <v>327459</v>
      </c>
      <c r="EJ319" s="239">
        <v>0</v>
      </c>
      <c r="EK319" s="239">
        <v>6683</v>
      </c>
      <c r="EL319" s="239">
        <v>338929</v>
      </c>
      <c r="EM319" s="239">
        <v>0</v>
      </c>
      <c r="EN319" s="239">
        <v>0</v>
      </c>
      <c r="EO319" s="239">
        <v>-11470</v>
      </c>
      <c r="EP319" s="239">
        <v>0</v>
      </c>
      <c r="EQ319" s="239">
        <v>6683</v>
      </c>
      <c r="ER319" s="239">
        <v>27406</v>
      </c>
      <c r="ES319" s="239">
        <v>0</v>
      </c>
      <c r="ET319" s="239">
        <v>559</v>
      </c>
      <c r="EU319" s="239">
        <v>45168</v>
      </c>
      <c r="EV319" s="239">
        <v>0</v>
      </c>
      <c r="EW319" s="239">
        <v>0</v>
      </c>
      <c r="EX319" s="239">
        <v>-17762</v>
      </c>
      <c r="EY319" s="239">
        <v>0</v>
      </c>
      <c r="EZ319" s="239">
        <v>559</v>
      </c>
      <c r="FA319" s="239">
        <v>616980</v>
      </c>
      <c r="FB319" s="239">
        <v>0</v>
      </c>
      <c r="FC319" s="239">
        <v>12589</v>
      </c>
      <c r="FD319" s="239">
        <v>680999</v>
      </c>
      <c r="FE319" s="239">
        <v>0</v>
      </c>
      <c r="FF319" s="239">
        <v>13895</v>
      </c>
      <c r="FG319" s="239">
        <v>-64019</v>
      </c>
      <c r="FH319" s="239">
        <v>0</v>
      </c>
      <c r="FI319" s="239">
        <v>-1306</v>
      </c>
      <c r="FJ319" s="239">
        <v>0</v>
      </c>
      <c r="FK319" s="239">
        <v>0</v>
      </c>
      <c r="FL319" s="239">
        <v>0</v>
      </c>
      <c r="FM319" s="239">
        <v>0</v>
      </c>
      <c r="FN319" s="239">
        <v>0</v>
      </c>
      <c r="FO319" s="239">
        <v>0</v>
      </c>
      <c r="FP319" s="239">
        <v>0</v>
      </c>
      <c r="FQ319" s="239">
        <v>0</v>
      </c>
      <c r="FR319" s="239">
        <v>0</v>
      </c>
      <c r="FS319" s="239">
        <v>0</v>
      </c>
      <c r="FT319" s="239">
        <v>0</v>
      </c>
      <c r="FU319" s="239">
        <v>0</v>
      </c>
      <c r="FV319" s="239">
        <v>2341810</v>
      </c>
      <c r="FW319" s="239">
        <v>0</v>
      </c>
      <c r="FX319" s="239">
        <v>47789</v>
      </c>
      <c r="FY319" s="834">
        <v>0.5</v>
      </c>
      <c r="FZ319" s="834">
        <v>0.49</v>
      </c>
      <c r="GA319" s="834">
        <v>0</v>
      </c>
      <c r="GB319" s="834">
        <v>0.01</v>
      </c>
      <c r="GC319" s="214" t="s">
        <v>746</v>
      </c>
    </row>
    <row r="320" spans="2:185" s="214" customFormat="1" x14ac:dyDescent="0.2">
      <c r="B320" s="602" t="s">
        <v>723</v>
      </c>
      <c r="C320" s="602" t="s">
        <v>722</v>
      </c>
      <c r="D320" s="239">
        <v>-1880833</v>
      </c>
      <c r="E320" s="239">
        <v>-26290</v>
      </c>
      <c r="F320" s="239">
        <v>-1907123</v>
      </c>
      <c r="G320" s="239">
        <v>-1413821</v>
      </c>
      <c r="H320" s="239">
        <v>-29571</v>
      </c>
      <c r="I320" s="239">
        <v>-1443392</v>
      </c>
      <c r="J320" s="239">
        <v>-467012</v>
      </c>
      <c r="K320" s="239">
        <v>3281</v>
      </c>
      <c r="L320" s="239">
        <v>-463731</v>
      </c>
      <c r="M320" s="239">
        <v>334347</v>
      </c>
      <c r="N320" s="239">
        <v>334347</v>
      </c>
      <c r="O320" s="239">
        <v>0</v>
      </c>
      <c r="P320" s="239">
        <v>0</v>
      </c>
      <c r="Q320" s="239">
        <v>228652</v>
      </c>
      <c r="R320" s="239">
        <v>-228652</v>
      </c>
      <c r="S320" s="239">
        <v>0</v>
      </c>
      <c r="T320" s="239">
        <v>0</v>
      </c>
      <c r="U320" s="239">
        <v>0</v>
      </c>
      <c r="V320" s="239">
        <v>0</v>
      </c>
      <c r="W320" s="239">
        <v>0</v>
      </c>
      <c r="X320" s="239">
        <v>0</v>
      </c>
      <c r="Y320" s="239">
        <v>0</v>
      </c>
      <c r="Z320" s="239">
        <v>0</v>
      </c>
      <c r="AA320" s="239">
        <v>0</v>
      </c>
      <c r="AB320" s="239">
        <v>0</v>
      </c>
      <c r="AC320" s="239">
        <v>0</v>
      </c>
      <c r="AD320" s="239">
        <v>0</v>
      </c>
      <c r="AE320" s="239">
        <v>0</v>
      </c>
      <c r="AF320" s="239">
        <v>0</v>
      </c>
      <c r="AG320" s="239">
        <v>0</v>
      </c>
      <c r="AH320" s="239">
        <v>0</v>
      </c>
      <c r="AI320" s="239">
        <v>0</v>
      </c>
      <c r="AJ320" s="239">
        <v>0</v>
      </c>
      <c r="AK320" s="239">
        <v>0</v>
      </c>
      <c r="AL320" s="239">
        <v>0</v>
      </c>
      <c r="AM320" s="239">
        <v>0</v>
      </c>
      <c r="AN320" s="239">
        <v>0</v>
      </c>
      <c r="AO320" s="239">
        <v>0</v>
      </c>
      <c r="AP320" s="239">
        <v>0</v>
      </c>
      <c r="AQ320" s="239">
        <v>0</v>
      </c>
      <c r="AR320" s="239">
        <v>0</v>
      </c>
      <c r="AS320" s="239">
        <v>0</v>
      </c>
      <c r="AT320" s="239">
        <v>0</v>
      </c>
      <c r="AU320" s="239">
        <v>0</v>
      </c>
      <c r="AV320" s="239">
        <v>0</v>
      </c>
      <c r="AW320" s="239">
        <v>0</v>
      </c>
      <c r="AX320" s="239">
        <v>0</v>
      </c>
      <c r="AY320" s="239">
        <v>0</v>
      </c>
      <c r="AZ320" s="239">
        <v>0</v>
      </c>
      <c r="BA320" s="239">
        <v>0</v>
      </c>
      <c r="BB320" s="239">
        <v>0</v>
      </c>
      <c r="BC320" s="239">
        <v>6265781</v>
      </c>
      <c r="BD320" s="239">
        <v>0</v>
      </c>
      <c r="BE320" s="239">
        <v>63111</v>
      </c>
      <c r="BF320" s="239">
        <v>6138645.5776658366</v>
      </c>
      <c r="BG320" s="239">
        <v>0</v>
      </c>
      <c r="BH320" s="239">
        <v>61830.165806266101</v>
      </c>
      <c r="BI320" s="239">
        <v>349733.79642918456</v>
      </c>
      <c r="BJ320" s="239">
        <v>0</v>
      </c>
      <c r="BK320" s="239">
        <v>3518.3364034334763</v>
      </c>
      <c r="BL320" s="239">
        <v>6270116</v>
      </c>
      <c r="BM320" s="239">
        <v>0</v>
      </c>
      <c r="BN320" s="239">
        <v>46324</v>
      </c>
      <c r="BO320" s="239">
        <v>-4335</v>
      </c>
      <c r="BP320" s="239">
        <v>0</v>
      </c>
      <c r="BQ320" s="239">
        <v>16787</v>
      </c>
      <c r="BR320" s="239">
        <v>21288</v>
      </c>
      <c r="BS320" s="239">
        <v>0</v>
      </c>
      <c r="BT320" s="239">
        <v>215</v>
      </c>
      <c r="BU320" s="239">
        <v>17978</v>
      </c>
      <c r="BV320" s="239">
        <v>0</v>
      </c>
      <c r="BW320" s="239">
        <v>182</v>
      </c>
      <c r="BX320" s="239">
        <v>3310</v>
      </c>
      <c r="BY320" s="239">
        <v>0</v>
      </c>
      <c r="BZ320" s="239">
        <v>33</v>
      </c>
      <c r="CA320" s="239">
        <v>0</v>
      </c>
      <c r="CB320" s="239">
        <v>0</v>
      </c>
      <c r="CC320" s="239">
        <v>0</v>
      </c>
      <c r="CD320" s="239">
        <v>0</v>
      </c>
      <c r="CE320" s="239">
        <v>0</v>
      </c>
      <c r="CF320" s="239">
        <v>0</v>
      </c>
      <c r="CG320" s="239">
        <v>0</v>
      </c>
      <c r="CH320" s="239">
        <v>0</v>
      </c>
      <c r="CI320" s="239">
        <v>0</v>
      </c>
      <c r="CJ320" s="239">
        <v>-1273</v>
      </c>
      <c r="CK320" s="239">
        <v>0</v>
      </c>
      <c r="CL320" s="239">
        <v>-13</v>
      </c>
      <c r="CM320" s="239">
        <v>9224</v>
      </c>
      <c r="CN320" s="239">
        <v>0</v>
      </c>
      <c r="CO320" s="239">
        <v>93</v>
      </c>
      <c r="CP320" s="239">
        <v>-10497</v>
      </c>
      <c r="CQ320" s="239">
        <v>0</v>
      </c>
      <c r="CR320" s="239">
        <v>-106</v>
      </c>
      <c r="CS320" s="239">
        <v>0</v>
      </c>
      <c r="CT320" s="239">
        <v>0</v>
      </c>
      <c r="CU320" s="239">
        <v>0</v>
      </c>
      <c r="CV320" s="239">
        <v>0</v>
      </c>
      <c r="CW320" s="239">
        <v>0</v>
      </c>
      <c r="CX320" s="239">
        <v>0</v>
      </c>
      <c r="CY320" s="239">
        <v>0</v>
      </c>
      <c r="CZ320" s="239">
        <v>0</v>
      </c>
      <c r="DA320" s="239">
        <v>0</v>
      </c>
      <c r="DB320" s="239">
        <v>0</v>
      </c>
      <c r="DC320" s="239">
        <v>0</v>
      </c>
      <c r="DD320" s="239">
        <v>0</v>
      </c>
      <c r="DE320" s="239">
        <v>0</v>
      </c>
      <c r="DF320" s="239">
        <v>0</v>
      </c>
      <c r="DG320" s="239">
        <v>0</v>
      </c>
      <c r="DH320" s="239">
        <v>0</v>
      </c>
      <c r="DI320" s="239">
        <v>0</v>
      </c>
      <c r="DJ320" s="239">
        <v>0</v>
      </c>
      <c r="DK320" s="239">
        <v>0</v>
      </c>
      <c r="DL320" s="239">
        <v>0</v>
      </c>
      <c r="DM320" s="239">
        <v>0</v>
      </c>
      <c r="DN320" s="239">
        <v>0</v>
      </c>
      <c r="DO320" s="239">
        <v>0</v>
      </c>
      <c r="DP320" s="239">
        <v>0</v>
      </c>
      <c r="DQ320" s="239">
        <v>1507</v>
      </c>
      <c r="DR320" s="239">
        <v>0</v>
      </c>
      <c r="DS320" s="239">
        <v>15</v>
      </c>
      <c r="DT320" s="239">
        <v>6029</v>
      </c>
      <c r="DU320" s="239">
        <v>0</v>
      </c>
      <c r="DV320" s="239">
        <v>61</v>
      </c>
      <c r="DW320" s="239">
        <v>-4522</v>
      </c>
      <c r="DX320" s="239">
        <v>0</v>
      </c>
      <c r="DY320" s="239">
        <v>-46</v>
      </c>
      <c r="DZ320" s="239">
        <v>19828</v>
      </c>
      <c r="EA320" s="239">
        <v>0</v>
      </c>
      <c r="EB320" s="239">
        <v>200</v>
      </c>
      <c r="EC320" s="239">
        <v>26165</v>
      </c>
      <c r="ED320" s="239">
        <v>0</v>
      </c>
      <c r="EE320" s="239">
        <v>0</v>
      </c>
      <c r="EF320" s="239">
        <v>-6337</v>
      </c>
      <c r="EG320" s="239">
        <v>0</v>
      </c>
      <c r="EH320" s="239">
        <v>200</v>
      </c>
      <c r="EI320" s="239">
        <v>534592</v>
      </c>
      <c r="EJ320" s="239">
        <v>0</v>
      </c>
      <c r="EK320" s="239">
        <v>5400</v>
      </c>
      <c r="EL320" s="239">
        <v>532236</v>
      </c>
      <c r="EM320" s="239">
        <v>0</v>
      </c>
      <c r="EN320" s="239">
        <v>0</v>
      </c>
      <c r="EO320" s="239">
        <v>2356</v>
      </c>
      <c r="EP320" s="239">
        <v>0</v>
      </c>
      <c r="EQ320" s="239">
        <v>5400</v>
      </c>
      <c r="ER320" s="239">
        <v>78000</v>
      </c>
      <c r="ES320" s="239">
        <v>0</v>
      </c>
      <c r="ET320" s="239">
        <v>788</v>
      </c>
      <c r="EU320" s="239">
        <v>83385</v>
      </c>
      <c r="EV320" s="239">
        <v>0</v>
      </c>
      <c r="EW320" s="239">
        <v>0</v>
      </c>
      <c r="EX320" s="239">
        <v>-5385</v>
      </c>
      <c r="EY320" s="239">
        <v>0</v>
      </c>
      <c r="EZ320" s="239">
        <v>788</v>
      </c>
      <c r="FA320" s="239">
        <v>974035</v>
      </c>
      <c r="FB320" s="239">
        <v>0</v>
      </c>
      <c r="FC320" s="239">
        <v>9839</v>
      </c>
      <c r="FD320" s="239">
        <v>1023267</v>
      </c>
      <c r="FE320" s="239">
        <v>0</v>
      </c>
      <c r="FF320" s="239">
        <v>10301</v>
      </c>
      <c r="FG320" s="239">
        <v>-49232</v>
      </c>
      <c r="FH320" s="239">
        <v>0</v>
      </c>
      <c r="FI320" s="239">
        <v>-462</v>
      </c>
      <c r="FJ320" s="239">
        <v>75365</v>
      </c>
      <c r="FK320" s="239">
        <v>0</v>
      </c>
      <c r="FL320" s="239">
        <v>0</v>
      </c>
      <c r="FM320" s="239">
        <v>77522</v>
      </c>
      <c r="FN320" s="239">
        <v>0</v>
      </c>
      <c r="FO320" s="239">
        <v>0</v>
      </c>
      <c r="FP320" s="239">
        <v>-2157</v>
      </c>
      <c r="FQ320" s="239">
        <v>0</v>
      </c>
      <c r="FR320" s="239">
        <v>0</v>
      </c>
      <c r="FS320" s="239">
        <v>0</v>
      </c>
      <c r="FT320" s="239">
        <v>0</v>
      </c>
      <c r="FU320" s="239">
        <v>0</v>
      </c>
      <c r="FV320" s="239">
        <v>7969123</v>
      </c>
      <c r="FW320" s="239">
        <v>0</v>
      </c>
      <c r="FX320" s="239">
        <v>79555</v>
      </c>
      <c r="FY320" s="834">
        <v>0</v>
      </c>
      <c r="FZ320" s="834">
        <v>0.99</v>
      </c>
      <c r="GA320" s="834">
        <v>0</v>
      </c>
      <c r="GB320" s="834">
        <v>0.01</v>
      </c>
      <c r="GC320" s="214" t="s">
        <v>1160</v>
      </c>
    </row>
    <row r="321" spans="2:185" s="214" customFormat="1" x14ac:dyDescent="0.2">
      <c r="B321" s="602" t="s">
        <v>725</v>
      </c>
      <c r="C321" s="602" t="s">
        <v>724</v>
      </c>
      <c r="D321" s="239">
        <v>-552551</v>
      </c>
      <c r="E321" s="239">
        <v>0</v>
      </c>
      <c r="F321" s="239">
        <v>-552551</v>
      </c>
      <c r="G321" s="239">
        <v>-700535</v>
      </c>
      <c r="H321" s="239">
        <v>0</v>
      </c>
      <c r="I321" s="239">
        <v>-700535</v>
      </c>
      <c r="J321" s="239">
        <v>147984</v>
      </c>
      <c r="K321" s="239">
        <v>0</v>
      </c>
      <c r="L321" s="239">
        <v>147984</v>
      </c>
      <c r="M321" s="239">
        <v>134878</v>
      </c>
      <c r="N321" s="239">
        <v>134878</v>
      </c>
      <c r="O321" s="239">
        <v>0</v>
      </c>
      <c r="P321" s="239">
        <v>0</v>
      </c>
      <c r="Q321" s="239">
        <v>0</v>
      </c>
      <c r="R321" s="239">
        <v>0</v>
      </c>
      <c r="S321" s="239">
        <v>0</v>
      </c>
      <c r="T321" s="239">
        <v>0</v>
      </c>
      <c r="U321" s="239">
        <v>0</v>
      </c>
      <c r="V321" s="239">
        <v>0</v>
      </c>
      <c r="W321" s="239">
        <v>0</v>
      </c>
      <c r="X321" s="239">
        <v>0</v>
      </c>
      <c r="Y321" s="239">
        <v>0</v>
      </c>
      <c r="Z321" s="239">
        <v>0</v>
      </c>
      <c r="AA321" s="239">
        <v>0</v>
      </c>
      <c r="AB321" s="239">
        <v>0</v>
      </c>
      <c r="AC321" s="239">
        <v>0</v>
      </c>
      <c r="AD321" s="239">
        <v>0</v>
      </c>
      <c r="AE321" s="239">
        <v>0</v>
      </c>
      <c r="AF321" s="239">
        <v>0</v>
      </c>
      <c r="AG321" s="239">
        <v>0</v>
      </c>
      <c r="AH321" s="239">
        <v>0</v>
      </c>
      <c r="AI321" s="239">
        <v>0</v>
      </c>
      <c r="AJ321" s="239">
        <v>0</v>
      </c>
      <c r="AK321" s="239">
        <v>0</v>
      </c>
      <c r="AL321" s="239">
        <v>0</v>
      </c>
      <c r="AM321" s="239">
        <v>0</v>
      </c>
      <c r="AN321" s="239">
        <v>0</v>
      </c>
      <c r="AO321" s="239">
        <v>0</v>
      </c>
      <c r="AP321" s="239">
        <v>0</v>
      </c>
      <c r="AQ321" s="239">
        <v>0</v>
      </c>
      <c r="AR321" s="239">
        <v>0</v>
      </c>
      <c r="AS321" s="239">
        <v>0</v>
      </c>
      <c r="AT321" s="239">
        <v>0</v>
      </c>
      <c r="AU321" s="239">
        <v>0</v>
      </c>
      <c r="AV321" s="239">
        <v>0</v>
      </c>
      <c r="AW321" s="239">
        <v>0</v>
      </c>
      <c r="AX321" s="239">
        <v>0</v>
      </c>
      <c r="AY321" s="239">
        <v>0</v>
      </c>
      <c r="AZ321" s="239">
        <v>0</v>
      </c>
      <c r="BA321" s="239">
        <v>0</v>
      </c>
      <c r="BB321" s="239">
        <v>0</v>
      </c>
      <c r="BC321" s="239">
        <v>647057</v>
      </c>
      <c r="BD321" s="239">
        <v>161764</v>
      </c>
      <c r="BE321" s="239">
        <v>0</v>
      </c>
      <c r="BF321" s="239">
        <v>616165.64893390564</v>
      </c>
      <c r="BG321" s="239">
        <v>154041.41223347641</v>
      </c>
      <c r="BH321" s="239">
        <v>0</v>
      </c>
      <c r="BI321" s="239">
        <v>85456.321287553641</v>
      </c>
      <c r="BJ321" s="239">
        <v>21364.08032188841</v>
      </c>
      <c r="BK321" s="239">
        <v>0</v>
      </c>
      <c r="BL321" s="239">
        <v>573337</v>
      </c>
      <c r="BM321" s="239">
        <v>84939</v>
      </c>
      <c r="BN321" s="239">
        <v>0</v>
      </c>
      <c r="BO321" s="239">
        <v>73720</v>
      </c>
      <c r="BP321" s="239">
        <v>76825</v>
      </c>
      <c r="BQ321" s="239">
        <v>0</v>
      </c>
      <c r="BR321" s="239">
        <v>0</v>
      </c>
      <c r="BS321" s="239">
        <v>0</v>
      </c>
      <c r="BT321" s="239">
        <v>0</v>
      </c>
      <c r="BU321" s="239">
        <v>0</v>
      </c>
      <c r="BV321" s="239">
        <v>0</v>
      </c>
      <c r="BW321" s="239">
        <v>0</v>
      </c>
      <c r="BX321" s="239">
        <v>0</v>
      </c>
      <c r="BY321" s="239">
        <v>0</v>
      </c>
      <c r="BZ321" s="239">
        <v>0</v>
      </c>
      <c r="CA321" s="239">
        <v>1130</v>
      </c>
      <c r="CB321" s="239">
        <v>283</v>
      </c>
      <c r="CC321" s="239">
        <v>0</v>
      </c>
      <c r="CD321" s="239">
        <v>0</v>
      </c>
      <c r="CE321" s="239">
        <v>0</v>
      </c>
      <c r="CF321" s="239">
        <v>0</v>
      </c>
      <c r="CG321" s="239">
        <v>1130</v>
      </c>
      <c r="CH321" s="239">
        <v>283</v>
      </c>
      <c r="CI321" s="239">
        <v>0</v>
      </c>
      <c r="CJ321" s="239">
        <v>-89</v>
      </c>
      <c r="CK321" s="239">
        <v>-22</v>
      </c>
      <c r="CL321" s="239">
        <v>0</v>
      </c>
      <c r="CM321" s="239">
        <v>0</v>
      </c>
      <c r="CN321" s="239">
        <v>0</v>
      </c>
      <c r="CO321" s="239">
        <v>0</v>
      </c>
      <c r="CP321" s="239">
        <v>-89</v>
      </c>
      <c r="CQ321" s="239">
        <v>-22</v>
      </c>
      <c r="CR321" s="239">
        <v>0</v>
      </c>
      <c r="CS321" s="239">
        <v>-651</v>
      </c>
      <c r="CT321" s="239">
        <v>-163</v>
      </c>
      <c r="CU321" s="239">
        <v>0</v>
      </c>
      <c r="CV321" s="239">
        <v>0</v>
      </c>
      <c r="CW321" s="239">
        <v>0</v>
      </c>
      <c r="CX321" s="239">
        <v>0</v>
      </c>
      <c r="CY321" s="239">
        <v>0</v>
      </c>
      <c r="CZ321" s="239">
        <v>0</v>
      </c>
      <c r="DA321" s="239">
        <v>0</v>
      </c>
      <c r="DB321" s="239">
        <v>0</v>
      </c>
      <c r="DC321" s="239">
        <v>0</v>
      </c>
      <c r="DD321" s="239">
        <v>0</v>
      </c>
      <c r="DE321" s="239">
        <v>-555</v>
      </c>
      <c r="DF321" s="239">
        <v>-139</v>
      </c>
      <c r="DG321" s="239">
        <v>0</v>
      </c>
      <c r="DH321" s="239">
        <v>0</v>
      </c>
      <c r="DI321" s="239">
        <v>0</v>
      </c>
      <c r="DJ321" s="239">
        <v>0</v>
      </c>
      <c r="DK321" s="239">
        <v>0</v>
      </c>
      <c r="DL321" s="239">
        <v>0</v>
      </c>
      <c r="DM321" s="239">
        <v>0</v>
      </c>
      <c r="DN321" s="239">
        <v>0</v>
      </c>
      <c r="DO321" s="239">
        <v>0</v>
      </c>
      <c r="DP321" s="239">
        <v>0</v>
      </c>
      <c r="DQ321" s="239">
        <v>0</v>
      </c>
      <c r="DR321" s="239">
        <v>0</v>
      </c>
      <c r="DS321" s="239">
        <v>0</v>
      </c>
      <c r="DT321" s="239">
        <v>0</v>
      </c>
      <c r="DU321" s="239">
        <v>0</v>
      </c>
      <c r="DV321" s="239">
        <v>0</v>
      </c>
      <c r="DW321" s="239">
        <v>0</v>
      </c>
      <c r="DX321" s="239">
        <v>0</v>
      </c>
      <c r="DY321" s="239">
        <v>0</v>
      </c>
      <c r="DZ321" s="239">
        <v>6502</v>
      </c>
      <c r="EA321" s="239">
        <v>1625</v>
      </c>
      <c r="EB321" s="239">
        <v>0</v>
      </c>
      <c r="EC321" s="239">
        <v>13983</v>
      </c>
      <c r="ED321" s="239">
        <v>0</v>
      </c>
      <c r="EE321" s="239">
        <v>0</v>
      </c>
      <c r="EF321" s="239">
        <v>-7481</v>
      </c>
      <c r="EG321" s="239">
        <v>1625</v>
      </c>
      <c r="EH321" s="239">
        <v>0</v>
      </c>
      <c r="EI321" s="239">
        <v>116782</v>
      </c>
      <c r="EJ321" s="239">
        <v>29196</v>
      </c>
      <c r="EK321" s="239">
        <v>0</v>
      </c>
      <c r="EL321" s="239">
        <v>143817</v>
      </c>
      <c r="EM321" s="239">
        <v>0</v>
      </c>
      <c r="EN321" s="239">
        <v>0</v>
      </c>
      <c r="EO321" s="239">
        <v>-27035</v>
      </c>
      <c r="EP321" s="239">
        <v>29196</v>
      </c>
      <c r="EQ321" s="239">
        <v>0</v>
      </c>
      <c r="ER321" s="239">
        <v>6059</v>
      </c>
      <c r="ES321" s="239">
        <v>1515</v>
      </c>
      <c r="ET321" s="239">
        <v>0</v>
      </c>
      <c r="EU321" s="239">
        <v>7066</v>
      </c>
      <c r="EV321" s="239">
        <v>0</v>
      </c>
      <c r="EW321" s="239">
        <v>0</v>
      </c>
      <c r="EX321" s="239">
        <v>-1007</v>
      </c>
      <c r="EY321" s="239">
        <v>1515</v>
      </c>
      <c r="EZ321" s="239">
        <v>0</v>
      </c>
      <c r="FA321" s="239">
        <v>229562</v>
      </c>
      <c r="FB321" s="239">
        <v>57391</v>
      </c>
      <c r="FC321" s="239">
        <v>0</v>
      </c>
      <c r="FD321" s="239">
        <v>282548</v>
      </c>
      <c r="FE321" s="239">
        <v>70637</v>
      </c>
      <c r="FF321" s="239">
        <v>0</v>
      </c>
      <c r="FG321" s="239">
        <v>-52986</v>
      </c>
      <c r="FH321" s="239">
        <v>-13246</v>
      </c>
      <c r="FI321" s="239">
        <v>0</v>
      </c>
      <c r="FJ321" s="239">
        <v>0</v>
      </c>
      <c r="FK321" s="239">
        <v>0</v>
      </c>
      <c r="FL321" s="239">
        <v>0</v>
      </c>
      <c r="FM321" s="239">
        <v>0</v>
      </c>
      <c r="FN321" s="239">
        <v>0</v>
      </c>
      <c r="FO321" s="239">
        <v>0</v>
      </c>
      <c r="FP321" s="239">
        <v>0</v>
      </c>
      <c r="FQ321" s="239">
        <v>0</v>
      </c>
      <c r="FR321" s="239">
        <v>0</v>
      </c>
      <c r="FS321" s="239">
        <v>0</v>
      </c>
      <c r="FT321" s="239">
        <v>0</v>
      </c>
      <c r="FU321" s="239">
        <v>0</v>
      </c>
      <c r="FV321" s="239">
        <v>1005797</v>
      </c>
      <c r="FW321" s="239">
        <v>251450</v>
      </c>
      <c r="FX321" s="239">
        <v>0</v>
      </c>
      <c r="FY321" s="834">
        <v>0.5</v>
      </c>
      <c r="FZ321" s="834">
        <v>0.4</v>
      </c>
      <c r="GA321" s="834">
        <v>0.1</v>
      </c>
      <c r="GB321" s="834">
        <v>0</v>
      </c>
      <c r="GC321" s="214" t="s">
        <v>1158</v>
      </c>
    </row>
    <row r="322" spans="2:185" s="214" customFormat="1" x14ac:dyDescent="0.2">
      <c r="B322" s="602" t="s">
        <v>727</v>
      </c>
      <c r="C322" s="602" t="s">
        <v>726</v>
      </c>
      <c r="D322" s="239">
        <v>6235863</v>
      </c>
      <c r="E322" s="239">
        <v>0</v>
      </c>
      <c r="F322" s="239">
        <v>6235863</v>
      </c>
      <c r="G322" s="239">
        <v>5244154</v>
      </c>
      <c r="H322" s="239">
        <v>0</v>
      </c>
      <c r="I322" s="239">
        <v>5244154</v>
      </c>
      <c r="J322" s="239">
        <v>991709</v>
      </c>
      <c r="K322" s="239">
        <v>0</v>
      </c>
      <c r="L322" s="239">
        <v>991709</v>
      </c>
      <c r="M322" s="239">
        <v>190537</v>
      </c>
      <c r="N322" s="239">
        <v>190537</v>
      </c>
      <c r="O322" s="239">
        <v>0</v>
      </c>
      <c r="P322" s="239">
        <v>0</v>
      </c>
      <c r="Q322" s="239">
        <v>0</v>
      </c>
      <c r="R322" s="239">
        <v>0</v>
      </c>
      <c r="S322" s="239">
        <v>17772</v>
      </c>
      <c r="T322" s="239">
        <v>0</v>
      </c>
      <c r="U322" s="239">
        <v>17772</v>
      </c>
      <c r="V322" s="239">
        <v>0</v>
      </c>
      <c r="W322" s="239">
        <v>0</v>
      </c>
      <c r="X322" s="239">
        <v>0</v>
      </c>
      <c r="Y322" s="239">
        <v>0</v>
      </c>
      <c r="Z322" s="239">
        <v>0</v>
      </c>
      <c r="AA322" s="239">
        <v>0</v>
      </c>
      <c r="AB322" s="239">
        <v>0</v>
      </c>
      <c r="AC322" s="239">
        <v>0</v>
      </c>
      <c r="AD322" s="239">
        <v>0</v>
      </c>
      <c r="AE322" s="239">
        <v>0</v>
      </c>
      <c r="AF322" s="239">
        <v>0</v>
      </c>
      <c r="AG322" s="239">
        <v>0</v>
      </c>
      <c r="AH322" s="239">
        <v>0</v>
      </c>
      <c r="AI322" s="239">
        <v>0</v>
      </c>
      <c r="AJ322" s="239">
        <v>0</v>
      </c>
      <c r="AK322" s="239">
        <v>0</v>
      </c>
      <c r="AL322" s="239">
        <v>0</v>
      </c>
      <c r="AM322" s="239">
        <v>0</v>
      </c>
      <c r="AN322" s="239">
        <v>0</v>
      </c>
      <c r="AO322" s="239">
        <v>0</v>
      </c>
      <c r="AP322" s="239">
        <v>0</v>
      </c>
      <c r="AQ322" s="239">
        <v>0</v>
      </c>
      <c r="AR322" s="239">
        <v>0</v>
      </c>
      <c r="AS322" s="239">
        <v>0</v>
      </c>
      <c r="AT322" s="239">
        <v>0</v>
      </c>
      <c r="AU322" s="239">
        <v>0</v>
      </c>
      <c r="AV322" s="239">
        <v>0</v>
      </c>
      <c r="AW322" s="239">
        <v>0</v>
      </c>
      <c r="AX322" s="239">
        <v>0</v>
      </c>
      <c r="AY322" s="239">
        <v>0</v>
      </c>
      <c r="AZ322" s="239">
        <v>0</v>
      </c>
      <c r="BA322" s="239">
        <v>0</v>
      </c>
      <c r="BB322" s="239">
        <v>0</v>
      </c>
      <c r="BC322" s="239">
        <v>1057997</v>
      </c>
      <c r="BD322" s="239">
        <v>0</v>
      </c>
      <c r="BE322" s="239">
        <v>21592</v>
      </c>
      <c r="BF322" s="239">
        <v>1014272.1147224893</v>
      </c>
      <c r="BG322" s="239">
        <v>0</v>
      </c>
      <c r="BH322" s="239">
        <v>20699.430912703861</v>
      </c>
      <c r="BI322" s="239">
        <v>136964.25768776823</v>
      </c>
      <c r="BJ322" s="239">
        <v>0</v>
      </c>
      <c r="BK322" s="239">
        <v>2795.1889324034337</v>
      </c>
      <c r="BL322" s="239">
        <v>956390</v>
      </c>
      <c r="BM322" s="239">
        <v>0</v>
      </c>
      <c r="BN322" s="239">
        <v>13119</v>
      </c>
      <c r="BO322" s="239">
        <v>101607</v>
      </c>
      <c r="BP322" s="239">
        <v>0</v>
      </c>
      <c r="BQ322" s="239">
        <v>8473</v>
      </c>
      <c r="BR322" s="239">
        <v>9149</v>
      </c>
      <c r="BS322" s="239">
        <v>0</v>
      </c>
      <c r="BT322" s="239">
        <v>187</v>
      </c>
      <c r="BU322" s="239">
        <v>249</v>
      </c>
      <c r="BV322" s="239">
        <v>0</v>
      </c>
      <c r="BW322" s="239">
        <v>5</v>
      </c>
      <c r="BX322" s="239">
        <v>8900</v>
      </c>
      <c r="BY322" s="239">
        <v>0</v>
      </c>
      <c r="BZ322" s="239">
        <v>182</v>
      </c>
      <c r="CA322" s="239">
        <v>88170</v>
      </c>
      <c r="CB322" s="239">
        <v>0</v>
      </c>
      <c r="CC322" s="239">
        <v>1799</v>
      </c>
      <c r="CD322" s="239">
        <v>56199</v>
      </c>
      <c r="CE322" s="239">
        <v>0</v>
      </c>
      <c r="CF322" s="239">
        <v>1147</v>
      </c>
      <c r="CG322" s="239">
        <v>31971</v>
      </c>
      <c r="CH322" s="239">
        <v>0</v>
      </c>
      <c r="CI322" s="239">
        <v>652</v>
      </c>
      <c r="CJ322" s="239">
        <v>-5492</v>
      </c>
      <c r="CK322" s="239">
        <v>0</v>
      </c>
      <c r="CL322" s="239">
        <v>-112</v>
      </c>
      <c r="CM322" s="239">
        <v>1785</v>
      </c>
      <c r="CN322" s="239">
        <v>0</v>
      </c>
      <c r="CO322" s="239">
        <v>36</v>
      </c>
      <c r="CP322" s="239">
        <v>-7277</v>
      </c>
      <c r="CQ322" s="239">
        <v>0</v>
      </c>
      <c r="CR322" s="239">
        <v>-148</v>
      </c>
      <c r="CS322" s="239">
        <v>-945</v>
      </c>
      <c r="CT322" s="239">
        <v>0</v>
      </c>
      <c r="CU322" s="239">
        <v>-19</v>
      </c>
      <c r="CV322" s="239">
        <v>0</v>
      </c>
      <c r="CW322" s="239">
        <v>0</v>
      </c>
      <c r="CX322" s="239">
        <v>0</v>
      </c>
      <c r="CY322" s="239">
        <v>0</v>
      </c>
      <c r="CZ322" s="239">
        <v>0</v>
      </c>
      <c r="DA322" s="239">
        <v>0</v>
      </c>
      <c r="DB322" s="239">
        <v>0</v>
      </c>
      <c r="DC322" s="239">
        <v>0</v>
      </c>
      <c r="DD322" s="239">
        <v>0</v>
      </c>
      <c r="DE322" s="239">
        <v>-888</v>
      </c>
      <c r="DF322" s="239">
        <v>0</v>
      </c>
      <c r="DG322" s="239">
        <v>-18</v>
      </c>
      <c r="DH322" s="239">
        <v>1073</v>
      </c>
      <c r="DI322" s="239">
        <v>0</v>
      </c>
      <c r="DJ322" s="239">
        <v>22</v>
      </c>
      <c r="DK322" s="239">
        <v>2912</v>
      </c>
      <c r="DL322" s="239">
        <v>0</v>
      </c>
      <c r="DM322" s="239">
        <v>59</v>
      </c>
      <c r="DN322" s="239">
        <v>-1839</v>
      </c>
      <c r="DO322" s="239">
        <v>0</v>
      </c>
      <c r="DP322" s="239">
        <v>-37</v>
      </c>
      <c r="DQ322" s="239">
        <v>0</v>
      </c>
      <c r="DR322" s="239">
        <v>0</v>
      </c>
      <c r="DS322" s="239">
        <v>0</v>
      </c>
      <c r="DT322" s="239">
        <v>0</v>
      </c>
      <c r="DU322" s="239">
        <v>0</v>
      </c>
      <c r="DV322" s="239">
        <v>0</v>
      </c>
      <c r="DW322" s="239">
        <v>0</v>
      </c>
      <c r="DX322" s="239">
        <v>0</v>
      </c>
      <c r="DY322" s="239">
        <v>0</v>
      </c>
      <c r="DZ322" s="239">
        <v>19079</v>
      </c>
      <c r="EA322" s="239">
        <v>0</v>
      </c>
      <c r="EB322" s="239">
        <v>389</v>
      </c>
      <c r="EC322" s="239">
        <v>20300</v>
      </c>
      <c r="ED322" s="239">
        <v>0</v>
      </c>
      <c r="EE322" s="239">
        <v>0</v>
      </c>
      <c r="EF322" s="239">
        <v>-1221</v>
      </c>
      <c r="EG322" s="239">
        <v>0</v>
      </c>
      <c r="EH322" s="239">
        <v>389</v>
      </c>
      <c r="EI322" s="239">
        <v>158206</v>
      </c>
      <c r="EJ322" s="239">
        <v>0</v>
      </c>
      <c r="EK322" s="239">
        <v>3229</v>
      </c>
      <c r="EL322" s="239">
        <v>199316</v>
      </c>
      <c r="EM322" s="239">
        <v>0</v>
      </c>
      <c r="EN322" s="239">
        <v>0</v>
      </c>
      <c r="EO322" s="239">
        <v>-41110</v>
      </c>
      <c r="EP322" s="239">
        <v>0</v>
      </c>
      <c r="EQ322" s="239">
        <v>3229</v>
      </c>
      <c r="ER322" s="239">
        <v>14461</v>
      </c>
      <c r="ES322" s="239">
        <v>0</v>
      </c>
      <c r="ET322" s="239">
        <v>295</v>
      </c>
      <c r="EU322" s="239">
        <v>17763</v>
      </c>
      <c r="EV322" s="239">
        <v>0</v>
      </c>
      <c r="EW322" s="239">
        <v>0</v>
      </c>
      <c r="EX322" s="239">
        <v>-3302</v>
      </c>
      <c r="EY322" s="239">
        <v>0</v>
      </c>
      <c r="EZ322" s="239">
        <v>295</v>
      </c>
      <c r="FA322" s="239">
        <v>508805</v>
      </c>
      <c r="FB322" s="239">
        <v>0</v>
      </c>
      <c r="FC322" s="239">
        <v>10378</v>
      </c>
      <c r="FD322" s="239">
        <v>451495</v>
      </c>
      <c r="FE322" s="239">
        <v>0</v>
      </c>
      <c r="FF322" s="239">
        <v>9209</v>
      </c>
      <c r="FG322" s="239">
        <v>57310</v>
      </c>
      <c r="FH322" s="239">
        <v>0</v>
      </c>
      <c r="FI322" s="239">
        <v>1169</v>
      </c>
      <c r="FJ322" s="239">
        <v>0</v>
      </c>
      <c r="FK322" s="239">
        <v>0</v>
      </c>
      <c r="FL322" s="239">
        <v>0</v>
      </c>
      <c r="FM322" s="239">
        <v>0</v>
      </c>
      <c r="FN322" s="239">
        <v>0</v>
      </c>
      <c r="FO322" s="239">
        <v>0</v>
      </c>
      <c r="FP322" s="239">
        <v>0</v>
      </c>
      <c r="FQ322" s="239">
        <v>0</v>
      </c>
      <c r="FR322" s="239">
        <v>0</v>
      </c>
      <c r="FS322" s="239">
        <v>0</v>
      </c>
      <c r="FT322" s="239">
        <v>0</v>
      </c>
      <c r="FU322" s="239">
        <v>0</v>
      </c>
      <c r="FV322" s="239">
        <v>1849615</v>
      </c>
      <c r="FW322" s="239">
        <v>0</v>
      </c>
      <c r="FX322" s="239">
        <v>37742</v>
      </c>
      <c r="FY322" s="834">
        <v>0.5</v>
      </c>
      <c r="FZ322" s="834">
        <v>0.49</v>
      </c>
      <c r="GA322" s="834">
        <v>0</v>
      </c>
      <c r="GB322" s="834">
        <v>0.01</v>
      </c>
      <c r="GC322" s="214" t="s">
        <v>746</v>
      </c>
    </row>
    <row r="323" spans="2:185" s="214" customFormat="1" x14ac:dyDescent="0.2">
      <c r="B323" s="602" t="s">
        <v>729</v>
      </c>
      <c r="C323" s="602" t="s">
        <v>728</v>
      </c>
      <c r="D323" s="239">
        <v>-1189129</v>
      </c>
      <c r="E323" s="239">
        <v>0</v>
      </c>
      <c r="F323" s="239">
        <v>-1189129</v>
      </c>
      <c r="G323" s="239">
        <v>-1176463</v>
      </c>
      <c r="H323" s="239">
        <v>0</v>
      </c>
      <c r="I323" s="239">
        <v>-1176463</v>
      </c>
      <c r="J323" s="239">
        <v>-12666</v>
      </c>
      <c r="K323" s="239">
        <v>0</v>
      </c>
      <c r="L323" s="239">
        <v>-12666</v>
      </c>
      <c r="M323" s="239">
        <v>337306</v>
      </c>
      <c r="N323" s="239">
        <v>337306</v>
      </c>
      <c r="O323" s="239">
        <v>0</v>
      </c>
      <c r="P323" s="239">
        <v>75436</v>
      </c>
      <c r="Q323" s="239">
        <v>59532</v>
      </c>
      <c r="R323" s="239">
        <v>15904</v>
      </c>
      <c r="S323" s="239">
        <v>14654</v>
      </c>
      <c r="T323" s="239">
        <v>0</v>
      </c>
      <c r="U323" s="239">
        <v>0</v>
      </c>
      <c r="V323" s="239">
        <v>0</v>
      </c>
      <c r="W323" s="239">
        <v>14654</v>
      </c>
      <c r="X323" s="239">
        <v>0</v>
      </c>
      <c r="Y323" s="239">
        <v>0</v>
      </c>
      <c r="Z323" s="239">
        <v>0</v>
      </c>
      <c r="AA323" s="239">
        <v>0</v>
      </c>
      <c r="AB323" s="239">
        <v>0</v>
      </c>
      <c r="AC323" s="239">
        <v>0</v>
      </c>
      <c r="AD323" s="239">
        <v>0</v>
      </c>
      <c r="AE323" s="239">
        <v>0</v>
      </c>
      <c r="AF323" s="239">
        <v>0</v>
      </c>
      <c r="AG323" s="239">
        <v>0</v>
      </c>
      <c r="AH323" s="239">
        <v>0</v>
      </c>
      <c r="AI323" s="239">
        <v>0</v>
      </c>
      <c r="AJ323" s="239">
        <v>0</v>
      </c>
      <c r="AK323" s="239">
        <v>0</v>
      </c>
      <c r="AL323" s="239">
        <v>0</v>
      </c>
      <c r="AM323" s="239">
        <v>0</v>
      </c>
      <c r="AN323" s="239">
        <v>0</v>
      </c>
      <c r="AO323" s="239">
        <v>0</v>
      </c>
      <c r="AP323" s="239">
        <v>0</v>
      </c>
      <c r="AQ323" s="239">
        <v>0</v>
      </c>
      <c r="AR323" s="239">
        <v>0</v>
      </c>
      <c r="AS323" s="239">
        <v>0</v>
      </c>
      <c r="AT323" s="239">
        <v>0</v>
      </c>
      <c r="AU323" s="239">
        <v>0</v>
      </c>
      <c r="AV323" s="239">
        <v>0</v>
      </c>
      <c r="AW323" s="239">
        <v>0</v>
      </c>
      <c r="AX323" s="239">
        <v>0</v>
      </c>
      <c r="AY323" s="239">
        <v>0</v>
      </c>
      <c r="AZ323" s="239">
        <v>0</v>
      </c>
      <c r="BA323" s="239">
        <v>0</v>
      </c>
      <c r="BB323" s="239">
        <v>0</v>
      </c>
      <c r="BC323" s="239">
        <v>6057849</v>
      </c>
      <c r="BD323" s="239">
        <v>0</v>
      </c>
      <c r="BE323" s="239">
        <v>61190</v>
      </c>
      <c r="BF323" s="239">
        <v>5931262.3209636044</v>
      </c>
      <c r="BG323" s="239">
        <v>0</v>
      </c>
      <c r="BH323" s="239">
        <v>59911.740615793991</v>
      </c>
      <c r="BI323" s="239">
        <v>354783.60989806865</v>
      </c>
      <c r="BJ323" s="239">
        <v>0</v>
      </c>
      <c r="BK323" s="239">
        <v>3583.6728272532191</v>
      </c>
      <c r="BL323" s="239">
        <v>5134873</v>
      </c>
      <c r="BM323" s="239">
        <v>0</v>
      </c>
      <c r="BN323" s="239">
        <v>37317</v>
      </c>
      <c r="BO323" s="239">
        <v>922976</v>
      </c>
      <c r="BP323" s="239">
        <v>0</v>
      </c>
      <c r="BQ323" s="239">
        <v>23873</v>
      </c>
      <c r="BR323" s="239">
        <v>53046</v>
      </c>
      <c r="BS323" s="239">
        <v>0</v>
      </c>
      <c r="BT323" s="239">
        <v>536</v>
      </c>
      <c r="BU323" s="239">
        <v>13683</v>
      </c>
      <c r="BV323" s="239">
        <v>0</v>
      </c>
      <c r="BW323" s="239">
        <v>138</v>
      </c>
      <c r="BX323" s="239">
        <v>39363</v>
      </c>
      <c r="BY323" s="239">
        <v>0</v>
      </c>
      <c r="BZ323" s="239">
        <v>398</v>
      </c>
      <c r="CA323" s="239">
        <v>-16</v>
      </c>
      <c r="CB323" s="239">
        <v>0</v>
      </c>
      <c r="CC323" s="239">
        <v>0</v>
      </c>
      <c r="CD323" s="239">
        <v>0</v>
      </c>
      <c r="CE323" s="239">
        <v>0</v>
      </c>
      <c r="CF323" s="239">
        <v>0</v>
      </c>
      <c r="CG323" s="239">
        <v>-16</v>
      </c>
      <c r="CH323" s="239">
        <v>0</v>
      </c>
      <c r="CI323" s="239">
        <v>0</v>
      </c>
      <c r="CJ323" s="239">
        <v>16409</v>
      </c>
      <c r="CK323" s="239">
        <v>0</v>
      </c>
      <c r="CL323" s="239">
        <v>166</v>
      </c>
      <c r="CM323" s="239">
        <v>42424</v>
      </c>
      <c r="CN323" s="239">
        <v>0</v>
      </c>
      <c r="CO323" s="239">
        <v>429</v>
      </c>
      <c r="CP323" s="239">
        <v>-26015</v>
      </c>
      <c r="CQ323" s="239">
        <v>0</v>
      </c>
      <c r="CR323" s="239">
        <v>-263</v>
      </c>
      <c r="CS323" s="239">
        <v>-5846</v>
      </c>
      <c r="CT323" s="239">
        <v>0</v>
      </c>
      <c r="CU323" s="239">
        <v>-59</v>
      </c>
      <c r="CV323" s="239">
        <v>0</v>
      </c>
      <c r="CW323" s="239">
        <v>0</v>
      </c>
      <c r="CX323" s="239">
        <v>0</v>
      </c>
      <c r="CY323" s="239">
        <v>0</v>
      </c>
      <c r="CZ323" s="239">
        <v>0</v>
      </c>
      <c r="DA323" s="239">
        <v>0</v>
      </c>
      <c r="DB323" s="239">
        <v>0</v>
      </c>
      <c r="DC323" s="239">
        <v>0</v>
      </c>
      <c r="DD323" s="239">
        <v>0</v>
      </c>
      <c r="DE323" s="239">
        <v>0</v>
      </c>
      <c r="DF323" s="239">
        <v>0</v>
      </c>
      <c r="DG323" s="239">
        <v>0</v>
      </c>
      <c r="DH323" s="239">
        <v>0</v>
      </c>
      <c r="DI323" s="239">
        <v>0</v>
      </c>
      <c r="DJ323" s="239">
        <v>0</v>
      </c>
      <c r="DK323" s="239">
        <v>0</v>
      </c>
      <c r="DL323" s="239">
        <v>0</v>
      </c>
      <c r="DM323" s="239">
        <v>0</v>
      </c>
      <c r="DN323" s="239">
        <v>0</v>
      </c>
      <c r="DO323" s="239">
        <v>0</v>
      </c>
      <c r="DP323" s="239">
        <v>0</v>
      </c>
      <c r="DQ323" s="239">
        <v>1507</v>
      </c>
      <c r="DR323" s="239">
        <v>0</v>
      </c>
      <c r="DS323" s="239">
        <v>15</v>
      </c>
      <c r="DT323" s="239">
        <v>0</v>
      </c>
      <c r="DU323" s="239">
        <v>0</v>
      </c>
      <c r="DV323" s="239">
        <v>0</v>
      </c>
      <c r="DW323" s="239">
        <v>1507</v>
      </c>
      <c r="DX323" s="239">
        <v>0</v>
      </c>
      <c r="DY323" s="239">
        <v>15</v>
      </c>
      <c r="DZ323" s="239">
        <v>43546</v>
      </c>
      <c r="EA323" s="239">
        <v>0</v>
      </c>
      <c r="EB323" s="239">
        <v>440</v>
      </c>
      <c r="EC323" s="239">
        <v>43923</v>
      </c>
      <c r="ED323" s="239">
        <v>0</v>
      </c>
      <c r="EE323" s="239">
        <v>0</v>
      </c>
      <c r="EF323" s="239">
        <v>-377</v>
      </c>
      <c r="EG323" s="239">
        <v>0</v>
      </c>
      <c r="EH323" s="239">
        <v>440</v>
      </c>
      <c r="EI323" s="239">
        <v>296454</v>
      </c>
      <c r="EJ323" s="239">
        <v>0</v>
      </c>
      <c r="EK323" s="239">
        <v>2994</v>
      </c>
      <c r="EL323" s="239">
        <v>392076</v>
      </c>
      <c r="EM323" s="239">
        <v>0</v>
      </c>
      <c r="EN323" s="239">
        <v>0</v>
      </c>
      <c r="EO323" s="239">
        <v>-95622</v>
      </c>
      <c r="EP323" s="239">
        <v>0</v>
      </c>
      <c r="EQ323" s="239">
        <v>2994</v>
      </c>
      <c r="ER323" s="239">
        <v>38728</v>
      </c>
      <c r="ES323" s="239">
        <v>0</v>
      </c>
      <c r="ET323" s="239">
        <v>391</v>
      </c>
      <c r="EU323" s="239">
        <v>31202</v>
      </c>
      <c r="EV323" s="239">
        <v>0</v>
      </c>
      <c r="EW323" s="239">
        <v>0</v>
      </c>
      <c r="EX323" s="239">
        <v>7526</v>
      </c>
      <c r="EY323" s="239">
        <v>0</v>
      </c>
      <c r="EZ323" s="239">
        <v>391</v>
      </c>
      <c r="FA323" s="239">
        <v>1129936</v>
      </c>
      <c r="FB323" s="239">
        <v>0</v>
      </c>
      <c r="FC323" s="239">
        <v>11400</v>
      </c>
      <c r="FD323" s="239">
        <v>1059299</v>
      </c>
      <c r="FE323" s="239">
        <v>0</v>
      </c>
      <c r="FF323" s="239">
        <v>10691</v>
      </c>
      <c r="FG323" s="239">
        <v>70637</v>
      </c>
      <c r="FH323" s="239">
        <v>0</v>
      </c>
      <c r="FI323" s="239">
        <v>709</v>
      </c>
      <c r="FJ323" s="239">
        <v>20259</v>
      </c>
      <c r="FK323" s="239">
        <v>0</v>
      </c>
      <c r="FL323" s="239">
        <v>0</v>
      </c>
      <c r="FM323" s="239">
        <v>0</v>
      </c>
      <c r="FN323" s="239">
        <v>0</v>
      </c>
      <c r="FO323" s="239">
        <v>0</v>
      </c>
      <c r="FP323" s="239">
        <v>20259</v>
      </c>
      <c r="FQ323" s="239">
        <v>0</v>
      </c>
      <c r="FR323" s="239">
        <v>0</v>
      </c>
      <c r="FS323" s="239">
        <v>0</v>
      </c>
      <c r="FT323" s="239">
        <v>0</v>
      </c>
      <c r="FU323" s="239">
        <v>0</v>
      </c>
      <c r="FV323" s="239">
        <v>7651872</v>
      </c>
      <c r="FW323" s="239">
        <v>0</v>
      </c>
      <c r="FX323" s="239">
        <v>77073</v>
      </c>
      <c r="FY323" s="834">
        <v>0</v>
      </c>
      <c r="FZ323" s="834">
        <v>0.99</v>
      </c>
      <c r="GA323" s="834">
        <v>0</v>
      </c>
      <c r="GB323" s="834">
        <v>0.01</v>
      </c>
      <c r="GC323" s="214" t="s">
        <v>1160</v>
      </c>
    </row>
    <row r="324" spans="2:185" s="214" customFormat="1" x14ac:dyDescent="0.2">
      <c r="B324" s="602" t="s">
        <v>731</v>
      </c>
      <c r="C324" s="602" t="s">
        <v>730</v>
      </c>
      <c r="D324" s="239">
        <v>-1570915</v>
      </c>
      <c r="E324" s="239">
        <v>0</v>
      </c>
      <c r="F324" s="239">
        <v>-1570915</v>
      </c>
      <c r="G324" s="239">
        <v>-1606560</v>
      </c>
      <c r="H324" s="239">
        <v>0</v>
      </c>
      <c r="I324" s="239">
        <v>-1606560</v>
      </c>
      <c r="J324" s="239">
        <v>35645</v>
      </c>
      <c r="K324" s="239">
        <v>0</v>
      </c>
      <c r="L324" s="239">
        <v>35645</v>
      </c>
      <c r="M324" s="239">
        <v>133156</v>
      </c>
      <c r="N324" s="239">
        <v>133156</v>
      </c>
      <c r="O324" s="239">
        <v>0</v>
      </c>
      <c r="P324" s="239">
        <v>0</v>
      </c>
      <c r="Q324" s="239">
        <v>0</v>
      </c>
      <c r="R324" s="239">
        <v>0</v>
      </c>
      <c r="S324" s="239">
        <v>11918</v>
      </c>
      <c r="T324" s="239">
        <v>0</v>
      </c>
      <c r="U324" s="239">
        <v>0</v>
      </c>
      <c r="V324" s="239">
        <v>0</v>
      </c>
      <c r="W324" s="239">
        <v>11918</v>
      </c>
      <c r="X324" s="239">
        <v>0</v>
      </c>
      <c r="Y324" s="239">
        <v>0</v>
      </c>
      <c r="Z324" s="239">
        <v>0</v>
      </c>
      <c r="AA324" s="239">
        <v>0</v>
      </c>
      <c r="AB324" s="239">
        <v>0</v>
      </c>
      <c r="AC324" s="239">
        <v>0</v>
      </c>
      <c r="AD324" s="239">
        <v>0</v>
      </c>
      <c r="AE324" s="239">
        <v>0</v>
      </c>
      <c r="AF324" s="239">
        <v>0</v>
      </c>
      <c r="AG324" s="239">
        <v>0</v>
      </c>
      <c r="AH324" s="239">
        <v>0</v>
      </c>
      <c r="AI324" s="239">
        <v>0</v>
      </c>
      <c r="AJ324" s="239">
        <v>0</v>
      </c>
      <c r="AK324" s="239">
        <v>0</v>
      </c>
      <c r="AL324" s="239">
        <v>0</v>
      </c>
      <c r="AM324" s="239">
        <v>0</v>
      </c>
      <c r="AN324" s="239">
        <v>0</v>
      </c>
      <c r="AO324" s="239">
        <v>0</v>
      </c>
      <c r="AP324" s="239">
        <v>0</v>
      </c>
      <c r="AQ324" s="239">
        <v>0</v>
      </c>
      <c r="AR324" s="239">
        <v>0</v>
      </c>
      <c r="AS324" s="239">
        <v>0</v>
      </c>
      <c r="AT324" s="239">
        <v>0</v>
      </c>
      <c r="AU324" s="239">
        <v>0</v>
      </c>
      <c r="AV324" s="239">
        <v>0</v>
      </c>
      <c r="AW324" s="239">
        <v>0</v>
      </c>
      <c r="AX324" s="239">
        <v>0</v>
      </c>
      <c r="AY324" s="239">
        <v>0</v>
      </c>
      <c r="AZ324" s="239">
        <v>0</v>
      </c>
      <c r="BA324" s="239">
        <v>0</v>
      </c>
      <c r="BB324" s="239">
        <v>0</v>
      </c>
      <c r="BC324" s="239">
        <v>897351</v>
      </c>
      <c r="BD324" s="239">
        <v>201904</v>
      </c>
      <c r="BE324" s="239">
        <v>22434</v>
      </c>
      <c r="BF324" s="239">
        <v>872360.09975107305</v>
      </c>
      <c r="BG324" s="239">
        <v>196281.02244399139</v>
      </c>
      <c r="BH324" s="239">
        <v>21809.002493776825</v>
      </c>
      <c r="BI324" s="239">
        <v>73519.608025751077</v>
      </c>
      <c r="BJ324" s="239">
        <v>16541.911805793989</v>
      </c>
      <c r="BK324" s="239">
        <v>1837.9902006437767</v>
      </c>
      <c r="BL324" s="239">
        <v>801630</v>
      </c>
      <c r="BM324" s="239">
        <v>115066</v>
      </c>
      <c r="BN324" s="239">
        <v>12785</v>
      </c>
      <c r="BO324" s="239">
        <v>95721</v>
      </c>
      <c r="BP324" s="239">
        <v>86838</v>
      </c>
      <c r="BQ324" s="239">
        <v>9649</v>
      </c>
      <c r="BR324" s="239">
        <v>749</v>
      </c>
      <c r="BS324" s="239">
        <v>168</v>
      </c>
      <c r="BT324" s="239">
        <v>19</v>
      </c>
      <c r="BU324" s="239">
        <v>2480</v>
      </c>
      <c r="BV324" s="239">
        <v>558</v>
      </c>
      <c r="BW324" s="239">
        <v>62</v>
      </c>
      <c r="BX324" s="239">
        <v>-1731</v>
      </c>
      <c r="BY324" s="239">
        <v>-390</v>
      </c>
      <c r="BZ324" s="239">
        <v>-43</v>
      </c>
      <c r="CA324" s="239">
        <v>676</v>
      </c>
      <c r="CB324" s="239">
        <v>152</v>
      </c>
      <c r="CC324" s="239">
        <v>17</v>
      </c>
      <c r="CD324" s="239">
        <v>0</v>
      </c>
      <c r="CE324" s="239">
        <v>0</v>
      </c>
      <c r="CF324" s="239">
        <v>0</v>
      </c>
      <c r="CG324" s="239">
        <v>676</v>
      </c>
      <c r="CH324" s="239">
        <v>152</v>
      </c>
      <c r="CI324" s="239">
        <v>17</v>
      </c>
      <c r="CJ324" s="239">
        <v>446</v>
      </c>
      <c r="CK324" s="239">
        <v>100</v>
      </c>
      <c r="CL324" s="239">
        <v>11</v>
      </c>
      <c r="CM324" s="239">
        <v>4779</v>
      </c>
      <c r="CN324" s="239">
        <v>1075</v>
      </c>
      <c r="CO324" s="239">
        <v>119</v>
      </c>
      <c r="CP324" s="239">
        <v>-4333</v>
      </c>
      <c r="CQ324" s="239">
        <v>-975</v>
      </c>
      <c r="CR324" s="239">
        <v>-108</v>
      </c>
      <c r="CS324" s="239">
        <v>-4240</v>
      </c>
      <c r="CT324" s="239">
        <v>-954</v>
      </c>
      <c r="CU324" s="239">
        <v>-106</v>
      </c>
      <c r="CV324" s="239">
        <v>0</v>
      </c>
      <c r="CW324" s="239">
        <v>0</v>
      </c>
      <c r="CX324" s="239">
        <v>0</v>
      </c>
      <c r="CY324" s="239">
        <v>0</v>
      </c>
      <c r="CZ324" s="239">
        <v>0</v>
      </c>
      <c r="DA324" s="239">
        <v>0</v>
      </c>
      <c r="DB324" s="239">
        <v>0</v>
      </c>
      <c r="DC324" s="239">
        <v>0</v>
      </c>
      <c r="DD324" s="239">
        <v>0</v>
      </c>
      <c r="DE324" s="239">
        <v>-246</v>
      </c>
      <c r="DF324" s="239">
        <v>-55</v>
      </c>
      <c r="DG324" s="239">
        <v>-6</v>
      </c>
      <c r="DH324" s="239">
        <v>0</v>
      </c>
      <c r="DI324" s="239">
        <v>0</v>
      </c>
      <c r="DJ324" s="239">
        <v>0</v>
      </c>
      <c r="DK324" s="239">
        <v>0</v>
      </c>
      <c r="DL324" s="239">
        <v>0</v>
      </c>
      <c r="DM324" s="239">
        <v>0</v>
      </c>
      <c r="DN324" s="239">
        <v>0</v>
      </c>
      <c r="DO324" s="239">
        <v>0</v>
      </c>
      <c r="DP324" s="239">
        <v>0</v>
      </c>
      <c r="DQ324" s="239">
        <v>50</v>
      </c>
      <c r="DR324" s="239">
        <v>11</v>
      </c>
      <c r="DS324" s="239">
        <v>1</v>
      </c>
      <c r="DT324" s="239">
        <v>609</v>
      </c>
      <c r="DU324" s="239">
        <v>137</v>
      </c>
      <c r="DV324" s="239">
        <v>15</v>
      </c>
      <c r="DW324" s="239">
        <v>-559</v>
      </c>
      <c r="DX324" s="239">
        <v>-126</v>
      </c>
      <c r="DY324" s="239">
        <v>-14</v>
      </c>
      <c r="DZ324" s="239">
        <v>7552</v>
      </c>
      <c r="EA324" s="239">
        <v>1699</v>
      </c>
      <c r="EB324" s="239">
        <v>189</v>
      </c>
      <c r="EC324" s="239">
        <v>9440</v>
      </c>
      <c r="ED324" s="239">
        <v>0</v>
      </c>
      <c r="EE324" s="239">
        <v>0</v>
      </c>
      <c r="EF324" s="239">
        <v>-1888</v>
      </c>
      <c r="EG324" s="239">
        <v>1699</v>
      </c>
      <c r="EH324" s="239">
        <v>189</v>
      </c>
      <c r="EI324" s="239">
        <v>74267</v>
      </c>
      <c r="EJ324" s="239">
        <v>16710</v>
      </c>
      <c r="EK324" s="239">
        <v>1857</v>
      </c>
      <c r="EL324" s="239">
        <v>119020</v>
      </c>
      <c r="EM324" s="239">
        <v>0</v>
      </c>
      <c r="EN324" s="239">
        <v>0</v>
      </c>
      <c r="EO324" s="239">
        <v>-44753</v>
      </c>
      <c r="EP324" s="239">
        <v>16710</v>
      </c>
      <c r="EQ324" s="239">
        <v>1857</v>
      </c>
      <c r="ER324" s="239">
        <v>11312</v>
      </c>
      <c r="ES324" s="239">
        <v>2545</v>
      </c>
      <c r="ET324" s="239">
        <v>283</v>
      </c>
      <c r="EU324" s="239">
        <v>14754</v>
      </c>
      <c r="EV324" s="239">
        <v>0</v>
      </c>
      <c r="EW324" s="239">
        <v>0</v>
      </c>
      <c r="EX324" s="239">
        <v>-3442</v>
      </c>
      <c r="EY324" s="239">
        <v>2545</v>
      </c>
      <c r="EZ324" s="239">
        <v>283</v>
      </c>
      <c r="FA324" s="239">
        <v>232052</v>
      </c>
      <c r="FB324" s="239">
        <v>52171</v>
      </c>
      <c r="FC324" s="239">
        <v>5797</v>
      </c>
      <c r="FD324" s="239">
        <v>230043</v>
      </c>
      <c r="FE324" s="239">
        <v>51760</v>
      </c>
      <c r="FF324" s="239">
        <v>5751</v>
      </c>
      <c r="FG324" s="239">
        <v>2009</v>
      </c>
      <c r="FH324" s="239">
        <v>411</v>
      </c>
      <c r="FI324" s="239">
        <v>46</v>
      </c>
      <c r="FJ324" s="239">
        <v>0</v>
      </c>
      <c r="FK324" s="239">
        <v>0</v>
      </c>
      <c r="FL324" s="239">
        <v>0</v>
      </c>
      <c r="FM324" s="239">
        <v>0</v>
      </c>
      <c r="FN324" s="239">
        <v>0</v>
      </c>
      <c r="FO324" s="239">
        <v>0</v>
      </c>
      <c r="FP324" s="239">
        <v>0</v>
      </c>
      <c r="FQ324" s="239">
        <v>0</v>
      </c>
      <c r="FR324" s="239">
        <v>0</v>
      </c>
      <c r="FS324" s="239">
        <v>0</v>
      </c>
      <c r="FT324" s="239">
        <v>0</v>
      </c>
      <c r="FU324" s="239">
        <v>0</v>
      </c>
      <c r="FV324" s="239">
        <v>1219969</v>
      </c>
      <c r="FW324" s="239">
        <v>274451</v>
      </c>
      <c r="FX324" s="239">
        <v>30496</v>
      </c>
      <c r="FY324" s="834">
        <v>0.5</v>
      </c>
      <c r="FZ324" s="834">
        <v>0.4</v>
      </c>
      <c r="GA324" s="834">
        <v>0.09</v>
      </c>
      <c r="GB324" s="834">
        <v>0.01</v>
      </c>
      <c r="GC324" s="214" t="s">
        <v>1158</v>
      </c>
    </row>
    <row r="325" spans="2:185" s="214" customFormat="1" x14ac:dyDescent="0.2">
      <c r="B325" s="602" t="s">
        <v>733</v>
      </c>
      <c r="C325" s="602" t="s">
        <v>732</v>
      </c>
      <c r="D325" s="239">
        <v>-225517</v>
      </c>
      <c r="E325" s="239">
        <v>0</v>
      </c>
      <c r="F325" s="239">
        <v>-225517</v>
      </c>
      <c r="G325" s="239">
        <v>-439244</v>
      </c>
      <c r="H325" s="239">
        <v>0</v>
      </c>
      <c r="I325" s="239">
        <v>-439244</v>
      </c>
      <c r="J325" s="239">
        <v>213727</v>
      </c>
      <c r="K325" s="239">
        <v>0</v>
      </c>
      <c r="L325" s="239">
        <v>213727</v>
      </c>
      <c r="M325" s="239">
        <v>128590</v>
      </c>
      <c r="N325" s="239">
        <v>128590</v>
      </c>
      <c r="O325" s="239">
        <v>0</v>
      </c>
      <c r="P325" s="239">
        <v>0</v>
      </c>
      <c r="Q325" s="239">
        <v>0</v>
      </c>
      <c r="R325" s="239">
        <v>0</v>
      </c>
      <c r="S325" s="239">
        <v>0</v>
      </c>
      <c r="T325" s="239">
        <v>0</v>
      </c>
      <c r="U325" s="239">
        <v>0</v>
      </c>
      <c r="V325" s="239">
        <v>0</v>
      </c>
      <c r="W325" s="239">
        <v>0</v>
      </c>
      <c r="X325" s="239">
        <v>0</v>
      </c>
      <c r="Y325" s="239">
        <v>0</v>
      </c>
      <c r="Z325" s="239">
        <v>0</v>
      </c>
      <c r="AA325" s="239">
        <v>0</v>
      </c>
      <c r="AB325" s="239">
        <v>0</v>
      </c>
      <c r="AC325" s="239">
        <v>0</v>
      </c>
      <c r="AD325" s="239">
        <v>0</v>
      </c>
      <c r="AE325" s="239">
        <v>0</v>
      </c>
      <c r="AF325" s="239">
        <v>0</v>
      </c>
      <c r="AG325" s="239">
        <v>0</v>
      </c>
      <c r="AH325" s="239">
        <v>0</v>
      </c>
      <c r="AI325" s="239">
        <v>0</v>
      </c>
      <c r="AJ325" s="239">
        <v>0</v>
      </c>
      <c r="AK325" s="239">
        <v>0</v>
      </c>
      <c r="AL325" s="239">
        <v>0</v>
      </c>
      <c r="AM325" s="239">
        <v>0</v>
      </c>
      <c r="AN325" s="239">
        <v>0</v>
      </c>
      <c r="AO325" s="239">
        <v>0</v>
      </c>
      <c r="AP325" s="239">
        <v>0</v>
      </c>
      <c r="AQ325" s="239">
        <v>0</v>
      </c>
      <c r="AR325" s="239">
        <v>0</v>
      </c>
      <c r="AS325" s="239">
        <v>0</v>
      </c>
      <c r="AT325" s="239">
        <v>0</v>
      </c>
      <c r="AU325" s="239">
        <v>0</v>
      </c>
      <c r="AV325" s="239">
        <v>0</v>
      </c>
      <c r="AW325" s="239">
        <v>0</v>
      </c>
      <c r="AX325" s="239">
        <v>0</v>
      </c>
      <c r="AY325" s="239">
        <v>0</v>
      </c>
      <c r="AZ325" s="239">
        <v>0</v>
      </c>
      <c r="BA325" s="239">
        <v>0</v>
      </c>
      <c r="BB325" s="239">
        <v>0</v>
      </c>
      <c r="BC325" s="239">
        <v>915555</v>
      </c>
      <c r="BD325" s="239">
        <v>228889</v>
      </c>
      <c r="BE325" s="239">
        <v>0</v>
      </c>
      <c r="BF325" s="239">
        <v>895057.82773047208</v>
      </c>
      <c r="BG325" s="239">
        <v>223764.45693261802</v>
      </c>
      <c r="BH325" s="239">
        <v>0</v>
      </c>
      <c r="BI325" s="239">
        <v>61580.255708154502</v>
      </c>
      <c r="BJ325" s="239">
        <v>15395.063927038625</v>
      </c>
      <c r="BK325" s="239">
        <v>0</v>
      </c>
      <c r="BL325" s="239">
        <v>896671</v>
      </c>
      <c r="BM325" s="239">
        <v>148210</v>
      </c>
      <c r="BN325" s="239">
        <v>0</v>
      </c>
      <c r="BO325" s="239">
        <v>18884</v>
      </c>
      <c r="BP325" s="239">
        <v>80679</v>
      </c>
      <c r="BQ325" s="239">
        <v>0</v>
      </c>
      <c r="BR325" s="239">
        <v>0</v>
      </c>
      <c r="BS325" s="239">
        <v>0</v>
      </c>
      <c r="BT325" s="239">
        <v>0</v>
      </c>
      <c r="BU325" s="239">
        <v>0</v>
      </c>
      <c r="BV325" s="239">
        <v>0</v>
      </c>
      <c r="BW325" s="239">
        <v>0</v>
      </c>
      <c r="BX325" s="239">
        <v>0</v>
      </c>
      <c r="BY325" s="239">
        <v>0</v>
      </c>
      <c r="BZ325" s="239">
        <v>0</v>
      </c>
      <c r="CA325" s="239">
        <v>0</v>
      </c>
      <c r="CB325" s="239">
        <v>0</v>
      </c>
      <c r="CC325" s="239">
        <v>0</v>
      </c>
      <c r="CD325" s="239">
        <v>0</v>
      </c>
      <c r="CE325" s="239">
        <v>0</v>
      </c>
      <c r="CF325" s="239">
        <v>0</v>
      </c>
      <c r="CG325" s="239">
        <v>0</v>
      </c>
      <c r="CH325" s="239">
        <v>0</v>
      </c>
      <c r="CI325" s="239">
        <v>0</v>
      </c>
      <c r="CJ325" s="239">
        <v>0</v>
      </c>
      <c r="CK325" s="239">
        <v>0</v>
      </c>
      <c r="CL325" s="239">
        <v>0</v>
      </c>
      <c r="CM325" s="239">
        <v>0</v>
      </c>
      <c r="CN325" s="239">
        <v>0</v>
      </c>
      <c r="CO325" s="239">
        <v>0</v>
      </c>
      <c r="CP325" s="239">
        <v>0</v>
      </c>
      <c r="CQ325" s="239">
        <v>0</v>
      </c>
      <c r="CR325" s="239">
        <v>0</v>
      </c>
      <c r="CS325" s="239">
        <v>-1144</v>
      </c>
      <c r="CT325" s="239">
        <v>-286</v>
      </c>
      <c r="CU325" s="239">
        <v>0</v>
      </c>
      <c r="CV325" s="239">
        <v>0</v>
      </c>
      <c r="CW325" s="239">
        <v>0</v>
      </c>
      <c r="CX325" s="239">
        <v>0</v>
      </c>
      <c r="CY325" s="239">
        <v>0</v>
      </c>
      <c r="CZ325" s="239">
        <v>0</v>
      </c>
      <c r="DA325" s="239">
        <v>0</v>
      </c>
      <c r="DB325" s="239">
        <v>0</v>
      </c>
      <c r="DC325" s="239">
        <v>0</v>
      </c>
      <c r="DD325" s="239">
        <v>0</v>
      </c>
      <c r="DE325" s="239">
        <v>0</v>
      </c>
      <c r="DF325" s="239">
        <v>0</v>
      </c>
      <c r="DG325" s="239">
        <v>0</v>
      </c>
      <c r="DH325" s="239">
        <v>0</v>
      </c>
      <c r="DI325" s="239">
        <v>0</v>
      </c>
      <c r="DJ325" s="239">
        <v>0</v>
      </c>
      <c r="DK325" s="239">
        <v>0</v>
      </c>
      <c r="DL325" s="239">
        <v>0</v>
      </c>
      <c r="DM325" s="239">
        <v>0</v>
      </c>
      <c r="DN325" s="239">
        <v>0</v>
      </c>
      <c r="DO325" s="239">
        <v>0</v>
      </c>
      <c r="DP325" s="239">
        <v>0</v>
      </c>
      <c r="DQ325" s="239">
        <v>609</v>
      </c>
      <c r="DR325" s="239">
        <v>152</v>
      </c>
      <c r="DS325" s="239">
        <v>0</v>
      </c>
      <c r="DT325" s="239">
        <v>0</v>
      </c>
      <c r="DU325" s="239">
        <v>0</v>
      </c>
      <c r="DV325" s="239">
        <v>0</v>
      </c>
      <c r="DW325" s="239">
        <v>609</v>
      </c>
      <c r="DX325" s="239">
        <v>152</v>
      </c>
      <c r="DY325" s="239">
        <v>0</v>
      </c>
      <c r="DZ325" s="239">
        <v>7755</v>
      </c>
      <c r="EA325" s="239">
        <v>1939</v>
      </c>
      <c r="EB325" s="239">
        <v>0</v>
      </c>
      <c r="EC325" s="239">
        <v>0</v>
      </c>
      <c r="ED325" s="239">
        <v>0</v>
      </c>
      <c r="EE325" s="239">
        <v>0</v>
      </c>
      <c r="EF325" s="239">
        <v>7755</v>
      </c>
      <c r="EG325" s="239">
        <v>1939</v>
      </c>
      <c r="EH325" s="239">
        <v>0</v>
      </c>
      <c r="EI325" s="239">
        <v>49715</v>
      </c>
      <c r="EJ325" s="239">
        <v>12429</v>
      </c>
      <c r="EK325" s="239">
        <v>0</v>
      </c>
      <c r="EL325" s="239">
        <v>93089</v>
      </c>
      <c r="EM325" s="239">
        <v>0</v>
      </c>
      <c r="EN325" s="239">
        <v>0</v>
      </c>
      <c r="EO325" s="239">
        <v>-43374</v>
      </c>
      <c r="EP325" s="239">
        <v>12429</v>
      </c>
      <c r="EQ325" s="239">
        <v>0</v>
      </c>
      <c r="ER325" s="239">
        <v>10147</v>
      </c>
      <c r="ES325" s="239">
        <v>2537</v>
      </c>
      <c r="ET325" s="239">
        <v>0</v>
      </c>
      <c r="EU325" s="239">
        <v>12684</v>
      </c>
      <c r="EV325" s="239">
        <v>0</v>
      </c>
      <c r="EW325" s="239">
        <v>0</v>
      </c>
      <c r="EX325" s="239">
        <v>-2537</v>
      </c>
      <c r="EY325" s="239">
        <v>2537</v>
      </c>
      <c r="EZ325" s="239">
        <v>0</v>
      </c>
      <c r="FA325" s="239">
        <v>185551</v>
      </c>
      <c r="FB325" s="239">
        <v>46388</v>
      </c>
      <c r="FC325" s="239">
        <v>0</v>
      </c>
      <c r="FD325" s="239">
        <v>187488</v>
      </c>
      <c r="FE325" s="239">
        <v>46872</v>
      </c>
      <c r="FF325" s="239">
        <v>0</v>
      </c>
      <c r="FG325" s="239">
        <v>-1937</v>
      </c>
      <c r="FH325" s="239">
        <v>-484</v>
      </c>
      <c r="FI325" s="239">
        <v>0</v>
      </c>
      <c r="FJ325" s="239">
        <v>0</v>
      </c>
      <c r="FK325" s="239">
        <v>0</v>
      </c>
      <c r="FL325" s="239">
        <v>0</v>
      </c>
      <c r="FM325" s="239">
        <v>0</v>
      </c>
      <c r="FN325" s="239">
        <v>0</v>
      </c>
      <c r="FO325" s="239">
        <v>0</v>
      </c>
      <c r="FP325" s="239">
        <v>0</v>
      </c>
      <c r="FQ325" s="239">
        <v>0</v>
      </c>
      <c r="FR325" s="239">
        <v>0</v>
      </c>
      <c r="FS325" s="239">
        <v>0</v>
      </c>
      <c r="FT325" s="239">
        <v>0</v>
      </c>
      <c r="FU325" s="239">
        <v>0</v>
      </c>
      <c r="FV325" s="239">
        <v>1168188</v>
      </c>
      <c r="FW325" s="239">
        <v>292048</v>
      </c>
      <c r="FX325" s="239">
        <v>0</v>
      </c>
      <c r="FY325" s="834">
        <v>0.5</v>
      </c>
      <c r="FZ325" s="834">
        <v>0.4</v>
      </c>
      <c r="GA325" s="834">
        <v>0.1</v>
      </c>
      <c r="GB325" s="834">
        <v>0</v>
      </c>
      <c r="GC325" s="214" t="s">
        <v>1158</v>
      </c>
    </row>
    <row r="326" spans="2:185" s="214" customFormat="1" x14ac:dyDescent="0.2">
      <c r="B326" s="602" t="s">
        <v>735</v>
      </c>
      <c r="C326" s="602" t="s">
        <v>734</v>
      </c>
      <c r="D326" s="239">
        <v>-638895</v>
      </c>
      <c r="E326" s="239">
        <v>0</v>
      </c>
      <c r="F326" s="239">
        <v>-638895</v>
      </c>
      <c r="G326" s="239">
        <v>-378048</v>
      </c>
      <c r="H326" s="239">
        <v>0</v>
      </c>
      <c r="I326" s="239">
        <v>-378048</v>
      </c>
      <c r="J326" s="239">
        <v>-260847</v>
      </c>
      <c r="K326" s="239">
        <v>0</v>
      </c>
      <c r="L326" s="239">
        <v>-260847</v>
      </c>
      <c r="M326" s="239">
        <v>185069</v>
      </c>
      <c r="N326" s="239">
        <v>185069</v>
      </c>
      <c r="O326" s="239">
        <v>0</v>
      </c>
      <c r="P326" s="239">
        <v>0</v>
      </c>
      <c r="Q326" s="239">
        <v>0</v>
      </c>
      <c r="R326" s="239">
        <v>0</v>
      </c>
      <c r="S326" s="239">
        <v>218081.12999999998</v>
      </c>
      <c r="T326" s="239">
        <v>185823.99479200001</v>
      </c>
      <c r="U326" s="239">
        <v>204803</v>
      </c>
      <c r="V326" s="239">
        <v>0</v>
      </c>
      <c r="W326" s="239">
        <v>13278.129999999976</v>
      </c>
      <c r="X326" s="239">
        <v>185823.99479200001</v>
      </c>
      <c r="Y326" s="239">
        <v>0</v>
      </c>
      <c r="Z326" s="239">
        <v>0</v>
      </c>
      <c r="AA326" s="239">
        <v>0</v>
      </c>
      <c r="AB326" s="239">
        <v>0</v>
      </c>
      <c r="AC326" s="239">
        <v>0</v>
      </c>
      <c r="AD326" s="239">
        <v>0</v>
      </c>
      <c r="AE326" s="239">
        <v>0</v>
      </c>
      <c r="AF326" s="239">
        <v>0</v>
      </c>
      <c r="AG326" s="239">
        <v>0</v>
      </c>
      <c r="AH326" s="239">
        <v>0</v>
      </c>
      <c r="AI326" s="239">
        <v>0</v>
      </c>
      <c r="AJ326" s="239">
        <v>0</v>
      </c>
      <c r="AK326" s="239">
        <v>0</v>
      </c>
      <c r="AL326" s="239">
        <v>0</v>
      </c>
      <c r="AM326" s="239">
        <v>0</v>
      </c>
      <c r="AN326" s="239">
        <v>0</v>
      </c>
      <c r="AO326" s="239">
        <v>0</v>
      </c>
      <c r="AP326" s="239">
        <v>0</v>
      </c>
      <c r="AQ326" s="239">
        <v>0</v>
      </c>
      <c r="AR326" s="239">
        <v>0</v>
      </c>
      <c r="AS326" s="239">
        <v>0</v>
      </c>
      <c r="AT326" s="239">
        <v>0</v>
      </c>
      <c r="AU326" s="239">
        <v>0</v>
      </c>
      <c r="AV326" s="239">
        <v>0</v>
      </c>
      <c r="AW326" s="239">
        <v>0</v>
      </c>
      <c r="AX326" s="239">
        <v>0</v>
      </c>
      <c r="AY326" s="239">
        <v>0</v>
      </c>
      <c r="AZ326" s="239">
        <v>0</v>
      </c>
      <c r="BA326" s="239">
        <v>0</v>
      </c>
      <c r="BB326" s="239">
        <v>0</v>
      </c>
      <c r="BC326" s="239">
        <v>1386620</v>
      </c>
      <c r="BD326" s="239">
        <v>311990</v>
      </c>
      <c r="BE326" s="239">
        <v>34666</v>
      </c>
      <c r="BF326" s="239">
        <v>1358985.0210643776</v>
      </c>
      <c r="BG326" s="239">
        <v>305771.62973948498</v>
      </c>
      <c r="BH326" s="239">
        <v>33974.625526609445</v>
      </c>
      <c r="BI326" s="239">
        <v>83994.680236051499</v>
      </c>
      <c r="BJ326" s="239">
        <v>18898.803053111584</v>
      </c>
      <c r="BK326" s="239">
        <v>2099.867005901287</v>
      </c>
      <c r="BL326" s="239">
        <v>1215276</v>
      </c>
      <c r="BM326" s="239">
        <v>188903</v>
      </c>
      <c r="BN326" s="239">
        <v>20989</v>
      </c>
      <c r="BO326" s="239">
        <v>171344</v>
      </c>
      <c r="BP326" s="239">
        <v>123087</v>
      </c>
      <c r="BQ326" s="239">
        <v>13677</v>
      </c>
      <c r="BR326" s="239">
        <v>1764</v>
      </c>
      <c r="BS326" s="239">
        <v>397</v>
      </c>
      <c r="BT326" s="239">
        <v>44</v>
      </c>
      <c r="BU326" s="239">
        <v>0</v>
      </c>
      <c r="BV326" s="239">
        <v>0</v>
      </c>
      <c r="BW326" s="239">
        <v>0</v>
      </c>
      <c r="BX326" s="239">
        <v>1764</v>
      </c>
      <c r="BY326" s="239">
        <v>397</v>
      </c>
      <c r="BZ326" s="239">
        <v>44</v>
      </c>
      <c r="CA326" s="239">
        <v>9125</v>
      </c>
      <c r="CB326" s="239">
        <v>2053</v>
      </c>
      <c r="CC326" s="239">
        <v>228</v>
      </c>
      <c r="CD326" s="239">
        <v>0</v>
      </c>
      <c r="CE326" s="239">
        <v>0</v>
      </c>
      <c r="CF326" s="239">
        <v>0</v>
      </c>
      <c r="CG326" s="239">
        <v>9125</v>
      </c>
      <c r="CH326" s="239">
        <v>2053</v>
      </c>
      <c r="CI326" s="239">
        <v>228</v>
      </c>
      <c r="CJ326" s="239">
        <v>3711</v>
      </c>
      <c r="CK326" s="239">
        <v>835</v>
      </c>
      <c r="CL326" s="239">
        <v>93</v>
      </c>
      <c r="CM326" s="239">
        <v>4303</v>
      </c>
      <c r="CN326" s="239">
        <v>968</v>
      </c>
      <c r="CO326" s="239">
        <v>108</v>
      </c>
      <c r="CP326" s="239">
        <v>-592</v>
      </c>
      <c r="CQ326" s="239">
        <v>-133</v>
      </c>
      <c r="CR326" s="239">
        <v>-15</v>
      </c>
      <c r="CS326" s="239">
        <v>-2715</v>
      </c>
      <c r="CT326" s="239">
        <v>-611</v>
      </c>
      <c r="CU326" s="239">
        <v>-68</v>
      </c>
      <c r="CV326" s="239">
        <v>0</v>
      </c>
      <c r="CW326" s="239">
        <v>0</v>
      </c>
      <c r="CX326" s="239">
        <v>0</v>
      </c>
      <c r="CY326" s="239">
        <v>0</v>
      </c>
      <c r="CZ326" s="239">
        <v>0</v>
      </c>
      <c r="DA326" s="239">
        <v>0</v>
      </c>
      <c r="DB326" s="239">
        <v>0</v>
      </c>
      <c r="DC326" s="239">
        <v>0</v>
      </c>
      <c r="DD326" s="239">
        <v>0</v>
      </c>
      <c r="DE326" s="239">
        <v>0</v>
      </c>
      <c r="DF326" s="239">
        <v>0</v>
      </c>
      <c r="DG326" s="239">
        <v>0</v>
      </c>
      <c r="DH326" s="239">
        <v>21952</v>
      </c>
      <c r="DI326" s="239">
        <v>4939</v>
      </c>
      <c r="DJ326" s="239">
        <v>549</v>
      </c>
      <c r="DK326" s="239">
        <v>20597</v>
      </c>
      <c r="DL326" s="239">
        <v>4634</v>
      </c>
      <c r="DM326" s="239">
        <v>515</v>
      </c>
      <c r="DN326" s="239">
        <v>1355</v>
      </c>
      <c r="DO326" s="239">
        <v>305</v>
      </c>
      <c r="DP326" s="239">
        <v>34</v>
      </c>
      <c r="DQ326" s="239">
        <v>0</v>
      </c>
      <c r="DR326" s="239">
        <v>0</v>
      </c>
      <c r="DS326" s="239">
        <v>0</v>
      </c>
      <c r="DT326" s="239">
        <v>0</v>
      </c>
      <c r="DU326" s="239">
        <v>0</v>
      </c>
      <c r="DV326" s="239">
        <v>0</v>
      </c>
      <c r="DW326" s="239">
        <v>0</v>
      </c>
      <c r="DX326" s="239">
        <v>0</v>
      </c>
      <c r="DY326" s="239">
        <v>0</v>
      </c>
      <c r="DZ326" s="239">
        <v>17173</v>
      </c>
      <c r="EA326" s="239">
        <v>3864</v>
      </c>
      <c r="EB326" s="239">
        <v>429</v>
      </c>
      <c r="EC326" s="239">
        <v>21842</v>
      </c>
      <c r="ED326" s="239">
        <v>0</v>
      </c>
      <c r="EE326" s="239">
        <v>0</v>
      </c>
      <c r="EF326" s="239">
        <v>-4669</v>
      </c>
      <c r="EG326" s="239">
        <v>3864</v>
      </c>
      <c r="EH326" s="239">
        <v>429</v>
      </c>
      <c r="EI326" s="239">
        <v>119642</v>
      </c>
      <c r="EJ326" s="239">
        <v>26919</v>
      </c>
      <c r="EK326" s="239">
        <v>2991</v>
      </c>
      <c r="EL326" s="239">
        <v>147339</v>
      </c>
      <c r="EM326" s="239">
        <v>0</v>
      </c>
      <c r="EN326" s="239">
        <v>0</v>
      </c>
      <c r="EO326" s="239">
        <v>-27697</v>
      </c>
      <c r="EP326" s="239">
        <v>26919</v>
      </c>
      <c r="EQ326" s="239">
        <v>2991</v>
      </c>
      <c r="ER326" s="239">
        <v>29156</v>
      </c>
      <c r="ES326" s="239">
        <v>6560</v>
      </c>
      <c r="ET326" s="239">
        <v>729</v>
      </c>
      <c r="EU326" s="239">
        <v>35115</v>
      </c>
      <c r="EV326" s="239">
        <v>0</v>
      </c>
      <c r="EW326" s="239">
        <v>0</v>
      </c>
      <c r="EX326" s="239">
        <v>-5959</v>
      </c>
      <c r="EY326" s="239">
        <v>6560</v>
      </c>
      <c r="EZ326" s="239">
        <v>729</v>
      </c>
      <c r="FA326" s="239">
        <v>235543</v>
      </c>
      <c r="FB326" s="239">
        <v>55051</v>
      </c>
      <c r="FC326" s="239">
        <v>5807</v>
      </c>
      <c r="FD326" s="239">
        <v>235570</v>
      </c>
      <c r="FE326" s="239">
        <v>52311</v>
      </c>
      <c r="FF326" s="239">
        <v>5812</v>
      </c>
      <c r="FG326" s="239">
        <v>-27</v>
      </c>
      <c r="FH326" s="239">
        <v>2740</v>
      </c>
      <c r="FI326" s="239">
        <v>-5</v>
      </c>
      <c r="FJ326" s="239">
        <v>0</v>
      </c>
      <c r="FK326" s="239">
        <v>0</v>
      </c>
      <c r="FL326" s="239">
        <v>0</v>
      </c>
      <c r="FM326" s="239">
        <v>0</v>
      </c>
      <c r="FN326" s="239">
        <v>0</v>
      </c>
      <c r="FO326" s="239">
        <v>0</v>
      </c>
      <c r="FP326" s="239">
        <v>0</v>
      </c>
      <c r="FQ326" s="239">
        <v>0</v>
      </c>
      <c r="FR326" s="239">
        <v>0</v>
      </c>
      <c r="FS326" s="239">
        <v>0</v>
      </c>
      <c r="FT326" s="239">
        <v>0</v>
      </c>
      <c r="FU326" s="239">
        <v>0</v>
      </c>
      <c r="FV326" s="239">
        <v>1821971</v>
      </c>
      <c r="FW326" s="239">
        <v>411997</v>
      </c>
      <c r="FX326" s="239">
        <v>45468</v>
      </c>
      <c r="FY326" s="834">
        <v>0.5</v>
      </c>
      <c r="FZ326" s="834">
        <v>0.4</v>
      </c>
      <c r="GA326" s="834">
        <v>0.09</v>
      </c>
      <c r="GB326" s="834">
        <v>0.01</v>
      </c>
      <c r="GC326" s="214" t="s">
        <v>1158</v>
      </c>
    </row>
    <row r="327" spans="2:185" s="214" customFormat="1" x14ac:dyDescent="0.2">
      <c r="B327" s="602" t="s">
        <v>737</v>
      </c>
      <c r="C327" s="602" t="s">
        <v>736</v>
      </c>
      <c r="D327" s="239">
        <v>-1349610</v>
      </c>
      <c r="E327" s="239">
        <v>0</v>
      </c>
      <c r="F327" s="239">
        <v>-1349610</v>
      </c>
      <c r="G327" s="239">
        <v>580119</v>
      </c>
      <c r="H327" s="239">
        <v>0</v>
      </c>
      <c r="I327" s="239">
        <v>580119</v>
      </c>
      <c r="J327" s="239">
        <v>-1929729</v>
      </c>
      <c r="K327" s="239">
        <v>0</v>
      </c>
      <c r="L327" s="239">
        <v>-1929729</v>
      </c>
      <c r="M327" s="239">
        <v>234376</v>
      </c>
      <c r="N327" s="239">
        <v>234376</v>
      </c>
      <c r="O327" s="239">
        <v>0</v>
      </c>
      <c r="P327" s="239">
        <v>0</v>
      </c>
      <c r="Q327" s="239">
        <v>0</v>
      </c>
      <c r="R327" s="239">
        <v>0</v>
      </c>
      <c r="S327" s="239">
        <v>0</v>
      </c>
      <c r="T327" s="239">
        <v>0</v>
      </c>
      <c r="U327" s="239">
        <v>0</v>
      </c>
      <c r="V327" s="239">
        <v>0</v>
      </c>
      <c r="W327" s="239">
        <v>0</v>
      </c>
      <c r="X327" s="239">
        <v>0</v>
      </c>
      <c r="Y327" s="239">
        <v>0</v>
      </c>
      <c r="Z327" s="239">
        <v>0</v>
      </c>
      <c r="AA327" s="239">
        <v>0</v>
      </c>
      <c r="AB327" s="239">
        <v>0</v>
      </c>
      <c r="AC327" s="239">
        <v>0</v>
      </c>
      <c r="AD327" s="239">
        <v>0</v>
      </c>
      <c r="AE327" s="239">
        <v>0</v>
      </c>
      <c r="AF327" s="239">
        <v>0</v>
      </c>
      <c r="AG327" s="239">
        <v>0</v>
      </c>
      <c r="AH327" s="239">
        <v>0</v>
      </c>
      <c r="AI327" s="239">
        <v>0</v>
      </c>
      <c r="AJ327" s="239">
        <v>0</v>
      </c>
      <c r="AK327" s="239">
        <v>0</v>
      </c>
      <c r="AL327" s="239">
        <v>0</v>
      </c>
      <c r="AM327" s="239">
        <v>0</v>
      </c>
      <c r="AN327" s="239">
        <v>0</v>
      </c>
      <c r="AO327" s="239">
        <v>0</v>
      </c>
      <c r="AP327" s="239">
        <v>0</v>
      </c>
      <c r="AQ327" s="239">
        <v>0</v>
      </c>
      <c r="AR327" s="239">
        <v>0</v>
      </c>
      <c r="AS327" s="239">
        <v>0</v>
      </c>
      <c r="AT327" s="239">
        <v>0</v>
      </c>
      <c r="AU327" s="239">
        <v>0</v>
      </c>
      <c r="AV327" s="239">
        <v>0</v>
      </c>
      <c r="AW327" s="239">
        <v>0</v>
      </c>
      <c r="AX327" s="239">
        <v>0</v>
      </c>
      <c r="AY327" s="239">
        <v>0</v>
      </c>
      <c r="AZ327" s="239">
        <v>0</v>
      </c>
      <c r="BA327" s="239">
        <v>0</v>
      </c>
      <c r="BB327" s="239">
        <v>0</v>
      </c>
      <c r="BC327" s="239">
        <v>1286308</v>
      </c>
      <c r="BD327" s="239">
        <v>289419</v>
      </c>
      <c r="BE327" s="239">
        <v>32158</v>
      </c>
      <c r="BF327" s="239">
        <v>1238451.1367072961</v>
      </c>
      <c r="BG327" s="239">
        <v>278651.50575914164</v>
      </c>
      <c r="BH327" s="239">
        <v>30961.278417682403</v>
      </c>
      <c r="BI327" s="239">
        <v>146386.04974248927</v>
      </c>
      <c r="BJ327" s="239">
        <v>32936.861192060082</v>
      </c>
      <c r="BK327" s="239">
        <v>3659.6512435622312</v>
      </c>
      <c r="BL327" s="239">
        <v>1134795</v>
      </c>
      <c r="BM327" s="239">
        <v>157125</v>
      </c>
      <c r="BN327" s="239">
        <v>17458</v>
      </c>
      <c r="BO327" s="239">
        <v>151513</v>
      </c>
      <c r="BP327" s="239">
        <v>132294</v>
      </c>
      <c r="BQ327" s="239">
        <v>14700</v>
      </c>
      <c r="BR327" s="239">
        <v>6832</v>
      </c>
      <c r="BS327" s="239">
        <v>1537</v>
      </c>
      <c r="BT327" s="239">
        <v>171</v>
      </c>
      <c r="BU327" s="239">
        <v>5148</v>
      </c>
      <c r="BV327" s="239">
        <v>1158</v>
      </c>
      <c r="BW327" s="239">
        <v>129</v>
      </c>
      <c r="BX327" s="239">
        <v>1684</v>
      </c>
      <c r="BY327" s="239">
        <v>379</v>
      </c>
      <c r="BZ327" s="239">
        <v>42</v>
      </c>
      <c r="CA327" s="239">
        <v>0</v>
      </c>
      <c r="CB327" s="239">
        <v>0</v>
      </c>
      <c r="CC327" s="239">
        <v>0</v>
      </c>
      <c r="CD327" s="239">
        <v>0</v>
      </c>
      <c r="CE327" s="239">
        <v>0</v>
      </c>
      <c r="CF327" s="239">
        <v>0</v>
      </c>
      <c r="CG327" s="239">
        <v>0</v>
      </c>
      <c r="CH327" s="239">
        <v>0</v>
      </c>
      <c r="CI327" s="239">
        <v>0</v>
      </c>
      <c r="CJ327" s="239">
        <v>8857</v>
      </c>
      <c r="CK327" s="239">
        <v>1993</v>
      </c>
      <c r="CL327" s="239">
        <v>221</v>
      </c>
      <c r="CM327" s="239">
        <v>14969</v>
      </c>
      <c r="CN327" s="239">
        <v>3368</v>
      </c>
      <c r="CO327" s="239">
        <v>374</v>
      </c>
      <c r="CP327" s="239">
        <v>-6112</v>
      </c>
      <c r="CQ327" s="239">
        <v>-1375</v>
      </c>
      <c r="CR327" s="239">
        <v>-153</v>
      </c>
      <c r="CS327" s="239">
        <v>-645</v>
      </c>
      <c r="CT327" s="239">
        <v>-145</v>
      </c>
      <c r="CU327" s="239">
        <v>-16</v>
      </c>
      <c r="CV327" s="239">
        <v>0</v>
      </c>
      <c r="CW327" s="239">
        <v>0</v>
      </c>
      <c r="CX327" s="239">
        <v>0</v>
      </c>
      <c r="CY327" s="239">
        <v>0</v>
      </c>
      <c r="CZ327" s="239">
        <v>0</v>
      </c>
      <c r="DA327" s="239">
        <v>0</v>
      </c>
      <c r="DB327" s="239">
        <v>0</v>
      </c>
      <c r="DC327" s="239">
        <v>0</v>
      </c>
      <c r="DD327" s="239">
        <v>0</v>
      </c>
      <c r="DE327" s="239">
        <v>0</v>
      </c>
      <c r="DF327" s="239">
        <v>0</v>
      </c>
      <c r="DG327" s="239">
        <v>0</v>
      </c>
      <c r="DH327" s="239">
        <v>3383</v>
      </c>
      <c r="DI327" s="239">
        <v>761</v>
      </c>
      <c r="DJ327" s="239">
        <v>85</v>
      </c>
      <c r="DK327" s="239">
        <v>5691</v>
      </c>
      <c r="DL327" s="239">
        <v>1281</v>
      </c>
      <c r="DM327" s="239">
        <v>142</v>
      </c>
      <c r="DN327" s="239">
        <v>-2308</v>
      </c>
      <c r="DO327" s="239">
        <v>-520</v>
      </c>
      <c r="DP327" s="239">
        <v>-57</v>
      </c>
      <c r="DQ327" s="239">
        <v>549</v>
      </c>
      <c r="DR327" s="239">
        <v>124</v>
      </c>
      <c r="DS327" s="239">
        <v>14</v>
      </c>
      <c r="DT327" s="239">
        <v>609</v>
      </c>
      <c r="DU327" s="239">
        <v>137</v>
      </c>
      <c r="DV327" s="239">
        <v>15</v>
      </c>
      <c r="DW327" s="239">
        <v>-60</v>
      </c>
      <c r="DX327" s="239">
        <v>-13</v>
      </c>
      <c r="DY327" s="239">
        <v>-1</v>
      </c>
      <c r="DZ327" s="239">
        <v>13054</v>
      </c>
      <c r="EA327" s="239">
        <v>2937</v>
      </c>
      <c r="EB327" s="239">
        <v>326</v>
      </c>
      <c r="EC327" s="239">
        <v>15294</v>
      </c>
      <c r="ED327" s="239">
        <v>0</v>
      </c>
      <c r="EE327" s="239">
        <v>0</v>
      </c>
      <c r="EF327" s="239">
        <v>-2240</v>
      </c>
      <c r="EG327" s="239">
        <v>2937</v>
      </c>
      <c r="EH327" s="239">
        <v>326</v>
      </c>
      <c r="EI327" s="239">
        <v>127169</v>
      </c>
      <c r="EJ327" s="239">
        <v>28613</v>
      </c>
      <c r="EK327" s="239">
        <v>3179</v>
      </c>
      <c r="EL327" s="239">
        <v>186268</v>
      </c>
      <c r="EM327" s="239">
        <v>0</v>
      </c>
      <c r="EN327" s="239">
        <v>0</v>
      </c>
      <c r="EO327" s="239">
        <v>-59099</v>
      </c>
      <c r="EP327" s="239">
        <v>28613</v>
      </c>
      <c r="EQ327" s="239">
        <v>3179</v>
      </c>
      <c r="ER327" s="239">
        <v>27350</v>
      </c>
      <c r="ES327" s="239">
        <v>6154</v>
      </c>
      <c r="ET327" s="239">
        <v>684</v>
      </c>
      <c r="EU327" s="239">
        <v>32988</v>
      </c>
      <c r="EV327" s="239">
        <v>0</v>
      </c>
      <c r="EW327" s="239">
        <v>0</v>
      </c>
      <c r="EX327" s="239">
        <v>-5638</v>
      </c>
      <c r="EY327" s="239">
        <v>6154</v>
      </c>
      <c r="EZ327" s="239">
        <v>684</v>
      </c>
      <c r="FA327" s="239">
        <v>406193</v>
      </c>
      <c r="FB327" s="239">
        <v>91393</v>
      </c>
      <c r="FC327" s="239">
        <v>10155</v>
      </c>
      <c r="FD327" s="239">
        <v>416852</v>
      </c>
      <c r="FE327" s="239">
        <v>93792</v>
      </c>
      <c r="FF327" s="239">
        <v>10421</v>
      </c>
      <c r="FG327" s="239">
        <v>-10659</v>
      </c>
      <c r="FH327" s="239">
        <v>-2399</v>
      </c>
      <c r="FI327" s="239">
        <v>-266</v>
      </c>
      <c r="FJ327" s="239">
        <v>0</v>
      </c>
      <c r="FK327" s="239">
        <v>0</v>
      </c>
      <c r="FL327" s="239">
        <v>0</v>
      </c>
      <c r="FM327" s="239">
        <v>0</v>
      </c>
      <c r="FN327" s="239">
        <v>0</v>
      </c>
      <c r="FO327" s="239">
        <v>0</v>
      </c>
      <c r="FP327" s="239">
        <v>0</v>
      </c>
      <c r="FQ327" s="239">
        <v>0</v>
      </c>
      <c r="FR327" s="239">
        <v>0</v>
      </c>
      <c r="FS327" s="239">
        <v>0</v>
      </c>
      <c r="FT327" s="239">
        <v>0</v>
      </c>
      <c r="FU327" s="239">
        <v>0</v>
      </c>
      <c r="FV327" s="239">
        <v>1879050</v>
      </c>
      <c r="FW327" s="239">
        <v>422786</v>
      </c>
      <c r="FX327" s="239">
        <v>46977</v>
      </c>
      <c r="FY327" s="834">
        <v>0.5</v>
      </c>
      <c r="FZ327" s="834">
        <v>0.4</v>
      </c>
      <c r="GA327" s="834">
        <v>0.09</v>
      </c>
      <c r="GB327" s="834">
        <v>0.01</v>
      </c>
      <c r="GC327" s="214" t="s">
        <v>1158</v>
      </c>
    </row>
    <row r="328" spans="2:185" s="214" customFormat="1" x14ac:dyDescent="0.2">
      <c r="B328" s="602" t="s">
        <v>739</v>
      </c>
      <c r="C328" s="602" t="s">
        <v>738</v>
      </c>
      <c r="D328" s="239">
        <v>-1387326</v>
      </c>
      <c r="E328" s="239">
        <v>-174544</v>
      </c>
      <c r="F328" s="239">
        <v>-1561870</v>
      </c>
      <c r="G328" s="239">
        <v>-1300157</v>
      </c>
      <c r="H328" s="239">
        <v>-174327</v>
      </c>
      <c r="I328" s="239">
        <v>-1474484</v>
      </c>
      <c r="J328" s="239">
        <v>-87169</v>
      </c>
      <c r="K328" s="239">
        <v>-217</v>
      </c>
      <c r="L328" s="239">
        <v>-87386</v>
      </c>
      <c r="M328" s="239">
        <v>149805</v>
      </c>
      <c r="N328" s="239">
        <v>149805</v>
      </c>
      <c r="O328" s="239">
        <v>0</v>
      </c>
      <c r="P328" s="239">
        <v>267997</v>
      </c>
      <c r="Q328" s="239">
        <v>0</v>
      </c>
      <c r="R328" s="239">
        <v>267997</v>
      </c>
      <c r="S328" s="239">
        <v>0</v>
      </c>
      <c r="T328" s="239">
        <v>0</v>
      </c>
      <c r="U328" s="239">
        <v>0</v>
      </c>
      <c r="V328" s="239">
        <v>0</v>
      </c>
      <c r="W328" s="239">
        <v>0</v>
      </c>
      <c r="X328" s="239">
        <v>0</v>
      </c>
      <c r="Y328" s="239">
        <v>0</v>
      </c>
      <c r="Z328" s="239">
        <v>0</v>
      </c>
      <c r="AA328" s="239">
        <v>0</v>
      </c>
      <c r="AB328" s="239">
        <v>0</v>
      </c>
      <c r="AC328" s="239">
        <v>0</v>
      </c>
      <c r="AD328" s="239">
        <v>0</v>
      </c>
      <c r="AE328" s="239">
        <v>0</v>
      </c>
      <c r="AF328" s="239">
        <v>0</v>
      </c>
      <c r="AG328" s="239">
        <v>0</v>
      </c>
      <c r="AH328" s="239">
        <v>0</v>
      </c>
      <c r="AI328" s="239">
        <v>0</v>
      </c>
      <c r="AJ328" s="239">
        <v>0</v>
      </c>
      <c r="AK328" s="239">
        <v>0</v>
      </c>
      <c r="AL328" s="239">
        <v>0</v>
      </c>
      <c r="AM328" s="239">
        <v>0</v>
      </c>
      <c r="AN328" s="239">
        <v>0</v>
      </c>
      <c r="AO328" s="239">
        <v>0</v>
      </c>
      <c r="AP328" s="239">
        <v>0</v>
      </c>
      <c r="AQ328" s="239">
        <v>0</v>
      </c>
      <c r="AR328" s="239">
        <v>0</v>
      </c>
      <c r="AS328" s="239">
        <v>0</v>
      </c>
      <c r="AT328" s="239">
        <v>0</v>
      </c>
      <c r="AU328" s="239">
        <v>0</v>
      </c>
      <c r="AV328" s="239">
        <v>0</v>
      </c>
      <c r="AW328" s="239">
        <v>0</v>
      </c>
      <c r="AX328" s="239">
        <v>0</v>
      </c>
      <c r="AY328" s="239">
        <v>0</v>
      </c>
      <c r="AZ328" s="239">
        <v>0</v>
      </c>
      <c r="BA328" s="239">
        <v>0</v>
      </c>
      <c r="BB328" s="239">
        <v>0</v>
      </c>
      <c r="BC328" s="239">
        <v>1303781</v>
      </c>
      <c r="BD328" s="239">
        <v>286132</v>
      </c>
      <c r="BE328" s="239">
        <v>31792</v>
      </c>
      <c r="BF328" s="239">
        <v>1281566.7724549356</v>
      </c>
      <c r="BG328" s="239">
        <v>281230.77747939911</v>
      </c>
      <c r="BH328" s="239">
        <v>31247.864164377683</v>
      </c>
      <c r="BI328" s="239">
        <v>63325.859163090128</v>
      </c>
      <c r="BJ328" s="239">
        <v>13811.884459763949</v>
      </c>
      <c r="BK328" s="239">
        <v>1534.6538288626609</v>
      </c>
      <c r="BL328" s="239">
        <v>1146292</v>
      </c>
      <c r="BM328" s="239">
        <v>177468</v>
      </c>
      <c r="BN328" s="239">
        <v>19719</v>
      </c>
      <c r="BO328" s="239">
        <v>157489</v>
      </c>
      <c r="BP328" s="239">
        <v>108664</v>
      </c>
      <c r="BQ328" s="239">
        <v>12073</v>
      </c>
      <c r="BR328" s="239">
        <v>8092</v>
      </c>
      <c r="BS328" s="239">
        <v>1467</v>
      </c>
      <c r="BT328" s="239">
        <v>163</v>
      </c>
      <c r="BU328" s="239">
        <v>13888</v>
      </c>
      <c r="BV328" s="239">
        <v>2092</v>
      </c>
      <c r="BW328" s="239">
        <v>232</v>
      </c>
      <c r="BX328" s="239">
        <v>-5796</v>
      </c>
      <c r="BY328" s="239">
        <v>-625</v>
      </c>
      <c r="BZ328" s="239">
        <v>-69</v>
      </c>
      <c r="CA328" s="239">
        <v>0</v>
      </c>
      <c r="CB328" s="239">
        <v>0</v>
      </c>
      <c r="CC328" s="239">
        <v>0</v>
      </c>
      <c r="CD328" s="239">
        <v>0</v>
      </c>
      <c r="CE328" s="239">
        <v>0</v>
      </c>
      <c r="CF328" s="239">
        <v>0</v>
      </c>
      <c r="CG328" s="239">
        <v>0</v>
      </c>
      <c r="CH328" s="239">
        <v>0</v>
      </c>
      <c r="CI328" s="239">
        <v>0</v>
      </c>
      <c r="CJ328" s="239">
        <v>1619</v>
      </c>
      <c r="CK328" s="239">
        <v>364</v>
      </c>
      <c r="CL328" s="239">
        <v>40</v>
      </c>
      <c r="CM328" s="239">
        <v>0</v>
      </c>
      <c r="CN328" s="239">
        <v>0</v>
      </c>
      <c r="CO328" s="239">
        <v>0</v>
      </c>
      <c r="CP328" s="239">
        <v>1619</v>
      </c>
      <c r="CQ328" s="239">
        <v>364</v>
      </c>
      <c r="CR328" s="239">
        <v>40</v>
      </c>
      <c r="CS328" s="239">
        <v>-2031</v>
      </c>
      <c r="CT328" s="239">
        <v>-457</v>
      </c>
      <c r="CU328" s="239">
        <v>-51</v>
      </c>
      <c r="CV328" s="239">
        <v>0</v>
      </c>
      <c r="CW328" s="239">
        <v>0</v>
      </c>
      <c r="CX328" s="239">
        <v>0</v>
      </c>
      <c r="CY328" s="239">
        <v>0</v>
      </c>
      <c r="CZ328" s="239">
        <v>0</v>
      </c>
      <c r="DA328" s="239">
        <v>0</v>
      </c>
      <c r="DB328" s="239">
        <v>0</v>
      </c>
      <c r="DC328" s="239">
        <v>0</v>
      </c>
      <c r="DD328" s="239">
        <v>0</v>
      </c>
      <c r="DE328" s="239">
        <v>0</v>
      </c>
      <c r="DF328" s="239">
        <v>0</v>
      </c>
      <c r="DG328" s="239">
        <v>0</v>
      </c>
      <c r="DH328" s="239">
        <v>0</v>
      </c>
      <c r="DI328" s="239">
        <v>0</v>
      </c>
      <c r="DJ328" s="239">
        <v>0</v>
      </c>
      <c r="DK328" s="239">
        <v>0</v>
      </c>
      <c r="DL328" s="239">
        <v>0</v>
      </c>
      <c r="DM328" s="239">
        <v>0</v>
      </c>
      <c r="DN328" s="239">
        <v>0</v>
      </c>
      <c r="DO328" s="239">
        <v>0</v>
      </c>
      <c r="DP328" s="239">
        <v>0</v>
      </c>
      <c r="DQ328" s="239">
        <v>0</v>
      </c>
      <c r="DR328" s="239">
        <v>0</v>
      </c>
      <c r="DS328" s="239">
        <v>0</v>
      </c>
      <c r="DT328" s="239">
        <v>0</v>
      </c>
      <c r="DU328" s="239">
        <v>0</v>
      </c>
      <c r="DV328" s="239">
        <v>0</v>
      </c>
      <c r="DW328" s="239">
        <v>0</v>
      </c>
      <c r="DX328" s="239">
        <v>0</v>
      </c>
      <c r="DY328" s="239">
        <v>0</v>
      </c>
      <c r="DZ328" s="239">
        <v>4471</v>
      </c>
      <c r="EA328" s="239">
        <v>1006</v>
      </c>
      <c r="EB328" s="239">
        <v>112</v>
      </c>
      <c r="EC328" s="239">
        <v>5941</v>
      </c>
      <c r="ED328" s="239">
        <v>0</v>
      </c>
      <c r="EE328" s="239">
        <v>0</v>
      </c>
      <c r="EF328" s="239">
        <v>-1470</v>
      </c>
      <c r="EG328" s="239">
        <v>1006</v>
      </c>
      <c r="EH328" s="239">
        <v>112</v>
      </c>
      <c r="EI328" s="239">
        <v>29391</v>
      </c>
      <c r="EJ328" s="239">
        <v>5796</v>
      </c>
      <c r="EK328" s="239">
        <v>644</v>
      </c>
      <c r="EL328" s="239">
        <v>82133</v>
      </c>
      <c r="EM328" s="239">
        <v>0</v>
      </c>
      <c r="EN328" s="239">
        <v>0</v>
      </c>
      <c r="EO328" s="239">
        <v>-52742</v>
      </c>
      <c r="EP328" s="239">
        <v>5796</v>
      </c>
      <c r="EQ328" s="239">
        <v>644</v>
      </c>
      <c r="ER328" s="239">
        <v>19567</v>
      </c>
      <c r="ES328" s="239">
        <v>4403</v>
      </c>
      <c r="ET328" s="239">
        <v>489</v>
      </c>
      <c r="EU328" s="239">
        <v>24524</v>
      </c>
      <c r="EV328" s="239">
        <v>0</v>
      </c>
      <c r="EW328" s="239">
        <v>0</v>
      </c>
      <c r="EX328" s="239">
        <v>-4957</v>
      </c>
      <c r="EY328" s="239">
        <v>4403</v>
      </c>
      <c r="EZ328" s="239">
        <v>489</v>
      </c>
      <c r="FA328" s="239">
        <v>142159</v>
      </c>
      <c r="FB328" s="239">
        <v>31080</v>
      </c>
      <c r="FC328" s="239">
        <v>3453</v>
      </c>
      <c r="FD328" s="239">
        <v>146729</v>
      </c>
      <c r="FE328" s="239">
        <v>33014</v>
      </c>
      <c r="FF328" s="239">
        <v>3668</v>
      </c>
      <c r="FG328" s="239">
        <v>-4570</v>
      </c>
      <c r="FH328" s="239">
        <v>-1934</v>
      </c>
      <c r="FI328" s="239">
        <v>-215</v>
      </c>
      <c r="FJ328" s="239">
        <v>0</v>
      </c>
      <c r="FK328" s="239">
        <v>0</v>
      </c>
      <c r="FL328" s="239">
        <v>0</v>
      </c>
      <c r="FM328" s="239">
        <v>0</v>
      </c>
      <c r="FN328" s="239">
        <v>0</v>
      </c>
      <c r="FO328" s="239">
        <v>0</v>
      </c>
      <c r="FP328" s="239">
        <v>0</v>
      </c>
      <c r="FQ328" s="239">
        <v>0</v>
      </c>
      <c r="FR328" s="239">
        <v>0</v>
      </c>
      <c r="FS328" s="239">
        <v>0</v>
      </c>
      <c r="FT328" s="239">
        <v>0</v>
      </c>
      <c r="FU328" s="239">
        <v>0</v>
      </c>
      <c r="FV328" s="239">
        <v>1507049</v>
      </c>
      <c r="FW328" s="239">
        <v>329791</v>
      </c>
      <c r="FX328" s="239">
        <v>36642</v>
      </c>
      <c r="FY328" s="834">
        <v>0.5</v>
      </c>
      <c r="FZ328" s="834">
        <v>0.4</v>
      </c>
      <c r="GA328" s="834">
        <v>0.09</v>
      </c>
      <c r="GB328" s="834">
        <v>0.01</v>
      </c>
      <c r="GC328" s="214" t="s">
        <v>1158</v>
      </c>
    </row>
    <row r="329" spans="2:185" s="214" customFormat="1" x14ac:dyDescent="0.2">
      <c r="B329" s="602" t="s">
        <v>741</v>
      </c>
      <c r="C329" s="602" t="s">
        <v>740</v>
      </c>
      <c r="D329" s="239">
        <v>-1035360</v>
      </c>
      <c r="E329" s="239">
        <v>0</v>
      </c>
      <c r="F329" s="239">
        <v>-1035360</v>
      </c>
      <c r="G329" s="239">
        <v>-1111031</v>
      </c>
      <c r="H329" s="239">
        <v>0</v>
      </c>
      <c r="I329" s="239">
        <v>-1111031</v>
      </c>
      <c r="J329" s="239">
        <v>75671</v>
      </c>
      <c r="K329" s="239">
        <v>0</v>
      </c>
      <c r="L329" s="239">
        <v>75671</v>
      </c>
      <c r="M329" s="239">
        <v>130713</v>
      </c>
      <c r="N329" s="239">
        <v>130713</v>
      </c>
      <c r="O329" s="239">
        <v>0</v>
      </c>
      <c r="P329" s="239">
        <v>0</v>
      </c>
      <c r="Q329" s="239">
        <v>0</v>
      </c>
      <c r="R329" s="239">
        <v>0</v>
      </c>
      <c r="S329" s="239">
        <v>10920</v>
      </c>
      <c r="T329" s="239">
        <v>0</v>
      </c>
      <c r="U329" s="239">
        <v>0</v>
      </c>
      <c r="V329" s="239">
        <v>0</v>
      </c>
      <c r="W329" s="239">
        <v>10920</v>
      </c>
      <c r="X329" s="239">
        <v>0</v>
      </c>
      <c r="Y329" s="239">
        <v>0</v>
      </c>
      <c r="Z329" s="239">
        <v>0</v>
      </c>
      <c r="AA329" s="239">
        <v>0</v>
      </c>
      <c r="AB329" s="239">
        <v>0</v>
      </c>
      <c r="AC329" s="239">
        <v>0</v>
      </c>
      <c r="AD329" s="239">
        <v>0</v>
      </c>
      <c r="AE329" s="239">
        <v>0</v>
      </c>
      <c r="AF329" s="239">
        <v>0</v>
      </c>
      <c r="AG329" s="239">
        <v>0</v>
      </c>
      <c r="AH329" s="239">
        <v>0</v>
      </c>
      <c r="AI329" s="239">
        <v>0</v>
      </c>
      <c r="AJ329" s="239">
        <v>0</v>
      </c>
      <c r="AK329" s="239">
        <v>0</v>
      </c>
      <c r="AL329" s="239">
        <v>0</v>
      </c>
      <c r="AM329" s="239">
        <v>0</v>
      </c>
      <c r="AN329" s="239">
        <v>0</v>
      </c>
      <c r="AO329" s="239">
        <v>0</v>
      </c>
      <c r="AP329" s="239">
        <v>0</v>
      </c>
      <c r="AQ329" s="239">
        <v>0</v>
      </c>
      <c r="AR329" s="239">
        <v>0</v>
      </c>
      <c r="AS329" s="239">
        <v>0</v>
      </c>
      <c r="AT329" s="239">
        <v>0</v>
      </c>
      <c r="AU329" s="239">
        <v>0</v>
      </c>
      <c r="AV329" s="239">
        <v>0</v>
      </c>
      <c r="AW329" s="239">
        <v>0</v>
      </c>
      <c r="AX329" s="239">
        <v>0</v>
      </c>
      <c r="AY329" s="239">
        <v>0</v>
      </c>
      <c r="AZ329" s="239">
        <v>0</v>
      </c>
      <c r="BA329" s="239">
        <v>0</v>
      </c>
      <c r="BB329" s="239">
        <v>0</v>
      </c>
      <c r="BC329" s="239">
        <v>973650</v>
      </c>
      <c r="BD329" s="239">
        <v>219071</v>
      </c>
      <c r="BE329" s="239">
        <v>24341</v>
      </c>
      <c r="BF329" s="239">
        <v>951634.9103072962</v>
      </c>
      <c r="BG329" s="239">
        <v>214117.85481914162</v>
      </c>
      <c r="BH329" s="239">
        <v>23790.872757682406</v>
      </c>
      <c r="BI329" s="239">
        <v>61704.555236051499</v>
      </c>
      <c r="BJ329" s="239">
        <v>13883.524928111585</v>
      </c>
      <c r="BK329" s="239">
        <v>1542.6138809012873</v>
      </c>
      <c r="BL329" s="239">
        <v>864115</v>
      </c>
      <c r="BM329" s="239">
        <v>133168</v>
      </c>
      <c r="BN329" s="239">
        <v>14796</v>
      </c>
      <c r="BO329" s="239">
        <v>109535</v>
      </c>
      <c r="BP329" s="239">
        <v>85903</v>
      </c>
      <c r="BQ329" s="239">
        <v>9545</v>
      </c>
      <c r="BR329" s="239">
        <v>0</v>
      </c>
      <c r="BS329" s="239">
        <v>0</v>
      </c>
      <c r="BT329" s="239">
        <v>0</v>
      </c>
      <c r="BU329" s="239">
        <v>0</v>
      </c>
      <c r="BV329" s="239">
        <v>0</v>
      </c>
      <c r="BW329" s="239">
        <v>0</v>
      </c>
      <c r="BX329" s="239">
        <v>0</v>
      </c>
      <c r="BY329" s="239">
        <v>0</v>
      </c>
      <c r="BZ329" s="239">
        <v>0</v>
      </c>
      <c r="CA329" s="239">
        <v>0</v>
      </c>
      <c r="CB329" s="239">
        <v>0</v>
      </c>
      <c r="CC329" s="239">
        <v>0</v>
      </c>
      <c r="CD329" s="239">
        <v>0</v>
      </c>
      <c r="CE329" s="239">
        <v>0</v>
      </c>
      <c r="CF329" s="239">
        <v>0</v>
      </c>
      <c r="CG329" s="239">
        <v>0</v>
      </c>
      <c r="CH329" s="239">
        <v>0</v>
      </c>
      <c r="CI329" s="239">
        <v>0</v>
      </c>
      <c r="CJ329" s="239">
        <v>1933</v>
      </c>
      <c r="CK329" s="239">
        <v>435</v>
      </c>
      <c r="CL329" s="239">
        <v>48</v>
      </c>
      <c r="CM329" s="239">
        <v>3856</v>
      </c>
      <c r="CN329" s="239">
        <v>867</v>
      </c>
      <c r="CO329" s="239">
        <v>96</v>
      </c>
      <c r="CP329" s="239">
        <v>-1923</v>
      </c>
      <c r="CQ329" s="239">
        <v>-432</v>
      </c>
      <c r="CR329" s="239">
        <v>-48</v>
      </c>
      <c r="CS329" s="239">
        <v>-133</v>
      </c>
      <c r="CT329" s="239">
        <v>-30</v>
      </c>
      <c r="CU329" s="239">
        <v>-3</v>
      </c>
      <c r="CV329" s="239">
        <v>0</v>
      </c>
      <c r="CW329" s="239">
        <v>0</v>
      </c>
      <c r="CX329" s="239">
        <v>0</v>
      </c>
      <c r="CY329" s="239">
        <v>0</v>
      </c>
      <c r="CZ329" s="239">
        <v>0</v>
      </c>
      <c r="DA329" s="239">
        <v>0</v>
      </c>
      <c r="DB329" s="239">
        <v>0</v>
      </c>
      <c r="DC329" s="239">
        <v>0</v>
      </c>
      <c r="DD329" s="239">
        <v>0</v>
      </c>
      <c r="DE329" s="239">
        <v>0</v>
      </c>
      <c r="DF329" s="239">
        <v>0</v>
      </c>
      <c r="DG329" s="239">
        <v>0</v>
      </c>
      <c r="DH329" s="239">
        <v>4926</v>
      </c>
      <c r="DI329" s="239">
        <v>1108</v>
      </c>
      <c r="DJ329" s="239">
        <v>123</v>
      </c>
      <c r="DK329" s="239">
        <v>3949</v>
      </c>
      <c r="DL329" s="239">
        <v>889</v>
      </c>
      <c r="DM329" s="239">
        <v>99</v>
      </c>
      <c r="DN329" s="239">
        <v>977</v>
      </c>
      <c r="DO329" s="239">
        <v>219</v>
      </c>
      <c r="DP329" s="239">
        <v>24</v>
      </c>
      <c r="DQ329" s="239">
        <v>0</v>
      </c>
      <c r="DR329" s="239">
        <v>0</v>
      </c>
      <c r="DS329" s="239">
        <v>0</v>
      </c>
      <c r="DT329" s="239">
        <v>0</v>
      </c>
      <c r="DU329" s="239">
        <v>0</v>
      </c>
      <c r="DV329" s="239">
        <v>0</v>
      </c>
      <c r="DW329" s="239">
        <v>0</v>
      </c>
      <c r="DX329" s="239">
        <v>0</v>
      </c>
      <c r="DY329" s="239">
        <v>0</v>
      </c>
      <c r="DZ329" s="239">
        <v>5798</v>
      </c>
      <c r="EA329" s="239">
        <v>1305</v>
      </c>
      <c r="EB329" s="239">
        <v>145</v>
      </c>
      <c r="EC329" s="239">
        <v>8135</v>
      </c>
      <c r="ED329" s="239">
        <v>0</v>
      </c>
      <c r="EE329" s="239">
        <v>0</v>
      </c>
      <c r="EF329" s="239">
        <v>-2337</v>
      </c>
      <c r="EG329" s="239">
        <v>1305</v>
      </c>
      <c r="EH329" s="239">
        <v>145</v>
      </c>
      <c r="EI329" s="239">
        <v>48808</v>
      </c>
      <c r="EJ329" s="239">
        <v>10982</v>
      </c>
      <c r="EK329" s="239">
        <v>1220</v>
      </c>
      <c r="EL329" s="239">
        <v>60692</v>
      </c>
      <c r="EM329" s="239">
        <v>0</v>
      </c>
      <c r="EN329" s="239">
        <v>0</v>
      </c>
      <c r="EO329" s="239">
        <v>-11884</v>
      </c>
      <c r="EP329" s="239">
        <v>10982</v>
      </c>
      <c r="EQ329" s="239">
        <v>1220</v>
      </c>
      <c r="ER329" s="239">
        <v>26158</v>
      </c>
      <c r="ES329" s="239">
        <v>5886</v>
      </c>
      <c r="ET329" s="239">
        <v>654</v>
      </c>
      <c r="EU329" s="239">
        <v>32382</v>
      </c>
      <c r="EV329" s="239">
        <v>0</v>
      </c>
      <c r="EW329" s="239">
        <v>0</v>
      </c>
      <c r="EX329" s="239">
        <v>-6224</v>
      </c>
      <c r="EY329" s="239">
        <v>5886</v>
      </c>
      <c r="EZ329" s="239">
        <v>654</v>
      </c>
      <c r="FA329" s="239">
        <v>161836</v>
      </c>
      <c r="FB329" s="239">
        <v>36376</v>
      </c>
      <c r="FC329" s="239">
        <v>4042</v>
      </c>
      <c r="FD329" s="239">
        <v>157918</v>
      </c>
      <c r="FE329" s="239">
        <v>35532</v>
      </c>
      <c r="FF329" s="239">
        <v>3948</v>
      </c>
      <c r="FG329" s="239">
        <v>3918</v>
      </c>
      <c r="FH329" s="239">
        <v>844</v>
      </c>
      <c r="FI329" s="239">
        <v>94</v>
      </c>
      <c r="FJ329" s="239">
        <v>0</v>
      </c>
      <c r="FK329" s="239">
        <v>0</v>
      </c>
      <c r="FL329" s="239">
        <v>0</v>
      </c>
      <c r="FM329" s="239">
        <v>0</v>
      </c>
      <c r="FN329" s="239">
        <v>0</v>
      </c>
      <c r="FO329" s="239">
        <v>0</v>
      </c>
      <c r="FP329" s="239">
        <v>0</v>
      </c>
      <c r="FQ329" s="239">
        <v>0</v>
      </c>
      <c r="FR329" s="239">
        <v>0</v>
      </c>
      <c r="FS329" s="239">
        <v>0</v>
      </c>
      <c r="FT329" s="239">
        <v>0</v>
      </c>
      <c r="FU329" s="239">
        <v>0</v>
      </c>
      <c r="FV329" s="239">
        <v>1222976</v>
      </c>
      <c r="FW329" s="239">
        <v>275133</v>
      </c>
      <c r="FX329" s="239">
        <v>30570</v>
      </c>
      <c r="FY329" s="834">
        <v>0.5</v>
      </c>
      <c r="FZ329" s="834">
        <v>0.4</v>
      </c>
      <c r="GA329" s="834">
        <v>0.09</v>
      </c>
      <c r="GB329" s="834">
        <v>0.01</v>
      </c>
      <c r="GC329" s="214" t="s">
        <v>1158</v>
      </c>
    </row>
    <row r="330" spans="2:185" s="214" customFormat="1" x14ac:dyDescent="0.2">
      <c r="B330" s="602" t="s">
        <v>743</v>
      </c>
      <c r="C330" s="602" t="s">
        <v>742</v>
      </c>
      <c r="D330" s="239">
        <v>-3051513</v>
      </c>
      <c r="E330" s="239">
        <v>433574</v>
      </c>
      <c r="F330" s="239">
        <v>-2617939</v>
      </c>
      <c r="G330" s="239">
        <v>-2698161</v>
      </c>
      <c r="H330" s="239">
        <v>432696</v>
      </c>
      <c r="I330" s="239">
        <v>-2265465</v>
      </c>
      <c r="J330" s="239">
        <v>-353352</v>
      </c>
      <c r="K330" s="239">
        <v>878</v>
      </c>
      <c r="L330" s="239">
        <v>-352474</v>
      </c>
      <c r="M330" s="239">
        <v>291989</v>
      </c>
      <c r="N330" s="239">
        <v>291989</v>
      </c>
      <c r="O330" s="239">
        <v>0</v>
      </c>
      <c r="P330" s="239">
        <v>523678</v>
      </c>
      <c r="Q330" s="239">
        <v>515803</v>
      </c>
      <c r="R330" s="239">
        <v>7875</v>
      </c>
      <c r="S330" s="239">
        <v>0</v>
      </c>
      <c r="T330" s="239">
        <v>0</v>
      </c>
      <c r="U330" s="239">
        <v>0</v>
      </c>
      <c r="V330" s="239">
        <v>0</v>
      </c>
      <c r="W330" s="239">
        <v>0</v>
      </c>
      <c r="X330" s="239">
        <v>0</v>
      </c>
      <c r="Y330" s="239">
        <v>0</v>
      </c>
      <c r="Z330" s="239">
        <v>0</v>
      </c>
      <c r="AA330" s="239">
        <v>0</v>
      </c>
      <c r="AB330" s="239">
        <v>0</v>
      </c>
      <c r="AC330" s="239">
        <v>0</v>
      </c>
      <c r="AD330" s="239">
        <v>0</v>
      </c>
      <c r="AE330" s="239">
        <v>0</v>
      </c>
      <c r="AF330" s="239">
        <v>0</v>
      </c>
      <c r="AG330" s="239">
        <v>0</v>
      </c>
      <c r="AH330" s="239">
        <v>0</v>
      </c>
      <c r="AI330" s="239">
        <v>0</v>
      </c>
      <c r="AJ330" s="239">
        <v>0</v>
      </c>
      <c r="AK330" s="239">
        <v>0</v>
      </c>
      <c r="AL330" s="239">
        <v>0</v>
      </c>
      <c r="AM330" s="239">
        <v>0</v>
      </c>
      <c r="AN330" s="239">
        <v>0</v>
      </c>
      <c r="AO330" s="239">
        <v>0</v>
      </c>
      <c r="AP330" s="239">
        <v>0</v>
      </c>
      <c r="AQ330" s="239">
        <v>0</v>
      </c>
      <c r="AR330" s="239">
        <v>0</v>
      </c>
      <c r="AS330" s="239">
        <v>0</v>
      </c>
      <c r="AT330" s="239">
        <v>0</v>
      </c>
      <c r="AU330" s="239">
        <v>0</v>
      </c>
      <c r="AV330" s="239">
        <v>0</v>
      </c>
      <c r="AW330" s="239">
        <v>0</v>
      </c>
      <c r="AX330" s="239">
        <v>0</v>
      </c>
      <c r="AY330" s="239">
        <v>0</v>
      </c>
      <c r="AZ330" s="239">
        <v>0</v>
      </c>
      <c r="BA330" s="239">
        <v>0</v>
      </c>
      <c r="BB330" s="239">
        <v>0</v>
      </c>
      <c r="BC330" s="239">
        <v>1921785</v>
      </c>
      <c r="BD330" s="239">
        <v>0</v>
      </c>
      <c r="BE330" s="239">
        <v>39142</v>
      </c>
      <c r="BF330" s="239">
        <v>1863143.7674205578</v>
      </c>
      <c r="BG330" s="239">
        <v>0</v>
      </c>
      <c r="BH330" s="239">
        <v>37947.862006480682</v>
      </c>
      <c r="BI330" s="239">
        <v>186929.70820128752</v>
      </c>
      <c r="BJ330" s="239">
        <v>0</v>
      </c>
      <c r="BK330" s="239">
        <v>3769.6510476394847</v>
      </c>
      <c r="BL330" s="239">
        <v>1699619</v>
      </c>
      <c r="BM330" s="239">
        <v>0</v>
      </c>
      <c r="BN330" s="239">
        <v>23230</v>
      </c>
      <c r="BO330" s="239">
        <v>222166</v>
      </c>
      <c r="BP330" s="239">
        <v>0</v>
      </c>
      <c r="BQ330" s="239">
        <v>15912</v>
      </c>
      <c r="BR330" s="239">
        <v>12845</v>
      </c>
      <c r="BS330" s="239">
        <v>0</v>
      </c>
      <c r="BT330" s="239">
        <v>262</v>
      </c>
      <c r="BU330" s="239">
        <v>0</v>
      </c>
      <c r="BV330" s="239">
        <v>0</v>
      </c>
      <c r="BW330" s="239">
        <v>0</v>
      </c>
      <c r="BX330" s="239">
        <v>12845</v>
      </c>
      <c r="BY330" s="239">
        <v>0</v>
      </c>
      <c r="BZ330" s="239">
        <v>262</v>
      </c>
      <c r="CA330" s="239">
        <v>-65</v>
      </c>
      <c r="CB330" s="239">
        <v>0</v>
      </c>
      <c r="CC330" s="239">
        <v>-1</v>
      </c>
      <c r="CD330" s="239">
        <v>24868</v>
      </c>
      <c r="CE330" s="239">
        <v>0</v>
      </c>
      <c r="CF330" s="239">
        <v>508</v>
      </c>
      <c r="CG330" s="239">
        <v>-24933</v>
      </c>
      <c r="CH330" s="239">
        <v>0</v>
      </c>
      <c r="CI330" s="239">
        <v>-509</v>
      </c>
      <c r="CJ330" s="239">
        <v>12320</v>
      </c>
      <c r="CK330" s="239">
        <v>0</v>
      </c>
      <c r="CL330" s="239">
        <v>251</v>
      </c>
      <c r="CM330" s="239">
        <v>52223</v>
      </c>
      <c r="CN330" s="239">
        <v>0</v>
      </c>
      <c r="CO330" s="239">
        <v>1066</v>
      </c>
      <c r="CP330" s="239">
        <v>-39903</v>
      </c>
      <c r="CQ330" s="239">
        <v>0</v>
      </c>
      <c r="CR330" s="239">
        <v>-815</v>
      </c>
      <c r="CS330" s="239">
        <v>-652</v>
      </c>
      <c r="CT330" s="239">
        <v>0</v>
      </c>
      <c r="CU330" s="239">
        <v>-13</v>
      </c>
      <c r="CV330" s="239">
        <v>7035</v>
      </c>
      <c r="CW330" s="239">
        <v>0</v>
      </c>
      <c r="CX330" s="239">
        <v>144</v>
      </c>
      <c r="CY330" s="239">
        <v>0</v>
      </c>
      <c r="CZ330" s="239">
        <v>0</v>
      </c>
      <c r="DA330" s="239">
        <v>0</v>
      </c>
      <c r="DB330" s="239">
        <v>7035</v>
      </c>
      <c r="DC330" s="239">
        <v>0</v>
      </c>
      <c r="DD330" s="239">
        <v>144</v>
      </c>
      <c r="DE330" s="239">
        <v>0</v>
      </c>
      <c r="DF330" s="239">
        <v>0</v>
      </c>
      <c r="DG330" s="239">
        <v>0</v>
      </c>
      <c r="DH330" s="239">
        <v>2057</v>
      </c>
      <c r="DI330" s="239">
        <v>0</v>
      </c>
      <c r="DJ330" s="239">
        <v>42</v>
      </c>
      <c r="DK330" s="239">
        <v>4337</v>
      </c>
      <c r="DL330" s="239">
        <v>0</v>
      </c>
      <c r="DM330" s="239">
        <v>88</v>
      </c>
      <c r="DN330" s="239">
        <v>-2280</v>
      </c>
      <c r="DO330" s="239">
        <v>0</v>
      </c>
      <c r="DP330" s="239">
        <v>-46</v>
      </c>
      <c r="DQ330" s="239">
        <v>746</v>
      </c>
      <c r="DR330" s="239">
        <v>0</v>
      </c>
      <c r="DS330" s="239">
        <v>15</v>
      </c>
      <c r="DT330" s="239">
        <v>746</v>
      </c>
      <c r="DU330" s="239">
        <v>0</v>
      </c>
      <c r="DV330" s="239">
        <v>15</v>
      </c>
      <c r="DW330" s="239">
        <v>0</v>
      </c>
      <c r="DX330" s="239">
        <v>0</v>
      </c>
      <c r="DY330" s="239">
        <v>0</v>
      </c>
      <c r="DZ330" s="239">
        <v>26887</v>
      </c>
      <c r="EA330" s="239">
        <v>0</v>
      </c>
      <c r="EB330" s="239">
        <v>542</v>
      </c>
      <c r="EC330" s="239">
        <v>29620</v>
      </c>
      <c r="ED330" s="239">
        <v>0</v>
      </c>
      <c r="EE330" s="239">
        <v>0</v>
      </c>
      <c r="EF330" s="239">
        <v>-2733</v>
      </c>
      <c r="EG330" s="239">
        <v>0</v>
      </c>
      <c r="EH330" s="239">
        <v>542</v>
      </c>
      <c r="EI330" s="239">
        <v>394466</v>
      </c>
      <c r="EJ330" s="239">
        <v>0</v>
      </c>
      <c r="EK330" s="239">
        <v>7885</v>
      </c>
      <c r="EL330" s="239">
        <v>393939</v>
      </c>
      <c r="EM330" s="239">
        <v>0</v>
      </c>
      <c r="EN330" s="239">
        <v>0</v>
      </c>
      <c r="EO330" s="239">
        <v>527</v>
      </c>
      <c r="EP330" s="239">
        <v>0</v>
      </c>
      <c r="EQ330" s="239">
        <v>7885</v>
      </c>
      <c r="ER330" s="239">
        <v>56215</v>
      </c>
      <c r="ES330" s="239">
        <v>0</v>
      </c>
      <c r="ET330" s="239">
        <v>1127</v>
      </c>
      <c r="EU330" s="239">
        <v>55826</v>
      </c>
      <c r="EV330" s="239">
        <v>0</v>
      </c>
      <c r="EW330" s="239">
        <v>0</v>
      </c>
      <c r="EX330" s="239">
        <v>389</v>
      </c>
      <c r="EY330" s="239">
        <v>0</v>
      </c>
      <c r="EZ330" s="239">
        <v>1127</v>
      </c>
      <c r="FA330" s="239">
        <v>736347</v>
      </c>
      <c r="FB330" s="239">
        <v>0</v>
      </c>
      <c r="FC330" s="239">
        <v>14867</v>
      </c>
      <c r="FD330" s="239">
        <v>746427</v>
      </c>
      <c r="FE330" s="239">
        <v>0</v>
      </c>
      <c r="FF330" s="239">
        <v>15075</v>
      </c>
      <c r="FG330" s="239">
        <v>-10080</v>
      </c>
      <c r="FH330" s="239">
        <v>0</v>
      </c>
      <c r="FI330" s="239">
        <v>-208</v>
      </c>
      <c r="FJ330" s="239">
        <v>0</v>
      </c>
      <c r="FK330" s="239">
        <v>0</v>
      </c>
      <c r="FL330" s="239">
        <v>0</v>
      </c>
      <c r="FM330" s="239">
        <v>0</v>
      </c>
      <c r="FN330" s="239">
        <v>0</v>
      </c>
      <c r="FO330" s="239">
        <v>0</v>
      </c>
      <c r="FP330" s="239">
        <v>0</v>
      </c>
      <c r="FQ330" s="239">
        <v>0</v>
      </c>
      <c r="FR330" s="239">
        <v>0</v>
      </c>
      <c r="FS330" s="239">
        <v>0</v>
      </c>
      <c r="FT330" s="239">
        <v>0</v>
      </c>
      <c r="FU330" s="239">
        <v>0</v>
      </c>
      <c r="FV330" s="239">
        <v>3169986</v>
      </c>
      <c r="FW330" s="239">
        <v>0</v>
      </c>
      <c r="FX330" s="239">
        <v>64263</v>
      </c>
      <c r="FY330" s="834">
        <v>0.5</v>
      </c>
      <c r="FZ330" s="834">
        <v>0.49</v>
      </c>
      <c r="GA330" s="834">
        <v>0</v>
      </c>
      <c r="GB330" s="834">
        <v>0.01</v>
      </c>
      <c r="GC330" s="214" t="s">
        <v>746</v>
      </c>
    </row>
    <row r="331" spans="2:185" s="214" customFormat="1" x14ac:dyDescent="0.2">
      <c r="B331" s="602" t="s">
        <v>1150</v>
      </c>
      <c r="C331" s="602" t="s">
        <v>1142</v>
      </c>
      <c r="D331" s="239">
        <v>-2544176</v>
      </c>
      <c r="E331" s="239">
        <v>-6362368</v>
      </c>
      <c r="F331" s="239">
        <v>-8906544</v>
      </c>
      <c r="G331" s="239">
        <v>124901769.73000002</v>
      </c>
      <c r="H331" s="239">
        <v>-5556712.8100000005</v>
      </c>
      <c r="I331" s="239">
        <v>119345056.92000002</v>
      </c>
      <c r="J331" s="239">
        <v>-127445945.73</v>
      </c>
      <c r="K331" s="239">
        <v>-805655.19</v>
      </c>
      <c r="L331" s="239">
        <v>-128251600.92</v>
      </c>
      <c r="M331" s="239">
        <v>84057349</v>
      </c>
      <c r="N331" s="239">
        <v>84058003</v>
      </c>
      <c r="O331" s="239">
        <v>-654</v>
      </c>
      <c r="P331" s="239">
        <v>40459428</v>
      </c>
      <c r="Q331" s="239">
        <v>27136781</v>
      </c>
      <c r="R331" s="239">
        <v>13322647</v>
      </c>
      <c r="S331" s="239">
        <v>58223551.130000003</v>
      </c>
      <c r="T331" s="239">
        <v>2816083.6747920001</v>
      </c>
      <c r="U331" s="239">
        <v>47665004</v>
      </c>
      <c r="V331" s="239">
        <v>1942564.14</v>
      </c>
      <c r="W331" s="239">
        <v>10558547.130000001</v>
      </c>
      <c r="X331" s="239">
        <v>873519.53479200008</v>
      </c>
      <c r="Y331" s="239">
        <v>8793807</v>
      </c>
      <c r="Z331" s="239">
        <v>8497151</v>
      </c>
      <c r="AA331" s="239">
        <v>264637</v>
      </c>
      <c r="AB331" s="239">
        <v>32017</v>
      </c>
      <c r="AC331" s="239">
        <v>9123646</v>
      </c>
      <c r="AD331" s="239">
        <v>8856111</v>
      </c>
      <c r="AE331" s="239">
        <v>238860</v>
      </c>
      <c r="AF331" s="239">
        <v>28675</v>
      </c>
      <c r="AG331" s="239">
        <v>-329838</v>
      </c>
      <c r="AH331" s="239">
        <v>-358959</v>
      </c>
      <c r="AI331" s="239">
        <v>25777</v>
      </c>
      <c r="AJ331" s="239">
        <v>3342</v>
      </c>
      <c r="AK331" s="239">
        <v>2732690</v>
      </c>
      <c r="AL331" s="239">
        <v>2212709</v>
      </c>
      <c r="AM331" s="239">
        <v>465326</v>
      </c>
      <c r="AN331" s="239">
        <v>54654</v>
      </c>
      <c r="AO331" s="239">
        <v>454860.37712168135</v>
      </c>
      <c r="AP331" s="239">
        <v>363888</v>
      </c>
      <c r="AQ331" s="239">
        <v>81875</v>
      </c>
      <c r="AR331" s="239">
        <v>9097</v>
      </c>
      <c r="AS331" s="239">
        <v>2277830</v>
      </c>
      <c r="AT331" s="239">
        <v>1848821</v>
      </c>
      <c r="AU331" s="239">
        <v>383451</v>
      </c>
      <c r="AV331" s="239">
        <v>45557</v>
      </c>
      <c r="AW331" s="239">
        <v>850129</v>
      </c>
      <c r="AX331" s="239">
        <v>850129</v>
      </c>
      <c r="AY331" s="239">
        <v>816661.47</v>
      </c>
      <c r="AZ331" s="239">
        <v>816661.47</v>
      </c>
      <c r="BA331" s="239">
        <v>33468</v>
      </c>
      <c r="BB331" s="239">
        <v>33468</v>
      </c>
      <c r="BC331" s="239">
        <v>622821506</v>
      </c>
      <c r="BD331" s="239">
        <v>104819367</v>
      </c>
      <c r="BE331" s="239">
        <v>8313756</v>
      </c>
      <c r="BF331" s="239">
        <v>608213716.51640737</v>
      </c>
      <c r="BG331" s="239">
        <v>102231727.61444269</v>
      </c>
      <c r="BH331" s="239">
        <v>8119841.6148732547</v>
      </c>
      <c r="BI331" s="239">
        <v>44575162.824935101</v>
      </c>
      <c r="BJ331" s="239">
        <v>9117638.7975671105</v>
      </c>
      <c r="BK331" s="239">
        <v>569172.51480032236</v>
      </c>
      <c r="BL331" s="239">
        <v>592536666</v>
      </c>
      <c r="BM331" s="239">
        <v>64733590</v>
      </c>
      <c r="BN331" s="239">
        <v>5386645</v>
      </c>
      <c r="BO331" s="239">
        <v>30284840</v>
      </c>
      <c r="BP331" s="239">
        <v>40085777</v>
      </c>
      <c r="BQ331" s="239">
        <v>2927111</v>
      </c>
      <c r="BR331" s="239">
        <v>2264929</v>
      </c>
      <c r="BS331" s="239">
        <v>255430</v>
      </c>
      <c r="BT331" s="239">
        <v>31226</v>
      </c>
      <c r="BU331" s="239">
        <v>1484174</v>
      </c>
      <c r="BV331" s="239">
        <v>159338</v>
      </c>
      <c r="BW331" s="239">
        <v>20392</v>
      </c>
      <c r="BX331" s="239">
        <v>780755</v>
      </c>
      <c r="BY331" s="239">
        <v>96092</v>
      </c>
      <c r="BZ331" s="239">
        <v>10834</v>
      </c>
      <c r="CA331" s="239">
        <v>2584892</v>
      </c>
      <c r="CB331" s="239">
        <v>479392</v>
      </c>
      <c r="CC331" s="239">
        <v>30786</v>
      </c>
      <c r="CD331" s="239">
        <v>2878720</v>
      </c>
      <c r="CE331" s="239">
        <v>856645</v>
      </c>
      <c r="CF331" s="239">
        <v>33317</v>
      </c>
      <c r="CG331" s="239">
        <v>-293828</v>
      </c>
      <c r="CH331" s="239">
        <v>-377253</v>
      </c>
      <c r="CI331" s="239">
        <v>-2531</v>
      </c>
      <c r="CJ331" s="239">
        <v>1793862</v>
      </c>
      <c r="CK331" s="239">
        <v>220536</v>
      </c>
      <c r="CL331" s="239">
        <v>25038</v>
      </c>
      <c r="CM331" s="239">
        <v>2045541</v>
      </c>
      <c r="CN331" s="239">
        <v>386922</v>
      </c>
      <c r="CO331" s="239">
        <v>28027</v>
      </c>
      <c r="CP331" s="239">
        <v>-251679</v>
      </c>
      <c r="CQ331" s="239">
        <v>-166386</v>
      </c>
      <c r="CR331" s="239">
        <v>-2989</v>
      </c>
      <c r="CS331" s="239">
        <v>-776903</v>
      </c>
      <c r="CT331" s="239">
        <v>-124531</v>
      </c>
      <c r="CU331" s="239">
        <v>-9564</v>
      </c>
      <c r="CV331" s="239">
        <v>50991</v>
      </c>
      <c r="CW331" s="239">
        <v>10158</v>
      </c>
      <c r="CX331" s="239">
        <v>-34</v>
      </c>
      <c r="CY331" s="239">
        <v>0</v>
      </c>
      <c r="CZ331" s="239">
        <v>0</v>
      </c>
      <c r="DA331" s="239">
        <v>0</v>
      </c>
      <c r="DB331" s="239">
        <v>50991</v>
      </c>
      <c r="DC331" s="239">
        <v>10158</v>
      </c>
      <c r="DD331" s="239">
        <v>-34</v>
      </c>
      <c r="DE331" s="239">
        <v>-16422</v>
      </c>
      <c r="DF331" s="239">
        <v>-18359</v>
      </c>
      <c r="DG331" s="239">
        <v>-639</v>
      </c>
      <c r="DH331" s="239">
        <v>1884625</v>
      </c>
      <c r="DI331" s="239">
        <v>310848</v>
      </c>
      <c r="DJ331" s="239">
        <v>24985</v>
      </c>
      <c r="DK331" s="239">
        <v>2106861</v>
      </c>
      <c r="DL331" s="239">
        <v>332255</v>
      </c>
      <c r="DM331" s="239">
        <v>28415</v>
      </c>
      <c r="DN331" s="239">
        <v>-222236</v>
      </c>
      <c r="DO331" s="239">
        <v>-21407</v>
      </c>
      <c r="DP331" s="239">
        <v>-3430</v>
      </c>
      <c r="DQ331" s="239">
        <v>105359</v>
      </c>
      <c r="DR331" s="239">
        <v>14456</v>
      </c>
      <c r="DS331" s="239">
        <v>1309</v>
      </c>
      <c r="DT331" s="239">
        <v>170596</v>
      </c>
      <c r="DU331" s="239">
        <v>28675</v>
      </c>
      <c r="DV331" s="239">
        <v>1941</v>
      </c>
      <c r="DW331" s="239">
        <v>-65237</v>
      </c>
      <c r="DX331" s="239">
        <v>-14219</v>
      </c>
      <c r="DY331" s="239">
        <v>-632</v>
      </c>
      <c r="DZ331" s="239">
        <v>7638389</v>
      </c>
      <c r="EA331" s="239">
        <v>2777669</v>
      </c>
      <c r="EB331" s="239">
        <v>83673</v>
      </c>
      <c r="EC331" s="239">
        <v>10810423</v>
      </c>
      <c r="ED331" s="239">
        <v>0</v>
      </c>
      <c r="EE331" s="239">
        <v>0</v>
      </c>
      <c r="EF331" s="239">
        <v>-3172034</v>
      </c>
      <c r="EG331" s="239">
        <v>2777669</v>
      </c>
      <c r="EH331" s="239">
        <v>83673</v>
      </c>
      <c r="EI331" s="239">
        <v>67321799</v>
      </c>
      <c r="EJ331" s="239">
        <v>29389835</v>
      </c>
      <c r="EK331" s="239">
        <v>667090</v>
      </c>
      <c r="EL331" s="239">
        <v>107703040</v>
      </c>
      <c r="EM331" s="239">
        <v>0</v>
      </c>
      <c r="EN331" s="239">
        <v>0</v>
      </c>
      <c r="EO331" s="239">
        <v>-40381241</v>
      </c>
      <c r="EP331" s="239">
        <v>29389835</v>
      </c>
      <c r="EQ331" s="239">
        <v>667090</v>
      </c>
      <c r="ER331" s="239">
        <v>9135762</v>
      </c>
      <c r="ES331" s="239">
        <v>1476483</v>
      </c>
      <c r="ET331" s="239">
        <v>129099</v>
      </c>
      <c r="EU331" s="239">
        <v>11495780</v>
      </c>
      <c r="EV331" s="239">
        <v>0</v>
      </c>
      <c r="EW331" s="239">
        <v>0</v>
      </c>
      <c r="EX331" s="239">
        <v>-2360018</v>
      </c>
      <c r="EY331" s="239">
        <v>1476483</v>
      </c>
      <c r="EZ331" s="239">
        <v>129099</v>
      </c>
      <c r="FA331" s="239">
        <v>165419477</v>
      </c>
      <c r="FB331" s="239">
        <v>55759833</v>
      </c>
      <c r="FC331" s="239">
        <v>1841661</v>
      </c>
      <c r="FD331" s="239">
        <v>166542978</v>
      </c>
      <c r="FE331" s="239">
        <v>55278561</v>
      </c>
      <c r="FF331" s="239">
        <v>1867552</v>
      </c>
      <c r="FG331" s="239">
        <v>-1123501</v>
      </c>
      <c r="FH331" s="239">
        <v>481272</v>
      </c>
      <c r="FI331" s="239">
        <v>-25891</v>
      </c>
      <c r="FJ331" s="239">
        <v>3565069</v>
      </c>
      <c r="FK331" s="239">
        <v>0</v>
      </c>
      <c r="FL331" s="239">
        <v>1322</v>
      </c>
      <c r="FM331" s="239">
        <v>4268763.1100000003</v>
      </c>
      <c r="FN331" s="239">
        <v>0</v>
      </c>
      <c r="FO331" s="239">
        <v>2566.8900000000003</v>
      </c>
      <c r="FP331" s="239">
        <v>-703695</v>
      </c>
      <c r="FQ331" s="239">
        <v>0</v>
      </c>
      <c r="FR331" s="239">
        <v>-1244</v>
      </c>
      <c r="FS331" s="239">
        <v>209317700</v>
      </c>
      <c r="FT331" s="239">
        <v>213328458</v>
      </c>
      <c r="FU331" s="239">
        <v>676072</v>
      </c>
      <c r="FV331" s="239">
        <v>884469407</v>
      </c>
      <c r="FW331" s="239">
        <v>195371117</v>
      </c>
      <c r="FX331" s="239">
        <v>11139708</v>
      </c>
    </row>
    <row r="332" spans="2:185" s="214" customFormat="1" x14ac:dyDescent="0.2">
      <c r="B332"/>
      <c r="C332"/>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c r="BE332" s="239"/>
      <c r="BF332" s="239"/>
      <c r="BG332" s="239"/>
      <c r="BH332" s="239"/>
      <c r="BI332" s="239"/>
      <c r="BJ332" s="239"/>
      <c r="BK332" s="239"/>
      <c r="BL332" s="239"/>
      <c r="BM332" s="239"/>
      <c r="BN332" s="239"/>
      <c r="BO332" s="239"/>
      <c r="BP332" s="239"/>
      <c r="BQ332" s="239"/>
      <c r="BR332" s="239"/>
      <c r="BS332" s="239"/>
      <c r="BT332" s="239"/>
      <c r="BU332" s="239"/>
      <c r="BV332" s="239"/>
      <c r="BW332" s="239"/>
      <c r="BX332" s="239"/>
      <c r="BY332" s="239"/>
      <c r="BZ332" s="239"/>
      <c r="CA332" s="239"/>
      <c r="CB332" s="239"/>
      <c r="CC332" s="239"/>
      <c r="CD332" s="239"/>
      <c r="CE332" s="239"/>
      <c r="CF332" s="239"/>
      <c r="CG332" s="239"/>
      <c r="CH332" s="239"/>
      <c r="CI332" s="239"/>
      <c r="CJ332" s="239"/>
      <c r="CK332" s="239"/>
      <c r="CL332" s="239"/>
      <c r="CM332" s="239"/>
      <c r="CN332" s="239"/>
      <c r="CO332" s="239"/>
      <c r="CP332" s="239"/>
      <c r="CQ332" s="239"/>
      <c r="CR332" s="239"/>
      <c r="CS332" s="239"/>
      <c r="CT332" s="239"/>
      <c r="CU332" s="239"/>
      <c r="CV332" s="239"/>
      <c r="CW332" s="239"/>
      <c r="CX332" s="239"/>
      <c r="CY332" s="239"/>
      <c r="CZ332" s="239"/>
      <c r="DA332" s="239"/>
      <c r="DB332" s="239"/>
      <c r="DC332" s="239"/>
      <c r="DD332" s="239"/>
      <c r="DE332" s="239"/>
      <c r="DF332" s="239"/>
      <c r="DG332" s="239"/>
      <c r="DH332" s="239"/>
      <c r="DI332" s="239"/>
      <c r="DJ332" s="239"/>
      <c r="DK332" s="239"/>
      <c r="DL332" s="239"/>
      <c r="DM332" s="239"/>
      <c r="DN332" s="239"/>
      <c r="DO332" s="239"/>
      <c r="DP332" s="239"/>
      <c r="DQ332" s="239"/>
      <c r="DR332" s="239"/>
      <c r="DS332" s="239"/>
      <c r="DT332" s="239"/>
      <c r="DU332" s="239"/>
      <c r="DV332" s="239"/>
      <c r="DW332" s="239"/>
      <c r="DX332" s="239"/>
      <c r="DY332" s="239"/>
      <c r="DZ332" s="239"/>
      <c r="EA332" s="239"/>
      <c r="EB332" s="239"/>
      <c r="EC332" s="239"/>
      <c r="ED332" s="239"/>
      <c r="EE332" s="239"/>
      <c r="EF332" s="239"/>
      <c r="EG332" s="239"/>
      <c r="EH332" s="239"/>
      <c r="EI332" s="239"/>
      <c r="EJ332" s="239"/>
      <c r="EK332" s="239"/>
      <c r="EL332" s="239"/>
      <c r="EM332" s="239"/>
      <c r="EN332" s="239"/>
      <c r="EO332" s="239"/>
      <c r="EP332" s="239"/>
      <c r="EQ332" s="239"/>
      <c r="ER332" s="239"/>
      <c r="ES332" s="239"/>
      <c r="ET332" s="239"/>
      <c r="EU332" s="239"/>
      <c r="EV332" s="239"/>
      <c r="EW332" s="239"/>
      <c r="EX332" s="239"/>
      <c r="EY332" s="239"/>
      <c r="EZ332" s="239"/>
      <c r="FA332" s="239"/>
      <c r="FB332" s="239"/>
      <c r="FC332" s="239"/>
      <c r="FD332" s="239"/>
      <c r="FE332" s="239"/>
      <c r="FF332" s="239"/>
      <c r="FG332" s="239"/>
      <c r="FH332" s="239"/>
      <c r="FI332" s="239"/>
      <c r="FJ332" s="239"/>
      <c r="FK332" s="239"/>
      <c r="FL332" s="239"/>
      <c r="FM332" s="239"/>
      <c r="FN332" s="239"/>
      <c r="FO332" s="239"/>
      <c r="FP332" s="239"/>
      <c r="FQ332" s="239"/>
      <c r="FR332" s="239"/>
      <c r="FS332" s="239"/>
      <c r="FT332" s="239"/>
      <c r="FU332" s="239"/>
      <c r="FV332" s="239"/>
      <c r="FW332" s="239"/>
      <c r="FX332" s="239"/>
    </row>
  </sheetData>
  <mergeCells count="57">
    <mergeCell ref="BI1:BK1"/>
    <mergeCell ref="BF1:BH1"/>
    <mergeCell ref="CP1:CR1"/>
    <mergeCell ref="CS1:CU1"/>
    <mergeCell ref="FV1:FX1"/>
    <mergeCell ref="FJ1:FL1"/>
    <mergeCell ref="FM1:FO1"/>
    <mergeCell ref="FP1:FR1"/>
    <mergeCell ref="EL1:EN1"/>
    <mergeCell ref="EO1:EQ1"/>
    <mergeCell ref="ER1:ET1"/>
    <mergeCell ref="EU1:EW1"/>
    <mergeCell ref="EX1:EZ1"/>
    <mergeCell ref="FA1:FC1"/>
    <mergeCell ref="FD1:FF1"/>
    <mergeCell ref="FG1:FI1"/>
    <mergeCell ref="CA1:CC1"/>
    <mergeCell ref="CD1:CF1"/>
    <mergeCell ref="CG1:CI1"/>
    <mergeCell ref="CJ1:CL1"/>
    <mergeCell ref="CM1:CO1"/>
    <mergeCell ref="BO1:BQ1"/>
    <mergeCell ref="BL1:BN1"/>
    <mergeCell ref="BR1:BT1"/>
    <mergeCell ref="BU1:BW1"/>
    <mergeCell ref="BX1:BZ1"/>
    <mergeCell ref="D1:F1"/>
    <mergeCell ref="G1:I1"/>
    <mergeCell ref="J1:L1"/>
    <mergeCell ref="S1:T1"/>
    <mergeCell ref="U1:V1"/>
    <mergeCell ref="W1:X1"/>
    <mergeCell ref="Y1:AB1"/>
    <mergeCell ref="AC1:AF1"/>
    <mergeCell ref="AG1:AJ1"/>
    <mergeCell ref="BC1:BE1"/>
    <mergeCell ref="AS1:AV1"/>
    <mergeCell ref="AO1:AR1"/>
    <mergeCell ref="BA1:BB1"/>
    <mergeCell ref="AK1:AN1"/>
    <mergeCell ref="AW1:AX1"/>
    <mergeCell ref="AY1:AZ1"/>
    <mergeCell ref="FY1:GB1"/>
    <mergeCell ref="CV1:CX1"/>
    <mergeCell ref="CY1:DA1"/>
    <mergeCell ref="DB1:DD1"/>
    <mergeCell ref="DE1:DG1"/>
    <mergeCell ref="DH1:DJ1"/>
    <mergeCell ref="DK1:DM1"/>
    <mergeCell ref="DT1:DV1"/>
    <mergeCell ref="DW1:DY1"/>
    <mergeCell ref="DZ1:EB1"/>
    <mergeCell ref="EC1:EE1"/>
    <mergeCell ref="EF1:EH1"/>
    <mergeCell ref="EI1:EK1"/>
    <mergeCell ref="DN1:DP1"/>
    <mergeCell ref="DQ1:DS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331"/>
  <sheetViews>
    <sheetView workbookViewId="0"/>
  </sheetViews>
  <sheetFormatPr defaultRowHeight="12.75" x14ac:dyDescent="0.2"/>
  <cols>
    <col min="1" max="1" width="4.28515625" style="214"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9.28515625" bestFit="1" customWidth="1"/>
    <col min="23" max="28" width="9.28515625" customWidth="1"/>
    <col min="29" max="29" width="11.140625" customWidth="1"/>
    <col min="30" max="30" width="11.28515625" customWidth="1"/>
    <col min="31" max="31" width="10" customWidth="1"/>
    <col min="32" max="32" width="12.42578125" customWidth="1"/>
    <col min="33" max="33" width="11.140625" bestFit="1" customWidth="1"/>
    <col min="34" max="34" width="10.85546875" customWidth="1"/>
    <col min="35" max="35" width="11" customWidth="1"/>
    <col min="36" max="36" width="9.28515625" bestFit="1" customWidth="1"/>
    <col min="37" max="37" width="12.7109375" bestFit="1" customWidth="1"/>
    <col min="38" max="39" width="11.7109375" bestFit="1" customWidth="1"/>
    <col min="40" max="40" width="10.7109375" bestFit="1" customWidth="1"/>
    <col min="41" max="41" width="9.7109375" bestFit="1" customWidth="1"/>
    <col min="42" max="44" width="11.7109375" bestFit="1" customWidth="1"/>
    <col min="45" max="45" width="10.7109375" bestFit="1" customWidth="1"/>
    <col min="46" max="46" width="9.7109375" bestFit="1" customWidth="1"/>
    <col min="47" max="47" width="11.7109375" bestFit="1" customWidth="1"/>
    <col min="48" max="50" width="10.140625" bestFit="1" customWidth="1"/>
    <col min="51" max="51" width="9.28515625" bestFit="1" customWidth="1"/>
    <col min="52" max="52" width="11.140625" bestFit="1" customWidth="1"/>
    <col min="53" max="55" width="10.7109375" bestFit="1" customWidth="1"/>
    <col min="56" max="56" width="9.7109375" bestFit="1" customWidth="1"/>
    <col min="57" max="59" width="11.7109375" bestFit="1" customWidth="1"/>
    <col min="60" max="60" width="10.7109375" bestFit="1" customWidth="1"/>
    <col min="61" max="61" width="9.7109375" bestFit="1" customWidth="1"/>
    <col min="62" max="62" width="11.7109375" bestFit="1" customWidth="1"/>
    <col min="63" max="64" width="13.42578125" bestFit="1" customWidth="1"/>
    <col min="65" max="65" width="11.7109375" bestFit="1" customWidth="1"/>
    <col min="66" max="66" width="10.7109375" bestFit="1" customWidth="1"/>
    <col min="67" max="67" width="12.85546875" customWidth="1"/>
    <col min="68" max="69" width="11.140625" bestFit="1" customWidth="1"/>
    <col min="70" max="70" width="10.140625" bestFit="1" customWidth="1"/>
    <col min="71" max="71" width="9.28515625" bestFit="1" customWidth="1"/>
    <col min="72" max="72" width="11.140625" bestFit="1" customWidth="1"/>
    <col min="73" max="74" width="11.7109375" bestFit="1" customWidth="1"/>
    <col min="75" max="75" width="10.7109375" bestFit="1" customWidth="1"/>
    <col min="76" max="76" width="9.7109375" bestFit="1" customWidth="1"/>
    <col min="77" max="79" width="13.42578125" bestFit="1" customWidth="1"/>
    <col min="80" max="80" width="11.7109375" bestFit="1" customWidth="1"/>
    <col min="81" max="81" width="10.7109375" bestFit="1" customWidth="1"/>
    <col min="82" max="82" width="12.7109375" customWidth="1"/>
    <col min="83" max="85" width="11.7109375" bestFit="1" customWidth="1"/>
    <col min="86" max="86" width="9.7109375" bestFit="1" customWidth="1"/>
    <col min="87" max="87" width="13.42578125" bestFit="1" customWidth="1"/>
    <col min="88" max="89" width="11.7109375" bestFit="1" customWidth="1"/>
    <col min="90" max="90" width="10.7109375" bestFit="1" customWidth="1"/>
    <col min="91" max="91" width="9.7109375" bestFit="1" customWidth="1"/>
    <col min="92" max="94" width="11.7109375" bestFit="1" customWidth="1"/>
    <col min="95" max="95" width="10.7109375" bestFit="1" customWidth="1"/>
    <col min="96" max="96" width="9.7109375" bestFit="1" customWidth="1"/>
    <col min="97" max="97" width="11.7109375" bestFit="1" customWidth="1"/>
    <col min="98" max="98" width="13.85546875" bestFit="1" customWidth="1"/>
    <col min="99" max="100" width="12.7109375" bestFit="1" customWidth="1"/>
    <col min="101" max="101" width="11.140625" bestFit="1" customWidth="1"/>
    <col min="102" max="103" width="13.85546875" bestFit="1" customWidth="1"/>
    <col min="104" max="105" width="12.7109375" bestFit="1" customWidth="1"/>
    <col min="106" max="106" width="11.140625" bestFit="1" customWidth="1"/>
    <col min="107" max="107" width="13.85546875" bestFit="1" customWidth="1"/>
    <col min="108" max="109" width="11.7109375" bestFit="1" customWidth="1"/>
    <col min="110" max="110" width="10.7109375" bestFit="1" customWidth="1"/>
    <col min="111" max="111" width="9.7109375" bestFit="1" customWidth="1"/>
    <col min="112" max="115" width="11.7109375" bestFit="1" customWidth="1"/>
    <col min="116" max="116" width="9.7109375" bestFit="1" customWidth="1"/>
    <col min="117" max="117" width="11.85546875" customWidth="1"/>
  </cols>
  <sheetData>
    <row r="1" spans="2:125" s="601" customFormat="1" ht="63.75" customHeight="1" x14ac:dyDescent="0.2">
      <c r="B1" s="626"/>
      <c r="C1" s="603"/>
      <c r="D1" s="1058" t="s">
        <v>1129</v>
      </c>
      <c r="E1" s="1058"/>
      <c r="F1" s="1058"/>
      <c r="G1" s="1058"/>
      <c r="H1" s="1058"/>
      <c r="I1" s="1058" t="s">
        <v>1130</v>
      </c>
      <c r="J1" s="1058"/>
      <c r="K1" s="604" t="s">
        <v>1647</v>
      </c>
      <c r="L1" s="1058" t="s">
        <v>1131</v>
      </c>
      <c r="M1" s="1058"/>
      <c r="N1" s="1058" t="s">
        <v>1132</v>
      </c>
      <c r="O1" s="1058"/>
      <c r="P1" s="1058" t="s">
        <v>1133</v>
      </c>
      <c r="Q1" s="1058"/>
      <c r="R1" s="1058"/>
      <c r="S1" s="1058" t="s">
        <v>1130</v>
      </c>
      <c r="T1" s="1058"/>
      <c r="U1" s="1058"/>
      <c r="V1" s="1058"/>
      <c r="W1" s="1059" t="s">
        <v>1635</v>
      </c>
      <c r="X1" s="1056"/>
      <c r="Y1" s="1056"/>
      <c r="Z1" s="1057"/>
      <c r="AA1" s="1059" t="s">
        <v>1636</v>
      </c>
      <c r="AB1" s="1056"/>
      <c r="AC1" s="1059" t="s">
        <v>1637</v>
      </c>
      <c r="AD1" s="1056"/>
      <c r="AE1" s="1056"/>
      <c r="AF1" s="1057"/>
      <c r="AG1" s="1058" t="s">
        <v>1134</v>
      </c>
      <c r="AH1" s="1058"/>
      <c r="AI1" s="1058"/>
      <c r="AJ1" s="1058"/>
      <c r="AK1" s="1058"/>
      <c r="AL1" s="1058" t="s">
        <v>1135</v>
      </c>
      <c r="AM1" s="1058"/>
      <c r="AN1" s="1058"/>
      <c r="AO1" s="1058"/>
      <c r="AP1" s="1058"/>
      <c r="AQ1" s="1058" t="s">
        <v>1638</v>
      </c>
      <c r="AR1" s="1058"/>
      <c r="AS1" s="1058"/>
      <c r="AT1" s="1058"/>
      <c r="AU1" s="1058"/>
      <c r="AV1" s="1058" t="s">
        <v>1136</v>
      </c>
      <c r="AW1" s="1058"/>
      <c r="AX1" s="1058"/>
      <c r="AY1" s="1058"/>
      <c r="AZ1" s="1058"/>
      <c r="BA1" s="1058" t="s">
        <v>1137</v>
      </c>
      <c r="BB1" s="1058"/>
      <c r="BC1" s="1058"/>
      <c r="BD1" s="1058"/>
      <c r="BE1" s="1058"/>
      <c r="BF1" s="1058" t="s">
        <v>1639</v>
      </c>
      <c r="BG1" s="1058"/>
      <c r="BH1" s="1058"/>
      <c r="BI1" s="1058"/>
      <c r="BJ1" s="1058"/>
      <c r="BK1" s="1058" t="s">
        <v>1641</v>
      </c>
      <c r="BL1" s="1058"/>
      <c r="BM1" s="1058"/>
      <c r="BN1" s="1058"/>
      <c r="BO1" s="1058"/>
      <c r="BP1" s="1058" t="s">
        <v>1138</v>
      </c>
      <c r="BQ1" s="1058"/>
      <c r="BR1" s="1058"/>
      <c r="BS1" s="1058"/>
      <c r="BT1" s="1058"/>
      <c r="BU1" s="1058" t="s">
        <v>1139</v>
      </c>
      <c r="BV1" s="1058"/>
      <c r="BW1" s="1058"/>
      <c r="BX1" s="1058"/>
      <c r="BY1" s="1058"/>
      <c r="BZ1" s="1058" t="s">
        <v>1640</v>
      </c>
      <c r="CA1" s="1058"/>
      <c r="CB1" s="1058"/>
      <c r="CC1" s="1058"/>
      <c r="CD1" s="1058"/>
      <c r="CE1" s="1058" t="s">
        <v>1646</v>
      </c>
      <c r="CF1" s="1058"/>
      <c r="CG1" s="1058"/>
      <c r="CH1" s="1058"/>
      <c r="CI1" s="1058"/>
      <c r="CJ1" s="1058" t="s">
        <v>1645</v>
      </c>
      <c r="CK1" s="1058"/>
      <c r="CL1" s="1058"/>
      <c r="CM1" s="1058"/>
      <c r="CN1" s="1058"/>
      <c r="CO1" s="1058" t="s">
        <v>1140</v>
      </c>
      <c r="CP1" s="1058"/>
      <c r="CQ1" s="1058"/>
      <c r="CR1" s="1058"/>
      <c r="CS1" s="1058"/>
      <c r="CT1" s="1058" t="s">
        <v>1643</v>
      </c>
      <c r="CU1" s="1058"/>
      <c r="CV1" s="1058"/>
      <c r="CW1" s="1058"/>
      <c r="CX1" s="1058"/>
      <c r="CY1" s="1058" t="s">
        <v>1644</v>
      </c>
      <c r="CZ1" s="1058"/>
      <c r="DA1" s="1058"/>
      <c r="DB1" s="1058"/>
      <c r="DC1" s="1058"/>
      <c r="DD1" s="1058" t="s">
        <v>1141</v>
      </c>
      <c r="DE1" s="1058"/>
      <c r="DF1" s="1058"/>
      <c r="DG1" s="1058"/>
      <c r="DH1" s="1058"/>
      <c r="DI1" s="1058" t="s">
        <v>1642</v>
      </c>
      <c r="DJ1" s="1058"/>
      <c r="DK1" s="1058"/>
      <c r="DL1" s="1058"/>
      <c r="DM1" s="1058"/>
      <c r="DN1" s="1058" t="s">
        <v>941</v>
      </c>
      <c r="DO1" s="1058"/>
      <c r="DP1" s="1058"/>
      <c r="DQ1" s="1058"/>
      <c r="DR1" s="1058"/>
    </row>
    <row r="2" spans="2:125" s="214" customFormat="1" x14ac:dyDescent="0.2">
      <c r="C2" s="214" t="s">
        <v>1049</v>
      </c>
      <c r="D2" s="214">
        <v>1</v>
      </c>
      <c r="I2" s="214">
        <v>2</v>
      </c>
      <c r="K2" s="214">
        <v>3</v>
      </c>
      <c r="L2" s="214">
        <v>4</v>
      </c>
      <c r="N2" s="214">
        <v>5</v>
      </c>
      <c r="P2" s="214">
        <v>6</v>
      </c>
      <c r="S2" s="214">
        <v>7</v>
      </c>
      <c r="W2" s="214">
        <v>8</v>
      </c>
      <c r="AA2" s="214">
        <v>9</v>
      </c>
      <c r="AC2" s="214">
        <v>10</v>
      </c>
      <c r="AG2" s="214">
        <v>11</v>
      </c>
      <c r="AL2" s="214">
        <v>12</v>
      </c>
      <c r="AQ2" s="214">
        <v>13</v>
      </c>
      <c r="AV2" s="214">
        <v>14</v>
      </c>
      <c r="BA2" s="214">
        <v>15</v>
      </c>
      <c r="BF2" s="214">
        <v>16</v>
      </c>
      <c r="BK2" s="214">
        <v>17</v>
      </c>
      <c r="BP2" s="214">
        <v>18</v>
      </c>
      <c r="BU2" s="214">
        <v>19</v>
      </c>
      <c r="BZ2" s="214">
        <v>20</v>
      </c>
      <c r="CE2" s="214">
        <v>21</v>
      </c>
      <c r="CJ2" s="214">
        <v>22</v>
      </c>
      <c r="CO2" s="214">
        <v>23</v>
      </c>
      <c r="CT2" s="214">
        <v>24</v>
      </c>
      <c r="CY2" s="214">
        <v>25</v>
      </c>
      <c r="DD2" s="214">
        <v>26</v>
      </c>
      <c r="DI2" s="214">
        <v>27</v>
      </c>
      <c r="DN2" s="214">
        <v>28</v>
      </c>
    </row>
    <row r="3" spans="2:125" s="214" customFormat="1" x14ac:dyDescent="0.2">
      <c r="C3" s="214" t="s">
        <v>1062</v>
      </c>
      <c r="D3" s="214">
        <v>1</v>
      </c>
      <c r="E3" s="214">
        <v>2</v>
      </c>
      <c r="F3" s="214">
        <v>3</v>
      </c>
      <c r="G3" s="214">
        <v>4</v>
      </c>
      <c r="H3" s="214">
        <v>5</v>
      </c>
      <c r="I3" s="214">
        <v>1</v>
      </c>
      <c r="J3" s="214">
        <v>5</v>
      </c>
      <c r="K3" s="214">
        <v>1</v>
      </c>
      <c r="L3" s="214">
        <v>2</v>
      </c>
      <c r="M3" s="214">
        <v>5</v>
      </c>
      <c r="N3" s="214">
        <v>2</v>
      </c>
      <c r="O3" s="214">
        <v>5</v>
      </c>
      <c r="P3" s="214">
        <v>2</v>
      </c>
      <c r="Q3" s="214">
        <v>3</v>
      </c>
      <c r="R3" s="214">
        <v>5</v>
      </c>
      <c r="S3" s="214">
        <v>2</v>
      </c>
      <c r="T3" s="214">
        <v>3</v>
      </c>
      <c r="U3" s="214">
        <v>4</v>
      </c>
      <c r="V3" s="214">
        <v>5</v>
      </c>
      <c r="W3" s="214">
        <v>2</v>
      </c>
      <c r="X3" s="214">
        <v>3</v>
      </c>
      <c r="Y3" s="214">
        <v>4</v>
      </c>
      <c r="Z3" s="214">
        <v>5</v>
      </c>
      <c r="AA3" s="214">
        <v>2</v>
      </c>
      <c r="AB3" s="214">
        <v>5</v>
      </c>
      <c r="AC3" s="214">
        <v>2</v>
      </c>
      <c r="AD3" s="214">
        <v>3</v>
      </c>
      <c r="AE3" s="214">
        <v>4</v>
      </c>
      <c r="AF3" s="214">
        <v>5</v>
      </c>
      <c r="AG3" s="214">
        <v>1</v>
      </c>
      <c r="AH3" s="214">
        <v>2</v>
      </c>
      <c r="AI3" s="214">
        <v>3</v>
      </c>
      <c r="AJ3" s="214">
        <v>4</v>
      </c>
      <c r="AK3" s="214">
        <v>5</v>
      </c>
      <c r="AL3" s="214">
        <v>1</v>
      </c>
      <c r="AM3" s="214">
        <v>2</v>
      </c>
      <c r="AN3" s="214">
        <v>3</v>
      </c>
      <c r="AO3" s="214">
        <v>4</v>
      </c>
      <c r="AP3" s="214">
        <v>5</v>
      </c>
      <c r="AQ3" s="214">
        <v>1</v>
      </c>
      <c r="AR3" s="214">
        <v>2</v>
      </c>
      <c r="AS3" s="214">
        <v>3</v>
      </c>
      <c r="AT3" s="214">
        <v>4</v>
      </c>
      <c r="AU3" s="214">
        <v>5</v>
      </c>
      <c r="AV3" s="214">
        <v>1</v>
      </c>
      <c r="AW3" s="214">
        <v>2</v>
      </c>
      <c r="AX3" s="214">
        <v>3</v>
      </c>
      <c r="AY3" s="214">
        <v>4</v>
      </c>
      <c r="AZ3" s="214">
        <v>5</v>
      </c>
      <c r="BA3" s="214">
        <v>1</v>
      </c>
      <c r="BB3" s="214">
        <v>2</v>
      </c>
      <c r="BC3" s="214">
        <v>3</v>
      </c>
      <c r="BD3" s="214">
        <v>4</v>
      </c>
      <c r="BE3" s="214">
        <v>5</v>
      </c>
      <c r="BF3" s="214">
        <v>1</v>
      </c>
      <c r="BG3" s="214">
        <v>2</v>
      </c>
      <c r="BH3" s="214">
        <v>3</v>
      </c>
      <c r="BI3" s="214">
        <v>4</v>
      </c>
      <c r="BJ3" s="214">
        <v>5</v>
      </c>
      <c r="BK3" s="214">
        <v>1</v>
      </c>
      <c r="BL3" s="214">
        <v>2</v>
      </c>
      <c r="BM3" s="214">
        <v>3</v>
      </c>
      <c r="BN3" s="214">
        <v>4</v>
      </c>
      <c r="BO3" s="214">
        <v>5</v>
      </c>
      <c r="BP3" s="214">
        <v>1</v>
      </c>
      <c r="BQ3" s="214">
        <v>2</v>
      </c>
      <c r="BR3" s="214">
        <v>3</v>
      </c>
      <c r="BS3" s="214">
        <v>4</v>
      </c>
      <c r="BT3" s="214">
        <v>5</v>
      </c>
      <c r="BU3" s="214">
        <v>1</v>
      </c>
      <c r="BV3" s="214">
        <v>2</v>
      </c>
      <c r="BW3" s="214">
        <v>3</v>
      </c>
      <c r="BX3" s="214">
        <v>4</v>
      </c>
      <c r="BY3" s="214">
        <v>5</v>
      </c>
      <c r="BZ3" s="214">
        <v>1</v>
      </c>
      <c r="CA3" s="214">
        <v>2</v>
      </c>
      <c r="CB3" s="214">
        <v>3</v>
      </c>
      <c r="CC3" s="214">
        <v>4</v>
      </c>
      <c r="CD3" s="214">
        <v>5</v>
      </c>
      <c r="CE3" s="214">
        <v>1</v>
      </c>
      <c r="CF3" s="214">
        <v>2</v>
      </c>
      <c r="CG3" s="214">
        <v>3</v>
      </c>
      <c r="CH3" s="214">
        <v>4</v>
      </c>
      <c r="CI3" s="214">
        <v>5</v>
      </c>
      <c r="CJ3" s="214">
        <v>1</v>
      </c>
      <c r="CK3" s="214">
        <v>2</v>
      </c>
      <c r="CL3" s="214">
        <v>3</v>
      </c>
      <c r="CM3" s="214">
        <v>4</v>
      </c>
      <c r="CN3" s="214">
        <v>5</v>
      </c>
      <c r="CO3" s="214">
        <v>1</v>
      </c>
      <c r="CP3" s="214">
        <v>2</v>
      </c>
      <c r="CQ3" s="214">
        <v>3</v>
      </c>
      <c r="CR3" s="214">
        <v>4</v>
      </c>
      <c r="CS3" s="214">
        <v>5</v>
      </c>
      <c r="CT3" s="214">
        <v>1</v>
      </c>
      <c r="CU3" s="214">
        <v>2</v>
      </c>
      <c r="CV3" s="214">
        <v>3</v>
      </c>
      <c r="CW3" s="214">
        <v>4</v>
      </c>
      <c r="CX3" s="214">
        <v>5</v>
      </c>
      <c r="CY3" s="214">
        <v>1</v>
      </c>
      <c r="CZ3" s="214">
        <v>2</v>
      </c>
      <c r="DA3" s="214">
        <v>3</v>
      </c>
      <c r="DB3" s="214">
        <v>4</v>
      </c>
      <c r="DC3" s="214">
        <v>5</v>
      </c>
      <c r="DD3" s="214">
        <v>1</v>
      </c>
      <c r="DE3" s="214">
        <v>2</v>
      </c>
      <c r="DF3" s="214">
        <v>3</v>
      </c>
      <c r="DG3" s="214">
        <v>4</v>
      </c>
      <c r="DH3" s="214">
        <v>5</v>
      </c>
      <c r="DI3" s="214">
        <v>1</v>
      </c>
      <c r="DJ3" s="214">
        <v>2</v>
      </c>
      <c r="DK3" s="214">
        <v>3</v>
      </c>
      <c r="DL3" s="214">
        <v>4</v>
      </c>
      <c r="DM3" s="214">
        <v>5</v>
      </c>
      <c r="DN3" s="214">
        <v>6</v>
      </c>
      <c r="DO3" s="214">
        <v>7</v>
      </c>
      <c r="DP3" s="214">
        <v>8</v>
      </c>
      <c r="DQ3" s="214">
        <v>9</v>
      </c>
      <c r="DR3" s="214">
        <v>10</v>
      </c>
    </row>
    <row r="4" spans="2:125" s="626" customFormat="1" x14ac:dyDescent="0.2">
      <c r="B4" s="626" t="s">
        <v>1063</v>
      </c>
      <c r="C4" s="626" t="s">
        <v>1064</v>
      </c>
      <c r="DS4" s="626" t="s">
        <v>1157</v>
      </c>
    </row>
    <row r="5" spans="2:125" s="214" customFormat="1" x14ac:dyDescent="0.2">
      <c r="B5" s="602" t="s">
        <v>93</v>
      </c>
      <c r="C5" s="602" t="s">
        <v>92</v>
      </c>
      <c r="D5" s="239">
        <v>8895043</v>
      </c>
      <c r="E5" s="239">
        <v>7116034</v>
      </c>
      <c r="F5" s="239">
        <v>1779009</v>
      </c>
      <c r="G5" s="239">
        <v>0</v>
      </c>
      <c r="H5" s="239">
        <v>17790086</v>
      </c>
      <c r="I5" s="239">
        <v>0</v>
      </c>
      <c r="J5" s="239">
        <v>0</v>
      </c>
      <c r="K5" s="239">
        <v>8895043</v>
      </c>
      <c r="L5" s="239">
        <v>85393</v>
      </c>
      <c r="M5" s="239">
        <v>85393</v>
      </c>
      <c r="N5" s="239">
        <v>0</v>
      </c>
      <c r="O5" s="239">
        <v>0</v>
      </c>
      <c r="P5" s="239">
        <v>0</v>
      </c>
      <c r="Q5" s="239">
        <v>0</v>
      </c>
      <c r="R5" s="239">
        <v>0</v>
      </c>
      <c r="S5" s="239">
        <v>0</v>
      </c>
      <c r="T5" s="239">
        <v>0</v>
      </c>
      <c r="U5" s="239">
        <v>0</v>
      </c>
      <c r="V5" s="239">
        <v>0</v>
      </c>
      <c r="W5" s="239">
        <v>0</v>
      </c>
      <c r="X5" s="239">
        <v>0</v>
      </c>
      <c r="Y5" s="239">
        <v>0</v>
      </c>
      <c r="Z5" s="239">
        <v>0</v>
      </c>
      <c r="AA5" s="239">
        <v>0</v>
      </c>
      <c r="AB5" s="239">
        <v>0</v>
      </c>
      <c r="AC5" s="239">
        <v>701669</v>
      </c>
      <c r="AD5" s="239">
        <v>175416</v>
      </c>
      <c r="AE5" s="239">
        <v>0</v>
      </c>
      <c r="AF5" s="239">
        <v>877085</v>
      </c>
      <c r="AG5" s="239">
        <v>13892</v>
      </c>
      <c r="AH5" s="239">
        <v>11114</v>
      </c>
      <c r="AI5" s="239">
        <v>2778</v>
      </c>
      <c r="AJ5" s="239">
        <v>0</v>
      </c>
      <c r="AK5" s="239">
        <v>27784</v>
      </c>
      <c r="AL5" s="239">
        <v>-139959</v>
      </c>
      <c r="AM5" s="239">
        <v>-111968</v>
      </c>
      <c r="AN5" s="239">
        <v>-27992</v>
      </c>
      <c r="AO5" s="239">
        <v>0</v>
      </c>
      <c r="AP5" s="239">
        <v>-279919</v>
      </c>
      <c r="AQ5" s="239">
        <v>-176408</v>
      </c>
      <c r="AR5" s="239">
        <v>-141126</v>
      </c>
      <c r="AS5" s="239">
        <v>-35282</v>
      </c>
      <c r="AT5" s="239">
        <v>0</v>
      </c>
      <c r="AU5" s="239">
        <v>-352816</v>
      </c>
      <c r="AV5" s="239">
        <v>43552</v>
      </c>
      <c r="AW5" s="239">
        <v>34842</v>
      </c>
      <c r="AX5" s="239">
        <v>8711</v>
      </c>
      <c r="AY5" s="239">
        <v>0</v>
      </c>
      <c r="AZ5" s="239">
        <v>87105</v>
      </c>
      <c r="BA5" s="239">
        <v>-48879</v>
      </c>
      <c r="BB5" s="239">
        <v>-39104</v>
      </c>
      <c r="BC5" s="239">
        <v>-9776</v>
      </c>
      <c r="BD5" s="239">
        <v>0</v>
      </c>
      <c r="BE5" s="239">
        <v>-97759</v>
      </c>
      <c r="BF5" s="239">
        <v>-181735</v>
      </c>
      <c r="BG5" s="239">
        <v>-145388</v>
      </c>
      <c r="BH5" s="239">
        <v>-36347</v>
      </c>
      <c r="BI5" s="239">
        <v>0</v>
      </c>
      <c r="BJ5" s="239">
        <v>-363470</v>
      </c>
      <c r="BK5" s="239">
        <v>-892129</v>
      </c>
      <c r="BL5" s="239">
        <v>-713703</v>
      </c>
      <c r="BM5" s="239">
        <v>-178426</v>
      </c>
      <c r="BN5" s="239">
        <v>0</v>
      </c>
      <c r="BO5" s="239">
        <v>-1784258</v>
      </c>
      <c r="BP5" s="239">
        <v>221619</v>
      </c>
      <c r="BQ5" s="239">
        <v>177296</v>
      </c>
      <c r="BR5" s="239">
        <v>44324</v>
      </c>
      <c r="BS5" s="239">
        <v>0</v>
      </c>
      <c r="BT5" s="239">
        <v>443239</v>
      </c>
      <c r="BU5" s="239">
        <v>179231</v>
      </c>
      <c r="BV5" s="239">
        <v>143384</v>
      </c>
      <c r="BW5" s="239">
        <v>35846</v>
      </c>
      <c r="BX5" s="239">
        <v>0</v>
      </c>
      <c r="BY5" s="239">
        <v>358461</v>
      </c>
      <c r="BZ5" s="239">
        <v>-491279</v>
      </c>
      <c r="CA5" s="239">
        <v>-393023</v>
      </c>
      <c r="CB5" s="239">
        <v>-98256</v>
      </c>
      <c r="CC5" s="239">
        <v>0</v>
      </c>
      <c r="CD5" s="239">
        <v>-982558</v>
      </c>
      <c r="CE5" s="239">
        <v>-304134</v>
      </c>
      <c r="CF5" s="239">
        <v>-243306</v>
      </c>
      <c r="CG5" s="239">
        <v>-60827</v>
      </c>
      <c r="CH5" s="239">
        <v>0</v>
      </c>
      <c r="CI5" s="239">
        <v>-608267</v>
      </c>
      <c r="CJ5" s="239">
        <v>217472</v>
      </c>
      <c r="CK5" s="239">
        <v>173978</v>
      </c>
      <c r="CL5" s="239">
        <v>43495</v>
      </c>
      <c r="CM5" s="239">
        <v>0</v>
      </c>
      <c r="CN5" s="239">
        <v>434945</v>
      </c>
      <c r="CO5" s="239">
        <v>-521606</v>
      </c>
      <c r="CP5" s="239">
        <v>-417284</v>
      </c>
      <c r="CQ5" s="239">
        <v>-104322</v>
      </c>
      <c r="CR5" s="239">
        <v>0</v>
      </c>
      <c r="CS5" s="239">
        <v>-1043212</v>
      </c>
      <c r="CT5" s="239">
        <v>8781483</v>
      </c>
      <c r="CU5" s="239">
        <v>7025187</v>
      </c>
      <c r="CV5" s="239">
        <v>1756297</v>
      </c>
      <c r="CW5" s="239">
        <v>0</v>
      </c>
      <c r="CX5" s="239">
        <v>17562967</v>
      </c>
      <c r="CY5" s="239">
        <v>8895043</v>
      </c>
      <c r="CZ5" s="239">
        <v>7116034</v>
      </c>
      <c r="DA5" s="239">
        <v>1779009</v>
      </c>
      <c r="DB5" s="239">
        <v>0</v>
      </c>
      <c r="DC5" s="239">
        <v>17790086</v>
      </c>
      <c r="DD5" s="239">
        <v>113560</v>
      </c>
      <c r="DE5" s="239">
        <v>90847</v>
      </c>
      <c r="DF5" s="239">
        <v>22712</v>
      </c>
      <c r="DG5" s="239">
        <v>0</v>
      </c>
      <c r="DH5" s="239">
        <v>227119</v>
      </c>
      <c r="DI5" s="239">
        <v>-408046</v>
      </c>
      <c r="DJ5" s="239">
        <v>-326437</v>
      </c>
      <c r="DK5" s="239">
        <v>-81610</v>
      </c>
      <c r="DL5" s="239">
        <v>0</v>
      </c>
      <c r="DM5" s="239">
        <v>-816093</v>
      </c>
      <c r="DN5" s="835">
        <v>0.5</v>
      </c>
      <c r="DO5" s="835">
        <v>0.4</v>
      </c>
      <c r="DP5" s="835">
        <v>0.1</v>
      </c>
      <c r="DQ5" s="835">
        <v>0</v>
      </c>
      <c r="DR5" s="835">
        <v>1</v>
      </c>
      <c r="DS5" s="214" t="s">
        <v>1158</v>
      </c>
      <c r="DU5" s="214">
        <v>0</v>
      </c>
    </row>
    <row r="6" spans="2:125" s="214" customFormat="1" x14ac:dyDescent="0.2">
      <c r="B6" s="602" t="s">
        <v>95</v>
      </c>
      <c r="C6" s="602" t="s">
        <v>94</v>
      </c>
      <c r="D6" s="239">
        <v>13446998</v>
      </c>
      <c r="E6" s="239">
        <v>10757598</v>
      </c>
      <c r="F6" s="239">
        <v>2689400</v>
      </c>
      <c r="G6" s="239">
        <v>0</v>
      </c>
      <c r="H6" s="239">
        <v>26893996</v>
      </c>
      <c r="I6" s="239">
        <v>0</v>
      </c>
      <c r="J6" s="239">
        <v>0</v>
      </c>
      <c r="K6" s="239">
        <v>13446998</v>
      </c>
      <c r="L6" s="239">
        <v>183183</v>
      </c>
      <c r="M6" s="239">
        <v>183183</v>
      </c>
      <c r="N6" s="239">
        <v>0</v>
      </c>
      <c r="O6" s="239">
        <v>0</v>
      </c>
      <c r="P6" s="239">
        <v>494998</v>
      </c>
      <c r="Q6" s="239">
        <v>19445</v>
      </c>
      <c r="R6" s="239">
        <v>514443</v>
      </c>
      <c r="S6" s="239">
        <v>0</v>
      </c>
      <c r="T6" s="239">
        <v>0</v>
      </c>
      <c r="U6" s="239">
        <v>0</v>
      </c>
      <c r="V6" s="239">
        <v>0</v>
      </c>
      <c r="W6" s="239">
        <v>0</v>
      </c>
      <c r="X6" s="239">
        <v>0</v>
      </c>
      <c r="Y6" s="239">
        <v>0</v>
      </c>
      <c r="Z6" s="239">
        <v>0</v>
      </c>
      <c r="AA6" s="239">
        <v>0</v>
      </c>
      <c r="AB6" s="239">
        <v>0</v>
      </c>
      <c r="AC6" s="239">
        <v>1633557</v>
      </c>
      <c r="AD6" s="239">
        <v>406822</v>
      </c>
      <c r="AE6" s="239">
        <v>0</v>
      </c>
      <c r="AF6" s="239">
        <v>2040379</v>
      </c>
      <c r="AG6" s="239">
        <v>488882</v>
      </c>
      <c r="AH6" s="239">
        <v>391106</v>
      </c>
      <c r="AI6" s="239">
        <v>97777</v>
      </c>
      <c r="AJ6" s="239">
        <v>0</v>
      </c>
      <c r="AK6" s="239">
        <v>977765</v>
      </c>
      <c r="AL6" s="239">
        <v>-169375</v>
      </c>
      <c r="AM6" s="239">
        <v>-135500</v>
      </c>
      <c r="AN6" s="239">
        <v>-33875</v>
      </c>
      <c r="AO6" s="239">
        <v>0</v>
      </c>
      <c r="AP6" s="239">
        <v>-338750</v>
      </c>
      <c r="AQ6" s="239">
        <v>-183516</v>
      </c>
      <c r="AR6" s="239">
        <v>-146812</v>
      </c>
      <c r="AS6" s="239">
        <v>-36703</v>
      </c>
      <c r="AT6" s="239">
        <v>0</v>
      </c>
      <c r="AU6" s="239">
        <v>-367031</v>
      </c>
      <c r="AV6" s="239">
        <v>106837</v>
      </c>
      <c r="AW6" s="239">
        <v>85470</v>
      </c>
      <c r="AX6" s="239">
        <v>21368</v>
      </c>
      <c r="AY6" s="239">
        <v>0</v>
      </c>
      <c r="AZ6" s="239">
        <v>213675</v>
      </c>
      <c r="BA6" s="239">
        <v>-118939</v>
      </c>
      <c r="BB6" s="239">
        <v>-95151</v>
      </c>
      <c r="BC6" s="239">
        <v>-23788</v>
      </c>
      <c r="BD6" s="239">
        <v>0</v>
      </c>
      <c r="BE6" s="239">
        <v>-237878</v>
      </c>
      <c r="BF6" s="239">
        <v>-195618</v>
      </c>
      <c r="BG6" s="239">
        <v>-156493</v>
      </c>
      <c r="BH6" s="239">
        <v>-39123</v>
      </c>
      <c r="BI6" s="239">
        <v>0</v>
      </c>
      <c r="BJ6" s="239">
        <v>-391234</v>
      </c>
      <c r="BK6" s="239">
        <v>-583382</v>
      </c>
      <c r="BL6" s="239">
        <v>-466706</v>
      </c>
      <c r="BM6" s="239">
        <v>-116677</v>
      </c>
      <c r="BN6" s="239">
        <v>0</v>
      </c>
      <c r="BO6" s="239">
        <v>-1166765</v>
      </c>
      <c r="BP6" s="239">
        <v>270271</v>
      </c>
      <c r="BQ6" s="239">
        <v>216216</v>
      </c>
      <c r="BR6" s="239">
        <v>54054</v>
      </c>
      <c r="BS6" s="239">
        <v>0</v>
      </c>
      <c r="BT6" s="239">
        <v>540541</v>
      </c>
      <c r="BU6" s="239">
        <v>-542221</v>
      </c>
      <c r="BV6" s="239">
        <v>-433777</v>
      </c>
      <c r="BW6" s="239">
        <v>-108444</v>
      </c>
      <c r="BX6" s="239">
        <v>0</v>
      </c>
      <c r="BY6" s="239">
        <v>-1084442</v>
      </c>
      <c r="BZ6" s="239">
        <v>-855332</v>
      </c>
      <c r="CA6" s="239">
        <v>-684267</v>
      </c>
      <c r="CB6" s="239">
        <v>-171067</v>
      </c>
      <c r="CC6" s="239">
        <v>0</v>
      </c>
      <c r="CD6" s="239">
        <v>-1710666</v>
      </c>
      <c r="CE6" s="239">
        <v>-944947</v>
      </c>
      <c r="CF6" s="239">
        <v>-755958</v>
      </c>
      <c r="CG6" s="239">
        <v>-188989</v>
      </c>
      <c r="CH6" s="239">
        <v>0</v>
      </c>
      <c r="CI6" s="239">
        <v>-1889894</v>
      </c>
      <c r="CJ6" s="239">
        <v>-1090106</v>
      </c>
      <c r="CK6" s="239">
        <v>-872084</v>
      </c>
      <c r="CL6" s="239">
        <v>-218021</v>
      </c>
      <c r="CM6" s="239">
        <v>0</v>
      </c>
      <c r="CN6" s="239">
        <v>-2180211</v>
      </c>
      <c r="CO6" s="239">
        <v>145159</v>
      </c>
      <c r="CP6" s="239">
        <v>116126</v>
      </c>
      <c r="CQ6" s="239">
        <v>29032</v>
      </c>
      <c r="CR6" s="239">
        <v>0</v>
      </c>
      <c r="CS6" s="239">
        <v>290317</v>
      </c>
      <c r="CT6" s="239">
        <v>14233736</v>
      </c>
      <c r="CU6" s="239">
        <v>11386989</v>
      </c>
      <c r="CV6" s="239">
        <v>2846747</v>
      </c>
      <c r="CW6" s="239">
        <v>0</v>
      </c>
      <c r="CX6" s="239">
        <v>28467472</v>
      </c>
      <c r="CY6" s="239">
        <v>13446998</v>
      </c>
      <c r="CZ6" s="239">
        <v>10757598</v>
      </c>
      <c r="DA6" s="239">
        <v>2689400</v>
      </c>
      <c r="DB6" s="239">
        <v>0</v>
      </c>
      <c r="DC6" s="239">
        <v>26893996</v>
      </c>
      <c r="DD6" s="239">
        <v>-786738</v>
      </c>
      <c r="DE6" s="239">
        <v>-629391</v>
      </c>
      <c r="DF6" s="239">
        <v>-157347</v>
      </c>
      <c r="DG6" s="239">
        <v>0</v>
      </c>
      <c r="DH6" s="239">
        <v>-1573476</v>
      </c>
      <c r="DI6" s="239">
        <v>-641579</v>
      </c>
      <c r="DJ6" s="239">
        <v>-513265</v>
      </c>
      <c r="DK6" s="239">
        <v>-128315</v>
      </c>
      <c r="DL6" s="239">
        <v>0</v>
      </c>
      <c r="DM6" s="239">
        <v>-1283159</v>
      </c>
      <c r="DN6" s="835">
        <v>0.5</v>
      </c>
      <c r="DO6" s="835">
        <v>0.4</v>
      </c>
      <c r="DP6" s="835">
        <v>0.1</v>
      </c>
      <c r="DQ6" s="835">
        <v>0</v>
      </c>
      <c r="DR6" s="835">
        <v>1</v>
      </c>
      <c r="DS6" s="214" t="s">
        <v>1158</v>
      </c>
      <c r="DU6" s="214">
        <v>0</v>
      </c>
    </row>
    <row r="7" spans="2:125" s="214" customFormat="1" x14ac:dyDescent="0.2">
      <c r="B7" s="602" t="s">
        <v>97</v>
      </c>
      <c r="C7" s="602" t="s">
        <v>96</v>
      </c>
      <c r="D7" s="239">
        <v>14598612</v>
      </c>
      <c r="E7" s="239">
        <v>11678889</v>
      </c>
      <c r="F7" s="239">
        <v>2627750</v>
      </c>
      <c r="G7" s="239">
        <v>291972</v>
      </c>
      <c r="H7" s="239">
        <v>29197223</v>
      </c>
      <c r="I7" s="239">
        <v>0</v>
      </c>
      <c r="J7" s="239">
        <v>0</v>
      </c>
      <c r="K7" s="239">
        <v>14598612</v>
      </c>
      <c r="L7" s="239">
        <v>149167</v>
      </c>
      <c r="M7" s="239">
        <v>149167</v>
      </c>
      <c r="N7" s="239">
        <v>0</v>
      </c>
      <c r="O7" s="239">
        <v>0</v>
      </c>
      <c r="P7" s="239">
        <v>10820</v>
      </c>
      <c r="Q7" s="239">
        <v>0</v>
      </c>
      <c r="R7" s="239">
        <v>10820</v>
      </c>
      <c r="S7" s="239">
        <v>0</v>
      </c>
      <c r="T7" s="239">
        <v>0</v>
      </c>
      <c r="U7" s="239">
        <v>0</v>
      </c>
      <c r="V7" s="239">
        <v>0</v>
      </c>
      <c r="W7" s="239">
        <v>0</v>
      </c>
      <c r="X7" s="239">
        <v>0</v>
      </c>
      <c r="Y7" s="239">
        <v>0</v>
      </c>
      <c r="Z7" s="239">
        <v>0</v>
      </c>
      <c r="AA7" s="239">
        <v>0</v>
      </c>
      <c r="AB7" s="239">
        <v>0</v>
      </c>
      <c r="AC7" s="239">
        <v>1385884</v>
      </c>
      <c r="AD7" s="239">
        <v>311788</v>
      </c>
      <c r="AE7" s="239">
        <v>34642</v>
      </c>
      <c r="AF7" s="239">
        <v>1732314</v>
      </c>
      <c r="AG7" s="239">
        <v>250610</v>
      </c>
      <c r="AH7" s="239">
        <v>200488</v>
      </c>
      <c r="AI7" s="239">
        <v>45110</v>
      </c>
      <c r="AJ7" s="239">
        <v>5012</v>
      </c>
      <c r="AK7" s="239">
        <v>501220</v>
      </c>
      <c r="AL7" s="239">
        <v>-717770</v>
      </c>
      <c r="AM7" s="239">
        <v>-574216</v>
      </c>
      <c r="AN7" s="239">
        <v>-129199</v>
      </c>
      <c r="AO7" s="239">
        <v>-14355</v>
      </c>
      <c r="AP7" s="239">
        <v>-1435540</v>
      </c>
      <c r="AQ7" s="239">
        <v>-186522</v>
      </c>
      <c r="AR7" s="239">
        <v>-149218</v>
      </c>
      <c r="AS7" s="239">
        <v>-33574</v>
      </c>
      <c r="AT7" s="239">
        <v>-3730</v>
      </c>
      <c r="AU7" s="239">
        <v>-373044</v>
      </c>
      <c r="AV7" s="239">
        <v>72230</v>
      </c>
      <c r="AW7" s="239">
        <v>57785</v>
      </c>
      <c r="AX7" s="239">
        <v>13002</v>
      </c>
      <c r="AY7" s="239">
        <v>1445</v>
      </c>
      <c r="AZ7" s="239">
        <v>144462</v>
      </c>
      <c r="BA7" s="239">
        <v>-137909</v>
      </c>
      <c r="BB7" s="239">
        <v>-110327</v>
      </c>
      <c r="BC7" s="239">
        <v>-24824</v>
      </c>
      <c r="BD7" s="239">
        <v>-2758</v>
      </c>
      <c r="BE7" s="239">
        <v>-275818</v>
      </c>
      <c r="BF7" s="239">
        <v>-252201</v>
      </c>
      <c r="BG7" s="239">
        <v>-201760</v>
      </c>
      <c r="BH7" s="239">
        <v>-45396</v>
      </c>
      <c r="BI7" s="239">
        <v>-5043</v>
      </c>
      <c r="BJ7" s="239">
        <v>-504400</v>
      </c>
      <c r="BK7" s="239">
        <v>-700000</v>
      </c>
      <c r="BL7" s="239">
        <v>-560000</v>
      </c>
      <c r="BM7" s="239">
        <v>-126000</v>
      </c>
      <c r="BN7" s="239">
        <v>-14000</v>
      </c>
      <c r="BO7" s="239">
        <v>-1400000</v>
      </c>
      <c r="BP7" s="239">
        <v>185775</v>
      </c>
      <c r="BQ7" s="239">
        <v>148620</v>
      </c>
      <c r="BR7" s="239">
        <v>33440</v>
      </c>
      <c r="BS7" s="239">
        <v>3716</v>
      </c>
      <c r="BT7" s="239">
        <v>371551</v>
      </c>
      <c r="BU7" s="239">
        <v>-860775</v>
      </c>
      <c r="BV7" s="239">
        <v>-688620</v>
      </c>
      <c r="BW7" s="239">
        <v>-154940</v>
      </c>
      <c r="BX7" s="239">
        <v>-17216</v>
      </c>
      <c r="BY7" s="239">
        <v>-1721551</v>
      </c>
      <c r="BZ7" s="239">
        <v>-1375000</v>
      </c>
      <c r="CA7" s="239">
        <v>-1100000</v>
      </c>
      <c r="CB7" s="239">
        <v>-247500</v>
      </c>
      <c r="CC7" s="239">
        <v>-27500</v>
      </c>
      <c r="CD7" s="239">
        <v>-2750000</v>
      </c>
      <c r="CE7" s="239">
        <v>-97025</v>
      </c>
      <c r="CF7" s="239">
        <v>-77620</v>
      </c>
      <c r="CG7" s="239">
        <v>-17465</v>
      </c>
      <c r="CH7" s="239">
        <v>-1940</v>
      </c>
      <c r="CI7" s="239">
        <v>-194050</v>
      </c>
      <c r="CJ7" s="239">
        <v>-75717</v>
      </c>
      <c r="CK7" s="239">
        <v>-60574</v>
      </c>
      <c r="CL7" s="239">
        <v>-13629</v>
      </c>
      <c r="CM7" s="239">
        <v>-1514</v>
      </c>
      <c r="CN7" s="239">
        <v>-151434</v>
      </c>
      <c r="CO7" s="239">
        <v>-21308</v>
      </c>
      <c r="CP7" s="239">
        <v>-17046</v>
      </c>
      <c r="CQ7" s="239">
        <v>-3836</v>
      </c>
      <c r="CR7" s="239">
        <v>-426</v>
      </c>
      <c r="CS7" s="239">
        <v>-42616</v>
      </c>
      <c r="CT7" s="239">
        <v>14250961</v>
      </c>
      <c r="CU7" s="239">
        <v>11400769</v>
      </c>
      <c r="CV7" s="239">
        <v>2565173</v>
      </c>
      <c r="CW7" s="239">
        <v>285019</v>
      </c>
      <c r="CX7" s="239">
        <v>28501922</v>
      </c>
      <c r="CY7" s="239">
        <v>14598612</v>
      </c>
      <c r="CZ7" s="239">
        <v>11678889</v>
      </c>
      <c r="DA7" s="239">
        <v>2627750</v>
      </c>
      <c r="DB7" s="239">
        <v>291972</v>
      </c>
      <c r="DC7" s="239">
        <v>29197223</v>
      </c>
      <c r="DD7" s="239">
        <v>347651</v>
      </c>
      <c r="DE7" s="239">
        <v>278120</v>
      </c>
      <c r="DF7" s="239">
        <v>62577</v>
      </c>
      <c r="DG7" s="239">
        <v>6953</v>
      </c>
      <c r="DH7" s="239">
        <v>695301</v>
      </c>
      <c r="DI7" s="239">
        <v>326343</v>
      </c>
      <c r="DJ7" s="239">
        <v>261074</v>
      </c>
      <c r="DK7" s="239">
        <v>58741</v>
      </c>
      <c r="DL7" s="239">
        <v>6527</v>
      </c>
      <c r="DM7" s="239">
        <v>652685</v>
      </c>
      <c r="DN7" s="835">
        <v>0.5</v>
      </c>
      <c r="DO7" s="835">
        <v>0.4</v>
      </c>
      <c r="DP7" s="835">
        <v>0.09</v>
      </c>
      <c r="DQ7" s="835">
        <v>0.01</v>
      </c>
      <c r="DR7" s="835">
        <v>1</v>
      </c>
      <c r="DS7" s="214" t="s">
        <v>1158</v>
      </c>
      <c r="DU7" s="214">
        <v>0</v>
      </c>
    </row>
    <row r="8" spans="2:125" s="214" customFormat="1" x14ac:dyDescent="0.2">
      <c r="B8" s="602" t="s">
        <v>99</v>
      </c>
      <c r="C8" s="602" t="s">
        <v>98</v>
      </c>
      <c r="D8" s="239">
        <v>17328452</v>
      </c>
      <c r="E8" s="239">
        <v>13862762</v>
      </c>
      <c r="F8" s="239">
        <v>3465691</v>
      </c>
      <c r="G8" s="239">
        <v>0</v>
      </c>
      <c r="H8" s="239">
        <v>34656905</v>
      </c>
      <c r="I8" s="239">
        <v>0</v>
      </c>
      <c r="J8" s="239">
        <v>0</v>
      </c>
      <c r="K8" s="239">
        <v>17328452</v>
      </c>
      <c r="L8" s="239">
        <v>186077</v>
      </c>
      <c r="M8" s="239">
        <v>186077</v>
      </c>
      <c r="N8" s="239">
        <v>0</v>
      </c>
      <c r="O8" s="239">
        <v>0</v>
      </c>
      <c r="P8" s="239">
        <v>0</v>
      </c>
      <c r="Q8" s="239">
        <v>0</v>
      </c>
      <c r="R8" s="239">
        <v>0</v>
      </c>
      <c r="S8" s="239">
        <v>0</v>
      </c>
      <c r="T8" s="239">
        <v>0</v>
      </c>
      <c r="U8" s="239">
        <v>0</v>
      </c>
      <c r="V8" s="239">
        <v>0</v>
      </c>
      <c r="W8" s="239">
        <v>0</v>
      </c>
      <c r="X8" s="239">
        <v>0</v>
      </c>
      <c r="Y8" s="239">
        <v>0</v>
      </c>
      <c r="Z8" s="239">
        <v>0</v>
      </c>
      <c r="AA8" s="239">
        <v>0</v>
      </c>
      <c r="AB8" s="239">
        <v>0</v>
      </c>
      <c r="AC8" s="239">
        <v>1865125</v>
      </c>
      <c r="AD8" s="239">
        <v>466282</v>
      </c>
      <c r="AE8" s="239">
        <v>0</v>
      </c>
      <c r="AF8" s="239">
        <v>2331407</v>
      </c>
      <c r="AG8" s="239">
        <v>414281</v>
      </c>
      <c r="AH8" s="239">
        <v>331424</v>
      </c>
      <c r="AI8" s="239">
        <v>82856</v>
      </c>
      <c r="AJ8" s="239">
        <v>0</v>
      </c>
      <c r="AK8" s="239">
        <v>828561</v>
      </c>
      <c r="AL8" s="239">
        <v>-312221</v>
      </c>
      <c r="AM8" s="239">
        <v>-249776</v>
      </c>
      <c r="AN8" s="239">
        <v>-62444</v>
      </c>
      <c r="AO8" s="239">
        <v>0</v>
      </c>
      <c r="AP8" s="239">
        <v>-624441</v>
      </c>
      <c r="AQ8" s="239">
        <v>-154500</v>
      </c>
      <c r="AR8" s="239">
        <v>-123600</v>
      </c>
      <c r="AS8" s="239">
        <v>-30900</v>
      </c>
      <c r="AT8" s="239">
        <v>0</v>
      </c>
      <c r="AU8" s="239">
        <v>-309000</v>
      </c>
      <c r="AV8" s="239">
        <v>73213</v>
      </c>
      <c r="AW8" s="239">
        <v>58571</v>
      </c>
      <c r="AX8" s="239">
        <v>14643</v>
      </c>
      <c r="AY8" s="239">
        <v>0</v>
      </c>
      <c r="AZ8" s="239">
        <v>146427</v>
      </c>
      <c r="BA8" s="239">
        <v>-106213</v>
      </c>
      <c r="BB8" s="239">
        <v>-84971</v>
      </c>
      <c r="BC8" s="239">
        <v>-21243</v>
      </c>
      <c r="BD8" s="239">
        <v>0</v>
      </c>
      <c r="BE8" s="239">
        <v>-212427</v>
      </c>
      <c r="BF8" s="239">
        <v>-187500</v>
      </c>
      <c r="BG8" s="239">
        <v>-150000</v>
      </c>
      <c r="BH8" s="239">
        <v>-37500</v>
      </c>
      <c r="BI8" s="239">
        <v>0</v>
      </c>
      <c r="BJ8" s="239">
        <v>-375000</v>
      </c>
      <c r="BK8" s="239">
        <v>-2508000</v>
      </c>
      <c r="BL8" s="239">
        <v>-2006400</v>
      </c>
      <c r="BM8" s="239">
        <v>-501600</v>
      </c>
      <c r="BN8" s="239">
        <v>0</v>
      </c>
      <c r="BO8" s="239">
        <v>-5016000</v>
      </c>
      <c r="BP8" s="239">
        <v>1064059</v>
      </c>
      <c r="BQ8" s="239">
        <v>851247</v>
      </c>
      <c r="BR8" s="239">
        <v>212812</v>
      </c>
      <c r="BS8" s="239">
        <v>0</v>
      </c>
      <c r="BT8" s="239">
        <v>2128118</v>
      </c>
      <c r="BU8" s="239">
        <v>-693559</v>
      </c>
      <c r="BV8" s="239">
        <v>-554847</v>
      </c>
      <c r="BW8" s="239">
        <v>-138712</v>
      </c>
      <c r="BX8" s="239">
        <v>0</v>
      </c>
      <c r="BY8" s="239">
        <v>-1387118</v>
      </c>
      <c r="BZ8" s="239">
        <v>-2137500</v>
      </c>
      <c r="CA8" s="239">
        <v>-1710000</v>
      </c>
      <c r="CB8" s="239">
        <v>-427500</v>
      </c>
      <c r="CC8" s="239">
        <v>0</v>
      </c>
      <c r="CD8" s="239">
        <v>-4275000</v>
      </c>
      <c r="CE8" s="239">
        <v>1060513</v>
      </c>
      <c r="CF8" s="239">
        <v>848411</v>
      </c>
      <c r="CG8" s="239">
        <v>212103</v>
      </c>
      <c r="CH8" s="239">
        <v>0</v>
      </c>
      <c r="CI8" s="239">
        <v>2121027</v>
      </c>
      <c r="CJ8" s="239">
        <v>414632</v>
      </c>
      <c r="CK8" s="239">
        <v>331705</v>
      </c>
      <c r="CL8" s="239">
        <v>82926</v>
      </c>
      <c r="CM8" s="239">
        <v>0</v>
      </c>
      <c r="CN8" s="239">
        <v>829263</v>
      </c>
      <c r="CO8" s="239">
        <v>645881</v>
      </c>
      <c r="CP8" s="239">
        <v>516706</v>
      </c>
      <c r="CQ8" s="239">
        <v>129177</v>
      </c>
      <c r="CR8" s="239">
        <v>0</v>
      </c>
      <c r="CS8" s="239">
        <v>1291764</v>
      </c>
      <c r="CT8" s="239">
        <v>17644506</v>
      </c>
      <c r="CU8" s="239">
        <v>14115604</v>
      </c>
      <c r="CV8" s="239">
        <v>3528901</v>
      </c>
      <c r="CW8" s="239">
        <v>0</v>
      </c>
      <c r="CX8" s="239">
        <v>35289011</v>
      </c>
      <c r="CY8" s="239">
        <v>17328452</v>
      </c>
      <c r="CZ8" s="239">
        <v>13862762</v>
      </c>
      <c r="DA8" s="239">
        <v>3465691</v>
      </c>
      <c r="DB8" s="239">
        <v>0</v>
      </c>
      <c r="DC8" s="239">
        <v>34656905</v>
      </c>
      <c r="DD8" s="239">
        <v>-316054</v>
      </c>
      <c r="DE8" s="239">
        <v>-252842</v>
      </c>
      <c r="DF8" s="239">
        <v>-63210</v>
      </c>
      <c r="DG8" s="239">
        <v>0</v>
      </c>
      <c r="DH8" s="239">
        <v>-632106</v>
      </c>
      <c r="DI8" s="239">
        <v>329827</v>
      </c>
      <c r="DJ8" s="239">
        <v>263864</v>
      </c>
      <c r="DK8" s="239">
        <v>65967</v>
      </c>
      <c r="DL8" s="239">
        <v>0</v>
      </c>
      <c r="DM8" s="239">
        <v>659658</v>
      </c>
      <c r="DN8" s="835">
        <v>0.5</v>
      </c>
      <c r="DO8" s="835">
        <v>0.4</v>
      </c>
      <c r="DP8" s="835">
        <v>0.1</v>
      </c>
      <c r="DQ8" s="835">
        <v>0</v>
      </c>
      <c r="DR8" s="835">
        <v>1</v>
      </c>
      <c r="DS8" s="214" t="s">
        <v>1158</v>
      </c>
      <c r="DU8" s="214">
        <v>0</v>
      </c>
    </row>
    <row r="9" spans="2:125" s="214" customFormat="1" x14ac:dyDescent="0.2">
      <c r="B9" s="602" t="s">
        <v>101</v>
      </c>
      <c r="C9" s="602" t="s">
        <v>100</v>
      </c>
      <c r="D9" s="239">
        <v>17113533</v>
      </c>
      <c r="E9" s="239">
        <v>13690826</v>
      </c>
      <c r="F9" s="239">
        <v>3080436</v>
      </c>
      <c r="G9" s="239">
        <v>342271</v>
      </c>
      <c r="H9" s="239">
        <v>34227066</v>
      </c>
      <c r="I9" s="239">
        <v>0</v>
      </c>
      <c r="J9" s="239">
        <v>0</v>
      </c>
      <c r="K9" s="239">
        <v>17113533</v>
      </c>
      <c r="L9" s="239">
        <v>130702</v>
      </c>
      <c r="M9" s="239">
        <v>130702</v>
      </c>
      <c r="N9" s="239">
        <v>0</v>
      </c>
      <c r="O9" s="239">
        <v>0</v>
      </c>
      <c r="P9" s="239">
        <v>0</v>
      </c>
      <c r="Q9" s="239">
        <v>0</v>
      </c>
      <c r="R9" s="239">
        <v>0</v>
      </c>
      <c r="S9" s="239">
        <v>0</v>
      </c>
      <c r="T9" s="239">
        <v>0</v>
      </c>
      <c r="U9" s="239">
        <v>0</v>
      </c>
      <c r="V9" s="239">
        <v>0</v>
      </c>
      <c r="W9" s="239">
        <v>0</v>
      </c>
      <c r="X9" s="239">
        <v>0</v>
      </c>
      <c r="Y9" s="239">
        <v>0</v>
      </c>
      <c r="Z9" s="239">
        <v>0</v>
      </c>
      <c r="AA9" s="239">
        <v>0</v>
      </c>
      <c r="AB9" s="239">
        <v>0</v>
      </c>
      <c r="AC9" s="239">
        <v>1113539</v>
      </c>
      <c r="AD9" s="239">
        <v>250547</v>
      </c>
      <c r="AE9" s="239">
        <v>27838</v>
      </c>
      <c r="AF9" s="239">
        <v>1391924</v>
      </c>
      <c r="AG9" s="239">
        <v>547119</v>
      </c>
      <c r="AH9" s="239">
        <v>437696</v>
      </c>
      <c r="AI9" s="239">
        <v>98482</v>
      </c>
      <c r="AJ9" s="239">
        <v>10942</v>
      </c>
      <c r="AK9" s="239">
        <v>1094239</v>
      </c>
      <c r="AL9" s="239">
        <v>-354145</v>
      </c>
      <c r="AM9" s="239">
        <v>-283316</v>
      </c>
      <c r="AN9" s="239">
        <v>-63746</v>
      </c>
      <c r="AO9" s="239">
        <v>-7083</v>
      </c>
      <c r="AP9" s="239">
        <v>-708290</v>
      </c>
      <c r="AQ9" s="239">
        <v>-333888</v>
      </c>
      <c r="AR9" s="239">
        <v>-267110</v>
      </c>
      <c r="AS9" s="239">
        <v>-60100</v>
      </c>
      <c r="AT9" s="239">
        <v>-6678</v>
      </c>
      <c r="AU9" s="239">
        <v>-667776</v>
      </c>
      <c r="AV9" s="239">
        <v>128325</v>
      </c>
      <c r="AW9" s="239">
        <v>102659</v>
      </c>
      <c r="AX9" s="239">
        <v>23098</v>
      </c>
      <c r="AY9" s="239">
        <v>2566</v>
      </c>
      <c r="AZ9" s="239">
        <v>256648</v>
      </c>
      <c r="BA9" s="239">
        <v>-57156</v>
      </c>
      <c r="BB9" s="239">
        <v>-45724</v>
      </c>
      <c r="BC9" s="239">
        <v>-10288</v>
      </c>
      <c r="BD9" s="239">
        <v>-1143</v>
      </c>
      <c r="BE9" s="239">
        <v>-114311</v>
      </c>
      <c r="BF9" s="239">
        <v>-262719</v>
      </c>
      <c r="BG9" s="239">
        <v>-210175</v>
      </c>
      <c r="BH9" s="239">
        <v>-47290</v>
      </c>
      <c r="BI9" s="239">
        <v>-5255</v>
      </c>
      <c r="BJ9" s="239">
        <v>-525439</v>
      </c>
      <c r="BK9" s="239">
        <v>-1455901</v>
      </c>
      <c r="BL9" s="239">
        <v>-1164721</v>
      </c>
      <c r="BM9" s="239">
        <v>-262062</v>
      </c>
      <c r="BN9" s="239">
        <v>-29118</v>
      </c>
      <c r="BO9" s="239">
        <v>-2911802</v>
      </c>
      <c r="BP9" s="239">
        <v>1055421</v>
      </c>
      <c r="BQ9" s="239">
        <v>844336</v>
      </c>
      <c r="BR9" s="239">
        <v>189976</v>
      </c>
      <c r="BS9" s="239">
        <v>21108</v>
      </c>
      <c r="BT9" s="239">
        <v>2110841</v>
      </c>
      <c r="BU9" s="239">
        <v>-1112494</v>
      </c>
      <c r="BV9" s="239">
        <v>-889996</v>
      </c>
      <c r="BW9" s="239">
        <v>-200249</v>
      </c>
      <c r="BX9" s="239">
        <v>-22250</v>
      </c>
      <c r="BY9" s="239">
        <v>-2224989</v>
      </c>
      <c r="BZ9" s="239">
        <v>-1512974</v>
      </c>
      <c r="CA9" s="239">
        <v>-1210381</v>
      </c>
      <c r="CB9" s="239">
        <v>-272335</v>
      </c>
      <c r="CC9" s="239">
        <v>-30260</v>
      </c>
      <c r="CD9" s="239">
        <v>-3025950</v>
      </c>
      <c r="CE9" s="239">
        <v>-267607</v>
      </c>
      <c r="CF9" s="239">
        <v>-214086</v>
      </c>
      <c r="CG9" s="239">
        <v>-48169</v>
      </c>
      <c r="CH9" s="239">
        <v>-5352</v>
      </c>
      <c r="CI9" s="239">
        <v>-535214</v>
      </c>
      <c r="CJ9" s="239">
        <v>-571878</v>
      </c>
      <c r="CK9" s="239">
        <v>-457503</v>
      </c>
      <c r="CL9" s="239">
        <v>-102938</v>
      </c>
      <c r="CM9" s="239">
        <v>-11438</v>
      </c>
      <c r="CN9" s="239">
        <v>-1143757</v>
      </c>
      <c r="CO9" s="239">
        <v>304271</v>
      </c>
      <c r="CP9" s="239">
        <v>243417</v>
      </c>
      <c r="CQ9" s="239">
        <v>54769</v>
      </c>
      <c r="CR9" s="239">
        <v>6086</v>
      </c>
      <c r="CS9" s="239">
        <v>608543</v>
      </c>
      <c r="CT9" s="239">
        <v>18212497</v>
      </c>
      <c r="CU9" s="239">
        <v>14569997</v>
      </c>
      <c r="CV9" s="239">
        <v>3278249</v>
      </c>
      <c r="CW9" s="239">
        <v>364250</v>
      </c>
      <c r="CX9" s="239">
        <v>36424993</v>
      </c>
      <c r="CY9" s="239">
        <v>17113533</v>
      </c>
      <c r="CZ9" s="239">
        <v>13690826</v>
      </c>
      <c r="DA9" s="239">
        <v>3080436</v>
      </c>
      <c r="DB9" s="239">
        <v>342271</v>
      </c>
      <c r="DC9" s="239">
        <v>34227066</v>
      </c>
      <c r="DD9" s="239">
        <v>-1098964</v>
      </c>
      <c r="DE9" s="239">
        <v>-879171</v>
      </c>
      <c r="DF9" s="239">
        <v>-197813</v>
      </c>
      <c r="DG9" s="239">
        <v>-21979</v>
      </c>
      <c r="DH9" s="239">
        <v>-2197927</v>
      </c>
      <c r="DI9" s="239">
        <v>-794693</v>
      </c>
      <c r="DJ9" s="239">
        <v>-635754</v>
      </c>
      <c r="DK9" s="239">
        <v>-143044</v>
      </c>
      <c r="DL9" s="239">
        <v>-15893</v>
      </c>
      <c r="DM9" s="239">
        <v>-1589384</v>
      </c>
      <c r="DN9" s="835">
        <v>0.5</v>
      </c>
      <c r="DO9" s="835">
        <v>0.4</v>
      </c>
      <c r="DP9" s="835">
        <v>0.09</v>
      </c>
      <c r="DQ9" s="835">
        <v>0.01</v>
      </c>
      <c r="DR9" s="835">
        <v>1</v>
      </c>
      <c r="DS9" s="214" t="s">
        <v>1158</v>
      </c>
      <c r="DU9" s="214">
        <v>0</v>
      </c>
    </row>
    <row r="10" spans="2:125" s="214" customFormat="1" x14ac:dyDescent="0.2">
      <c r="B10" s="602" t="s">
        <v>103</v>
      </c>
      <c r="C10" s="602" t="s">
        <v>102</v>
      </c>
      <c r="D10" s="239">
        <v>24085389</v>
      </c>
      <c r="E10" s="239">
        <v>19268312</v>
      </c>
      <c r="F10" s="239">
        <v>4335370</v>
      </c>
      <c r="G10" s="239">
        <v>481708</v>
      </c>
      <c r="H10" s="239">
        <v>48170779</v>
      </c>
      <c r="I10" s="239">
        <v>0</v>
      </c>
      <c r="J10" s="239">
        <v>0</v>
      </c>
      <c r="K10" s="239">
        <v>24085389</v>
      </c>
      <c r="L10" s="239">
        <v>181049</v>
      </c>
      <c r="M10" s="239">
        <v>181049</v>
      </c>
      <c r="N10" s="239">
        <v>0</v>
      </c>
      <c r="O10" s="239">
        <v>0</v>
      </c>
      <c r="P10" s="239">
        <v>100531</v>
      </c>
      <c r="Q10" s="239">
        <v>0</v>
      </c>
      <c r="R10" s="239">
        <v>100531</v>
      </c>
      <c r="S10" s="239">
        <v>0</v>
      </c>
      <c r="T10" s="239">
        <v>0</v>
      </c>
      <c r="U10" s="239">
        <v>0</v>
      </c>
      <c r="V10" s="239">
        <v>0</v>
      </c>
      <c r="W10" s="239">
        <v>0</v>
      </c>
      <c r="X10" s="239">
        <v>0</v>
      </c>
      <c r="Y10" s="239">
        <v>0</v>
      </c>
      <c r="Z10" s="239">
        <v>0</v>
      </c>
      <c r="AA10" s="239">
        <v>0</v>
      </c>
      <c r="AB10" s="239">
        <v>0</v>
      </c>
      <c r="AC10" s="239">
        <v>1704313</v>
      </c>
      <c r="AD10" s="239">
        <v>383131</v>
      </c>
      <c r="AE10" s="239">
        <v>42570</v>
      </c>
      <c r="AF10" s="239">
        <v>2130014</v>
      </c>
      <c r="AG10" s="239">
        <v>403164</v>
      </c>
      <c r="AH10" s="239">
        <v>322530</v>
      </c>
      <c r="AI10" s="239">
        <v>72569</v>
      </c>
      <c r="AJ10" s="239">
        <v>8063</v>
      </c>
      <c r="AK10" s="239">
        <v>806326</v>
      </c>
      <c r="AL10" s="239">
        <v>-450536</v>
      </c>
      <c r="AM10" s="239">
        <v>-360430</v>
      </c>
      <c r="AN10" s="239">
        <v>-81097</v>
      </c>
      <c r="AO10" s="239">
        <v>-9011</v>
      </c>
      <c r="AP10" s="239">
        <v>-901074</v>
      </c>
      <c r="AQ10" s="239">
        <v>-130389</v>
      </c>
      <c r="AR10" s="239">
        <v>-104311</v>
      </c>
      <c r="AS10" s="239">
        <v>-23470</v>
      </c>
      <c r="AT10" s="239">
        <v>-2608</v>
      </c>
      <c r="AU10" s="239">
        <v>-260778</v>
      </c>
      <c r="AV10" s="239">
        <v>78969</v>
      </c>
      <c r="AW10" s="239">
        <v>63176</v>
      </c>
      <c r="AX10" s="239">
        <v>14215</v>
      </c>
      <c r="AY10" s="239">
        <v>1579</v>
      </c>
      <c r="AZ10" s="239">
        <v>157939</v>
      </c>
      <c r="BA10" s="239">
        <v>-73849</v>
      </c>
      <c r="BB10" s="239">
        <v>-59080</v>
      </c>
      <c r="BC10" s="239">
        <v>-13293</v>
      </c>
      <c r="BD10" s="239">
        <v>-1477</v>
      </c>
      <c r="BE10" s="239">
        <v>-147699</v>
      </c>
      <c r="BF10" s="239">
        <v>-125269</v>
      </c>
      <c r="BG10" s="239">
        <v>-100215</v>
      </c>
      <c r="BH10" s="239">
        <v>-22548</v>
      </c>
      <c r="BI10" s="239">
        <v>-2506</v>
      </c>
      <c r="BJ10" s="239">
        <v>-250538</v>
      </c>
      <c r="BK10" s="239">
        <v>-1646966</v>
      </c>
      <c r="BL10" s="239">
        <v>-1317572</v>
      </c>
      <c r="BM10" s="239">
        <v>-296454</v>
      </c>
      <c r="BN10" s="239">
        <v>-32939</v>
      </c>
      <c r="BO10" s="239">
        <v>-3293931</v>
      </c>
      <c r="BP10" s="239">
        <v>538944</v>
      </c>
      <c r="BQ10" s="239">
        <v>431156</v>
      </c>
      <c r="BR10" s="239">
        <v>97010</v>
      </c>
      <c r="BS10" s="239">
        <v>10779</v>
      </c>
      <c r="BT10" s="239">
        <v>1077889</v>
      </c>
      <c r="BU10" s="239">
        <v>-802054</v>
      </c>
      <c r="BV10" s="239">
        <v>-641644</v>
      </c>
      <c r="BW10" s="239">
        <v>-144370</v>
      </c>
      <c r="BX10" s="239">
        <v>-16041</v>
      </c>
      <c r="BY10" s="239">
        <v>-1604109</v>
      </c>
      <c r="BZ10" s="239">
        <v>-1910076</v>
      </c>
      <c r="CA10" s="239">
        <v>-1528060</v>
      </c>
      <c r="CB10" s="239">
        <v>-343814</v>
      </c>
      <c r="CC10" s="239">
        <v>-38201</v>
      </c>
      <c r="CD10" s="239">
        <v>-3820151</v>
      </c>
      <c r="CE10" s="239">
        <v>-1433754</v>
      </c>
      <c r="CF10" s="239">
        <v>-1147003</v>
      </c>
      <c r="CG10" s="239">
        <v>-258076</v>
      </c>
      <c r="CH10" s="239">
        <v>-28675</v>
      </c>
      <c r="CI10" s="239">
        <v>-2867508</v>
      </c>
      <c r="CJ10" s="239">
        <v>-1189089</v>
      </c>
      <c r="CK10" s="239">
        <v>-951271</v>
      </c>
      <c r="CL10" s="239">
        <v>-214036</v>
      </c>
      <c r="CM10" s="239">
        <v>-23782</v>
      </c>
      <c r="CN10" s="239">
        <v>-2378178</v>
      </c>
      <c r="CO10" s="239">
        <v>-244665</v>
      </c>
      <c r="CP10" s="239">
        <v>-195732</v>
      </c>
      <c r="CQ10" s="239">
        <v>-44040</v>
      </c>
      <c r="CR10" s="239">
        <v>-4893</v>
      </c>
      <c r="CS10" s="239">
        <v>-489330</v>
      </c>
      <c r="CT10" s="239">
        <v>24740937</v>
      </c>
      <c r="CU10" s="239">
        <v>19792750</v>
      </c>
      <c r="CV10" s="239">
        <v>4453369</v>
      </c>
      <c r="CW10" s="239">
        <v>494819</v>
      </c>
      <c r="CX10" s="239">
        <v>49481875</v>
      </c>
      <c r="CY10" s="239">
        <v>24085389</v>
      </c>
      <c r="CZ10" s="239">
        <v>19268312</v>
      </c>
      <c r="DA10" s="239">
        <v>4335370</v>
      </c>
      <c r="DB10" s="239">
        <v>481708</v>
      </c>
      <c r="DC10" s="239">
        <v>48170779</v>
      </c>
      <c r="DD10" s="239">
        <v>-655548</v>
      </c>
      <c r="DE10" s="239">
        <v>-524438</v>
      </c>
      <c r="DF10" s="239">
        <v>-117999</v>
      </c>
      <c r="DG10" s="239">
        <v>-13111</v>
      </c>
      <c r="DH10" s="239">
        <v>-1311096</v>
      </c>
      <c r="DI10" s="239">
        <v>-900213</v>
      </c>
      <c r="DJ10" s="239">
        <v>-720170</v>
      </c>
      <c r="DK10" s="239">
        <v>-162039</v>
      </c>
      <c r="DL10" s="239">
        <v>-18004</v>
      </c>
      <c r="DM10" s="239">
        <v>-1800426</v>
      </c>
      <c r="DN10" s="835">
        <v>0.5</v>
      </c>
      <c r="DO10" s="835">
        <v>0.4</v>
      </c>
      <c r="DP10" s="835">
        <v>0.09</v>
      </c>
      <c r="DQ10" s="835">
        <v>0.01</v>
      </c>
      <c r="DR10" s="835">
        <v>1</v>
      </c>
      <c r="DS10" s="214" t="s">
        <v>1158</v>
      </c>
      <c r="DU10" s="214">
        <v>0</v>
      </c>
    </row>
    <row r="11" spans="2:125" s="214" customFormat="1" x14ac:dyDescent="0.2">
      <c r="B11" s="602" t="s">
        <v>105</v>
      </c>
      <c r="C11" s="602" t="s">
        <v>104</v>
      </c>
      <c r="D11" s="239">
        <v>25184448</v>
      </c>
      <c r="E11" s="239">
        <v>20147558</v>
      </c>
      <c r="F11" s="239">
        <v>4533201</v>
      </c>
      <c r="G11" s="239">
        <v>503689</v>
      </c>
      <c r="H11" s="239">
        <v>50368896</v>
      </c>
      <c r="I11" s="239">
        <v>60602</v>
      </c>
      <c r="J11" s="239">
        <v>60602</v>
      </c>
      <c r="K11" s="239">
        <v>25123846</v>
      </c>
      <c r="L11" s="239">
        <v>223286</v>
      </c>
      <c r="M11" s="239">
        <v>223286</v>
      </c>
      <c r="N11" s="239">
        <v>282439</v>
      </c>
      <c r="O11" s="239">
        <v>282439</v>
      </c>
      <c r="P11" s="239">
        <v>0</v>
      </c>
      <c r="Q11" s="239">
        <v>220340</v>
      </c>
      <c r="R11" s="239">
        <v>220340</v>
      </c>
      <c r="S11" s="239">
        <v>60601.856223175964</v>
      </c>
      <c r="T11" s="239">
        <v>0</v>
      </c>
      <c r="U11" s="239">
        <v>0</v>
      </c>
      <c r="V11" s="239">
        <v>60601.856223175964</v>
      </c>
      <c r="W11" s="239">
        <v>0</v>
      </c>
      <c r="X11" s="239">
        <v>0</v>
      </c>
      <c r="Y11" s="239">
        <v>0</v>
      </c>
      <c r="Z11" s="239">
        <v>0</v>
      </c>
      <c r="AA11" s="239">
        <v>0</v>
      </c>
      <c r="AB11" s="239">
        <v>0</v>
      </c>
      <c r="AC11" s="239">
        <v>2095471</v>
      </c>
      <c r="AD11" s="239">
        <v>473836</v>
      </c>
      <c r="AE11" s="239">
        <v>52281</v>
      </c>
      <c r="AF11" s="239">
        <v>2621588</v>
      </c>
      <c r="AG11" s="239">
        <v>103778</v>
      </c>
      <c r="AH11" s="239">
        <v>83023</v>
      </c>
      <c r="AI11" s="239">
        <v>18680</v>
      </c>
      <c r="AJ11" s="239">
        <v>2076</v>
      </c>
      <c r="AK11" s="239">
        <v>207557</v>
      </c>
      <c r="AL11" s="239">
        <v>-862367</v>
      </c>
      <c r="AM11" s="239">
        <v>-689894</v>
      </c>
      <c r="AN11" s="239">
        <v>-155226</v>
      </c>
      <c r="AO11" s="239">
        <v>-17247</v>
      </c>
      <c r="AP11" s="239">
        <v>-1724734</v>
      </c>
      <c r="AQ11" s="239">
        <v>0</v>
      </c>
      <c r="AR11" s="239">
        <v>0</v>
      </c>
      <c r="AS11" s="239">
        <v>0</v>
      </c>
      <c r="AT11" s="239">
        <v>0</v>
      </c>
      <c r="AU11" s="239">
        <v>0</v>
      </c>
      <c r="AV11" s="239">
        <v>0</v>
      </c>
      <c r="AW11" s="239">
        <v>0</v>
      </c>
      <c r="AX11" s="239">
        <v>0</v>
      </c>
      <c r="AY11" s="239">
        <v>0</v>
      </c>
      <c r="AZ11" s="239">
        <v>0</v>
      </c>
      <c r="BA11" s="239">
        <v>-47927</v>
      </c>
      <c r="BB11" s="239">
        <v>-38342</v>
      </c>
      <c r="BC11" s="239">
        <v>-8627</v>
      </c>
      <c r="BD11" s="239">
        <v>-959</v>
      </c>
      <c r="BE11" s="239">
        <v>-95855</v>
      </c>
      <c r="BF11" s="239">
        <v>-47927</v>
      </c>
      <c r="BG11" s="239">
        <v>-38342</v>
      </c>
      <c r="BH11" s="239">
        <v>-8627</v>
      </c>
      <c r="BI11" s="239">
        <v>-959</v>
      </c>
      <c r="BJ11" s="239">
        <v>-95855</v>
      </c>
      <c r="BK11" s="239">
        <v>-996425</v>
      </c>
      <c r="BL11" s="239">
        <v>-797139</v>
      </c>
      <c r="BM11" s="239">
        <v>-179356</v>
      </c>
      <c r="BN11" s="239">
        <v>-19928</v>
      </c>
      <c r="BO11" s="239">
        <v>-1992848</v>
      </c>
      <c r="BP11" s="239">
        <v>186153</v>
      </c>
      <c r="BQ11" s="239">
        <v>148922</v>
      </c>
      <c r="BR11" s="239">
        <v>33507</v>
      </c>
      <c r="BS11" s="239">
        <v>3723</v>
      </c>
      <c r="BT11" s="239">
        <v>372305</v>
      </c>
      <c r="BU11" s="239">
        <v>-1266854</v>
      </c>
      <c r="BV11" s="239">
        <v>-1013483</v>
      </c>
      <c r="BW11" s="239">
        <v>-228034</v>
      </c>
      <c r="BX11" s="239">
        <v>-25337</v>
      </c>
      <c r="BY11" s="239">
        <v>-2533708</v>
      </c>
      <c r="BZ11" s="239">
        <v>-2077126</v>
      </c>
      <c r="CA11" s="239">
        <v>-1661700</v>
      </c>
      <c r="CB11" s="239">
        <v>-373883</v>
      </c>
      <c r="CC11" s="239">
        <v>-41542</v>
      </c>
      <c r="CD11" s="239">
        <v>-4154251</v>
      </c>
      <c r="CE11" s="239">
        <v>955768</v>
      </c>
      <c r="CF11" s="239">
        <v>764615</v>
      </c>
      <c r="CG11" s="239">
        <v>172039</v>
      </c>
      <c r="CH11" s="239">
        <v>19115</v>
      </c>
      <c r="CI11" s="239">
        <v>1911537</v>
      </c>
      <c r="CJ11" s="239">
        <v>-419726</v>
      </c>
      <c r="CK11" s="239">
        <v>-335782</v>
      </c>
      <c r="CL11" s="239">
        <v>-75551</v>
      </c>
      <c r="CM11" s="239">
        <v>-8395</v>
      </c>
      <c r="CN11" s="239">
        <v>-839454</v>
      </c>
      <c r="CO11" s="239">
        <v>1375494</v>
      </c>
      <c r="CP11" s="239">
        <v>1100397</v>
      </c>
      <c r="CQ11" s="239">
        <v>247590</v>
      </c>
      <c r="CR11" s="239">
        <v>27510</v>
      </c>
      <c r="CS11" s="239">
        <v>2750991</v>
      </c>
      <c r="CT11" s="239">
        <v>25997114</v>
      </c>
      <c r="CU11" s="239">
        <v>20797690</v>
      </c>
      <c r="CV11" s="239">
        <v>4679480</v>
      </c>
      <c r="CW11" s="239">
        <v>519942</v>
      </c>
      <c r="CX11" s="239">
        <v>51994226</v>
      </c>
      <c r="CY11" s="239">
        <v>25184448</v>
      </c>
      <c r="CZ11" s="239">
        <v>20147558</v>
      </c>
      <c r="DA11" s="239">
        <v>4533201</v>
      </c>
      <c r="DB11" s="239">
        <v>503689</v>
      </c>
      <c r="DC11" s="239">
        <v>50368896</v>
      </c>
      <c r="DD11" s="239">
        <v>-812666</v>
      </c>
      <c r="DE11" s="239">
        <v>-650132</v>
      </c>
      <c r="DF11" s="239">
        <v>-146279</v>
      </c>
      <c r="DG11" s="239">
        <v>-16253</v>
      </c>
      <c r="DH11" s="239">
        <v>-1625330</v>
      </c>
      <c r="DI11" s="239">
        <v>562828</v>
      </c>
      <c r="DJ11" s="239">
        <v>450265</v>
      </c>
      <c r="DK11" s="239">
        <v>101311</v>
      </c>
      <c r="DL11" s="239">
        <v>11257</v>
      </c>
      <c r="DM11" s="239">
        <v>1125661</v>
      </c>
      <c r="DN11" s="835">
        <v>0.5</v>
      </c>
      <c r="DO11" s="835">
        <v>0.4</v>
      </c>
      <c r="DP11" s="835">
        <v>0.09</v>
      </c>
      <c r="DQ11" s="835">
        <v>0.01</v>
      </c>
      <c r="DR11" s="835">
        <v>1</v>
      </c>
      <c r="DS11" s="214" t="s">
        <v>1158</v>
      </c>
      <c r="DU11" s="214">
        <v>0</v>
      </c>
    </row>
    <row r="12" spans="2:125" s="214" customFormat="1" x14ac:dyDescent="0.2">
      <c r="B12" s="602" t="s">
        <v>107</v>
      </c>
      <c r="C12" s="602" t="s">
        <v>106</v>
      </c>
      <c r="D12" s="239">
        <v>10698463</v>
      </c>
      <c r="E12" s="239">
        <v>8558771</v>
      </c>
      <c r="F12" s="239">
        <v>2139693</v>
      </c>
      <c r="G12" s="239">
        <v>0</v>
      </c>
      <c r="H12" s="239">
        <v>21396927</v>
      </c>
      <c r="I12" s="239">
        <v>0</v>
      </c>
      <c r="J12" s="239">
        <v>0</v>
      </c>
      <c r="K12" s="239">
        <v>10698463</v>
      </c>
      <c r="L12" s="239">
        <v>129574</v>
      </c>
      <c r="M12" s="239">
        <v>129574</v>
      </c>
      <c r="N12" s="239">
        <v>0</v>
      </c>
      <c r="O12" s="239">
        <v>0</v>
      </c>
      <c r="P12" s="239">
        <v>1176</v>
      </c>
      <c r="Q12" s="239">
        <v>25203</v>
      </c>
      <c r="R12" s="239">
        <v>26379</v>
      </c>
      <c r="S12" s="239">
        <v>0</v>
      </c>
      <c r="T12" s="239">
        <v>0</v>
      </c>
      <c r="U12" s="239">
        <v>0</v>
      </c>
      <c r="V12" s="239">
        <v>0</v>
      </c>
      <c r="W12" s="239">
        <v>0</v>
      </c>
      <c r="X12" s="239">
        <v>0</v>
      </c>
      <c r="Y12" s="239">
        <v>0</v>
      </c>
      <c r="Z12" s="239">
        <v>0</v>
      </c>
      <c r="AA12" s="239">
        <v>0</v>
      </c>
      <c r="AB12" s="239">
        <v>0</v>
      </c>
      <c r="AC12" s="239">
        <v>1224362</v>
      </c>
      <c r="AD12" s="239">
        <v>306466</v>
      </c>
      <c r="AE12" s="239">
        <v>0</v>
      </c>
      <c r="AF12" s="239">
        <v>1530828</v>
      </c>
      <c r="AG12" s="239">
        <v>168171</v>
      </c>
      <c r="AH12" s="239">
        <v>134537</v>
      </c>
      <c r="AI12" s="239">
        <v>33634</v>
      </c>
      <c r="AJ12" s="239">
        <v>0</v>
      </c>
      <c r="AK12" s="239">
        <v>336342</v>
      </c>
      <c r="AL12" s="239">
        <v>-142623</v>
      </c>
      <c r="AM12" s="239">
        <v>-114099</v>
      </c>
      <c r="AN12" s="239">
        <v>-28525</v>
      </c>
      <c r="AO12" s="239">
        <v>0</v>
      </c>
      <c r="AP12" s="239">
        <v>-285247</v>
      </c>
      <c r="AQ12" s="239">
        <v>-163312</v>
      </c>
      <c r="AR12" s="239">
        <v>-130650</v>
      </c>
      <c r="AS12" s="239">
        <v>-32663</v>
      </c>
      <c r="AT12" s="239">
        <v>0</v>
      </c>
      <c r="AU12" s="239">
        <v>-326625</v>
      </c>
      <c r="AV12" s="239">
        <v>61223</v>
      </c>
      <c r="AW12" s="239">
        <v>48978</v>
      </c>
      <c r="AX12" s="239">
        <v>12245</v>
      </c>
      <c r="AY12" s="239">
        <v>0</v>
      </c>
      <c r="AZ12" s="239">
        <v>122446</v>
      </c>
      <c r="BA12" s="239">
        <v>-64500</v>
      </c>
      <c r="BB12" s="239">
        <v>-51600</v>
      </c>
      <c r="BC12" s="239">
        <v>-12900</v>
      </c>
      <c r="BD12" s="239">
        <v>0</v>
      </c>
      <c r="BE12" s="239">
        <v>-129000</v>
      </c>
      <c r="BF12" s="239">
        <v>-166589</v>
      </c>
      <c r="BG12" s="239">
        <v>-133272</v>
      </c>
      <c r="BH12" s="239">
        <v>-33318</v>
      </c>
      <c r="BI12" s="239">
        <v>0</v>
      </c>
      <c r="BJ12" s="239">
        <v>-333179</v>
      </c>
      <c r="BK12" s="239">
        <v>-507257</v>
      </c>
      <c r="BL12" s="239">
        <v>-405805</v>
      </c>
      <c r="BM12" s="239">
        <v>-101451</v>
      </c>
      <c r="BN12" s="239">
        <v>0</v>
      </c>
      <c r="BO12" s="239">
        <v>-1014513</v>
      </c>
      <c r="BP12" s="239">
        <v>303584</v>
      </c>
      <c r="BQ12" s="239">
        <v>242867</v>
      </c>
      <c r="BR12" s="239">
        <v>60717</v>
      </c>
      <c r="BS12" s="239">
        <v>0</v>
      </c>
      <c r="BT12" s="239">
        <v>607168</v>
      </c>
      <c r="BU12" s="239">
        <v>-782097</v>
      </c>
      <c r="BV12" s="239">
        <v>-625678</v>
      </c>
      <c r="BW12" s="239">
        <v>-156419</v>
      </c>
      <c r="BX12" s="239">
        <v>0</v>
      </c>
      <c r="BY12" s="239">
        <v>-1564194</v>
      </c>
      <c r="BZ12" s="239">
        <v>-985770</v>
      </c>
      <c r="CA12" s="239">
        <v>-788616</v>
      </c>
      <c r="CB12" s="239">
        <v>-197153</v>
      </c>
      <c r="CC12" s="239">
        <v>0</v>
      </c>
      <c r="CD12" s="239">
        <v>-1971539</v>
      </c>
      <c r="CE12" s="239">
        <v>286793</v>
      </c>
      <c r="CF12" s="239">
        <v>229433</v>
      </c>
      <c r="CG12" s="239">
        <v>57358</v>
      </c>
      <c r="CH12" s="239">
        <v>0</v>
      </c>
      <c r="CI12" s="239">
        <v>573584</v>
      </c>
      <c r="CJ12" s="239">
        <v>422162</v>
      </c>
      <c r="CK12" s="239">
        <v>337729</v>
      </c>
      <c r="CL12" s="239">
        <v>84432</v>
      </c>
      <c r="CM12" s="239">
        <v>0</v>
      </c>
      <c r="CN12" s="239">
        <v>844323</v>
      </c>
      <c r="CO12" s="239">
        <v>-135369</v>
      </c>
      <c r="CP12" s="239">
        <v>-108296</v>
      </c>
      <c r="CQ12" s="239">
        <v>-27074</v>
      </c>
      <c r="CR12" s="239">
        <v>0</v>
      </c>
      <c r="CS12" s="239">
        <v>-270739</v>
      </c>
      <c r="CT12" s="239">
        <v>11335443</v>
      </c>
      <c r="CU12" s="239">
        <v>9068355</v>
      </c>
      <c r="CV12" s="239">
        <v>2267089</v>
      </c>
      <c r="CW12" s="239">
        <v>0</v>
      </c>
      <c r="CX12" s="239">
        <v>22670887</v>
      </c>
      <c r="CY12" s="239">
        <v>10698463</v>
      </c>
      <c r="CZ12" s="239">
        <v>8558771</v>
      </c>
      <c r="DA12" s="239">
        <v>2139693</v>
      </c>
      <c r="DB12" s="239">
        <v>0</v>
      </c>
      <c r="DC12" s="239">
        <v>21396927</v>
      </c>
      <c r="DD12" s="239">
        <v>-636980</v>
      </c>
      <c r="DE12" s="239">
        <v>-509584</v>
      </c>
      <c r="DF12" s="239">
        <v>-127396</v>
      </c>
      <c r="DG12" s="239">
        <v>0</v>
      </c>
      <c r="DH12" s="239">
        <v>-1273960</v>
      </c>
      <c r="DI12" s="239">
        <v>-772349</v>
      </c>
      <c r="DJ12" s="239">
        <v>-617880</v>
      </c>
      <c r="DK12" s="239">
        <v>-154470</v>
      </c>
      <c r="DL12" s="239">
        <v>0</v>
      </c>
      <c r="DM12" s="239">
        <v>-1544699</v>
      </c>
      <c r="DN12" s="835">
        <v>0.5</v>
      </c>
      <c r="DO12" s="835">
        <v>0.4</v>
      </c>
      <c r="DP12" s="835">
        <v>0.1</v>
      </c>
      <c r="DQ12" s="835">
        <v>0</v>
      </c>
      <c r="DR12" s="835">
        <v>1</v>
      </c>
      <c r="DS12" s="214" t="s">
        <v>1158</v>
      </c>
      <c r="DU12" s="214">
        <v>0</v>
      </c>
    </row>
    <row r="13" spans="2:125" s="214" customFormat="1" x14ac:dyDescent="0.2">
      <c r="B13" s="602" t="s">
        <v>109</v>
      </c>
      <c r="C13" s="602" t="s">
        <v>108</v>
      </c>
      <c r="D13" s="239">
        <v>17517051</v>
      </c>
      <c r="E13" s="239">
        <v>15924593</v>
      </c>
      <c r="F13" s="239">
        <v>19640331</v>
      </c>
      <c r="G13" s="239">
        <v>0</v>
      </c>
      <c r="H13" s="239">
        <v>53081975</v>
      </c>
      <c r="I13" s="239">
        <v>0</v>
      </c>
      <c r="J13" s="239">
        <v>0</v>
      </c>
      <c r="K13" s="239">
        <v>17517051</v>
      </c>
      <c r="L13" s="239">
        <v>203037</v>
      </c>
      <c r="M13" s="239">
        <v>203037</v>
      </c>
      <c r="N13" s="239">
        <v>0</v>
      </c>
      <c r="O13" s="239">
        <v>0</v>
      </c>
      <c r="P13" s="239">
        <v>0</v>
      </c>
      <c r="Q13" s="239">
        <v>0</v>
      </c>
      <c r="R13" s="239">
        <v>0</v>
      </c>
      <c r="S13" s="239">
        <v>0</v>
      </c>
      <c r="T13" s="239">
        <v>0</v>
      </c>
      <c r="U13" s="239">
        <v>0</v>
      </c>
      <c r="V13" s="239">
        <v>0</v>
      </c>
      <c r="W13" s="239">
        <v>0</v>
      </c>
      <c r="X13" s="239">
        <v>0</v>
      </c>
      <c r="Y13" s="239">
        <v>0</v>
      </c>
      <c r="Z13" s="239">
        <v>0</v>
      </c>
      <c r="AA13" s="239">
        <v>0</v>
      </c>
      <c r="AB13" s="239">
        <v>0</v>
      </c>
      <c r="AC13" s="239">
        <v>1427610</v>
      </c>
      <c r="AD13" s="239">
        <v>1760718</v>
      </c>
      <c r="AE13" s="239">
        <v>0</v>
      </c>
      <c r="AF13" s="239">
        <v>3188328</v>
      </c>
      <c r="AG13" s="239">
        <v>2585793</v>
      </c>
      <c r="AH13" s="239">
        <v>2350721</v>
      </c>
      <c r="AI13" s="239">
        <v>2899223</v>
      </c>
      <c r="AJ13" s="239">
        <v>0</v>
      </c>
      <c r="AK13" s="239">
        <v>7835737</v>
      </c>
      <c r="AL13" s="239">
        <v>-549529</v>
      </c>
      <c r="AM13" s="239">
        <v>-499572</v>
      </c>
      <c r="AN13" s="239">
        <v>-616139</v>
      </c>
      <c r="AO13" s="239">
        <v>0</v>
      </c>
      <c r="AP13" s="239">
        <v>-1665240</v>
      </c>
      <c r="AQ13" s="239">
        <v>-1708080</v>
      </c>
      <c r="AR13" s="239">
        <v>-1552800</v>
      </c>
      <c r="AS13" s="239">
        <v>-1915120</v>
      </c>
      <c r="AT13" s="239">
        <v>0</v>
      </c>
      <c r="AU13" s="239">
        <v>-5176000</v>
      </c>
      <c r="AV13" s="239">
        <v>0</v>
      </c>
      <c r="AW13" s="239">
        <v>0</v>
      </c>
      <c r="AX13" s="239">
        <v>0</v>
      </c>
      <c r="AY13" s="239">
        <v>0</v>
      </c>
      <c r="AZ13" s="239">
        <v>0</v>
      </c>
      <c r="BA13" s="239">
        <v>-491223</v>
      </c>
      <c r="BB13" s="239">
        <v>-446566</v>
      </c>
      <c r="BC13" s="239">
        <v>-550765</v>
      </c>
      <c r="BD13" s="239">
        <v>0</v>
      </c>
      <c r="BE13" s="239">
        <v>-1488554</v>
      </c>
      <c r="BF13" s="239">
        <v>-2199303</v>
      </c>
      <c r="BG13" s="239">
        <v>-1999366</v>
      </c>
      <c r="BH13" s="239">
        <v>-2465885</v>
      </c>
      <c r="BI13" s="239">
        <v>0</v>
      </c>
      <c r="BJ13" s="239">
        <v>-6664554</v>
      </c>
      <c r="BK13" s="239">
        <v>-3175382</v>
      </c>
      <c r="BL13" s="239">
        <v>-2886711</v>
      </c>
      <c r="BM13" s="239">
        <v>-3560277</v>
      </c>
      <c r="BN13" s="239">
        <v>0</v>
      </c>
      <c r="BO13" s="239">
        <v>-9622370</v>
      </c>
      <c r="BP13" s="239">
        <v>0</v>
      </c>
      <c r="BQ13" s="239">
        <v>0</v>
      </c>
      <c r="BR13" s="239">
        <v>0</v>
      </c>
      <c r="BS13" s="239">
        <v>0</v>
      </c>
      <c r="BT13" s="239">
        <v>0</v>
      </c>
      <c r="BU13" s="239">
        <v>-625702</v>
      </c>
      <c r="BV13" s="239">
        <v>-568821</v>
      </c>
      <c r="BW13" s="239">
        <v>-701546</v>
      </c>
      <c r="BX13" s="239">
        <v>0</v>
      </c>
      <c r="BY13" s="239">
        <v>-1896069</v>
      </c>
      <c r="BZ13" s="239">
        <v>-3801084</v>
      </c>
      <c r="CA13" s="239">
        <v>-3455532</v>
      </c>
      <c r="CB13" s="239">
        <v>-4261823</v>
      </c>
      <c r="CC13" s="239">
        <v>0</v>
      </c>
      <c r="CD13" s="239">
        <v>-11518439</v>
      </c>
      <c r="CE13" s="239">
        <v>792462</v>
      </c>
      <c r="CF13" s="239">
        <v>475478</v>
      </c>
      <c r="CG13" s="239">
        <v>316984</v>
      </c>
      <c r="CH13" s="239">
        <v>0</v>
      </c>
      <c r="CI13" s="239">
        <v>1584924</v>
      </c>
      <c r="CJ13" s="239">
        <v>-534339</v>
      </c>
      <c r="CK13" s="239">
        <v>-320603</v>
      </c>
      <c r="CL13" s="239">
        <v>-213736</v>
      </c>
      <c r="CM13" s="239">
        <v>0</v>
      </c>
      <c r="CN13" s="239">
        <v>-1068678</v>
      </c>
      <c r="CO13" s="239">
        <v>1326801</v>
      </c>
      <c r="CP13" s="239">
        <v>796081</v>
      </c>
      <c r="CQ13" s="239">
        <v>530720</v>
      </c>
      <c r="CR13" s="239">
        <v>0</v>
      </c>
      <c r="CS13" s="239">
        <v>2653602</v>
      </c>
      <c r="CT13" s="239">
        <v>18831206</v>
      </c>
      <c r="CU13" s="239">
        <v>17119277</v>
      </c>
      <c r="CV13" s="239">
        <v>21113775</v>
      </c>
      <c r="CW13" s="239">
        <v>0</v>
      </c>
      <c r="CX13" s="239">
        <v>57064258</v>
      </c>
      <c r="CY13" s="239">
        <v>17517051</v>
      </c>
      <c r="CZ13" s="239">
        <v>15924593</v>
      </c>
      <c r="DA13" s="239">
        <v>19640331</v>
      </c>
      <c r="DB13" s="239">
        <v>0</v>
      </c>
      <c r="DC13" s="239">
        <v>53081975</v>
      </c>
      <c r="DD13" s="239">
        <v>-1314155</v>
      </c>
      <c r="DE13" s="239">
        <v>-1194684</v>
      </c>
      <c r="DF13" s="239">
        <v>-1473444</v>
      </c>
      <c r="DG13" s="239">
        <v>0</v>
      </c>
      <c r="DH13" s="239">
        <v>-3982283</v>
      </c>
      <c r="DI13" s="239">
        <v>12646</v>
      </c>
      <c r="DJ13" s="239">
        <v>-398603</v>
      </c>
      <c r="DK13" s="239">
        <v>-942724</v>
      </c>
      <c r="DL13" s="239">
        <v>0</v>
      </c>
      <c r="DM13" s="239">
        <v>-1328681</v>
      </c>
      <c r="DN13" s="835">
        <v>0.33</v>
      </c>
      <c r="DO13" s="835">
        <v>0.3</v>
      </c>
      <c r="DP13" s="835">
        <v>0.37</v>
      </c>
      <c r="DQ13" s="835">
        <v>0</v>
      </c>
      <c r="DR13" s="835">
        <v>1</v>
      </c>
      <c r="DS13" s="214" t="s">
        <v>1159</v>
      </c>
      <c r="DU13" s="214">
        <v>0</v>
      </c>
    </row>
    <row r="14" spans="2:125" s="214" customFormat="1" x14ac:dyDescent="0.2">
      <c r="B14" s="602" t="s">
        <v>111</v>
      </c>
      <c r="C14" s="602" t="s">
        <v>110</v>
      </c>
      <c r="D14" s="239">
        <v>35698364</v>
      </c>
      <c r="E14" s="239">
        <v>32453057</v>
      </c>
      <c r="F14" s="239">
        <v>40025437</v>
      </c>
      <c r="G14" s="239">
        <v>0</v>
      </c>
      <c r="H14" s="239">
        <v>108176858</v>
      </c>
      <c r="I14" s="239">
        <v>0</v>
      </c>
      <c r="J14" s="239">
        <v>0</v>
      </c>
      <c r="K14" s="239">
        <v>35698364</v>
      </c>
      <c r="L14" s="239">
        <v>417570</v>
      </c>
      <c r="M14" s="239">
        <v>417570</v>
      </c>
      <c r="N14" s="239">
        <v>0</v>
      </c>
      <c r="O14" s="239">
        <v>0</v>
      </c>
      <c r="P14" s="239">
        <v>0</v>
      </c>
      <c r="Q14" s="239">
        <v>0</v>
      </c>
      <c r="R14" s="239">
        <v>0</v>
      </c>
      <c r="S14" s="239">
        <v>0</v>
      </c>
      <c r="T14" s="239">
        <v>0</v>
      </c>
      <c r="U14" s="239">
        <v>0</v>
      </c>
      <c r="V14" s="239">
        <v>0</v>
      </c>
      <c r="W14" s="239">
        <v>0</v>
      </c>
      <c r="X14" s="239">
        <v>0</v>
      </c>
      <c r="Y14" s="239">
        <v>0</v>
      </c>
      <c r="Z14" s="239">
        <v>0</v>
      </c>
      <c r="AA14" s="239">
        <v>0</v>
      </c>
      <c r="AB14" s="239">
        <v>0</v>
      </c>
      <c r="AC14" s="239">
        <v>2482168</v>
      </c>
      <c r="AD14" s="239">
        <v>3061341</v>
      </c>
      <c r="AE14" s="239">
        <v>0</v>
      </c>
      <c r="AF14" s="239">
        <v>5543509</v>
      </c>
      <c r="AG14" s="239">
        <v>3361775</v>
      </c>
      <c r="AH14" s="239">
        <v>3056160</v>
      </c>
      <c r="AI14" s="239">
        <v>3769264</v>
      </c>
      <c r="AJ14" s="239">
        <v>0</v>
      </c>
      <c r="AK14" s="239">
        <v>10187199</v>
      </c>
      <c r="AL14" s="239">
        <v>-2277644</v>
      </c>
      <c r="AM14" s="239">
        <v>-2070586</v>
      </c>
      <c r="AN14" s="239">
        <v>-2553722</v>
      </c>
      <c r="AO14" s="239">
        <v>0</v>
      </c>
      <c r="AP14" s="239">
        <v>-6901952</v>
      </c>
      <c r="AQ14" s="239">
        <v>633474</v>
      </c>
      <c r="AR14" s="239">
        <v>575885</v>
      </c>
      <c r="AS14" s="239">
        <v>710259</v>
      </c>
      <c r="AT14" s="239">
        <v>0</v>
      </c>
      <c r="AU14" s="239">
        <v>1919618</v>
      </c>
      <c r="AV14" s="239">
        <v>780010</v>
      </c>
      <c r="AW14" s="239">
        <v>709101</v>
      </c>
      <c r="AX14" s="239">
        <v>874558</v>
      </c>
      <c r="AY14" s="239">
        <v>0</v>
      </c>
      <c r="AZ14" s="239">
        <v>2363669</v>
      </c>
      <c r="BA14" s="239">
        <v>-885278</v>
      </c>
      <c r="BB14" s="239">
        <v>-804798</v>
      </c>
      <c r="BC14" s="239">
        <v>-992585</v>
      </c>
      <c r="BD14" s="239">
        <v>0</v>
      </c>
      <c r="BE14" s="239">
        <v>-2682661</v>
      </c>
      <c r="BF14" s="239">
        <v>528206</v>
      </c>
      <c r="BG14" s="239">
        <v>480188</v>
      </c>
      <c r="BH14" s="239">
        <v>592232</v>
      </c>
      <c r="BI14" s="239">
        <v>0</v>
      </c>
      <c r="BJ14" s="239">
        <v>1600626</v>
      </c>
      <c r="BK14" s="239">
        <v>-3363364</v>
      </c>
      <c r="BL14" s="239">
        <v>-3057603</v>
      </c>
      <c r="BM14" s="239">
        <v>-3771044</v>
      </c>
      <c r="BN14" s="239">
        <v>0</v>
      </c>
      <c r="BO14" s="239">
        <v>-10192011</v>
      </c>
      <c r="BP14" s="239">
        <v>0</v>
      </c>
      <c r="BQ14" s="239">
        <v>0</v>
      </c>
      <c r="BR14" s="239">
        <v>0</v>
      </c>
      <c r="BS14" s="239">
        <v>0</v>
      </c>
      <c r="BT14" s="239">
        <v>0</v>
      </c>
      <c r="BU14" s="239">
        <v>-976562</v>
      </c>
      <c r="BV14" s="239">
        <v>-887783</v>
      </c>
      <c r="BW14" s="239">
        <v>-1094933</v>
      </c>
      <c r="BX14" s="239">
        <v>0</v>
      </c>
      <c r="BY14" s="239">
        <v>-2959278</v>
      </c>
      <c r="BZ14" s="239">
        <v>-4339926</v>
      </c>
      <c r="CA14" s="239">
        <v>-3945386</v>
      </c>
      <c r="CB14" s="239">
        <v>-4865977</v>
      </c>
      <c r="CC14" s="239">
        <v>0</v>
      </c>
      <c r="CD14" s="239">
        <v>-13151289</v>
      </c>
      <c r="CE14" s="239">
        <v>-397949</v>
      </c>
      <c r="CF14" s="239">
        <v>-238770</v>
      </c>
      <c r="CG14" s="239">
        <v>-159180</v>
      </c>
      <c r="CH14" s="239">
        <v>0</v>
      </c>
      <c r="CI14" s="239">
        <v>-795899</v>
      </c>
      <c r="CJ14" s="239">
        <v>-258141</v>
      </c>
      <c r="CK14" s="239">
        <v>-154884</v>
      </c>
      <c r="CL14" s="239">
        <v>-103256</v>
      </c>
      <c r="CM14" s="239">
        <v>0</v>
      </c>
      <c r="CN14" s="239">
        <v>-516281</v>
      </c>
      <c r="CO14" s="239">
        <v>-139808</v>
      </c>
      <c r="CP14" s="239">
        <v>-83886</v>
      </c>
      <c r="CQ14" s="239">
        <v>-55924</v>
      </c>
      <c r="CR14" s="239">
        <v>0</v>
      </c>
      <c r="CS14" s="239">
        <v>-279618</v>
      </c>
      <c r="CT14" s="239">
        <v>38312067</v>
      </c>
      <c r="CU14" s="239">
        <v>34829152</v>
      </c>
      <c r="CV14" s="239">
        <v>42955954</v>
      </c>
      <c r="CW14" s="239">
        <v>0</v>
      </c>
      <c r="CX14" s="239">
        <v>116097173</v>
      </c>
      <c r="CY14" s="239">
        <v>35698364</v>
      </c>
      <c r="CZ14" s="239">
        <v>32453057</v>
      </c>
      <c r="DA14" s="239">
        <v>40025437</v>
      </c>
      <c r="DB14" s="239">
        <v>0</v>
      </c>
      <c r="DC14" s="239">
        <v>108176858</v>
      </c>
      <c r="DD14" s="239">
        <v>-2613703</v>
      </c>
      <c r="DE14" s="239">
        <v>-2376095</v>
      </c>
      <c r="DF14" s="239">
        <v>-2930517</v>
      </c>
      <c r="DG14" s="239">
        <v>0</v>
      </c>
      <c r="DH14" s="239">
        <v>-7920315</v>
      </c>
      <c r="DI14" s="239">
        <v>-2753511</v>
      </c>
      <c r="DJ14" s="239">
        <v>-2459981</v>
      </c>
      <c r="DK14" s="239">
        <v>-2986441</v>
      </c>
      <c r="DL14" s="239">
        <v>0</v>
      </c>
      <c r="DM14" s="239">
        <v>-8199933</v>
      </c>
      <c r="DN14" s="835">
        <v>0.33</v>
      </c>
      <c r="DO14" s="835">
        <v>0.3</v>
      </c>
      <c r="DP14" s="835">
        <v>0.37</v>
      </c>
      <c r="DQ14" s="835">
        <v>0</v>
      </c>
      <c r="DR14" s="835">
        <v>1</v>
      </c>
      <c r="DS14" s="214" t="s">
        <v>1159</v>
      </c>
      <c r="DU14" s="214">
        <v>0</v>
      </c>
    </row>
    <row r="15" spans="2:125" s="214" customFormat="1" x14ac:dyDescent="0.2">
      <c r="B15" s="602" t="s">
        <v>113</v>
      </c>
      <c r="C15" s="602" t="s">
        <v>112</v>
      </c>
      <c r="D15" s="239">
        <v>22699663</v>
      </c>
      <c r="E15" s="239">
        <v>22245670</v>
      </c>
      <c r="F15" s="239">
        <v>0</v>
      </c>
      <c r="G15" s="239">
        <v>453993</v>
      </c>
      <c r="H15" s="239">
        <v>45399326</v>
      </c>
      <c r="I15" s="239">
        <v>313159</v>
      </c>
      <c r="J15" s="239">
        <v>313159</v>
      </c>
      <c r="K15" s="239">
        <v>22386504</v>
      </c>
      <c r="L15" s="239">
        <v>266729</v>
      </c>
      <c r="M15" s="239">
        <v>266729</v>
      </c>
      <c r="N15" s="239">
        <v>512418</v>
      </c>
      <c r="O15" s="239">
        <v>512418</v>
      </c>
      <c r="P15" s="239">
        <v>48371</v>
      </c>
      <c r="Q15" s="239">
        <v>0</v>
      </c>
      <c r="R15" s="239">
        <v>48371</v>
      </c>
      <c r="S15" s="239">
        <v>313159.49570815451</v>
      </c>
      <c r="T15" s="239">
        <v>0</v>
      </c>
      <c r="U15" s="239">
        <v>0</v>
      </c>
      <c r="V15" s="239">
        <v>313159.49570815451</v>
      </c>
      <c r="W15" s="239">
        <v>0</v>
      </c>
      <c r="X15" s="239">
        <v>0</v>
      </c>
      <c r="Y15" s="239">
        <v>0</v>
      </c>
      <c r="Z15" s="239">
        <v>0</v>
      </c>
      <c r="AA15" s="239">
        <v>0</v>
      </c>
      <c r="AB15" s="239">
        <v>0</v>
      </c>
      <c r="AC15" s="239">
        <v>2954451</v>
      </c>
      <c r="AD15" s="239">
        <v>0</v>
      </c>
      <c r="AE15" s="239">
        <v>60118</v>
      </c>
      <c r="AF15" s="239">
        <v>3014569</v>
      </c>
      <c r="AG15" s="239">
        <v>608238</v>
      </c>
      <c r="AH15" s="239">
        <v>596074</v>
      </c>
      <c r="AI15" s="239">
        <v>0</v>
      </c>
      <c r="AJ15" s="239">
        <v>12165</v>
      </c>
      <c r="AK15" s="239">
        <v>1216477</v>
      </c>
      <c r="AL15" s="239">
        <v>-512424</v>
      </c>
      <c r="AM15" s="239">
        <v>-502175</v>
      </c>
      <c r="AN15" s="239">
        <v>0</v>
      </c>
      <c r="AO15" s="239">
        <v>-10248</v>
      </c>
      <c r="AP15" s="239">
        <v>-1024847</v>
      </c>
      <c r="AQ15" s="239">
        <v>-772422</v>
      </c>
      <c r="AR15" s="239">
        <v>-756973</v>
      </c>
      <c r="AS15" s="239">
        <v>0</v>
      </c>
      <c r="AT15" s="239">
        <v>-15448</v>
      </c>
      <c r="AU15" s="239">
        <v>-1544843</v>
      </c>
      <c r="AV15" s="239">
        <v>412029</v>
      </c>
      <c r="AW15" s="239">
        <v>403788</v>
      </c>
      <c r="AX15" s="239">
        <v>0</v>
      </c>
      <c r="AY15" s="239">
        <v>8241</v>
      </c>
      <c r="AZ15" s="239">
        <v>824058</v>
      </c>
      <c r="BA15" s="239">
        <v>-464108</v>
      </c>
      <c r="BB15" s="239">
        <v>-454826</v>
      </c>
      <c r="BC15" s="239">
        <v>0</v>
      </c>
      <c r="BD15" s="239">
        <v>-9282</v>
      </c>
      <c r="BE15" s="239">
        <v>-928216</v>
      </c>
      <c r="BF15" s="239">
        <v>-824501</v>
      </c>
      <c r="BG15" s="239">
        <v>-808011</v>
      </c>
      <c r="BH15" s="239">
        <v>0</v>
      </c>
      <c r="BI15" s="239">
        <v>-16489</v>
      </c>
      <c r="BJ15" s="239">
        <v>-1649001</v>
      </c>
      <c r="BK15" s="239">
        <v>-2978668</v>
      </c>
      <c r="BL15" s="239">
        <v>-2919095</v>
      </c>
      <c r="BM15" s="239">
        <v>0</v>
      </c>
      <c r="BN15" s="239">
        <v>-59573</v>
      </c>
      <c r="BO15" s="239">
        <v>-5957336</v>
      </c>
      <c r="BP15" s="239">
        <v>567937</v>
      </c>
      <c r="BQ15" s="239">
        <v>556578</v>
      </c>
      <c r="BR15" s="239">
        <v>0</v>
      </c>
      <c r="BS15" s="239">
        <v>11359</v>
      </c>
      <c r="BT15" s="239">
        <v>1135874</v>
      </c>
      <c r="BU15" s="239">
        <v>-1965482</v>
      </c>
      <c r="BV15" s="239">
        <v>-1926173</v>
      </c>
      <c r="BW15" s="239">
        <v>0</v>
      </c>
      <c r="BX15" s="239">
        <v>-39310</v>
      </c>
      <c r="BY15" s="239">
        <v>-3930965</v>
      </c>
      <c r="BZ15" s="239">
        <v>-4376213</v>
      </c>
      <c r="CA15" s="239">
        <v>-4288690</v>
      </c>
      <c r="CB15" s="239">
        <v>0</v>
      </c>
      <c r="CC15" s="239">
        <v>-87524</v>
      </c>
      <c r="CD15" s="239">
        <v>-8752427</v>
      </c>
      <c r="CE15" s="239">
        <v>227910</v>
      </c>
      <c r="CF15" s="239">
        <v>223351</v>
      </c>
      <c r="CG15" s="239">
        <v>0</v>
      </c>
      <c r="CH15" s="239">
        <v>4558</v>
      </c>
      <c r="CI15" s="239">
        <v>455819</v>
      </c>
      <c r="CJ15" s="239">
        <v>121845</v>
      </c>
      <c r="CK15" s="239">
        <v>119408</v>
      </c>
      <c r="CL15" s="239">
        <v>0</v>
      </c>
      <c r="CM15" s="239">
        <v>2437</v>
      </c>
      <c r="CN15" s="239">
        <v>243690</v>
      </c>
      <c r="CO15" s="239">
        <v>106065</v>
      </c>
      <c r="CP15" s="239">
        <v>103943</v>
      </c>
      <c r="CQ15" s="239">
        <v>0</v>
      </c>
      <c r="CR15" s="239">
        <v>2121</v>
      </c>
      <c r="CS15" s="239">
        <v>212129</v>
      </c>
      <c r="CT15" s="239">
        <v>22310221</v>
      </c>
      <c r="CU15" s="239">
        <v>21864016</v>
      </c>
      <c r="CV15" s="239">
        <v>0</v>
      </c>
      <c r="CW15" s="239">
        <v>446204</v>
      </c>
      <c r="CX15" s="239">
        <v>44620441</v>
      </c>
      <c r="CY15" s="239">
        <v>22699663</v>
      </c>
      <c r="CZ15" s="239">
        <v>22245670</v>
      </c>
      <c r="DA15" s="239">
        <v>0</v>
      </c>
      <c r="DB15" s="239">
        <v>453993</v>
      </c>
      <c r="DC15" s="239">
        <v>45399326</v>
      </c>
      <c r="DD15" s="239">
        <v>389442</v>
      </c>
      <c r="DE15" s="239">
        <v>381654</v>
      </c>
      <c r="DF15" s="239">
        <v>0</v>
      </c>
      <c r="DG15" s="239">
        <v>7789</v>
      </c>
      <c r="DH15" s="239">
        <v>778885</v>
      </c>
      <c r="DI15" s="239">
        <v>495507</v>
      </c>
      <c r="DJ15" s="239">
        <v>485597</v>
      </c>
      <c r="DK15" s="239">
        <v>0</v>
      </c>
      <c r="DL15" s="239">
        <v>9910</v>
      </c>
      <c r="DM15" s="239">
        <v>991014</v>
      </c>
      <c r="DN15" s="835">
        <v>0.5</v>
      </c>
      <c r="DO15" s="835">
        <v>0.49</v>
      </c>
      <c r="DP15" s="835">
        <v>0</v>
      </c>
      <c r="DQ15" s="835">
        <v>0.01</v>
      </c>
      <c r="DR15" s="835">
        <v>1</v>
      </c>
      <c r="DS15" s="214" t="s">
        <v>1160</v>
      </c>
      <c r="DU15" s="214">
        <v>0</v>
      </c>
    </row>
    <row r="16" spans="2:125" s="214" customFormat="1" x14ac:dyDescent="0.2">
      <c r="B16" s="602" t="s">
        <v>115</v>
      </c>
      <c r="C16" s="602" t="s">
        <v>114</v>
      </c>
      <c r="D16" s="239">
        <v>9902284</v>
      </c>
      <c r="E16" s="239">
        <v>7921827</v>
      </c>
      <c r="F16" s="239">
        <v>1980457</v>
      </c>
      <c r="G16" s="239">
        <v>0</v>
      </c>
      <c r="H16" s="239">
        <v>19804568</v>
      </c>
      <c r="I16" s="239">
        <v>0</v>
      </c>
      <c r="J16" s="239">
        <v>0</v>
      </c>
      <c r="K16" s="239">
        <v>9902284</v>
      </c>
      <c r="L16" s="239">
        <v>92724</v>
      </c>
      <c r="M16" s="239">
        <v>92724</v>
      </c>
      <c r="N16" s="239">
        <v>0</v>
      </c>
      <c r="O16" s="239">
        <v>0</v>
      </c>
      <c r="P16" s="239">
        <v>206988</v>
      </c>
      <c r="Q16" s="239">
        <v>0</v>
      </c>
      <c r="R16" s="239">
        <v>206988</v>
      </c>
      <c r="S16" s="239">
        <v>0</v>
      </c>
      <c r="T16" s="239">
        <v>0</v>
      </c>
      <c r="U16" s="239">
        <v>0</v>
      </c>
      <c r="V16" s="239">
        <v>0</v>
      </c>
      <c r="W16" s="239">
        <v>0</v>
      </c>
      <c r="X16" s="239">
        <v>0</v>
      </c>
      <c r="Y16" s="239">
        <v>0</v>
      </c>
      <c r="Z16" s="239">
        <v>0</v>
      </c>
      <c r="AA16" s="239">
        <v>0</v>
      </c>
      <c r="AB16" s="239">
        <v>0</v>
      </c>
      <c r="AC16" s="239">
        <v>687616</v>
      </c>
      <c r="AD16" s="239">
        <v>171126</v>
      </c>
      <c r="AE16" s="239">
        <v>0</v>
      </c>
      <c r="AF16" s="239">
        <v>858742</v>
      </c>
      <c r="AG16" s="239">
        <v>722625</v>
      </c>
      <c r="AH16" s="239">
        <v>578100</v>
      </c>
      <c r="AI16" s="239">
        <v>144525</v>
      </c>
      <c r="AJ16" s="239">
        <v>0</v>
      </c>
      <c r="AK16" s="239">
        <v>1445250</v>
      </c>
      <c r="AL16" s="239">
        <v>-463551</v>
      </c>
      <c r="AM16" s="239">
        <v>-370840</v>
      </c>
      <c r="AN16" s="239">
        <v>-92710</v>
      </c>
      <c r="AO16" s="239">
        <v>0</v>
      </c>
      <c r="AP16" s="239">
        <v>-927101</v>
      </c>
      <c r="AQ16" s="239">
        <v>-621366</v>
      </c>
      <c r="AR16" s="239">
        <v>-497093</v>
      </c>
      <c r="AS16" s="239">
        <v>-124273</v>
      </c>
      <c r="AT16" s="239">
        <v>0</v>
      </c>
      <c r="AU16" s="239">
        <v>-1242732</v>
      </c>
      <c r="AV16" s="239">
        <v>44598</v>
      </c>
      <c r="AW16" s="239">
        <v>35678</v>
      </c>
      <c r="AX16" s="239">
        <v>8920</v>
      </c>
      <c r="AY16" s="239">
        <v>0</v>
      </c>
      <c r="AZ16" s="239">
        <v>89196</v>
      </c>
      <c r="BA16" s="239">
        <v>-78278</v>
      </c>
      <c r="BB16" s="239">
        <v>-62622</v>
      </c>
      <c r="BC16" s="239">
        <v>-15656</v>
      </c>
      <c r="BD16" s="239">
        <v>0</v>
      </c>
      <c r="BE16" s="239">
        <v>-156556</v>
      </c>
      <c r="BF16" s="239">
        <v>-655046</v>
      </c>
      <c r="BG16" s="239">
        <v>-524037</v>
      </c>
      <c r="BH16" s="239">
        <v>-131009</v>
      </c>
      <c r="BI16" s="239">
        <v>0</v>
      </c>
      <c r="BJ16" s="239">
        <v>-1310092</v>
      </c>
      <c r="BK16" s="239">
        <v>-657024</v>
      </c>
      <c r="BL16" s="239">
        <v>-525620</v>
      </c>
      <c r="BM16" s="239">
        <v>-131405</v>
      </c>
      <c r="BN16" s="239">
        <v>0</v>
      </c>
      <c r="BO16" s="239">
        <v>-1314049</v>
      </c>
      <c r="BP16" s="239">
        <v>23522</v>
      </c>
      <c r="BQ16" s="239">
        <v>18818</v>
      </c>
      <c r="BR16" s="239">
        <v>4704</v>
      </c>
      <c r="BS16" s="239">
        <v>0</v>
      </c>
      <c r="BT16" s="239">
        <v>47044</v>
      </c>
      <c r="BU16" s="239">
        <v>-49168</v>
      </c>
      <c r="BV16" s="239">
        <v>-39334</v>
      </c>
      <c r="BW16" s="239">
        <v>-9834</v>
      </c>
      <c r="BX16" s="239">
        <v>0</v>
      </c>
      <c r="BY16" s="239">
        <v>-98336</v>
      </c>
      <c r="BZ16" s="239">
        <v>-682670</v>
      </c>
      <c r="CA16" s="239">
        <v>-546136</v>
      </c>
      <c r="CB16" s="239">
        <v>-136535</v>
      </c>
      <c r="CC16" s="239">
        <v>0</v>
      </c>
      <c r="CD16" s="239">
        <v>-1365341</v>
      </c>
      <c r="CE16" s="239">
        <v>-1007523</v>
      </c>
      <c r="CF16" s="239">
        <v>-806020</v>
      </c>
      <c r="CG16" s="239">
        <v>-201505</v>
      </c>
      <c r="CH16" s="239">
        <v>0</v>
      </c>
      <c r="CI16" s="239">
        <v>-2015048</v>
      </c>
      <c r="CJ16" s="239">
        <v>-601403</v>
      </c>
      <c r="CK16" s="239">
        <v>-481122</v>
      </c>
      <c r="CL16" s="239">
        <v>-120281</v>
      </c>
      <c r="CM16" s="239">
        <v>0</v>
      </c>
      <c r="CN16" s="239">
        <v>-1202806</v>
      </c>
      <c r="CO16" s="239">
        <v>-406120</v>
      </c>
      <c r="CP16" s="239">
        <v>-324898</v>
      </c>
      <c r="CQ16" s="239">
        <v>-81224</v>
      </c>
      <c r="CR16" s="239">
        <v>0</v>
      </c>
      <c r="CS16" s="239">
        <v>-812242</v>
      </c>
      <c r="CT16" s="239">
        <v>9944746</v>
      </c>
      <c r="CU16" s="239">
        <v>7955796</v>
      </c>
      <c r="CV16" s="239">
        <v>1988949</v>
      </c>
      <c r="CW16" s="239">
        <v>0</v>
      </c>
      <c r="CX16" s="239">
        <v>19889491</v>
      </c>
      <c r="CY16" s="239">
        <v>9902284</v>
      </c>
      <c r="CZ16" s="239">
        <v>7921827</v>
      </c>
      <c r="DA16" s="239">
        <v>1980457</v>
      </c>
      <c r="DB16" s="239">
        <v>0</v>
      </c>
      <c r="DC16" s="239">
        <v>19804568</v>
      </c>
      <c r="DD16" s="239">
        <v>-42462</v>
      </c>
      <c r="DE16" s="239">
        <v>-33969</v>
      </c>
      <c r="DF16" s="239">
        <v>-8492</v>
      </c>
      <c r="DG16" s="239">
        <v>0</v>
      </c>
      <c r="DH16" s="239">
        <v>-84923</v>
      </c>
      <c r="DI16" s="239">
        <v>-448582</v>
      </c>
      <c r="DJ16" s="239">
        <v>-358867</v>
      </c>
      <c r="DK16" s="239">
        <v>-89716</v>
      </c>
      <c r="DL16" s="239">
        <v>0</v>
      </c>
      <c r="DM16" s="239">
        <v>-897165</v>
      </c>
      <c r="DN16" s="835">
        <v>0.5</v>
      </c>
      <c r="DO16" s="835">
        <v>0.4</v>
      </c>
      <c r="DP16" s="835">
        <v>0.1</v>
      </c>
      <c r="DQ16" s="835">
        <v>0</v>
      </c>
      <c r="DR16" s="835">
        <v>1</v>
      </c>
      <c r="DS16" s="214" t="s">
        <v>1158</v>
      </c>
      <c r="DU16" s="214">
        <v>0</v>
      </c>
    </row>
    <row r="17" spans="2:125" s="214" customFormat="1" x14ac:dyDescent="0.2">
      <c r="B17" s="602" t="s">
        <v>117</v>
      </c>
      <c r="C17" s="602" t="s">
        <v>116</v>
      </c>
      <c r="D17" s="239">
        <v>38954250</v>
      </c>
      <c r="E17" s="239">
        <v>31163400</v>
      </c>
      <c r="F17" s="239">
        <v>7011765</v>
      </c>
      <c r="G17" s="239">
        <v>779085</v>
      </c>
      <c r="H17" s="239">
        <v>77908500</v>
      </c>
      <c r="I17" s="239">
        <v>0</v>
      </c>
      <c r="J17" s="239">
        <v>0</v>
      </c>
      <c r="K17" s="239">
        <v>38954250</v>
      </c>
      <c r="L17" s="239">
        <v>229078</v>
      </c>
      <c r="M17" s="239">
        <v>229078</v>
      </c>
      <c r="N17" s="239">
        <v>0</v>
      </c>
      <c r="O17" s="239">
        <v>0</v>
      </c>
      <c r="P17" s="239">
        <v>354</v>
      </c>
      <c r="Q17" s="239">
        <v>0</v>
      </c>
      <c r="R17" s="239">
        <v>354</v>
      </c>
      <c r="S17" s="239">
        <v>0</v>
      </c>
      <c r="T17" s="239">
        <v>0</v>
      </c>
      <c r="U17" s="239">
        <v>0</v>
      </c>
      <c r="V17" s="239">
        <v>0</v>
      </c>
      <c r="W17" s="239">
        <v>0</v>
      </c>
      <c r="X17" s="239">
        <v>0</v>
      </c>
      <c r="Y17" s="239">
        <v>0</v>
      </c>
      <c r="Z17" s="239">
        <v>0</v>
      </c>
      <c r="AA17" s="239">
        <v>0</v>
      </c>
      <c r="AB17" s="239">
        <v>0</v>
      </c>
      <c r="AC17" s="239">
        <v>2096386</v>
      </c>
      <c r="AD17" s="239">
        <v>471686</v>
      </c>
      <c r="AE17" s="239">
        <v>52410</v>
      </c>
      <c r="AF17" s="239">
        <v>2620482</v>
      </c>
      <c r="AG17" s="239">
        <v>784365</v>
      </c>
      <c r="AH17" s="239">
        <v>627492</v>
      </c>
      <c r="AI17" s="239">
        <v>141186</v>
      </c>
      <c r="AJ17" s="239">
        <v>15687</v>
      </c>
      <c r="AK17" s="239">
        <v>1568730</v>
      </c>
      <c r="AL17" s="239">
        <v>-568097</v>
      </c>
      <c r="AM17" s="239">
        <v>-454478</v>
      </c>
      <c r="AN17" s="239">
        <v>-102257</v>
      </c>
      <c r="AO17" s="239">
        <v>-11362</v>
      </c>
      <c r="AP17" s="239">
        <v>-1136194</v>
      </c>
      <c r="AQ17" s="239">
        <v>-616500</v>
      </c>
      <c r="AR17" s="239">
        <v>-493200</v>
      </c>
      <c r="AS17" s="239">
        <v>-110970</v>
      </c>
      <c r="AT17" s="239">
        <v>-12330</v>
      </c>
      <c r="AU17" s="239">
        <v>-1233000</v>
      </c>
      <c r="AV17" s="239">
        <v>529814</v>
      </c>
      <c r="AW17" s="239">
        <v>423850</v>
      </c>
      <c r="AX17" s="239">
        <v>95366</v>
      </c>
      <c r="AY17" s="239">
        <v>10596</v>
      </c>
      <c r="AZ17" s="239">
        <v>1059626</v>
      </c>
      <c r="BA17" s="239">
        <v>-260564</v>
      </c>
      <c r="BB17" s="239">
        <v>-208450</v>
      </c>
      <c r="BC17" s="239">
        <v>-46901</v>
      </c>
      <c r="BD17" s="239">
        <v>-5211</v>
      </c>
      <c r="BE17" s="239">
        <v>-521126</v>
      </c>
      <c r="BF17" s="239">
        <v>-347250</v>
      </c>
      <c r="BG17" s="239">
        <v>-277800</v>
      </c>
      <c r="BH17" s="239">
        <v>-62505</v>
      </c>
      <c r="BI17" s="239">
        <v>-6945</v>
      </c>
      <c r="BJ17" s="239">
        <v>-694500</v>
      </c>
      <c r="BK17" s="239">
        <v>-3900000</v>
      </c>
      <c r="BL17" s="239">
        <v>-3120000</v>
      </c>
      <c r="BM17" s="239">
        <v>-702000</v>
      </c>
      <c r="BN17" s="239">
        <v>-78000</v>
      </c>
      <c r="BO17" s="239">
        <v>-7800000</v>
      </c>
      <c r="BP17" s="239">
        <v>1425938</v>
      </c>
      <c r="BQ17" s="239">
        <v>1140750</v>
      </c>
      <c r="BR17" s="239">
        <v>256669</v>
      </c>
      <c r="BS17" s="239">
        <v>28519</v>
      </c>
      <c r="BT17" s="239">
        <v>2851876</v>
      </c>
      <c r="BU17" s="239">
        <v>-1438438</v>
      </c>
      <c r="BV17" s="239">
        <v>-1150750</v>
      </c>
      <c r="BW17" s="239">
        <v>-258919</v>
      </c>
      <c r="BX17" s="239">
        <v>-28769</v>
      </c>
      <c r="BY17" s="239">
        <v>-2876876</v>
      </c>
      <c r="BZ17" s="239">
        <v>-3912500</v>
      </c>
      <c r="CA17" s="239">
        <v>-3130000</v>
      </c>
      <c r="CB17" s="239">
        <v>-704250</v>
      </c>
      <c r="CC17" s="239">
        <v>-78250</v>
      </c>
      <c r="CD17" s="239">
        <v>-7825000</v>
      </c>
      <c r="CE17" s="239">
        <v>2749716</v>
      </c>
      <c r="CF17" s="239">
        <v>2199774</v>
      </c>
      <c r="CG17" s="239">
        <v>494950</v>
      </c>
      <c r="CH17" s="239">
        <v>54994</v>
      </c>
      <c r="CI17" s="239">
        <v>5499433</v>
      </c>
      <c r="CJ17" s="239">
        <v>-1751614</v>
      </c>
      <c r="CK17" s="239">
        <v>-1401290</v>
      </c>
      <c r="CL17" s="239">
        <v>-315290</v>
      </c>
      <c r="CM17" s="239">
        <v>-35032</v>
      </c>
      <c r="CN17" s="239">
        <v>-3503226</v>
      </c>
      <c r="CO17" s="239">
        <v>4501330</v>
      </c>
      <c r="CP17" s="239">
        <v>3601064</v>
      </c>
      <c r="CQ17" s="239">
        <v>810240</v>
      </c>
      <c r="CR17" s="239">
        <v>90026</v>
      </c>
      <c r="CS17" s="239">
        <v>9002659</v>
      </c>
      <c r="CT17" s="239">
        <v>38376556</v>
      </c>
      <c r="CU17" s="239">
        <v>30701245</v>
      </c>
      <c r="CV17" s="239">
        <v>6907780</v>
      </c>
      <c r="CW17" s="239">
        <v>767531</v>
      </c>
      <c r="CX17" s="239">
        <v>76753112</v>
      </c>
      <c r="CY17" s="239">
        <v>38954250</v>
      </c>
      <c r="CZ17" s="239">
        <v>31163400</v>
      </c>
      <c r="DA17" s="239">
        <v>7011765</v>
      </c>
      <c r="DB17" s="239">
        <v>779085</v>
      </c>
      <c r="DC17" s="239">
        <v>77908500</v>
      </c>
      <c r="DD17" s="239">
        <v>577694</v>
      </c>
      <c r="DE17" s="239">
        <v>462155</v>
      </c>
      <c r="DF17" s="239">
        <v>103985</v>
      </c>
      <c r="DG17" s="239">
        <v>11554</v>
      </c>
      <c r="DH17" s="239">
        <v>1155388</v>
      </c>
      <c r="DI17" s="239">
        <v>5079024</v>
      </c>
      <c r="DJ17" s="239">
        <v>4063219</v>
      </c>
      <c r="DK17" s="239">
        <v>914225</v>
      </c>
      <c r="DL17" s="239">
        <v>101580</v>
      </c>
      <c r="DM17" s="239">
        <v>10158047</v>
      </c>
      <c r="DN17" s="835">
        <v>0.5</v>
      </c>
      <c r="DO17" s="835">
        <v>0.4</v>
      </c>
      <c r="DP17" s="835">
        <v>0.09</v>
      </c>
      <c r="DQ17" s="835">
        <v>0.01</v>
      </c>
      <c r="DR17" s="835">
        <v>1</v>
      </c>
      <c r="DS17" s="214" t="s">
        <v>1158</v>
      </c>
      <c r="DU17" s="214">
        <v>0</v>
      </c>
    </row>
    <row r="18" spans="2:125" s="214" customFormat="1" x14ac:dyDescent="0.2">
      <c r="B18" s="602" t="s">
        <v>119</v>
      </c>
      <c r="C18" s="602" t="s">
        <v>118</v>
      </c>
      <c r="D18" s="239">
        <v>35297897</v>
      </c>
      <c r="E18" s="239">
        <v>28238318</v>
      </c>
      <c r="F18" s="239">
        <v>6353622</v>
      </c>
      <c r="G18" s="239">
        <v>705958</v>
      </c>
      <c r="H18" s="239">
        <v>70595795</v>
      </c>
      <c r="I18" s="239">
        <v>83634</v>
      </c>
      <c r="J18" s="239">
        <v>83634</v>
      </c>
      <c r="K18" s="239">
        <v>35214263</v>
      </c>
      <c r="L18" s="239">
        <v>198939</v>
      </c>
      <c r="M18" s="239">
        <v>198939</v>
      </c>
      <c r="N18" s="239">
        <v>0</v>
      </c>
      <c r="O18" s="239">
        <v>0</v>
      </c>
      <c r="P18" s="239">
        <v>91502</v>
      </c>
      <c r="Q18" s="239">
        <v>211191</v>
      </c>
      <c r="R18" s="239">
        <v>302693</v>
      </c>
      <c r="S18" s="239">
        <v>83633.708154506428</v>
      </c>
      <c r="T18" s="239">
        <v>0</v>
      </c>
      <c r="U18" s="239">
        <v>0</v>
      </c>
      <c r="V18" s="239">
        <v>83633.708154506428</v>
      </c>
      <c r="W18" s="239">
        <v>0</v>
      </c>
      <c r="X18" s="239">
        <v>0</v>
      </c>
      <c r="Y18" s="239">
        <v>0</v>
      </c>
      <c r="Z18" s="239">
        <v>0</v>
      </c>
      <c r="AA18" s="239">
        <v>0</v>
      </c>
      <c r="AB18" s="239">
        <v>0</v>
      </c>
      <c r="AC18" s="239">
        <v>1508158</v>
      </c>
      <c r="AD18" s="239">
        <v>329217</v>
      </c>
      <c r="AE18" s="239">
        <v>36228</v>
      </c>
      <c r="AF18" s="239">
        <v>1873603</v>
      </c>
      <c r="AG18" s="239">
        <v>779363</v>
      </c>
      <c r="AH18" s="239">
        <v>623490</v>
      </c>
      <c r="AI18" s="239">
        <v>140285</v>
      </c>
      <c r="AJ18" s="239">
        <v>15587</v>
      </c>
      <c r="AK18" s="239">
        <v>1558725</v>
      </c>
      <c r="AL18" s="239">
        <v>-1312730</v>
      </c>
      <c r="AM18" s="239">
        <v>-1050185</v>
      </c>
      <c r="AN18" s="239">
        <v>-236292</v>
      </c>
      <c r="AO18" s="239">
        <v>-26255</v>
      </c>
      <c r="AP18" s="239">
        <v>-2625462</v>
      </c>
      <c r="AQ18" s="239">
        <v>-217501</v>
      </c>
      <c r="AR18" s="239">
        <v>-174000</v>
      </c>
      <c r="AS18" s="239">
        <v>-39150</v>
      </c>
      <c r="AT18" s="239">
        <v>-4350</v>
      </c>
      <c r="AU18" s="239">
        <v>-435001</v>
      </c>
      <c r="AV18" s="239">
        <v>164934</v>
      </c>
      <c r="AW18" s="239">
        <v>131948</v>
      </c>
      <c r="AX18" s="239">
        <v>29688</v>
      </c>
      <c r="AY18" s="239">
        <v>3299</v>
      </c>
      <c r="AZ18" s="239">
        <v>329869</v>
      </c>
      <c r="BA18" s="239">
        <v>-134934</v>
      </c>
      <c r="BB18" s="239">
        <v>-107948</v>
      </c>
      <c r="BC18" s="239">
        <v>-24288</v>
      </c>
      <c r="BD18" s="239">
        <v>-2699</v>
      </c>
      <c r="BE18" s="239">
        <v>-269869</v>
      </c>
      <c r="BF18" s="239">
        <v>-187501</v>
      </c>
      <c r="BG18" s="239">
        <v>-150000</v>
      </c>
      <c r="BH18" s="239">
        <v>-33750</v>
      </c>
      <c r="BI18" s="239">
        <v>-3750</v>
      </c>
      <c r="BJ18" s="239">
        <v>-375001</v>
      </c>
      <c r="BK18" s="239">
        <v>-3450000</v>
      </c>
      <c r="BL18" s="239">
        <v>-2760000</v>
      </c>
      <c r="BM18" s="239">
        <v>-621000</v>
      </c>
      <c r="BN18" s="239">
        <v>-69000</v>
      </c>
      <c r="BO18" s="239">
        <v>-6900000</v>
      </c>
      <c r="BP18" s="239">
        <v>720978</v>
      </c>
      <c r="BQ18" s="239">
        <v>576782</v>
      </c>
      <c r="BR18" s="239">
        <v>129776</v>
      </c>
      <c r="BS18" s="239">
        <v>14420</v>
      </c>
      <c r="BT18" s="239">
        <v>1441956</v>
      </c>
      <c r="BU18" s="239">
        <v>-1645978</v>
      </c>
      <c r="BV18" s="239">
        <v>-1316782</v>
      </c>
      <c r="BW18" s="239">
        <v>-296276</v>
      </c>
      <c r="BX18" s="239">
        <v>-32920</v>
      </c>
      <c r="BY18" s="239">
        <v>-3291956</v>
      </c>
      <c r="BZ18" s="239">
        <v>-4375000</v>
      </c>
      <c r="CA18" s="239">
        <v>-3500000</v>
      </c>
      <c r="CB18" s="239">
        <v>-787500</v>
      </c>
      <c r="CC18" s="239">
        <v>-87500</v>
      </c>
      <c r="CD18" s="239">
        <v>-8750000</v>
      </c>
      <c r="CE18" s="239">
        <v>-1579267</v>
      </c>
      <c r="CF18" s="239">
        <v>-1263416</v>
      </c>
      <c r="CG18" s="239">
        <v>-284268</v>
      </c>
      <c r="CH18" s="239">
        <v>-31586</v>
      </c>
      <c r="CI18" s="239">
        <v>-3158537</v>
      </c>
      <c r="CJ18" s="239">
        <v>-1042847</v>
      </c>
      <c r="CK18" s="239">
        <v>-834278</v>
      </c>
      <c r="CL18" s="239">
        <v>-187712</v>
      </c>
      <c r="CM18" s="239">
        <v>-20857</v>
      </c>
      <c r="CN18" s="239">
        <v>-2085694</v>
      </c>
      <c r="CO18" s="239">
        <v>-536420</v>
      </c>
      <c r="CP18" s="239">
        <v>-429138</v>
      </c>
      <c r="CQ18" s="239">
        <v>-96556</v>
      </c>
      <c r="CR18" s="239">
        <v>-10729</v>
      </c>
      <c r="CS18" s="239">
        <v>-1072843</v>
      </c>
      <c r="CT18" s="239">
        <v>34883073</v>
      </c>
      <c r="CU18" s="239">
        <v>27906458</v>
      </c>
      <c r="CV18" s="239">
        <v>6278953</v>
      </c>
      <c r="CW18" s="239">
        <v>697661</v>
      </c>
      <c r="CX18" s="239">
        <v>69766145</v>
      </c>
      <c r="CY18" s="239">
        <v>35297897</v>
      </c>
      <c r="CZ18" s="239">
        <v>28238318</v>
      </c>
      <c r="DA18" s="239">
        <v>6353622</v>
      </c>
      <c r="DB18" s="239">
        <v>705958</v>
      </c>
      <c r="DC18" s="239">
        <v>70595795</v>
      </c>
      <c r="DD18" s="239">
        <v>414824</v>
      </c>
      <c r="DE18" s="239">
        <v>331860</v>
      </c>
      <c r="DF18" s="239">
        <v>74669</v>
      </c>
      <c r="DG18" s="239">
        <v>8297</v>
      </c>
      <c r="DH18" s="239">
        <v>829650</v>
      </c>
      <c r="DI18" s="239">
        <v>-121596</v>
      </c>
      <c r="DJ18" s="239">
        <v>-97278</v>
      </c>
      <c r="DK18" s="239">
        <v>-21887</v>
      </c>
      <c r="DL18" s="239">
        <v>-2432</v>
      </c>
      <c r="DM18" s="239">
        <v>-243193</v>
      </c>
      <c r="DN18" s="835">
        <v>0.5</v>
      </c>
      <c r="DO18" s="835">
        <v>0.4</v>
      </c>
      <c r="DP18" s="835">
        <v>0.09</v>
      </c>
      <c r="DQ18" s="835">
        <v>0.01</v>
      </c>
      <c r="DR18" s="835">
        <v>1</v>
      </c>
      <c r="DS18" s="214" t="s">
        <v>1158</v>
      </c>
      <c r="DU18" s="214">
        <v>0</v>
      </c>
    </row>
    <row r="19" spans="2:125" s="214" customFormat="1" x14ac:dyDescent="0.2">
      <c r="B19" s="602" t="s">
        <v>121</v>
      </c>
      <c r="C19" s="602" t="s">
        <v>120</v>
      </c>
      <c r="D19" s="239">
        <v>21180686</v>
      </c>
      <c r="E19" s="239">
        <v>16944548</v>
      </c>
      <c r="F19" s="239">
        <v>3812523</v>
      </c>
      <c r="G19" s="239">
        <v>423614</v>
      </c>
      <c r="H19" s="239">
        <v>42361371</v>
      </c>
      <c r="I19" s="239">
        <v>0</v>
      </c>
      <c r="J19" s="239">
        <v>0</v>
      </c>
      <c r="K19" s="239">
        <v>21180686</v>
      </c>
      <c r="L19" s="239">
        <v>167487</v>
      </c>
      <c r="M19" s="239">
        <v>167487</v>
      </c>
      <c r="N19" s="239">
        <v>0</v>
      </c>
      <c r="O19" s="239">
        <v>0</v>
      </c>
      <c r="P19" s="239">
        <v>550121</v>
      </c>
      <c r="Q19" s="239">
        <v>0</v>
      </c>
      <c r="R19" s="239">
        <v>550121</v>
      </c>
      <c r="S19" s="239">
        <v>0</v>
      </c>
      <c r="T19" s="239">
        <v>0</v>
      </c>
      <c r="U19" s="239">
        <v>0</v>
      </c>
      <c r="V19" s="239">
        <v>0</v>
      </c>
      <c r="W19" s="239">
        <v>0</v>
      </c>
      <c r="X19" s="239">
        <v>0</v>
      </c>
      <c r="Y19" s="239">
        <v>0</v>
      </c>
      <c r="Z19" s="239">
        <v>0</v>
      </c>
      <c r="AA19" s="239">
        <v>0</v>
      </c>
      <c r="AB19" s="239">
        <v>0</v>
      </c>
      <c r="AC19" s="239">
        <v>1485603</v>
      </c>
      <c r="AD19" s="239">
        <v>332402</v>
      </c>
      <c r="AE19" s="239">
        <v>36933</v>
      </c>
      <c r="AF19" s="239">
        <v>1854938</v>
      </c>
      <c r="AG19" s="239">
        <v>1707406</v>
      </c>
      <c r="AH19" s="239">
        <v>1365925</v>
      </c>
      <c r="AI19" s="239">
        <v>307333</v>
      </c>
      <c r="AJ19" s="239">
        <v>34148</v>
      </c>
      <c r="AK19" s="239">
        <v>3414812</v>
      </c>
      <c r="AL19" s="239">
        <v>-741260</v>
      </c>
      <c r="AM19" s="239">
        <v>-593008</v>
      </c>
      <c r="AN19" s="239">
        <v>-133427</v>
      </c>
      <c r="AO19" s="239">
        <v>-14825</v>
      </c>
      <c r="AP19" s="239">
        <v>-1482520</v>
      </c>
      <c r="AQ19" s="239">
        <v>-433575</v>
      </c>
      <c r="AR19" s="239">
        <v>-346861</v>
      </c>
      <c r="AS19" s="239">
        <v>-78044</v>
      </c>
      <c r="AT19" s="239">
        <v>-8672</v>
      </c>
      <c r="AU19" s="239">
        <v>-867152</v>
      </c>
      <c r="AV19" s="239">
        <v>14406</v>
      </c>
      <c r="AW19" s="239">
        <v>11525</v>
      </c>
      <c r="AX19" s="239">
        <v>2593</v>
      </c>
      <c r="AY19" s="239">
        <v>288</v>
      </c>
      <c r="AZ19" s="239">
        <v>28812</v>
      </c>
      <c r="BA19" s="239">
        <v>-284870</v>
      </c>
      <c r="BB19" s="239">
        <v>-227896</v>
      </c>
      <c r="BC19" s="239">
        <v>-51277</v>
      </c>
      <c r="BD19" s="239">
        <v>-5697</v>
      </c>
      <c r="BE19" s="239">
        <v>-569740</v>
      </c>
      <c r="BF19" s="239">
        <v>-704039</v>
      </c>
      <c r="BG19" s="239">
        <v>-563232</v>
      </c>
      <c r="BH19" s="239">
        <v>-126728</v>
      </c>
      <c r="BI19" s="239">
        <v>-14081</v>
      </c>
      <c r="BJ19" s="239">
        <v>-1408080</v>
      </c>
      <c r="BK19" s="239">
        <v>-4428694</v>
      </c>
      <c r="BL19" s="239">
        <v>-3542956</v>
      </c>
      <c r="BM19" s="239">
        <v>-797165</v>
      </c>
      <c r="BN19" s="239">
        <v>-88574</v>
      </c>
      <c r="BO19" s="239">
        <v>-8857389</v>
      </c>
      <c r="BP19" s="239">
        <v>2687781</v>
      </c>
      <c r="BQ19" s="239">
        <v>2150226</v>
      </c>
      <c r="BR19" s="239">
        <v>483801</v>
      </c>
      <c r="BS19" s="239">
        <v>53756</v>
      </c>
      <c r="BT19" s="239">
        <v>5375564</v>
      </c>
      <c r="BU19" s="239">
        <v>-176968</v>
      </c>
      <c r="BV19" s="239">
        <v>-141574</v>
      </c>
      <c r="BW19" s="239">
        <v>-31854</v>
      </c>
      <c r="BX19" s="239">
        <v>-3539</v>
      </c>
      <c r="BY19" s="239">
        <v>-353935</v>
      </c>
      <c r="BZ19" s="239">
        <v>-1917881</v>
      </c>
      <c r="CA19" s="239">
        <v>-1534304</v>
      </c>
      <c r="CB19" s="239">
        <v>-345218</v>
      </c>
      <c r="CC19" s="239">
        <v>-38357</v>
      </c>
      <c r="CD19" s="239">
        <v>-3835760</v>
      </c>
      <c r="CE19" s="239">
        <v>-930112</v>
      </c>
      <c r="CF19" s="239">
        <v>-744089</v>
      </c>
      <c r="CG19" s="239">
        <v>-167420</v>
      </c>
      <c r="CH19" s="239">
        <v>-18602</v>
      </c>
      <c r="CI19" s="239">
        <v>-1860223</v>
      </c>
      <c r="CJ19" s="239">
        <v>-1591844</v>
      </c>
      <c r="CK19" s="239">
        <v>-1273475</v>
      </c>
      <c r="CL19" s="239">
        <v>-286532</v>
      </c>
      <c r="CM19" s="239">
        <v>-31837</v>
      </c>
      <c r="CN19" s="239">
        <v>-3183688</v>
      </c>
      <c r="CO19" s="239">
        <v>661732</v>
      </c>
      <c r="CP19" s="239">
        <v>529386</v>
      </c>
      <c r="CQ19" s="239">
        <v>119112</v>
      </c>
      <c r="CR19" s="239">
        <v>13235</v>
      </c>
      <c r="CS19" s="239">
        <v>1323465</v>
      </c>
      <c r="CT19" s="239">
        <v>21068129</v>
      </c>
      <c r="CU19" s="239">
        <v>16854503</v>
      </c>
      <c r="CV19" s="239">
        <v>3792263</v>
      </c>
      <c r="CW19" s="239">
        <v>421363</v>
      </c>
      <c r="CX19" s="239">
        <v>42136258</v>
      </c>
      <c r="CY19" s="239">
        <v>21180686</v>
      </c>
      <c r="CZ19" s="239">
        <v>16944548</v>
      </c>
      <c r="DA19" s="239">
        <v>3812523</v>
      </c>
      <c r="DB19" s="239">
        <v>423614</v>
      </c>
      <c r="DC19" s="239">
        <v>42361371</v>
      </c>
      <c r="DD19" s="239">
        <v>112557</v>
      </c>
      <c r="DE19" s="239">
        <v>90045</v>
      </c>
      <c r="DF19" s="239">
        <v>20260</v>
      </c>
      <c r="DG19" s="239">
        <v>2251</v>
      </c>
      <c r="DH19" s="239">
        <v>225113</v>
      </c>
      <c r="DI19" s="239">
        <v>774289</v>
      </c>
      <c r="DJ19" s="239">
        <v>619431</v>
      </c>
      <c r="DK19" s="239">
        <v>139372</v>
      </c>
      <c r="DL19" s="239">
        <v>15486</v>
      </c>
      <c r="DM19" s="239">
        <v>1548578</v>
      </c>
      <c r="DN19" s="835">
        <v>0.5</v>
      </c>
      <c r="DO19" s="835">
        <v>0.4</v>
      </c>
      <c r="DP19" s="835">
        <v>0.09</v>
      </c>
      <c r="DQ19" s="835">
        <v>0.01</v>
      </c>
      <c r="DR19" s="835">
        <v>1</v>
      </c>
      <c r="DS19" s="214" t="s">
        <v>1158</v>
      </c>
      <c r="DU19" s="214">
        <v>0</v>
      </c>
    </row>
    <row r="20" spans="2:125" s="214" customFormat="1" x14ac:dyDescent="0.2">
      <c r="B20" s="602" t="s">
        <v>123</v>
      </c>
      <c r="C20" s="602" t="s">
        <v>122</v>
      </c>
      <c r="D20" s="239">
        <v>0</v>
      </c>
      <c r="E20" s="239">
        <v>59749390</v>
      </c>
      <c r="F20" s="239">
        <v>3178159</v>
      </c>
      <c r="G20" s="239">
        <v>635632</v>
      </c>
      <c r="H20" s="239">
        <v>63563181</v>
      </c>
      <c r="I20" s="239">
        <v>0</v>
      </c>
      <c r="J20" s="239">
        <v>0</v>
      </c>
      <c r="K20" s="239">
        <v>0</v>
      </c>
      <c r="L20" s="239">
        <v>259447</v>
      </c>
      <c r="M20" s="239">
        <v>259447</v>
      </c>
      <c r="N20" s="239">
        <v>354475</v>
      </c>
      <c r="O20" s="239">
        <v>354475</v>
      </c>
      <c r="P20" s="239">
        <v>22696</v>
      </c>
      <c r="Q20" s="239">
        <v>0</v>
      </c>
      <c r="R20" s="239">
        <v>22696</v>
      </c>
      <c r="S20" s="239">
        <v>0</v>
      </c>
      <c r="T20" s="239">
        <v>0</v>
      </c>
      <c r="U20" s="239">
        <v>0</v>
      </c>
      <c r="V20" s="239">
        <v>0</v>
      </c>
      <c r="W20" s="239">
        <v>0</v>
      </c>
      <c r="X20" s="239">
        <v>0</v>
      </c>
      <c r="Y20" s="239">
        <v>0</v>
      </c>
      <c r="Z20" s="239">
        <v>0</v>
      </c>
      <c r="AA20" s="239">
        <v>0</v>
      </c>
      <c r="AB20" s="239">
        <v>0</v>
      </c>
      <c r="AC20" s="239">
        <v>5527063</v>
      </c>
      <c r="AD20" s="239">
        <v>289113</v>
      </c>
      <c r="AE20" s="239">
        <v>57823</v>
      </c>
      <c r="AF20" s="239">
        <v>5873999</v>
      </c>
      <c r="AG20" s="239">
        <v>0</v>
      </c>
      <c r="AH20" s="239">
        <v>1440833</v>
      </c>
      <c r="AI20" s="239">
        <v>76640</v>
      </c>
      <c r="AJ20" s="239">
        <v>15328</v>
      </c>
      <c r="AK20" s="239">
        <v>1532801</v>
      </c>
      <c r="AL20" s="239">
        <v>0</v>
      </c>
      <c r="AM20" s="239">
        <v>-1962833</v>
      </c>
      <c r="AN20" s="239">
        <v>-104406</v>
      </c>
      <c r="AO20" s="239">
        <v>-20881</v>
      </c>
      <c r="AP20" s="239">
        <v>-2088120</v>
      </c>
      <c r="AQ20" s="239">
        <v>0</v>
      </c>
      <c r="AR20" s="239">
        <v>-437580</v>
      </c>
      <c r="AS20" s="239">
        <v>-23276</v>
      </c>
      <c r="AT20" s="239">
        <v>-4655</v>
      </c>
      <c r="AU20" s="239">
        <v>-465511</v>
      </c>
      <c r="AV20" s="239">
        <v>-1</v>
      </c>
      <c r="AW20" s="239">
        <v>274081</v>
      </c>
      <c r="AX20" s="239">
        <v>14579</v>
      </c>
      <c r="AY20" s="239">
        <v>2916</v>
      </c>
      <c r="AZ20" s="239">
        <v>291575</v>
      </c>
      <c r="BA20" s="239">
        <v>0</v>
      </c>
      <c r="BB20" s="239">
        <v>-219715</v>
      </c>
      <c r="BC20" s="239">
        <v>-11687</v>
      </c>
      <c r="BD20" s="239">
        <v>-2337</v>
      </c>
      <c r="BE20" s="239">
        <v>-233739</v>
      </c>
      <c r="BF20" s="239">
        <v>-1</v>
      </c>
      <c r="BG20" s="239">
        <v>-383214</v>
      </c>
      <c r="BH20" s="239">
        <v>-20384</v>
      </c>
      <c r="BI20" s="239">
        <v>-4076</v>
      </c>
      <c r="BJ20" s="239">
        <v>-407675</v>
      </c>
      <c r="BK20" s="239">
        <v>0</v>
      </c>
      <c r="BL20" s="239">
        <v>-5583905</v>
      </c>
      <c r="BM20" s="239">
        <v>-297016</v>
      </c>
      <c r="BN20" s="239">
        <v>-59403</v>
      </c>
      <c r="BO20" s="239">
        <v>-5940324</v>
      </c>
      <c r="BP20" s="239">
        <v>-1</v>
      </c>
      <c r="BQ20" s="239">
        <v>1344830</v>
      </c>
      <c r="BR20" s="239">
        <v>71534</v>
      </c>
      <c r="BS20" s="239">
        <v>14307</v>
      </c>
      <c r="BT20" s="239">
        <v>1430670</v>
      </c>
      <c r="BU20" s="239">
        <v>-1</v>
      </c>
      <c r="BV20" s="239">
        <v>-2290618</v>
      </c>
      <c r="BW20" s="239">
        <v>-121841</v>
      </c>
      <c r="BX20" s="239">
        <v>-24368</v>
      </c>
      <c r="BY20" s="239">
        <v>-2436828</v>
      </c>
      <c r="BZ20" s="239">
        <v>-2</v>
      </c>
      <c r="CA20" s="239">
        <v>-6529693</v>
      </c>
      <c r="CB20" s="239">
        <v>-347323</v>
      </c>
      <c r="CC20" s="239">
        <v>-69464</v>
      </c>
      <c r="CD20" s="239">
        <v>-6946482</v>
      </c>
      <c r="CE20" s="239">
        <v>-2999063</v>
      </c>
      <c r="CF20" s="239">
        <v>-2939082</v>
      </c>
      <c r="CG20" s="239">
        <v>0</v>
      </c>
      <c r="CH20" s="239">
        <v>-59981</v>
      </c>
      <c r="CI20" s="239">
        <v>-5998126</v>
      </c>
      <c r="CJ20" s="239">
        <v>-2177551</v>
      </c>
      <c r="CK20" s="239">
        <v>-2134000</v>
      </c>
      <c r="CL20" s="239">
        <v>0</v>
      </c>
      <c r="CM20" s="239">
        <v>-43551</v>
      </c>
      <c r="CN20" s="239">
        <v>-4355102</v>
      </c>
      <c r="CO20" s="239">
        <v>-821512</v>
      </c>
      <c r="CP20" s="239">
        <v>-805082</v>
      </c>
      <c r="CQ20" s="239">
        <v>0</v>
      </c>
      <c r="CR20" s="239">
        <v>-16430</v>
      </c>
      <c r="CS20" s="239">
        <v>-1643024</v>
      </c>
      <c r="CT20" s="239">
        <v>0</v>
      </c>
      <c r="CU20" s="239">
        <v>60417531</v>
      </c>
      <c r="CV20" s="239">
        <v>3213698</v>
      </c>
      <c r="CW20" s="239">
        <v>642740</v>
      </c>
      <c r="CX20" s="239">
        <v>64273969</v>
      </c>
      <c r="CY20" s="239">
        <v>0</v>
      </c>
      <c r="CZ20" s="239">
        <v>59749390</v>
      </c>
      <c r="DA20" s="239">
        <v>3178159</v>
      </c>
      <c r="DB20" s="239">
        <v>635632</v>
      </c>
      <c r="DC20" s="239">
        <v>63563181</v>
      </c>
      <c r="DD20" s="239">
        <v>0</v>
      </c>
      <c r="DE20" s="239">
        <v>-668141</v>
      </c>
      <c r="DF20" s="239">
        <v>-35539</v>
      </c>
      <c r="DG20" s="239">
        <v>-7108</v>
      </c>
      <c r="DH20" s="239">
        <v>-710788</v>
      </c>
      <c r="DI20" s="239">
        <v>-821512</v>
      </c>
      <c r="DJ20" s="239">
        <v>-1473223</v>
      </c>
      <c r="DK20" s="239">
        <v>-35539</v>
      </c>
      <c r="DL20" s="239">
        <v>-23538</v>
      </c>
      <c r="DM20" s="239">
        <v>-2353812</v>
      </c>
      <c r="DN20" s="835">
        <v>0</v>
      </c>
      <c r="DO20" s="835">
        <v>0.94</v>
      </c>
      <c r="DP20" s="835">
        <v>0.05</v>
      </c>
      <c r="DQ20" s="835">
        <v>0.01</v>
      </c>
      <c r="DR20" s="835">
        <v>1</v>
      </c>
      <c r="DS20" s="214" t="s">
        <v>746</v>
      </c>
      <c r="DU20" s="214">
        <v>0</v>
      </c>
    </row>
    <row r="21" spans="2:125" s="214" customFormat="1" x14ac:dyDescent="0.2">
      <c r="B21" s="602" t="s">
        <v>125</v>
      </c>
      <c r="C21" s="602" t="s">
        <v>124</v>
      </c>
      <c r="D21" s="239">
        <v>28592172</v>
      </c>
      <c r="E21" s="239">
        <v>28020328</v>
      </c>
      <c r="F21" s="239">
        <v>0</v>
      </c>
      <c r="G21" s="239">
        <v>571843</v>
      </c>
      <c r="H21" s="239">
        <v>57184343</v>
      </c>
      <c r="I21" s="239">
        <v>0</v>
      </c>
      <c r="J21" s="239">
        <v>0</v>
      </c>
      <c r="K21" s="239">
        <v>28592172</v>
      </c>
      <c r="L21" s="239">
        <v>226153</v>
      </c>
      <c r="M21" s="239">
        <v>226153</v>
      </c>
      <c r="N21" s="239">
        <v>0</v>
      </c>
      <c r="O21" s="239">
        <v>0</v>
      </c>
      <c r="P21" s="239">
        <v>572520</v>
      </c>
      <c r="Q21" s="239">
        <v>0</v>
      </c>
      <c r="R21" s="239">
        <v>572520</v>
      </c>
      <c r="S21" s="239">
        <v>0</v>
      </c>
      <c r="T21" s="239">
        <v>0</v>
      </c>
      <c r="U21" s="239">
        <v>0</v>
      </c>
      <c r="V21" s="239">
        <v>0</v>
      </c>
      <c r="W21" s="239">
        <v>0</v>
      </c>
      <c r="X21" s="239">
        <v>0</v>
      </c>
      <c r="Y21" s="239">
        <v>0</v>
      </c>
      <c r="Z21" s="239">
        <v>0</v>
      </c>
      <c r="AA21" s="239">
        <v>0</v>
      </c>
      <c r="AB21" s="239">
        <v>0</v>
      </c>
      <c r="AC21" s="239">
        <v>2437910</v>
      </c>
      <c r="AD21" s="239">
        <v>0</v>
      </c>
      <c r="AE21" s="239">
        <v>49578</v>
      </c>
      <c r="AF21" s="239">
        <v>2487488</v>
      </c>
      <c r="AG21" s="239">
        <v>1359205</v>
      </c>
      <c r="AH21" s="239">
        <v>1332021</v>
      </c>
      <c r="AI21" s="239">
        <v>0</v>
      </c>
      <c r="AJ21" s="239">
        <v>27184</v>
      </c>
      <c r="AK21" s="239">
        <v>2718410</v>
      </c>
      <c r="AL21" s="239">
        <v>-513970</v>
      </c>
      <c r="AM21" s="239">
        <v>-503691</v>
      </c>
      <c r="AN21" s="239">
        <v>0</v>
      </c>
      <c r="AO21" s="239">
        <v>-10279</v>
      </c>
      <c r="AP21" s="239">
        <v>-1027940</v>
      </c>
      <c r="AQ21" s="239">
        <v>-1209808</v>
      </c>
      <c r="AR21" s="239">
        <v>-1185611</v>
      </c>
      <c r="AS21" s="239">
        <v>0</v>
      </c>
      <c r="AT21" s="239">
        <v>-24196</v>
      </c>
      <c r="AU21" s="239">
        <v>-2419615</v>
      </c>
      <c r="AV21" s="239">
        <v>78499</v>
      </c>
      <c r="AW21" s="239">
        <v>76929</v>
      </c>
      <c r="AX21" s="239">
        <v>0</v>
      </c>
      <c r="AY21" s="239">
        <v>1570</v>
      </c>
      <c r="AZ21" s="239">
        <v>156998</v>
      </c>
      <c r="BA21" s="239">
        <v>92500</v>
      </c>
      <c r="BB21" s="239">
        <v>90650</v>
      </c>
      <c r="BC21" s="239">
        <v>0</v>
      </c>
      <c r="BD21" s="239">
        <v>1850</v>
      </c>
      <c r="BE21" s="239">
        <v>185000</v>
      </c>
      <c r="BF21" s="239">
        <v>-1038809</v>
      </c>
      <c r="BG21" s="239">
        <v>-1018032</v>
      </c>
      <c r="BH21" s="239">
        <v>0</v>
      </c>
      <c r="BI21" s="239">
        <v>-20776</v>
      </c>
      <c r="BJ21" s="239">
        <v>-2077617</v>
      </c>
      <c r="BK21" s="239">
        <v>-3224609</v>
      </c>
      <c r="BL21" s="239">
        <v>-3160116</v>
      </c>
      <c r="BM21" s="239">
        <v>0</v>
      </c>
      <c r="BN21" s="239">
        <v>-64492</v>
      </c>
      <c r="BO21" s="239">
        <v>-6449217</v>
      </c>
      <c r="BP21" s="239">
        <v>1413516</v>
      </c>
      <c r="BQ21" s="239">
        <v>1385245</v>
      </c>
      <c r="BR21" s="239">
        <v>0</v>
      </c>
      <c r="BS21" s="239">
        <v>28270</v>
      </c>
      <c r="BT21" s="239">
        <v>2827031</v>
      </c>
      <c r="BU21" s="239">
        <v>-2462958</v>
      </c>
      <c r="BV21" s="239">
        <v>-2413699</v>
      </c>
      <c r="BW21" s="239">
        <v>0</v>
      </c>
      <c r="BX21" s="239">
        <v>-49259</v>
      </c>
      <c r="BY21" s="239">
        <v>-4925916</v>
      </c>
      <c r="BZ21" s="239">
        <v>-4274051</v>
      </c>
      <c r="CA21" s="239">
        <v>-4188570</v>
      </c>
      <c r="CB21" s="239">
        <v>0</v>
      </c>
      <c r="CC21" s="239">
        <v>-85481</v>
      </c>
      <c r="CD21" s="239">
        <v>-8548102</v>
      </c>
      <c r="CE21" s="239">
        <v>-217451</v>
      </c>
      <c r="CF21" s="239">
        <v>-213103</v>
      </c>
      <c r="CG21" s="239">
        <v>0</v>
      </c>
      <c r="CH21" s="239">
        <v>-4349</v>
      </c>
      <c r="CI21" s="239">
        <v>-434903</v>
      </c>
      <c r="CJ21" s="239">
        <v>0</v>
      </c>
      <c r="CK21" s="239">
        <v>0</v>
      </c>
      <c r="CL21" s="239">
        <v>0</v>
      </c>
      <c r="CM21" s="239">
        <v>0</v>
      </c>
      <c r="CN21" s="239">
        <v>0</v>
      </c>
      <c r="CO21" s="239">
        <v>-217451</v>
      </c>
      <c r="CP21" s="239">
        <v>-213103</v>
      </c>
      <c r="CQ21" s="239">
        <v>0</v>
      </c>
      <c r="CR21" s="239">
        <v>-4349</v>
      </c>
      <c r="CS21" s="239">
        <v>-434903</v>
      </c>
      <c r="CT21" s="239">
        <v>29654938</v>
      </c>
      <c r="CU21" s="239">
        <v>29061839</v>
      </c>
      <c r="CV21" s="239">
        <v>0</v>
      </c>
      <c r="CW21" s="239">
        <v>593099</v>
      </c>
      <c r="CX21" s="239">
        <v>59309876</v>
      </c>
      <c r="CY21" s="239">
        <v>28592172</v>
      </c>
      <c r="CZ21" s="239">
        <v>28020328</v>
      </c>
      <c r="DA21" s="239">
        <v>0</v>
      </c>
      <c r="DB21" s="239">
        <v>571843</v>
      </c>
      <c r="DC21" s="239">
        <v>57184343</v>
      </c>
      <c r="DD21" s="239">
        <v>-1062766</v>
      </c>
      <c r="DE21" s="239">
        <v>-1041511</v>
      </c>
      <c r="DF21" s="239">
        <v>0</v>
      </c>
      <c r="DG21" s="239">
        <v>-21256</v>
      </c>
      <c r="DH21" s="239">
        <v>-2125533</v>
      </c>
      <c r="DI21" s="239">
        <v>-1280217</v>
      </c>
      <c r="DJ21" s="239">
        <v>-1254614</v>
      </c>
      <c r="DK21" s="239">
        <v>0</v>
      </c>
      <c r="DL21" s="239">
        <v>-25605</v>
      </c>
      <c r="DM21" s="239">
        <v>-2560436</v>
      </c>
      <c r="DN21" s="835">
        <v>0.5</v>
      </c>
      <c r="DO21" s="835">
        <v>0.49</v>
      </c>
      <c r="DP21" s="835">
        <v>0</v>
      </c>
      <c r="DQ21" s="835">
        <v>0.01</v>
      </c>
      <c r="DR21" s="835">
        <v>1</v>
      </c>
      <c r="DS21" s="214" t="s">
        <v>746</v>
      </c>
      <c r="DU21" s="214">
        <v>0</v>
      </c>
    </row>
    <row r="22" spans="2:125" s="214" customFormat="1" x14ac:dyDescent="0.2">
      <c r="B22" s="602" t="s">
        <v>127</v>
      </c>
      <c r="C22" s="602" t="s">
        <v>126</v>
      </c>
      <c r="D22" s="239">
        <v>23808599</v>
      </c>
      <c r="E22" s="239">
        <v>21644182</v>
      </c>
      <c r="F22" s="239">
        <v>26694491</v>
      </c>
      <c r="G22" s="239">
        <v>0</v>
      </c>
      <c r="H22" s="239">
        <v>72147272</v>
      </c>
      <c r="I22" s="239">
        <v>0</v>
      </c>
      <c r="J22" s="239">
        <v>0</v>
      </c>
      <c r="K22" s="239">
        <v>23808599</v>
      </c>
      <c r="L22" s="239">
        <v>247577</v>
      </c>
      <c r="M22" s="239">
        <v>247577</v>
      </c>
      <c r="N22" s="239">
        <v>0</v>
      </c>
      <c r="O22" s="239">
        <v>0</v>
      </c>
      <c r="P22" s="239">
        <v>0</v>
      </c>
      <c r="Q22" s="239">
        <v>0</v>
      </c>
      <c r="R22" s="239">
        <v>0</v>
      </c>
      <c r="S22" s="239">
        <v>0</v>
      </c>
      <c r="T22" s="239">
        <v>0</v>
      </c>
      <c r="U22" s="239">
        <v>0</v>
      </c>
      <c r="V22" s="239">
        <v>0</v>
      </c>
      <c r="W22" s="239">
        <v>0</v>
      </c>
      <c r="X22" s="239">
        <v>0</v>
      </c>
      <c r="Y22" s="239">
        <v>0</v>
      </c>
      <c r="Z22" s="239">
        <v>0</v>
      </c>
      <c r="AA22" s="239">
        <v>0</v>
      </c>
      <c r="AB22" s="239">
        <v>0</v>
      </c>
      <c r="AC22" s="239">
        <v>1804221</v>
      </c>
      <c r="AD22" s="239">
        <v>2225208</v>
      </c>
      <c r="AE22" s="239">
        <v>0</v>
      </c>
      <c r="AF22" s="239">
        <v>4029429</v>
      </c>
      <c r="AG22" s="239">
        <v>593775</v>
      </c>
      <c r="AH22" s="239">
        <v>539796</v>
      </c>
      <c r="AI22" s="239">
        <v>665748</v>
      </c>
      <c r="AJ22" s="239">
        <v>0</v>
      </c>
      <c r="AK22" s="239">
        <v>1799319</v>
      </c>
      <c r="AL22" s="239">
        <v>-757310</v>
      </c>
      <c r="AM22" s="239">
        <v>-688464</v>
      </c>
      <c r="AN22" s="239">
        <v>-849106</v>
      </c>
      <c r="AO22" s="239">
        <v>0</v>
      </c>
      <c r="AP22" s="239">
        <v>-2294880</v>
      </c>
      <c r="AQ22" s="239">
        <v>-543510</v>
      </c>
      <c r="AR22" s="239">
        <v>-494100</v>
      </c>
      <c r="AS22" s="239">
        <v>-609390</v>
      </c>
      <c r="AT22" s="239">
        <v>0</v>
      </c>
      <c r="AU22" s="239">
        <v>-1647000</v>
      </c>
      <c r="AV22" s="239">
        <v>0</v>
      </c>
      <c r="AW22" s="239">
        <v>0</v>
      </c>
      <c r="AX22" s="239">
        <v>0</v>
      </c>
      <c r="AY22" s="239">
        <v>0</v>
      </c>
      <c r="AZ22" s="239">
        <v>0</v>
      </c>
      <c r="BA22" s="239">
        <v>69960</v>
      </c>
      <c r="BB22" s="239">
        <v>63600</v>
      </c>
      <c r="BC22" s="239">
        <v>78440</v>
      </c>
      <c r="BD22" s="239">
        <v>0</v>
      </c>
      <c r="BE22" s="239">
        <v>212000</v>
      </c>
      <c r="BF22" s="239">
        <v>-473550</v>
      </c>
      <c r="BG22" s="239">
        <v>-430500</v>
      </c>
      <c r="BH22" s="239">
        <v>-530950</v>
      </c>
      <c r="BI22" s="239">
        <v>0</v>
      </c>
      <c r="BJ22" s="239">
        <v>-1435000</v>
      </c>
      <c r="BK22" s="239">
        <v>-2946536</v>
      </c>
      <c r="BL22" s="239">
        <v>-2678670</v>
      </c>
      <c r="BM22" s="239">
        <v>-3303693</v>
      </c>
      <c r="BN22" s="239">
        <v>0</v>
      </c>
      <c r="BO22" s="239">
        <v>-8928899</v>
      </c>
      <c r="BP22" s="239">
        <v>0</v>
      </c>
      <c r="BQ22" s="239">
        <v>0</v>
      </c>
      <c r="BR22" s="239">
        <v>0</v>
      </c>
      <c r="BS22" s="239">
        <v>0</v>
      </c>
      <c r="BT22" s="239">
        <v>0</v>
      </c>
      <c r="BU22" s="239">
        <v>339518</v>
      </c>
      <c r="BV22" s="239">
        <v>308654</v>
      </c>
      <c r="BW22" s="239">
        <v>380673</v>
      </c>
      <c r="BX22" s="239">
        <v>0</v>
      </c>
      <c r="BY22" s="239">
        <v>1028845</v>
      </c>
      <c r="BZ22" s="239">
        <v>-2607018</v>
      </c>
      <c r="CA22" s="239">
        <v>-2370016</v>
      </c>
      <c r="CB22" s="239">
        <v>-2923020</v>
      </c>
      <c r="CC22" s="239">
        <v>0</v>
      </c>
      <c r="CD22" s="239">
        <v>-7900054</v>
      </c>
      <c r="CE22" s="239">
        <v>-479228</v>
      </c>
      <c r="CF22" s="239">
        <v>-287538</v>
      </c>
      <c r="CG22" s="239">
        <v>-191691</v>
      </c>
      <c r="CH22" s="239">
        <v>0</v>
      </c>
      <c r="CI22" s="239">
        <v>-958457</v>
      </c>
      <c r="CJ22" s="239">
        <v>236748</v>
      </c>
      <c r="CK22" s="239">
        <v>142049</v>
      </c>
      <c r="CL22" s="239">
        <v>94699</v>
      </c>
      <c r="CM22" s="239">
        <v>0</v>
      </c>
      <c r="CN22" s="239">
        <v>473496</v>
      </c>
      <c r="CO22" s="239">
        <v>-715976</v>
      </c>
      <c r="CP22" s="239">
        <v>-429587</v>
      </c>
      <c r="CQ22" s="239">
        <v>-286390</v>
      </c>
      <c r="CR22" s="239">
        <v>0</v>
      </c>
      <c r="CS22" s="239">
        <v>-1431953</v>
      </c>
      <c r="CT22" s="239">
        <v>24079681</v>
      </c>
      <c r="CU22" s="239">
        <v>21890620</v>
      </c>
      <c r="CV22" s="239">
        <v>26998431</v>
      </c>
      <c r="CW22" s="239">
        <v>0</v>
      </c>
      <c r="CX22" s="239">
        <v>72968732</v>
      </c>
      <c r="CY22" s="239">
        <v>23808599</v>
      </c>
      <c r="CZ22" s="239">
        <v>21644182</v>
      </c>
      <c r="DA22" s="239">
        <v>26694491</v>
      </c>
      <c r="DB22" s="239">
        <v>0</v>
      </c>
      <c r="DC22" s="239">
        <v>72147272</v>
      </c>
      <c r="DD22" s="239">
        <v>-271082</v>
      </c>
      <c r="DE22" s="239">
        <v>-246438</v>
      </c>
      <c r="DF22" s="239">
        <v>-303940</v>
      </c>
      <c r="DG22" s="239">
        <v>0</v>
      </c>
      <c r="DH22" s="239">
        <v>-821460</v>
      </c>
      <c r="DI22" s="239">
        <v>-987058</v>
      </c>
      <c r="DJ22" s="239">
        <v>-676025</v>
      </c>
      <c r="DK22" s="239">
        <v>-590330</v>
      </c>
      <c r="DL22" s="239">
        <v>0</v>
      </c>
      <c r="DM22" s="239">
        <v>-2253413</v>
      </c>
      <c r="DN22" s="835">
        <v>0.33</v>
      </c>
      <c r="DO22" s="835">
        <v>0.3</v>
      </c>
      <c r="DP22" s="835">
        <v>0.37</v>
      </c>
      <c r="DQ22" s="835">
        <v>0</v>
      </c>
      <c r="DR22" s="835">
        <v>1</v>
      </c>
      <c r="DS22" s="214" t="s">
        <v>1159</v>
      </c>
      <c r="DU22" s="214">
        <v>0</v>
      </c>
    </row>
    <row r="23" spans="2:125" s="214" customFormat="1" x14ac:dyDescent="0.2">
      <c r="B23" s="602" t="s">
        <v>129</v>
      </c>
      <c r="C23" s="602" t="s">
        <v>128</v>
      </c>
      <c r="D23" s="239">
        <v>0</v>
      </c>
      <c r="E23" s="239">
        <v>418493569</v>
      </c>
      <c r="F23" s="239">
        <v>0</v>
      </c>
      <c r="G23" s="239">
        <v>4227208</v>
      </c>
      <c r="H23" s="239">
        <v>422720777</v>
      </c>
      <c r="I23" s="239">
        <v>0</v>
      </c>
      <c r="J23" s="239">
        <v>0</v>
      </c>
      <c r="K23" s="239">
        <v>0</v>
      </c>
      <c r="L23" s="239">
        <v>1893141</v>
      </c>
      <c r="M23" s="239">
        <v>1893141</v>
      </c>
      <c r="N23" s="239">
        <v>35351</v>
      </c>
      <c r="O23" s="239">
        <v>35351</v>
      </c>
      <c r="P23" s="239">
        <v>0</v>
      </c>
      <c r="Q23" s="239">
        <v>0</v>
      </c>
      <c r="R23" s="239">
        <v>0</v>
      </c>
      <c r="S23" s="239">
        <v>0</v>
      </c>
      <c r="T23" s="239">
        <v>0</v>
      </c>
      <c r="U23" s="239">
        <v>0</v>
      </c>
      <c r="V23" s="239">
        <v>0</v>
      </c>
      <c r="W23" s="239">
        <v>0</v>
      </c>
      <c r="X23" s="239">
        <v>0</v>
      </c>
      <c r="Y23" s="239">
        <v>0</v>
      </c>
      <c r="Z23" s="239">
        <v>0</v>
      </c>
      <c r="AA23" s="239">
        <v>0</v>
      </c>
      <c r="AB23" s="239">
        <v>0</v>
      </c>
      <c r="AC23" s="239">
        <v>35015903</v>
      </c>
      <c r="AD23" s="239">
        <v>0</v>
      </c>
      <c r="AE23" s="239">
        <v>340946</v>
      </c>
      <c r="AF23" s="239">
        <v>35356849</v>
      </c>
      <c r="AG23" s="239">
        <v>0</v>
      </c>
      <c r="AH23" s="239">
        <v>98049526</v>
      </c>
      <c r="AI23" s="239">
        <v>0</v>
      </c>
      <c r="AJ23" s="239">
        <v>990399</v>
      </c>
      <c r="AK23" s="239">
        <v>99039925</v>
      </c>
      <c r="AL23" s="239">
        <v>0</v>
      </c>
      <c r="AM23" s="239">
        <v>-24550720</v>
      </c>
      <c r="AN23" s="239">
        <v>0</v>
      </c>
      <c r="AO23" s="239">
        <v>-247987</v>
      </c>
      <c r="AP23" s="239">
        <v>-24798707</v>
      </c>
      <c r="AQ23" s="239">
        <v>0</v>
      </c>
      <c r="AR23" s="239">
        <v>-52662481</v>
      </c>
      <c r="AS23" s="239">
        <v>0</v>
      </c>
      <c r="AT23" s="239">
        <v>-531944</v>
      </c>
      <c r="AU23" s="239">
        <v>-53194425</v>
      </c>
      <c r="AV23" s="239">
        <v>0</v>
      </c>
      <c r="AW23" s="239">
        <v>9136713</v>
      </c>
      <c r="AX23" s="239">
        <v>0</v>
      </c>
      <c r="AY23" s="239">
        <v>92290</v>
      </c>
      <c r="AZ23" s="239">
        <v>9229003</v>
      </c>
      <c r="BA23" s="239">
        <v>0</v>
      </c>
      <c r="BB23" s="239">
        <v>-8999613</v>
      </c>
      <c r="BC23" s="239">
        <v>0</v>
      </c>
      <c r="BD23" s="239">
        <v>-90905</v>
      </c>
      <c r="BE23" s="239">
        <v>-9090518</v>
      </c>
      <c r="BF23" s="239">
        <v>0</v>
      </c>
      <c r="BG23" s="239">
        <v>-52525381</v>
      </c>
      <c r="BH23" s="239">
        <v>0</v>
      </c>
      <c r="BI23" s="239">
        <v>-530559</v>
      </c>
      <c r="BJ23" s="239">
        <v>-53055940</v>
      </c>
      <c r="BK23" s="239">
        <v>0</v>
      </c>
      <c r="BL23" s="239">
        <v>-52082725</v>
      </c>
      <c r="BM23" s="239">
        <v>0</v>
      </c>
      <c r="BN23" s="239">
        <v>-526088</v>
      </c>
      <c r="BO23" s="239">
        <v>-52608813</v>
      </c>
      <c r="BP23" s="239">
        <v>0</v>
      </c>
      <c r="BQ23" s="239">
        <v>28765234</v>
      </c>
      <c r="BR23" s="239">
        <v>0</v>
      </c>
      <c r="BS23" s="239">
        <v>290558</v>
      </c>
      <c r="BT23" s="239">
        <v>29055792</v>
      </c>
      <c r="BU23" s="239">
        <v>0</v>
      </c>
      <c r="BV23" s="239">
        <v>-11818953</v>
      </c>
      <c r="BW23" s="239">
        <v>0</v>
      </c>
      <c r="BX23" s="239">
        <v>-119383</v>
      </c>
      <c r="BY23" s="239">
        <v>-11938336</v>
      </c>
      <c r="BZ23" s="239">
        <v>0</v>
      </c>
      <c r="CA23" s="239">
        <v>-35136444</v>
      </c>
      <c r="CB23" s="239">
        <v>0</v>
      </c>
      <c r="CC23" s="239">
        <v>-354913</v>
      </c>
      <c r="CD23" s="239">
        <v>-35491357</v>
      </c>
      <c r="CE23" s="239">
        <v>-11937312</v>
      </c>
      <c r="CF23" s="239">
        <v>-11698567</v>
      </c>
      <c r="CG23" s="239">
        <v>0</v>
      </c>
      <c r="CH23" s="239">
        <v>-238746</v>
      </c>
      <c r="CI23" s="239">
        <v>-23874625</v>
      </c>
      <c r="CJ23" s="239">
        <v>-10113550</v>
      </c>
      <c r="CK23" s="239">
        <v>-9911279</v>
      </c>
      <c r="CL23" s="239">
        <v>0</v>
      </c>
      <c r="CM23" s="239">
        <v>-202271</v>
      </c>
      <c r="CN23" s="239">
        <v>-20227100</v>
      </c>
      <c r="CO23" s="239">
        <v>-1823762</v>
      </c>
      <c r="CP23" s="239">
        <v>-1787288</v>
      </c>
      <c r="CQ23" s="239">
        <v>0</v>
      </c>
      <c r="CR23" s="239">
        <v>-36475</v>
      </c>
      <c r="CS23" s="239">
        <v>-3647525</v>
      </c>
      <c r="CT23" s="239">
        <v>0</v>
      </c>
      <c r="CU23" s="239">
        <v>399302212</v>
      </c>
      <c r="CV23" s="239">
        <v>0</v>
      </c>
      <c r="CW23" s="239">
        <v>4033356</v>
      </c>
      <c r="CX23" s="239">
        <v>403335568</v>
      </c>
      <c r="CY23" s="239">
        <v>0</v>
      </c>
      <c r="CZ23" s="239">
        <v>418493569</v>
      </c>
      <c r="DA23" s="239">
        <v>0</v>
      </c>
      <c r="DB23" s="239">
        <v>4227208</v>
      </c>
      <c r="DC23" s="239">
        <v>422720777</v>
      </c>
      <c r="DD23" s="239">
        <v>0</v>
      </c>
      <c r="DE23" s="239">
        <v>19191357</v>
      </c>
      <c r="DF23" s="239">
        <v>0</v>
      </c>
      <c r="DG23" s="239">
        <v>193852</v>
      </c>
      <c r="DH23" s="239">
        <v>19385209</v>
      </c>
      <c r="DI23" s="239">
        <v>-1823762</v>
      </c>
      <c r="DJ23" s="239">
        <v>17404069</v>
      </c>
      <c r="DK23" s="239">
        <v>0</v>
      </c>
      <c r="DL23" s="239">
        <v>157377</v>
      </c>
      <c r="DM23" s="239">
        <v>15737684</v>
      </c>
      <c r="DN23" s="835">
        <v>0</v>
      </c>
      <c r="DO23" s="835">
        <v>0.99</v>
      </c>
      <c r="DP23" s="835">
        <v>0</v>
      </c>
      <c r="DQ23" s="835">
        <v>0.01</v>
      </c>
      <c r="DR23" s="835">
        <v>1</v>
      </c>
      <c r="DS23" s="214" t="s">
        <v>1160</v>
      </c>
      <c r="DU23" s="214">
        <v>0</v>
      </c>
    </row>
    <row r="24" spans="2:125" s="214" customFormat="1" x14ac:dyDescent="0.2">
      <c r="B24" s="602" t="s">
        <v>131</v>
      </c>
      <c r="C24" s="602" t="s">
        <v>130</v>
      </c>
      <c r="D24" s="239">
        <v>20570348</v>
      </c>
      <c r="E24" s="239">
        <v>16456279</v>
      </c>
      <c r="F24" s="239">
        <v>3702663</v>
      </c>
      <c r="G24" s="239">
        <v>411407</v>
      </c>
      <c r="H24" s="239">
        <v>41140697</v>
      </c>
      <c r="I24" s="239">
        <v>0</v>
      </c>
      <c r="J24" s="239">
        <v>0</v>
      </c>
      <c r="K24" s="239">
        <v>20570348</v>
      </c>
      <c r="L24" s="239">
        <v>101839</v>
      </c>
      <c r="M24" s="239">
        <v>101839</v>
      </c>
      <c r="N24" s="239">
        <v>0</v>
      </c>
      <c r="O24" s="239">
        <v>0</v>
      </c>
      <c r="P24" s="239">
        <v>0</v>
      </c>
      <c r="Q24" s="239">
        <v>0</v>
      </c>
      <c r="R24" s="239">
        <v>0</v>
      </c>
      <c r="S24" s="239">
        <v>0</v>
      </c>
      <c r="T24" s="239">
        <v>0</v>
      </c>
      <c r="U24" s="239">
        <v>0</v>
      </c>
      <c r="V24" s="239">
        <v>0</v>
      </c>
      <c r="W24" s="239">
        <v>0</v>
      </c>
      <c r="X24" s="239">
        <v>0</v>
      </c>
      <c r="Y24" s="239">
        <v>0</v>
      </c>
      <c r="Z24" s="239">
        <v>0</v>
      </c>
      <c r="AA24" s="239">
        <v>0</v>
      </c>
      <c r="AB24" s="239">
        <v>0</v>
      </c>
      <c r="AC24" s="239">
        <v>904477</v>
      </c>
      <c r="AD24" s="239">
        <v>203507</v>
      </c>
      <c r="AE24" s="239">
        <v>22613</v>
      </c>
      <c r="AF24" s="239">
        <v>1130597</v>
      </c>
      <c r="AG24" s="239">
        <v>453590</v>
      </c>
      <c r="AH24" s="239">
        <v>362872</v>
      </c>
      <c r="AI24" s="239">
        <v>81646</v>
      </c>
      <c r="AJ24" s="239">
        <v>9072</v>
      </c>
      <c r="AK24" s="239">
        <v>907180</v>
      </c>
      <c r="AL24" s="239">
        <v>-593414</v>
      </c>
      <c r="AM24" s="239">
        <v>-474731</v>
      </c>
      <c r="AN24" s="239">
        <v>-106815</v>
      </c>
      <c r="AO24" s="239">
        <v>-11868</v>
      </c>
      <c r="AP24" s="239">
        <v>-1186828</v>
      </c>
      <c r="AQ24" s="239">
        <v>-104575</v>
      </c>
      <c r="AR24" s="239">
        <v>-83660</v>
      </c>
      <c r="AS24" s="239">
        <v>-18824</v>
      </c>
      <c r="AT24" s="239">
        <v>-2092</v>
      </c>
      <c r="AU24" s="239">
        <v>-209151</v>
      </c>
      <c r="AV24" s="239">
        <v>0</v>
      </c>
      <c r="AW24" s="239">
        <v>0</v>
      </c>
      <c r="AX24" s="239">
        <v>0</v>
      </c>
      <c r="AY24" s="239">
        <v>0</v>
      </c>
      <c r="AZ24" s="239">
        <v>0</v>
      </c>
      <c r="BA24" s="239">
        <v>8145</v>
      </c>
      <c r="BB24" s="239">
        <v>6516</v>
      </c>
      <c r="BC24" s="239">
        <v>1466</v>
      </c>
      <c r="BD24" s="239">
        <v>163</v>
      </c>
      <c r="BE24" s="239">
        <v>16290</v>
      </c>
      <c r="BF24" s="239">
        <v>-96430</v>
      </c>
      <c r="BG24" s="239">
        <v>-77144</v>
      </c>
      <c r="BH24" s="239">
        <v>-17358</v>
      </c>
      <c r="BI24" s="239">
        <v>-1929</v>
      </c>
      <c r="BJ24" s="239">
        <v>-192861</v>
      </c>
      <c r="BK24" s="239">
        <v>-2141558</v>
      </c>
      <c r="BL24" s="239">
        <v>-1713246</v>
      </c>
      <c r="BM24" s="239">
        <v>-385480</v>
      </c>
      <c r="BN24" s="239">
        <v>-42831</v>
      </c>
      <c r="BO24" s="239">
        <v>-4283115</v>
      </c>
      <c r="BP24" s="239">
        <v>1412831</v>
      </c>
      <c r="BQ24" s="239">
        <v>1130266</v>
      </c>
      <c r="BR24" s="239">
        <v>254310</v>
      </c>
      <c r="BS24" s="239">
        <v>28257</v>
      </c>
      <c r="BT24" s="239">
        <v>2825664</v>
      </c>
      <c r="BU24" s="239">
        <v>-1656275</v>
      </c>
      <c r="BV24" s="239">
        <v>-1325020</v>
      </c>
      <c r="BW24" s="239">
        <v>-298129</v>
      </c>
      <c r="BX24" s="239">
        <v>-33125</v>
      </c>
      <c r="BY24" s="239">
        <v>-3312549</v>
      </c>
      <c r="BZ24" s="239">
        <v>-2385002</v>
      </c>
      <c r="CA24" s="239">
        <v>-1908000</v>
      </c>
      <c r="CB24" s="239">
        <v>-429299</v>
      </c>
      <c r="CC24" s="239">
        <v>-47699</v>
      </c>
      <c r="CD24" s="239">
        <v>-4770000</v>
      </c>
      <c r="CE24" s="239">
        <v>1289254</v>
      </c>
      <c r="CF24" s="239">
        <v>1031404</v>
      </c>
      <c r="CG24" s="239">
        <v>232065</v>
      </c>
      <c r="CH24" s="239">
        <v>25786</v>
      </c>
      <c r="CI24" s="239">
        <v>2578509</v>
      </c>
      <c r="CJ24" s="239">
        <v>791280</v>
      </c>
      <c r="CK24" s="239">
        <v>633024</v>
      </c>
      <c r="CL24" s="239">
        <v>142430</v>
      </c>
      <c r="CM24" s="239">
        <v>15826</v>
      </c>
      <c r="CN24" s="239">
        <v>1582560</v>
      </c>
      <c r="CO24" s="239">
        <v>497974</v>
      </c>
      <c r="CP24" s="239">
        <v>398380</v>
      </c>
      <c r="CQ24" s="239">
        <v>89635</v>
      </c>
      <c r="CR24" s="239">
        <v>9960</v>
      </c>
      <c r="CS24" s="239">
        <v>995949</v>
      </c>
      <c r="CT24" s="239">
        <v>21515114</v>
      </c>
      <c r="CU24" s="239">
        <v>17212091</v>
      </c>
      <c r="CV24" s="239">
        <v>3872720</v>
      </c>
      <c r="CW24" s="239">
        <v>430302</v>
      </c>
      <c r="CX24" s="239">
        <v>43030227</v>
      </c>
      <c r="CY24" s="239">
        <v>20570348</v>
      </c>
      <c r="CZ24" s="239">
        <v>16456279</v>
      </c>
      <c r="DA24" s="239">
        <v>3702663</v>
      </c>
      <c r="DB24" s="239">
        <v>411407</v>
      </c>
      <c r="DC24" s="239">
        <v>41140697</v>
      </c>
      <c r="DD24" s="239">
        <v>-944766</v>
      </c>
      <c r="DE24" s="239">
        <v>-755812</v>
      </c>
      <c r="DF24" s="239">
        <v>-170057</v>
      </c>
      <c r="DG24" s="239">
        <v>-18895</v>
      </c>
      <c r="DH24" s="239">
        <v>-1889530</v>
      </c>
      <c r="DI24" s="239">
        <v>-446792</v>
      </c>
      <c r="DJ24" s="239">
        <v>-357432</v>
      </c>
      <c r="DK24" s="239">
        <v>-80422</v>
      </c>
      <c r="DL24" s="239">
        <v>-8935</v>
      </c>
      <c r="DM24" s="239">
        <v>-893581</v>
      </c>
      <c r="DN24" s="835">
        <v>0.5</v>
      </c>
      <c r="DO24" s="835">
        <v>0.4</v>
      </c>
      <c r="DP24" s="835">
        <v>0.09</v>
      </c>
      <c r="DQ24" s="835">
        <v>0.01</v>
      </c>
      <c r="DR24" s="835">
        <v>1</v>
      </c>
      <c r="DS24" s="214" t="s">
        <v>1158</v>
      </c>
      <c r="DU24" s="214">
        <v>0</v>
      </c>
    </row>
    <row r="25" spans="2:125" s="214" customFormat="1" x14ac:dyDescent="0.2">
      <c r="B25" s="602" t="s">
        <v>133</v>
      </c>
      <c r="C25" s="602" t="s">
        <v>132</v>
      </c>
      <c r="D25" s="239">
        <v>21064315</v>
      </c>
      <c r="E25" s="239">
        <v>20643028</v>
      </c>
      <c r="F25" s="239">
        <v>0</v>
      </c>
      <c r="G25" s="239">
        <v>421286</v>
      </c>
      <c r="H25" s="239">
        <v>42128629</v>
      </c>
      <c r="I25" s="239">
        <v>0</v>
      </c>
      <c r="J25" s="239">
        <v>0</v>
      </c>
      <c r="K25" s="239">
        <v>21064315</v>
      </c>
      <c r="L25" s="239">
        <v>247772</v>
      </c>
      <c r="M25" s="239">
        <v>247772</v>
      </c>
      <c r="N25" s="239">
        <v>0</v>
      </c>
      <c r="O25" s="239">
        <v>0</v>
      </c>
      <c r="P25" s="239">
        <v>0</v>
      </c>
      <c r="Q25" s="239">
        <v>0</v>
      </c>
      <c r="R25" s="239">
        <v>0</v>
      </c>
      <c r="S25" s="239">
        <v>0</v>
      </c>
      <c r="T25" s="239">
        <v>0</v>
      </c>
      <c r="U25" s="239">
        <v>0</v>
      </c>
      <c r="V25" s="239">
        <v>0</v>
      </c>
      <c r="W25" s="239">
        <v>0</v>
      </c>
      <c r="X25" s="239">
        <v>0</v>
      </c>
      <c r="Y25" s="239">
        <v>0</v>
      </c>
      <c r="Z25" s="239">
        <v>0</v>
      </c>
      <c r="AA25" s="239">
        <v>0</v>
      </c>
      <c r="AB25" s="239">
        <v>0</v>
      </c>
      <c r="AC25" s="239">
        <v>2690734</v>
      </c>
      <c r="AD25" s="239">
        <v>0</v>
      </c>
      <c r="AE25" s="239">
        <v>54913</v>
      </c>
      <c r="AF25" s="239">
        <v>2745647</v>
      </c>
      <c r="AG25" s="239">
        <v>1390921</v>
      </c>
      <c r="AH25" s="239">
        <v>1363103</v>
      </c>
      <c r="AI25" s="239">
        <v>0</v>
      </c>
      <c r="AJ25" s="239">
        <v>27818</v>
      </c>
      <c r="AK25" s="239">
        <v>2781842</v>
      </c>
      <c r="AL25" s="239">
        <v>-186007</v>
      </c>
      <c r="AM25" s="239">
        <v>-182286</v>
      </c>
      <c r="AN25" s="239">
        <v>0</v>
      </c>
      <c r="AO25" s="239">
        <v>-3720</v>
      </c>
      <c r="AP25" s="239">
        <v>-372013</v>
      </c>
      <c r="AQ25" s="239">
        <v>-968000</v>
      </c>
      <c r="AR25" s="239">
        <v>-948640</v>
      </c>
      <c r="AS25" s="239">
        <v>0</v>
      </c>
      <c r="AT25" s="239">
        <v>-19360</v>
      </c>
      <c r="AU25" s="239">
        <v>-1936000</v>
      </c>
      <c r="AV25" s="239">
        <v>193951</v>
      </c>
      <c r="AW25" s="239">
        <v>190071</v>
      </c>
      <c r="AX25" s="239">
        <v>0</v>
      </c>
      <c r="AY25" s="239">
        <v>3879</v>
      </c>
      <c r="AZ25" s="239">
        <v>387901</v>
      </c>
      <c r="BA25" s="239">
        <v>-81451</v>
      </c>
      <c r="BB25" s="239">
        <v>-79821</v>
      </c>
      <c r="BC25" s="239">
        <v>0</v>
      </c>
      <c r="BD25" s="239">
        <v>-1629</v>
      </c>
      <c r="BE25" s="239">
        <v>-162901</v>
      </c>
      <c r="BF25" s="239">
        <v>-855500</v>
      </c>
      <c r="BG25" s="239">
        <v>-838390</v>
      </c>
      <c r="BH25" s="239">
        <v>0</v>
      </c>
      <c r="BI25" s="239">
        <v>-17110</v>
      </c>
      <c r="BJ25" s="239">
        <v>-1711000</v>
      </c>
      <c r="BK25" s="239">
        <v>-3161766</v>
      </c>
      <c r="BL25" s="239">
        <v>-3098531</v>
      </c>
      <c r="BM25" s="239">
        <v>0</v>
      </c>
      <c r="BN25" s="239">
        <v>-63235</v>
      </c>
      <c r="BO25" s="239">
        <v>-6323532</v>
      </c>
      <c r="BP25" s="239">
        <v>1187000</v>
      </c>
      <c r="BQ25" s="239">
        <v>1163260</v>
      </c>
      <c r="BR25" s="239">
        <v>0</v>
      </c>
      <c r="BS25" s="239">
        <v>23740</v>
      </c>
      <c r="BT25" s="239">
        <v>2374000</v>
      </c>
      <c r="BU25" s="239">
        <v>259100</v>
      </c>
      <c r="BV25" s="239">
        <v>253918</v>
      </c>
      <c r="BW25" s="239">
        <v>0</v>
      </c>
      <c r="BX25" s="239">
        <v>5182</v>
      </c>
      <c r="BY25" s="239">
        <v>518200</v>
      </c>
      <c r="BZ25" s="239">
        <v>-1715666</v>
      </c>
      <c r="CA25" s="239">
        <v>-1681353</v>
      </c>
      <c r="CB25" s="239">
        <v>0</v>
      </c>
      <c r="CC25" s="239">
        <v>-34313</v>
      </c>
      <c r="CD25" s="239">
        <v>-3431332</v>
      </c>
      <c r="CE25" s="239">
        <v>-1058506</v>
      </c>
      <c r="CF25" s="239">
        <v>-1037336</v>
      </c>
      <c r="CG25" s="239">
        <v>0</v>
      </c>
      <c r="CH25" s="239">
        <v>-21170</v>
      </c>
      <c r="CI25" s="239">
        <v>-2117012</v>
      </c>
      <c r="CJ25" s="239">
        <v>-453476</v>
      </c>
      <c r="CK25" s="239">
        <v>-444407</v>
      </c>
      <c r="CL25" s="239">
        <v>0</v>
      </c>
      <c r="CM25" s="239">
        <v>-9070</v>
      </c>
      <c r="CN25" s="239">
        <v>-906953</v>
      </c>
      <c r="CO25" s="239">
        <v>-605030</v>
      </c>
      <c r="CP25" s="239">
        <v>-592929</v>
      </c>
      <c r="CQ25" s="239">
        <v>0</v>
      </c>
      <c r="CR25" s="239">
        <v>-12100</v>
      </c>
      <c r="CS25" s="239">
        <v>-1210059</v>
      </c>
      <c r="CT25" s="239">
        <v>19674490</v>
      </c>
      <c r="CU25" s="239">
        <v>19281000</v>
      </c>
      <c r="CV25" s="239">
        <v>0</v>
      </c>
      <c r="CW25" s="239">
        <v>393490</v>
      </c>
      <c r="CX25" s="239">
        <v>39348980</v>
      </c>
      <c r="CY25" s="239">
        <v>21064315</v>
      </c>
      <c r="CZ25" s="239">
        <v>20643028</v>
      </c>
      <c r="DA25" s="239">
        <v>0</v>
      </c>
      <c r="DB25" s="239">
        <v>421286</v>
      </c>
      <c r="DC25" s="239">
        <v>42128629</v>
      </c>
      <c r="DD25" s="239">
        <v>1389825</v>
      </c>
      <c r="DE25" s="239">
        <v>1362028</v>
      </c>
      <c r="DF25" s="239">
        <v>0</v>
      </c>
      <c r="DG25" s="239">
        <v>27796</v>
      </c>
      <c r="DH25" s="239">
        <v>2779649</v>
      </c>
      <c r="DI25" s="239">
        <v>784795</v>
      </c>
      <c r="DJ25" s="239">
        <v>769099</v>
      </c>
      <c r="DK25" s="239">
        <v>0</v>
      </c>
      <c r="DL25" s="239">
        <v>15696</v>
      </c>
      <c r="DM25" s="239">
        <v>1569590</v>
      </c>
      <c r="DN25" s="835">
        <v>0.5</v>
      </c>
      <c r="DO25" s="835">
        <v>0.49</v>
      </c>
      <c r="DP25" s="835">
        <v>0</v>
      </c>
      <c r="DQ25" s="835">
        <v>0.01</v>
      </c>
      <c r="DR25" s="835">
        <v>1</v>
      </c>
      <c r="DS25" s="214" t="s">
        <v>746</v>
      </c>
      <c r="DU25" s="214">
        <v>0</v>
      </c>
    </row>
    <row r="26" spans="2:125" s="214" customFormat="1" x14ac:dyDescent="0.2">
      <c r="B26" s="602" t="s">
        <v>135</v>
      </c>
      <c r="C26" s="602" t="s">
        <v>134</v>
      </c>
      <c r="D26" s="239">
        <v>18798263</v>
      </c>
      <c r="E26" s="239">
        <v>18422297</v>
      </c>
      <c r="F26" s="239">
        <v>0</v>
      </c>
      <c r="G26" s="239">
        <v>375965</v>
      </c>
      <c r="H26" s="239">
        <v>37596525</v>
      </c>
      <c r="I26" s="239">
        <v>207604</v>
      </c>
      <c r="J26" s="239">
        <v>207604</v>
      </c>
      <c r="K26" s="239">
        <v>18590659</v>
      </c>
      <c r="L26" s="239">
        <v>261549</v>
      </c>
      <c r="M26" s="239">
        <v>261549</v>
      </c>
      <c r="N26" s="239">
        <v>384189</v>
      </c>
      <c r="O26" s="239">
        <v>384189</v>
      </c>
      <c r="P26" s="239">
        <v>0</v>
      </c>
      <c r="Q26" s="239">
        <v>0</v>
      </c>
      <c r="R26" s="239">
        <v>0</v>
      </c>
      <c r="S26" s="239">
        <v>207604.36909871243</v>
      </c>
      <c r="T26" s="239">
        <v>0</v>
      </c>
      <c r="U26" s="239">
        <v>0</v>
      </c>
      <c r="V26" s="239">
        <v>207604.36909871243</v>
      </c>
      <c r="W26" s="239">
        <v>0</v>
      </c>
      <c r="X26" s="239">
        <v>0</v>
      </c>
      <c r="Y26" s="239">
        <v>0</v>
      </c>
      <c r="Z26" s="239">
        <v>0</v>
      </c>
      <c r="AA26" s="239">
        <v>0</v>
      </c>
      <c r="AB26" s="239">
        <v>0</v>
      </c>
      <c r="AC26" s="239">
        <v>3357461</v>
      </c>
      <c r="AD26" s="239">
        <v>0</v>
      </c>
      <c r="AE26" s="239">
        <v>65358</v>
      </c>
      <c r="AF26" s="239">
        <v>3422819</v>
      </c>
      <c r="AG26" s="239">
        <v>3086409</v>
      </c>
      <c r="AH26" s="239">
        <v>3024681</v>
      </c>
      <c r="AI26" s="239">
        <v>0</v>
      </c>
      <c r="AJ26" s="239">
        <v>61728</v>
      </c>
      <c r="AK26" s="239">
        <v>6172818</v>
      </c>
      <c r="AL26" s="239">
        <v>-412375</v>
      </c>
      <c r="AM26" s="239">
        <v>-404127</v>
      </c>
      <c r="AN26" s="239">
        <v>0</v>
      </c>
      <c r="AO26" s="239">
        <v>-8247</v>
      </c>
      <c r="AP26" s="239">
        <v>-824749</v>
      </c>
      <c r="AQ26" s="239">
        <v>-1135000</v>
      </c>
      <c r="AR26" s="239">
        <v>-1112300</v>
      </c>
      <c r="AS26" s="239">
        <v>0</v>
      </c>
      <c r="AT26" s="239">
        <v>-22700</v>
      </c>
      <c r="AU26" s="239">
        <v>-2270000</v>
      </c>
      <c r="AV26" s="239">
        <v>525126</v>
      </c>
      <c r="AW26" s="239">
        <v>514623</v>
      </c>
      <c r="AX26" s="239">
        <v>0</v>
      </c>
      <c r="AY26" s="239">
        <v>10503</v>
      </c>
      <c r="AZ26" s="239">
        <v>1050252</v>
      </c>
      <c r="BA26" s="239">
        <v>-657500</v>
      </c>
      <c r="BB26" s="239">
        <v>-644350</v>
      </c>
      <c r="BC26" s="239">
        <v>0</v>
      </c>
      <c r="BD26" s="239">
        <v>-13150</v>
      </c>
      <c r="BE26" s="239">
        <v>-1315000</v>
      </c>
      <c r="BF26" s="239">
        <v>-1267374</v>
      </c>
      <c r="BG26" s="239">
        <v>-1242027</v>
      </c>
      <c r="BH26" s="239">
        <v>0</v>
      </c>
      <c r="BI26" s="239">
        <v>-25347</v>
      </c>
      <c r="BJ26" s="239">
        <v>-2534748</v>
      </c>
      <c r="BK26" s="239">
        <v>-3907251</v>
      </c>
      <c r="BL26" s="239">
        <v>-3829105</v>
      </c>
      <c r="BM26" s="239">
        <v>0</v>
      </c>
      <c r="BN26" s="239">
        <v>-78145</v>
      </c>
      <c r="BO26" s="239">
        <v>-7814501</v>
      </c>
      <c r="BP26" s="239">
        <v>1758411</v>
      </c>
      <c r="BQ26" s="239">
        <v>1723243</v>
      </c>
      <c r="BR26" s="239">
        <v>0</v>
      </c>
      <c r="BS26" s="239">
        <v>35168</v>
      </c>
      <c r="BT26" s="239">
        <v>3516822</v>
      </c>
      <c r="BU26" s="239">
        <v>-2850000</v>
      </c>
      <c r="BV26" s="239">
        <v>-2793000</v>
      </c>
      <c r="BW26" s="239">
        <v>0</v>
      </c>
      <c r="BX26" s="239">
        <v>-57000</v>
      </c>
      <c r="BY26" s="239">
        <v>-5700000</v>
      </c>
      <c r="BZ26" s="239">
        <v>-4998840</v>
      </c>
      <c r="CA26" s="239">
        <v>-4898862</v>
      </c>
      <c r="CB26" s="239">
        <v>0</v>
      </c>
      <c r="CC26" s="239">
        <v>-99977</v>
      </c>
      <c r="CD26" s="239">
        <v>-9997679</v>
      </c>
      <c r="CE26" s="239">
        <v>392296</v>
      </c>
      <c r="CF26" s="239">
        <v>384451</v>
      </c>
      <c r="CG26" s="239">
        <v>0</v>
      </c>
      <c r="CH26" s="239">
        <v>7846</v>
      </c>
      <c r="CI26" s="239">
        <v>784593</v>
      </c>
      <c r="CJ26" s="239">
        <v>-119402</v>
      </c>
      <c r="CK26" s="239">
        <v>-117014</v>
      </c>
      <c r="CL26" s="239">
        <v>0</v>
      </c>
      <c r="CM26" s="239">
        <v>-2388</v>
      </c>
      <c r="CN26" s="239">
        <v>-238804</v>
      </c>
      <c r="CO26" s="239">
        <v>511698</v>
      </c>
      <c r="CP26" s="239">
        <v>501465</v>
      </c>
      <c r="CQ26" s="239">
        <v>0</v>
      </c>
      <c r="CR26" s="239">
        <v>10234</v>
      </c>
      <c r="CS26" s="239">
        <v>1023397</v>
      </c>
      <c r="CT26" s="239">
        <v>21388329</v>
      </c>
      <c r="CU26" s="239">
        <v>20960563</v>
      </c>
      <c r="CV26" s="239">
        <v>0</v>
      </c>
      <c r="CW26" s="239">
        <v>427767</v>
      </c>
      <c r="CX26" s="239">
        <v>42776659</v>
      </c>
      <c r="CY26" s="239">
        <v>18798263</v>
      </c>
      <c r="CZ26" s="239">
        <v>18422297</v>
      </c>
      <c r="DA26" s="239">
        <v>0</v>
      </c>
      <c r="DB26" s="239">
        <v>375965</v>
      </c>
      <c r="DC26" s="239">
        <v>37596525</v>
      </c>
      <c r="DD26" s="239">
        <v>-2590066</v>
      </c>
      <c r="DE26" s="239">
        <v>-2538266</v>
      </c>
      <c r="DF26" s="239">
        <v>0</v>
      </c>
      <c r="DG26" s="239">
        <v>-51802</v>
      </c>
      <c r="DH26" s="239">
        <v>-5180134</v>
      </c>
      <c r="DI26" s="239">
        <v>-2078368</v>
      </c>
      <c r="DJ26" s="239">
        <v>-2036801</v>
      </c>
      <c r="DK26" s="239">
        <v>0</v>
      </c>
      <c r="DL26" s="239">
        <v>-41568</v>
      </c>
      <c r="DM26" s="239">
        <v>-4156737</v>
      </c>
      <c r="DN26" s="835">
        <v>0.5</v>
      </c>
      <c r="DO26" s="835">
        <v>0.49</v>
      </c>
      <c r="DP26" s="835">
        <v>0</v>
      </c>
      <c r="DQ26" s="835">
        <v>0.01</v>
      </c>
      <c r="DR26" s="835">
        <v>1</v>
      </c>
      <c r="DS26" s="214" t="s">
        <v>746</v>
      </c>
      <c r="DU26" s="214">
        <v>0</v>
      </c>
    </row>
    <row r="27" spans="2:125" s="214" customFormat="1" x14ac:dyDescent="0.2">
      <c r="B27" s="602" t="s">
        <v>137</v>
      </c>
      <c r="C27" s="602" t="s">
        <v>136</v>
      </c>
      <c r="D27" s="239">
        <v>10793251</v>
      </c>
      <c r="E27" s="239">
        <v>8634600</v>
      </c>
      <c r="F27" s="239">
        <v>1942785</v>
      </c>
      <c r="G27" s="239">
        <v>215865</v>
      </c>
      <c r="H27" s="239">
        <v>21586501</v>
      </c>
      <c r="I27" s="239">
        <v>0</v>
      </c>
      <c r="J27" s="239">
        <v>0</v>
      </c>
      <c r="K27" s="239">
        <v>10793251</v>
      </c>
      <c r="L27" s="239">
        <v>96880</v>
      </c>
      <c r="M27" s="239">
        <v>96880</v>
      </c>
      <c r="N27" s="239">
        <v>0</v>
      </c>
      <c r="O27" s="239">
        <v>0</v>
      </c>
      <c r="P27" s="239">
        <v>67866</v>
      </c>
      <c r="Q27" s="239">
        <v>0</v>
      </c>
      <c r="R27" s="239">
        <v>67866</v>
      </c>
      <c r="S27" s="239">
        <v>0</v>
      </c>
      <c r="T27" s="239">
        <v>0</v>
      </c>
      <c r="U27" s="239">
        <v>0</v>
      </c>
      <c r="V27" s="239">
        <v>0</v>
      </c>
      <c r="W27" s="239">
        <v>0</v>
      </c>
      <c r="X27" s="239">
        <v>0</v>
      </c>
      <c r="Y27" s="239">
        <v>0</v>
      </c>
      <c r="Z27" s="239">
        <v>0</v>
      </c>
      <c r="AA27" s="239">
        <v>0</v>
      </c>
      <c r="AB27" s="239">
        <v>0</v>
      </c>
      <c r="AC27" s="239">
        <v>723675</v>
      </c>
      <c r="AD27" s="239">
        <v>162597</v>
      </c>
      <c r="AE27" s="239">
        <v>18067</v>
      </c>
      <c r="AF27" s="239">
        <v>904339</v>
      </c>
      <c r="AG27" s="239">
        <v>199086</v>
      </c>
      <c r="AH27" s="239">
        <v>159269</v>
      </c>
      <c r="AI27" s="239">
        <v>35836</v>
      </c>
      <c r="AJ27" s="239">
        <v>3982</v>
      </c>
      <c r="AK27" s="239">
        <v>398173</v>
      </c>
      <c r="AL27" s="239">
        <v>-563319</v>
      </c>
      <c r="AM27" s="239">
        <v>-450656</v>
      </c>
      <c r="AN27" s="239">
        <v>-101398</v>
      </c>
      <c r="AO27" s="239">
        <v>-11266</v>
      </c>
      <c r="AP27" s="239">
        <v>-1126639</v>
      </c>
      <c r="AQ27" s="239">
        <v>-81729</v>
      </c>
      <c r="AR27" s="239">
        <v>-65383</v>
      </c>
      <c r="AS27" s="239">
        <v>-14711</v>
      </c>
      <c r="AT27" s="239">
        <v>-1635</v>
      </c>
      <c r="AU27" s="239">
        <v>-163458</v>
      </c>
      <c r="AV27" s="239">
        <v>0</v>
      </c>
      <c r="AW27" s="239">
        <v>0</v>
      </c>
      <c r="AX27" s="239">
        <v>0</v>
      </c>
      <c r="AY27" s="239">
        <v>0</v>
      </c>
      <c r="AZ27" s="239">
        <v>0</v>
      </c>
      <c r="BA27" s="239">
        <v>-39978</v>
      </c>
      <c r="BB27" s="239">
        <v>-31983</v>
      </c>
      <c r="BC27" s="239">
        <v>-7196</v>
      </c>
      <c r="BD27" s="239">
        <v>-800</v>
      </c>
      <c r="BE27" s="239">
        <v>-79957</v>
      </c>
      <c r="BF27" s="239">
        <v>-121707</v>
      </c>
      <c r="BG27" s="239">
        <v>-97366</v>
      </c>
      <c r="BH27" s="239">
        <v>-21907</v>
      </c>
      <c r="BI27" s="239">
        <v>-2435</v>
      </c>
      <c r="BJ27" s="239">
        <v>-243415</v>
      </c>
      <c r="BK27" s="239">
        <v>-1333687</v>
      </c>
      <c r="BL27" s="239">
        <v>-1066950</v>
      </c>
      <c r="BM27" s="239">
        <v>-240064</v>
      </c>
      <c r="BN27" s="239">
        <v>-26674</v>
      </c>
      <c r="BO27" s="239">
        <v>-2667375</v>
      </c>
      <c r="BP27" s="239">
        <v>223531</v>
      </c>
      <c r="BQ27" s="239">
        <v>178826</v>
      </c>
      <c r="BR27" s="239">
        <v>40236</v>
      </c>
      <c r="BS27" s="239">
        <v>4471</v>
      </c>
      <c r="BT27" s="239">
        <v>447064</v>
      </c>
      <c r="BU27" s="239">
        <v>-1735569</v>
      </c>
      <c r="BV27" s="239">
        <v>-1388456</v>
      </c>
      <c r="BW27" s="239">
        <v>-312403</v>
      </c>
      <c r="BX27" s="239">
        <v>-34711</v>
      </c>
      <c r="BY27" s="239">
        <v>-3471139</v>
      </c>
      <c r="BZ27" s="239">
        <v>-2845725</v>
      </c>
      <c r="CA27" s="239">
        <v>-2276580</v>
      </c>
      <c r="CB27" s="239">
        <v>-512231</v>
      </c>
      <c r="CC27" s="239">
        <v>-56914</v>
      </c>
      <c r="CD27" s="239">
        <v>-5691450</v>
      </c>
      <c r="CE27" s="239">
        <v>1384995</v>
      </c>
      <c r="CF27" s="239">
        <v>1107995</v>
      </c>
      <c r="CG27" s="239">
        <v>249298</v>
      </c>
      <c r="CH27" s="239">
        <v>27700</v>
      </c>
      <c r="CI27" s="239">
        <v>2769988</v>
      </c>
      <c r="CJ27" s="239">
        <v>1442948</v>
      </c>
      <c r="CK27" s="239">
        <v>1154359</v>
      </c>
      <c r="CL27" s="239">
        <v>259731</v>
      </c>
      <c r="CM27" s="239">
        <v>28859</v>
      </c>
      <c r="CN27" s="239">
        <v>2885897</v>
      </c>
      <c r="CO27" s="239">
        <v>-57953</v>
      </c>
      <c r="CP27" s="239">
        <v>-46364</v>
      </c>
      <c r="CQ27" s="239">
        <v>-10433</v>
      </c>
      <c r="CR27" s="239">
        <v>-1159</v>
      </c>
      <c r="CS27" s="239">
        <v>-115909</v>
      </c>
      <c r="CT27" s="239">
        <v>12382180</v>
      </c>
      <c r="CU27" s="239">
        <v>9905744</v>
      </c>
      <c r="CV27" s="239">
        <v>2228792</v>
      </c>
      <c r="CW27" s="239">
        <v>247644</v>
      </c>
      <c r="CX27" s="239">
        <v>24764360</v>
      </c>
      <c r="CY27" s="239">
        <v>10793251</v>
      </c>
      <c r="CZ27" s="239">
        <v>8634600</v>
      </c>
      <c r="DA27" s="239">
        <v>1942785</v>
      </c>
      <c r="DB27" s="239">
        <v>215865</v>
      </c>
      <c r="DC27" s="239">
        <v>21586501</v>
      </c>
      <c r="DD27" s="239">
        <v>-1588929</v>
      </c>
      <c r="DE27" s="239">
        <v>-1271144</v>
      </c>
      <c r="DF27" s="239">
        <v>-286007</v>
      </c>
      <c r="DG27" s="239">
        <v>-31779</v>
      </c>
      <c r="DH27" s="239">
        <v>-3177859</v>
      </c>
      <c r="DI27" s="239">
        <v>-1646882</v>
      </c>
      <c r="DJ27" s="239">
        <v>-1317508</v>
      </c>
      <c r="DK27" s="239">
        <v>-296440</v>
      </c>
      <c r="DL27" s="239">
        <v>-32938</v>
      </c>
      <c r="DM27" s="239">
        <v>-3293768</v>
      </c>
      <c r="DN27" s="835">
        <v>0.5</v>
      </c>
      <c r="DO27" s="835">
        <v>0.4</v>
      </c>
      <c r="DP27" s="835">
        <v>0.09</v>
      </c>
      <c r="DQ27" s="835">
        <v>0.01</v>
      </c>
      <c r="DR27" s="835">
        <v>1</v>
      </c>
      <c r="DS27" s="214" t="s">
        <v>1158</v>
      </c>
      <c r="DU27" s="214">
        <v>0</v>
      </c>
    </row>
    <row r="28" spans="2:125" s="214" customFormat="1" x14ac:dyDescent="0.2">
      <c r="B28" s="602" t="s">
        <v>139</v>
      </c>
      <c r="C28" s="602" t="s">
        <v>138</v>
      </c>
      <c r="D28" s="239">
        <v>0</v>
      </c>
      <c r="E28" s="239">
        <v>77151374</v>
      </c>
      <c r="F28" s="239">
        <v>0</v>
      </c>
      <c r="G28" s="239">
        <v>779307</v>
      </c>
      <c r="H28" s="239">
        <v>77930681</v>
      </c>
      <c r="I28" s="239">
        <v>0</v>
      </c>
      <c r="J28" s="239">
        <v>0</v>
      </c>
      <c r="K28" s="239">
        <v>0</v>
      </c>
      <c r="L28" s="239">
        <v>393126</v>
      </c>
      <c r="M28" s="239">
        <v>393126</v>
      </c>
      <c r="N28" s="239">
        <v>0</v>
      </c>
      <c r="O28" s="239">
        <v>0</v>
      </c>
      <c r="P28" s="239">
        <v>0</v>
      </c>
      <c r="Q28" s="239">
        <v>0</v>
      </c>
      <c r="R28" s="239">
        <v>0</v>
      </c>
      <c r="S28" s="239">
        <v>0</v>
      </c>
      <c r="T28" s="239">
        <v>0</v>
      </c>
      <c r="U28" s="239">
        <v>0</v>
      </c>
      <c r="V28" s="239">
        <v>0</v>
      </c>
      <c r="W28" s="239">
        <v>0</v>
      </c>
      <c r="X28" s="239">
        <v>0</v>
      </c>
      <c r="Y28" s="239">
        <v>0</v>
      </c>
      <c r="Z28" s="239">
        <v>0</v>
      </c>
      <c r="AA28" s="239">
        <v>0</v>
      </c>
      <c r="AB28" s="239">
        <v>0</v>
      </c>
      <c r="AC28" s="239">
        <v>9265054</v>
      </c>
      <c r="AD28" s="239">
        <v>0</v>
      </c>
      <c r="AE28" s="239">
        <v>93585</v>
      </c>
      <c r="AF28" s="239">
        <v>9358639</v>
      </c>
      <c r="AG28" s="239">
        <v>0</v>
      </c>
      <c r="AH28" s="239">
        <v>7647949</v>
      </c>
      <c r="AI28" s="239">
        <v>0</v>
      </c>
      <c r="AJ28" s="239">
        <v>77252</v>
      </c>
      <c r="AK28" s="239">
        <v>7725201</v>
      </c>
      <c r="AL28" s="239">
        <v>0</v>
      </c>
      <c r="AM28" s="239">
        <v>-2160613</v>
      </c>
      <c r="AN28" s="239">
        <v>0</v>
      </c>
      <c r="AO28" s="239">
        <v>-21824</v>
      </c>
      <c r="AP28" s="239">
        <v>-2182437</v>
      </c>
      <c r="AQ28" s="239">
        <v>0</v>
      </c>
      <c r="AR28" s="239">
        <v>-4292812</v>
      </c>
      <c r="AS28" s="239">
        <v>0</v>
      </c>
      <c r="AT28" s="239">
        <v>-43362</v>
      </c>
      <c r="AU28" s="239">
        <v>-4336174</v>
      </c>
      <c r="AV28" s="239">
        <v>0</v>
      </c>
      <c r="AW28" s="239">
        <v>1333211</v>
      </c>
      <c r="AX28" s="239">
        <v>0</v>
      </c>
      <c r="AY28" s="239">
        <v>13467</v>
      </c>
      <c r="AZ28" s="239">
        <v>1346678</v>
      </c>
      <c r="BA28" s="239">
        <v>0</v>
      </c>
      <c r="BB28" s="239">
        <v>-1737598</v>
      </c>
      <c r="BC28" s="239">
        <v>0</v>
      </c>
      <c r="BD28" s="239">
        <v>-17551</v>
      </c>
      <c r="BE28" s="239">
        <v>-1755149</v>
      </c>
      <c r="BF28" s="239">
        <v>0</v>
      </c>
      <c r="BG28" s="239">
        <v>-4697199</v>
      </c>
      <c r="BH28" s="239">
        <v>0</v>
      </c>
      <c r="BI28" s="239">
        <v>-47446</v>
      </c>
      <c r="BJ28" s="239">
        <v>-4744645</v>
      </c>
      <c r="BK28" s="239">
        <v>0</v>
      </c>
      <c r="BL28" s="239">
        <v>-6796683</v>
      </c>
      <c r="BM28" s="239">
        <v>0</v>
      </c>
      <c r="BN28" s="239">
        <v>-68653</v>
      </c>
      <c r="BO28" s="239">
        <v>-6865336</v>
      </c>
      <c r="BP28" s="239">
        <v>0</v>
      </c>
      <c r="BQ28" s="239">
        <v>2648313</v>
      </c>
      <c r="BR28" s="239">
        <v>0</v>
      </c>
      <c r="BS28" s="239">
        <v>26751</v>
      </c>
      <c r="BT28" s="239">
        <v>2675064</v>
      </c>
      <c r="BU28" s="239">
        <v>0</v>
      </c>
      <c r="BV28" s="239">
        <v>-4884992</v>
      </c>
      <c r="BW28" s="239">
        <v>0</v>
      </c>
      <c r="BX28" s="239">
        <v>-49343</v>
      </c>
      <c r="BY28" s="239">
        <v>-4934335</v>
      </c>
      <c r="BZ28" s="239">
        <v>0</v>
      </c>
      <c r="CA28" s="239">
        <v>-9033362</v>
      </c>
      <c r="CB28" s="239">
        <v>0</v>
      </c>
      <c r="CC28" s="239">
        <v>-91245</v>
      </c>
      <c r="CD28" s="239">
        <v>-9124607</v>
      </c>
      <c r="CE28" s="239">
        <v>-4941828</v>
      </c>
      <c r="CF28" s="239">
        <v>-4842992</v>
      </c>
      <c r="CG28" s="239">
        <v>0</v>
      </c>
      <c r="CH28" s="239">
        <v>-98837</v>
      </c>
      <c r="CI28" s="239">
        <v>-9883657</v>
      </c>
      <c r="CJ28" s="239">
        <v>-4479177</v>
      </c>
      <c r="CK28" s="239">
        <v>-4389594</v>
      </c>
      <c r="CL28" s="239">
        <v>0</v>
      </c>
      <c r="CM28" s="239">
        <v>-89584</v>
      </c>
      <c r="CN28" s="239">
        <v>-8958355</v>
      </c>
      <c r="CO28" s="239">
        <v>-462651</v>
      </c>
      <c r="CP28" s="239">
        <v>-453398</v>
      </c>
      <c r="CQ28" s="239">
        <v>0</v>
      </c>
      <c r="CR28" s="239">
        <v>-9253</v>
      </c>
      <c r="CS28" s="239">
        <v>-925302</v>
      </c>
      <c r="CT28" s="239">
        <v>0</v>
      </c>
      <c r="CU28" s="239">
        <v>76622393</v>
      </c>
      <c r="CV28" s="239">
        <v>0</v>
      </c>
      <c r="CW28" s="239">
        <v>773964</v>
      </c>
      <c r="CX28" s="239">
        <v>77396357</v>
      </c>
      <c r="CY28" s="239">
        <v>0</v>
      </c>
      <c r="CZ28" s="239">
        <v>77151374</v>
      </c>
      <c r="DA28" s="239">
        <v>0</v>
      </c>
      <c r="DB28" s="239">
        <v>779307</v>
      </c>
      <c r="DC28" s="239">
        <v>77930681</v>
      </c>
      <c r="DD28" s="239">
        <v>0</v>
      </c>
      <c r="DE28" s="239">
        <v>528981</v>
      </c>
      <c r="DF28" s="239">
        <v>0</v>
      </c>
      <c r="DG28" s="239">
        <v>5343</v>
      </c>
      <c r="DH28" s="239">
        <v>534324</v>
      </c>
      <c r="DI28" s="239">
        <v>-462651</v>
      </c>
      <c r="DJ28" s="239">
        <v>75583</v>
      </c>
      <c r="DK28" s="239">
        <v>0</v>
      </c>
      <c r="DL28" s="239">
        <v>-3910</v>
      </c>
      <c r="DM28" s="239">
        <v>-390978</v>
      </c>
      <c r="DN28" s="835">
        <v>0</v>
      </c>
      <c r="DO28" s="835">
        <v>0.99</v>
      </c>
      <c r="DP28" s="835">
        <v>0</v>
      </c>
      <c r="DQ28" s="835">
        <v>0.01</v>
      </c>
      <c r="DR28" s="835">
        <v>1</v>
      </c>
      <c r="DS28" s="214" t="s">
        <v>1160</v>
      </c>
      <c r="DU28" s="214">
        <v>0</v>
      </c>
    </row>
    <row r="29" spans="2:125" s="214" customFormat="1" x14ac:dyDescent="0.2">
      <c r="B29" s="602" t="s">
        <v>141</v>
      </c>
      <c r="C29" s="602" t="s">
        <v>140</v>
      </c>
      <c r="D29" s="239">
        <v>9257729</v>
      </c>
      <c r="E29" s="239">
        <v>7406183</v>
      </c>
      <c r="F29" s="239">
        <v>1851546</v>
      </c>
      <c r="G29" s="239">
        <v>0</v>
      </c>
      <c r="H29" s="239">
        <v>18515458</v>
      </c>
      <c r="I29" s="239">
        <v>0</v>
      </c>
      <c r="J29" s="239">
        <v>0</v>
      </c>
      <c r="K29" s="239">
        <v>9257729</v>
      </c>
      <c r="L29" s="239">
        <v>91296</v>
      </c>
      <c r="M29" s="239">
        <v>91296</v>
      </c>
      <c r="N29" s="239">
        <v>0</v>
      </c>
      <c r="O29" s="239">
        <v>0</v>
      </c>
      <c r="P29" s="239">
        <v>148595</v>
      </c>
      <c r="Q29" s="239">
        <v>0</v>
      </c>
      <c r="R29" s="239">
        <v>148595</v>
      </c>
      <c r="S29" s="239">
        <v>0</v>
      </c>
      <c r="T29" s="239">
        <v>0</v>
      </c>
      <c r="U29" s="239">
        <v>0</v>
      </c>
      <c r="V29" s="239">
        <v>0</v>
      </c>
      <c r="W29" s="239">
        <v>0</v>
      </c>
      <c r="X29" s="239">
        <v>0</v>
      </c>
      <c r="Y29" s="239">
        <v>0</v>
      </c>
      <c r="Z29" s="239">
        <v>0</v>
      </c>
      <c r="AA29" s="239">
        <v>0</v>
      </c>
      <c r="AB29" s="239">
        <v>0</v>
      </c>
      <c r="AC29" s="239">
        <v>819197</v>
      </c>
      <c r="AD29" s="239">
        <v>204241</v>
      </c>
      <c r="AE29" s="239">
        <v>0</v>
      </c>
      <c r="AF29" s="239">
        <v>1023438</v>
      </c>
      <c r="AG29" s="239">
        <v>306949</v>
      </c>
      <c r="AH29" s="239">
        <v>245560</v>
      </c>
      <c r="AI29" s="239">
        <v>61390</v>
      </c>
      <c r="AJ29" s="239">
        <v>0</v>
      </c>
      <c r="AK29" s="239">
        <v>613899</v>
      </c>
      <c r="AL29" s="239">
        <v>-282113</v>
      </c>
      <c r="AM29" s="239">
        <v>-225691</v>
      </c>
      <c r="AN29" s="239">
        <v>-56423</v>
      </c>
      <c r="AO29" s="239">
        <v>0</v>
      </c>
      <c r="AP29" s="239">
        <v>-564227</v>
      </c>
      <c r="AQ29" s="239">
        <v>-119108</v>
      </c>
      <c r="AR29" s="239">
        <v>-95287</v>
      </c>
      <c r="AS29" s="239">
        <v>-23822</v>
      </c>
      <c r="AT29" s="239">
        <v>0</v>
      </c>
      <c r="AU29" s="239">
        <v>-238217</v>
      </c>
      <c r="AV29" s="239">
        <v>100279</v>
      </c>
      <c r="AW29" s="239">
        <v>80224</v>
      </c>
      <c r="AX29" s="239">
        <v>20056</v>
      </c>
      <c r="AY29" s="239">
        <v>0</v>
      </c>
      <c r="AZ29" s="239">
        <v>200559</v>
      </c>
      <c r="BA29" s="239">
        <v>-63904</v>
      </c>
      <c r="BB29" s="239">
        <v>-51124</v>
      </c>
      <c r="BC29" s="239">
        <v>-12781</v>
      </c>
      <c r="BD29" s="239">
        <v>0</v>
      </c>
      <c r="BE29" s="239">
        <v>-127809</v>
      </c>
      <c r="BF29" s="239">
        <v>-82733</v>
      </c>
      <c r="BG29" s="239">
        <v>-66187</v>
      </c>
      <c r="BH29" s="239">
        <v>-16547</v>
      </c>
      <c r="BI29" s="239">
        <v>0</v>
      </c>
      <c r="BJ29" s="239">
        <v>-165467</v>
      </c>
      <c r="BK29" s="239">
        <v>-1103729</v>
      </c>
      <c r="BL29" s="239">
        <v>-882983</v>
      </c>
      <c r="BM29" s="239">
        <v>-220746</v>
      </c>
      <c r="BN29" s="239">
        <v>0</v>
      </c>
      <c r="BO29" s="239">
        <v>-2207458</v>
      </c>
      <c r="BP29" s="239">
        <v>0</v>
      </c>
      <c r="BQ29" s="239">
        <v>0</v>
      </c>
      <c r="BR29" s="239">
        <v>0</v>
      </c>
      <c r="BS29" s="239">
        <v>0</v>
      </c>
      <c r="BT29" s="239">
        <v>0</v>
      </c>
      <c r="BU29" s="239">
        <v>-463750</v>
      </c>
      <c r="BV29" s="239">
        <v>-371000</v>
      </c>
      <c r="BW29" s="239">
        <v>-92750</v>
      </c>
      <c r="BX29" s="239">
        <v>0</v>
      </c>
      <c r="BY29" s="239">
        <v>-927500</v>
      </c>
      <c r="BZ29" s="239">
        <v>-1567479</v>
      </c>
      <c r="CA29" s="239">
        <v>-1253983</v>
      </c>
      <c r="CB29" s="239">
        <v>-313496</v>
      </c>
      <c r="CC29" s="239">
        <v>0</v>
      </c>
      <c r="CD29" s="239">
        <v>-3134958</v>
      </c>
      <c r="CE29" s="239">
        <v>-187380</v>
      </c>
      <c r="CF29" s="239">
        <v>-149906</v>
      </c>
      <c r="CG29" s="239">
        <v>-37476</v>
      </c>
      <c r="CH29" s="239">
        <v>0</v>
      </c>
      <c r="CI29" s="239">
        <v>-374762</v>
      </c>
      <c r="CJ29" s="239">
        <v>6303</v>
      </c>
      <c r="CK29" s="239">
        <v>5042</v>
      </c>
      <c r="CL29" s="239">
        <v>1261</v>
      </c>
      <c r="CM29" s="239">
        <v>0</v>
      </c>
      <c r="CN29" s="239">
        <v>12606</v>
      </c>
      <c r="CO29" s="239">
        <v>-193683</v>
      </c>
      <c r="CP29" s="239">
        <v>-154948</v>
      </c>
      <c r="CQ29" s="239">
        <v>-38737</v>
      </c>
      <c r="CR29" s="239">
        <v>0</v>
      </c>
      <c r="CS29" s="239">
        <v>-387368</v>
      </c>
      <c r="CT29" s="239">
        <v>9576167</v>
      </c>
      <c r="CU29" s="239">
        <v>7660934</v>
      </c>
      <c r="CV29" s="239">
        <v>1915234</v>
      </c>
      <c r="CW29" s="239">
        <v>0</v>
      </c>
      <c r="CX29" s="239">
        <v>19152335</v>
      </c>
      <c r="CY29" s="239">
        <v>9257729</v>
      </c>
      <c r="CZ29" s="239">
        <v>7406183</v>
      </c>
      <c r="DA29" s="239">
        <v>1851546</v>
      </c>
      <c r="DB29" s="239">
        <v>0</v>
      </c>
      <c r="DC29" s="239">
        <v>18515458</v>
      </c>
      <c r="DD29" s="239">
        <v>-318438</v>
      </c>
      <c r="DE29" s="239">
        <v>-254751</v>
      </c>
      <c r="DF29" s="239">
        <v>-63688</v>
      </c>
      <c r="DG29" s="239">
        <v>0</v>
      </c>
      <c r="DH29" s="239">
        <v>-636877</v>
      </c>
      <c r="DI29" s="239">
        <v>-512121</v>
      </c>
      <c r="DJ29" s="239">
        <v>-409699</v>
      </c>
      <c r="DK29" s="239">
        <v>-102425</v>
      </c>
      <c r="DL29" s="239">
        <v>0</v>
      </c>
      <c r="DM29" s="239">
        <v>-1024245</v>
      </c>
      <c r="DN29" s="835">
        <v>0.5</v>
      </c>
      <c r="DO29" s="835">
        <v>0.4</v>
      </c>
      <c r="DP29" s="835">
        <v>0.1</v>
      </c>
      <c r="DQ29" s="835">
        <v>0</v>
      </c>
      <c r="DR29" s="835">
        <v>1</v>
      </c>
      <c r="DS29" s="214" t="s">
        <v>1158</v>
      </c>
      <c r="DU29" s="214">
        <v>0</v>
      </c>
    </row>
    <row r="30" spans="2:125" s="214" customFormat="1" x14ac:dyDescent="0.2">
      <c r="B30" s="602" t="s">
        <v>143</v>
      </c>
      <c r="C30" s="602" t="s">
        <v>142</v>
      </c>
      <c r="D30" s="239">
        <v>30576456</v>
      </c>
      <c r="E30" s="239">
        <v>29964927</v>
      </c>
      <c r="F30" s="239">
        <v>0</v>
      </c>
      <c r="G30" s="239">
        <v>611529</v>
      </c>
      <c r="H30" s="239">
        <v>61152912</v>
      </c>
      <c r="I30" s="239">
        <v>0</v>
      </c>
      <c r="J30" s="239">
        <v>0</v>
      </c>
      <c r="K30" s="239">
        <v>30576456</v>
      </c>
      <c r="L30" s="239">
        <v>292496</v>
      </c>
      <c r="M30" s="239">
        <v>292496</v>
      </c>
      <c r="N30" s="239">
        <v>0</v>
      </c>
      <c r="O30" s="239">
        <v>0</v>
      </c>
      <c r="P30" s="239">
        <v>204</v>
      </c>
      <c r="Q30" s="239">
        <v>0</v>
      </c>
      <c r="R30" s="239">
        <v>204</v>
      </c>
      <c r="S30" s="239">
        <v>0</v>
      </c>
      <c r="T30" s="239">
        <v>0</v>
      </c>
      <c r="U30" s="239">
        <v>0</v>
      </c>
      <c r="V30" s="239">
        <v>0</v>
      </c>
      <c r="W30" s="239">
        <v>0</v>
      </c>
      <c r="X30" s="239">
        <v>0</v>
      </c>
      <c r="Y30" s="239">
        <v>0</v>
      </c>
      <c r="Z30" s="239">
        <v>0</v>
      </c>
      <c r="AA30" s="239">
        <v>0</v>
      </c>
      <c r="AB30" s="239">
        <v>0</v>
      </c>
      <c r="AC30" s="239">
        <v>3029321</v>
      </c>
      <c r="AD30" s="239">
        <v>0</v>
      </c>
      <c r="AE30" s="239">
        <v>61824</v>
      </c>
      <c r="AF30" s="239">
        <v>3091145</v>
      </c>
      <c r="AG30" s="239">
        <v>1800853</v>
      </c>
      <c r="AH30" s="239">
        <v>1764836</v>
      </c>
      <c r="AI30" s="239">
        <v>0</v>
      </c>
      <c r="AJ30" s="239">
        <v>36017</v>
      </c>
      <c r="AK30" s="239">
        <v>3601706</v>
      </c>
      <c r="AL30" s="239">
        <v>-229506</v>
      </c>
      <c r="AM30" s="239">
        <v>-224916</v>
      </c>
      <c r="AN30" s="239">
        <v>0</v>
      </c>
      <c r="AO30" s="239">
        <v>-4590</v>
      </c>
      <c r="AP30" s="239">
        <v>-459012</v>
      </c>
      <c r="AQ30" s="239">
        <v>-957029</v>
      </c>
      <c r="AR30" s="239">
        <v>-937889</v>
      </c>
      <c r="AS30" s="239">
        <v>0</v>
      </c>
      <c r="AT30" s="239">
        <v>-19141</v>
      </c>
      <c r="AU30" s="239">
        <v>-1914059</v>
      </c>
      <c r="AV30" s="239">
        <v>293150</v>
      </c>
      <c r="AW30" s="239">
        <v>287287</v>
      </c>
      <c r="AX30" s="239">
        <v>0</v>
      </c>
      <c r="AY30" s="239">
        <v>5863</v>
      </c>
      <c r="AZ30" s="239">
        <v>586300</v>
      </c>
      <c r="BA30" s="239">
        <v>-345138</v>
      </c>
      <c r="BB30" s="239">
        <v>-338236</v>
      </c>
      <c r="BC30" s="239">
        <v>0</v>
      </c>
      <c r="BD30" s="239">
        <v>-6903</v>
      </c>
      <c r="BE30" s="239">
        <v>-690277</v>
      </c>
      <c r="BF30" s="239">
        <v>-1009017</v>
      </c>
      <c r="BG30" s="239">
        <v>-988838</v>
      </c>
      <c r="BH30" s="239">
        <v>0</v>
      </c>
      <c r="BI30" s="239">
        <v>-20181</v>
      </c>
      <c r="BJ30" s="239">
        <v>-2018036</v>
      </c>
      <c r="BK30" s="239">
        <v>-405584</v>
      </c>
      <c r="BL30" s="239">
        <v>-397473</v>
      </c>
      <c r="BM30" s="239">
        <v>0</v>
      </c>
      <c r="BN30" s="239">
        <v>-8112</v>
      </c>
      <c r="BO30" s="239">
        <v>-811169</v>
      </c>
      <c r="BP30" s="239">
        <v>1221514</v>
      </c>
      <c r="BQ30" s="239">
        <v>1197083</v>
      </c>
      <c r="BR30" s="239">
        <v>0</v>
      </c>
      <c r="BS30" s="239">
        <v>24430</v>
      </c>
      <c r="BT30" s="239">
        <v>2443027</v>
      </c>
      <c r="BU30" s="239">
        <v>-1241331</v>
      </c>
      <c r="BV30" s="239">
        <v>-1216505</v>
      </c>
      <c r="BW30" s="239">
        <v>0</v>
      </c>
      <c r="BX30" s="239">
        <v>-24827</v>
      </c>
      <c r="BY30" s="239">
        <v>-2482663</v>
      </c>
      <c r="BZ30" s="239">
        <v>-425401</v>
      </c>
      <c r="CA30" s="239">
        <v>-416895</v>
      </c>
      <c r="CB30" s="239">
        <v>0</v>
      </c>
      <c r="CC30" s="239">
        <v>-8509</v>
      </c>
      <c r="CD30" s="239">
        <v>-850805</v>
      </c>
      <c r="CE30" s="239">
        <v>-1908259.1099999994</v>
      </c>
      <c r="CF30" s="239">
        <v>-1870093</v>
      </c>
      <c r="CG30" s="239">
        <v>0</v>
      </c>
      <c r="CH30" s="239">
        <v>-38165</v>
      </c>
      <c r="CI30" s="239">
        <v>-3816517.1099999994</v>
      </c>
      <c r="CJ30" s="239">
        <v>-729583</v>
      </c>
      <c r="CK30" s="239">
        <v>-714992</v>
      </c>
      <c r="CL30" s="239">
        <v>0</v>
      </c>
      <c r="CM30" s="239">
        <v>-14592</v>
      </c>
      <c r="CN30" s="239">
        <v>-1459167</v>
      </c>
      <c r="CO30" s="239">
        <v>-1178676.1099999994</v>
      </c>
      <c r="CP30" s="239">
        <v>-1155101</v>
      </c>
      <c r="CQ30" s="239">
        <v>0</v>
      </c>
      <c r="CR30" s="239">
        <v>-23573</v>
      </c>
      <c r="CS30" s="239">
        <v>-2357350.1099999994</v>
      </c>
      <c r="CT30" s="239">
        <v>32465420</v>
      </c>
      <c r="CU30" s="239">
        <v>31816111</v>
      </c>
      <c r="CV30" s="239">
        <v>0</v>
      </c>
      <c r="CW30" s="239">
        <v>649308</v>
      </c>
      <c r="CX30" s="239">
        <v>64930839</v>
      </c>
      <c r="CY30" s="239">
        <v>30576456</v>
      </c>
      <c r="CZ30" s="239">
        <v>29964927</v>
      </c>
      <c r="DA30" s="239">
        <v>0</v>
      </c>
      <c r="DB30" s="239">
        <v>611529</v>
      </c>
      <c r="DC30" s="239">
        <v>61152912</v>
      </c>
      <c r="DD30" s="239">
        <v>-1888964</v>
      </c>
      <c r="DE30" s="239">
        <v>-1851184</v>
      </c>
      <c r="DF30" s="239">
        <v>0</v>
      </c>
      <c r="DG30" s="239">
        <v>-37779</v>
      </c>
      <c r="DH30" s="239">
        <v>-3777927</v>
      </c>
      <c r="DI30" s="239">
        <v>-3067640.1099999994</v>
      </c>
      <c r="DJ30" s="239">
        <v>-3006285</v>
      </c>
      <c r="DK30" s="239">
        <v>0</v>
      </c>
      <c r="DL30" s="239">
        <v>-61352</v>
      </c>
      <c r="DM30" s="239">
        <v>-6135277.1099999994</v>
      </c>
      <c r="DN30" s="835">
        <v>0.5</v>
      </c>
      <c r="DO30" s="835">
        <v>0.49</v>
      </c>
      <c r="DP30" s="835">
        <v>0</v>
      </c>
      <c r="DQ30" s="835">
        <v>0.01</v>
      </c>
      <c r="DR30" s="835">
        <v>1</v>
      </c>
      <c r="DS30" s="214" t="s">
        <v>746</v>
      </c>
      <c r="DU30" s="214">
        <v>0</v>
      </c>
    </row>
    <row r="31" spans="2:125" s="214" customFormat="1" x14ac:dyDescent="0.2">
      <c r="B31" s="602" t="s">
        <v>145</v>
      </c>
      <c r="C31" s="602" t="s">
        <v>144</v>
      </c>
      <c r="D31" s="239">
        <v>31994193</v>
      </c>
      <c r="E31" s="239">
        <v>31354310</v>
      </c>
      <c r="F31" s="239">
        <v>0</v>
      </c>
      <c r="G31" s="239">
        <v>639884</v>
      </c>
      <c r="H31" s="239">
        <v>63988387</v>
      </c>
      <c r="I31" s="239">
        <v>0</v>
      </c>
      <c r="J31" s="239">
        <v>0</v>
      </c>
      <c r="K31" s="239">
        <v>31994193</v>
      </c>
      <c r="L31" s="239">
        <v>144145</v>
      </c>
      <c r="M31" s="239">
        <v>144145</v>
      </c>
      <c r="N31" s="239">
        <v>0</v>
      </c>
      <c r="O31" s="239">
        <v>0</v>
      </c>
      <c r="P31" s="239">
        <v>0</v>
      </c>
      <c r="Q31" s="239">
        <v>0</v>
      </c>
      <c r="R31" s="239">
        <v>0</v>
      </c>
      <c r="S31" s="239">
        <v>0</v>
      </c>
      <c r="T31" s="239">
        <v>0</v>
      </c>
      <c r="U31" s="239">
        <v>0</v>
      </c>
      <c r="V31" s="239">
        <v>0</v>
      </c>
      <c r="W31" s="239">
        <v>0</v>
      </c>
      <c r="X31" s="239">
        <v>0</v>
      </c>
      <c r="Y31" s="239">
        <v>0</v>
      </c>
      <c r="Z31" s="239">
        <v>0</v>
      </c>
      <c r="AA31" s="239">
        <v>0</v>
      </c>
      <c r="AB31" s="239">
        <v>0</v>
      </c>
      <c r="AC31" s="239">
        <v>1055428</v>
      </c>
      <c r="AD31" s="239">
        <v>0</v>
      </c>
      <c r="AE31" s="239">
        <v>21540</v>
      </c>
      <c r="AF31" s="239">
        <v>1076968</v>
      </c>
      <c r="AG31" s="239">
        <v>1170677</v>
      </c>
      <c r="AH31" s="239">
        <v>1147263</v>
      </c>
      <c r="AI31" s="239">
        <v>0</v>
      </c>
      <c r="AJ31" s="239">
        <v>23414</v>
      </c>
      <c r="AK31" s="239">
        <v>2341354</v>
      </c>
      <c r="AL31" s="239">
        <v>-2512677</v>
      </c>
      <c r="AM31" s="239">
        <v>-2462424</v>
      </c>
      <c r="AN31" s="239">
        <v>0</v>
      </c>
      <c r="AO31" s="239">
        <v>-50254</v>
      </c>
      <c r="AP31" s="239">
        <v>-5025355</v>
      </c>
      <c r="AQ31" s="239">
        <v>-451700</v>
      </c>
      <c r="AR31" s="239">
        <v>-442666</v>
      </c>
      <c r="AS31" s="239">
        <v>0</v>
      </c>
      <c r="AT31" s="239">
        <v>-9034</v>
      </c>
      <c r="AU31" s="239">
        <v>-903400</v>
      </c>
      <c r="AV31" s="239">
        <v>0</v>
      </c>
      <c r="AW31" s="239">
        <v>0</v>
      </c>
      <c r="AX31" s="239">
        <v>0</v>
      </c>
      <c r="AY31" s="239">
        <v>0</v>
      </c>
      <c r="AZ31" s="239">
        <v>0</v>
      </c>
      <c r="BA31" s="239">
        <v>45000</v>
      </c>
      <c r="BB31" s="239">
        <v>44100</v>
      </c>
      <c r="BC31" s="239">
        <v>0</v>
      </c>
      <c r="BD31" s="239">
        <v>900</v>
      </c>
      <c r="BE31" s="239">
        <v>90000</v>
      </c>
      <c r="BF31" s="239">
        <v>-406700</v>
      </c>
      <c r="BG31" s="239">
        <v>-398566</v>
      </c>
      <c r="BH31" s="239">
        <v>0</v>
      </c>
      <c r="BI31" s="239">
        <v>-8134</v>
      </c>
      <c r="BJ31" s="239">
        <v>-813400</v>
      </c>
      <c r="BK31" s="239">
        <v>-6085895</v>
      </c>
      <c r="BL31" s="239">
        <v>-5964178</v>
      </c>
      <c r="BM31" s="239">
        <v>0</v>
      </c>
      <c r="BN31" s="239">
        <v>-121718</v>
      </c>
      <c r="BO31" s="239">
        <v>-12171791</v>
      </c>
      <c r="BP31" s="239">
        <v>570893</v>
      </c>
      <c r="BQ31" s="239">
        <v>559476</v>
      </c>
      <c r="BR31" s="239">
        <v>0</v>
      </c>
      <c r="BS31" s="239">
        <v>11418</v>
      </c>
      <c r="BT31" s="239">
        <v>1141787</v>
      </c>
      <c r="BU31" s="239">
        <v>-2231294</v>
      </c>
      <c r="BV31" s="239">
        <v>-2186669</v>
      </c>
      <c r="BW31" s="239">
        <v>0</v>
      </c>
      <c r="BX31" s="239">
        <v>-44626</v>
      </c>
      <c r="BY31" s="239">
        <v>-4462589</v>
      </c>
      <c r="BZ31" s="239">
        <v>-7746296</v>
      </c>
      <c r="CA31" s="239">
        <v>-7591371</v>
      </c>
      <c r="CB31" s="239">
        <v>0</v>
      </c>
      <c r="CC31" s="239">
        <v>-154926</v>
      </c>
      <c r="CD31" s="239">
        <v>-15492593</v>
      </c>
      <c r="CE31" s="239">
        <v>5284582</v>
      </c>
      <c r="CF31" s="239">
        <v>5178890</v>
      </c>
      <c r="CG31" s="239">
        <v>0</v>
      </c>
      <c r="CH31" s="239">
        <v>105691</v>
      </c>
      <c r="CI31" s="239">
        <v>10569163</v>
      </c>
      <c r="CJ31" s="239">
        <v>9299130</v>
      </c>
      <c r="CK31" s="239">
        <v>9113147</v>
      </c>
      <c r="CL31" s="239">
        <v>0</v>
      </c>
      <c r="CM31" s="239">
        <v>185983</v>
      </c>
      <c r="CN31" s="239">
        <v>18598260</v>
      </c>
      <c r="CO31" s="239">
        <v>-4014548</v>
      </c>
      <c r="CP31" s="239">
        <v>-3934257</v>
      </c>
      <c r="CQ31" s="239">
        <v>0</v>
      </c>
      <c r="CR31" s="239">
        <v>-80292</v>
      </c>
      <c r="CS31" s="239">
        <v>-8029097</v>
      </c>
      <c r="CT31" s="239">
        <v>30453648</v>
      </c>
      <c r="CU31" s="239">
        <v>29844576</v>
      </c>
      <c r="CV31" s="239">
        <v>0</v>
      </c>
      <c r="CW31" s="239">
        <v>609073</v>
      </c>
      <c r="CX31" s="239">
        <v>60907297</v>
      </c>
      <c r="CY31" s="239">
        <v>31994193</v>
      </c>
      <c r="CZ31" s="239">
        <v>31354310</v>
      </c>
      <c r="DA31" s="239">
        <v>0</v>
      </c>
      <c r="DB31" s="239">
        <v>639884</v>
      </c>
      <c r="DC31" s="239">
        <v>63988387</v>
      </c>
      <c r="DD31" s="239">
        <v>1540545</v>
      </c>
      <c r="DE31" s="239">
        <v>1509734</v>
      </c>
      <c r="DF31" s="239">
        <v>0</v>
      </c>
      <c r="DG31" s="239">
        <v>30811</v>
      </c>
      <c r="DH31" s="239">
        <v>3081090</v>
      </c>
      <c r="DI31" s="239">
        <v>-2474003</v>
      </c>
      <c r="DJ31" s="239">
        <v>-2424523</v>
      </c>
      <c r="DK31" s="239">
        <v>0</v>
      </c>
      <c r="DL31" s="239">
        <v>-49481</v>
      </c>
      <c r="DM31" s="239">
        <v>-4948007</v>
      </c>
      <c r="DN31" s="835">
        <v>0.5</v>
      </c>
      <c r="DO31" s="835">
        <v>0.49</v>
      </c>
      <c r="DP31" s="835">
        <v>0</v>
      </c>
      <c r="DQ31" s="835">
        <v>0.01</v>
      </c>
      <c r="DR31" s="835">
        <v>1</v>
      </c>
      <c r="DS31" s="214" t="s">
        <v>746</v>
      </c>
      <c r="DU31" s="214">
        <v>0</v>
      </c>
    </row>
    <row r="32" spans="2:125" s="214" customFormat="1" x14ac:dyDescent="0.2">
      <c r="B32" s="602" t="s">
        <v>147</v>
      </c>
      <c r="C32" s="602" t="s">
        <v>146</v>
      </c>
      <c r="D32" s="239">
        <v>62889527</v>
      </c>
      <c r="E32" s="239">
        <v>61631736</v>
      </c>
      <c r="F32" s="239">
        <v>0</v>
      </c>
      <c r="G32" s="239">
        <v>1257791</v>
      </c>
      <c r="H32" s="239">
        <v>125779054</v>
      </c>
      <c r="I32" s="239">
        <v>0</v>
      </c>
      <c r="J32" s="239">
        <v>0</v>
      </c>
      <c r="K32" s="239">
        <v>62889527</v>
      </c>
      <c r="L32" s="239">
        <v>736622</v>
      </c>
      <c r="M32" s="239">
        <v>736622</v>
      </c>
      <c r="N32" s="239">
        <v>0</v>
      </c>
      <c r="O32" s="239">
        <v>0</v>
      </c>
      <c r="P32" s="239">
        <v>0</v>
      </c>
      <c r="Q32" s="239">
        <v>0</v>
      </c>
      <c r="R32" s="239">
        <v>0</v>
      </c>
      <c r="S32" s="239">
        <v>0</v>
      </c>
      <c r="T32" s="239">
        <v>0</v>
      </c>
      <c r="U32" s="239">
        <v>0</v>
      </c>
      <c r="V32" s="239">
        <v>0</v>
      </c>
      <c r="W32" s="239">
        <v>0</v>
      </c>
      <c r="X32" s="239">
        <v>0</v>
      </c>
      <c r="Y32" s="239">
        <v>0</v>
      </c>
      <c r="Z32" s="239">
        <v>0</v>
      </c>
      <c r="AA32" s="239">
        <v>0</v>
      </c>
      <c r="AB32" s="239">
        <v>0</v>
      </c>
      <c r="AC32" s="239">
        <v>9108726</v>
      </c>
      <c r="AD32" s="239">
        <v>0</v>
      </c>
      <c r="AE32" s="239">
        <v>185894</v>
      </c>
      <c r="AF32" s="239">
        <v>9294620</v>
      </c>
      <c r="AG32" s="239">
        <v>3910012</v>
      </c>
      <c r="AH32" s="239">
        <v>3831812</v>
      </c>
      <c r="AI32" s="239">
        <v>0</v>
      </c>
      <c r="AJ32" s="239">
        <v>78200</v>
      </c>
      <c r="AK32" s="239">
        <v>7820024</v>
      </c>
      <c r="AL32" s="239">
        <v>-732156</v>
      </c>
      <c r="AM32" s="239">
        <v>-717513</v>
      </c>
      <c r="AN32" s="239">
        <v>0</v>
      </c>
      <c r="AO32" s="239">
        <v>-14643</v>
      </c>
      <c r="AP32" s="239">
        <v>-1464312</v>
      </c>
      <c r="AQ32" s="239">
        <v>-2474633</v>
      </c>
      <c r="AR32" s="239">
        <v>-2425141</v>
      </c>
      <c r="AS32" s="239">
        <v>0</v>
      </c>
      <c r="AT32" s="239">
        <v>-49493</v>
      </c>
      <c r="AU32" s="239">
        <v>-4949267</v>
      </c>
      <c r="AV32" s="239">
        <v>0</v>
      </c>
      <c r="AW32" s="239">
        <v>0</v>
      </c>
      <c r="AX32" s="239">
        <v>0</v>
      </c>
      <c r="AY32" s="239">
        <v>0</v>
      </c>
      <c r="AZ32" s="239">
        <v>0</v>
      </c>
      <c r="BA32" s="239">
        <v>518324</v>
      </c>
      <c r="BB32" s="239">
        <v>507959</v>
      </c>
      <c r="BC32" s="239">
        <v>0</v>
      </c>
      <c r="BD32" s="239">
        <v>10367</v>
      </c>
      <c r="BE32" s="239">
        <v>1036650</v>
      </c>
      <c r="BF32" s="239">
        <v>-1956309</v>
      </c>
      <c r="BG32" s="239">
        <v>-1917182</v>
      </c>
      <c r="BH32" s="239">
        <v>0</v>
      </c>
      <c r="BI32" s="239">
        <v>-39126</v>
      </c>
      <c r="BJ32" s="239">
        <v>-3912617</v>
      </c>
      <c r="BK32" s="239">
        <v>-5900000</v>
      </c>
      <c r="BL32" s="239">
        <v>-5782000</v>
      </c>
      <c r="BM32" s="239">
        <v>0</v>
      </c>
      <c r="BN32" s="239">
        <v>-118000</v>
      </c>
      <c r="BO32" s="239">
        <v>-11800000</v>
      </c>
      <c r="BP32" s="239">
        <v>2387309</v>
      </c>
      <c r="BQ32" s="239">
        <v>2339562</v>
      </c>
      <c r="BR32" s="239">
        <v>0</v>
      </c>
      <c r="BS32" s="239">
        <v>47746</v>
      </c>
      <c r="BT32" s="239">
        <v>4774617</v>
      </c>
      <c r="BU32" s="239">
        <v>-4120165</v>
      </c>
      <c r="BV32" s="239">
        <v>-4037762</v>
      </c>
      <c r="BW32" s="239">
        <v>0</v>
      </c>
      <c r="BX32" s="239">
        <v>-82403</v>
      </c>
      <c r="BY32" s="239">
        <v>-8240330</v>
      </c>
      <c r="BZ32" s="239">
        <v>-7632856</v>
      </c>
      <c r="CA32" s="239">
        <v>-7480200</v>
      </c>
      <c r="CB32" s="239">
        <v>0</v>
      </c>
      <c r="CC32" s="239">
        <v>-152657</v>
      </c>
      <c r="CD32" s="239">
        <v>-15265713</v>
      </c>
      <c r="CE32" s="239">
        <v>-5965699</v>
      </c>
      <c r="CF32" s="239">
        <v>-5846384</v>
      </c>
      <c r="CG32" s="239">
        <v>0</v>
      </c>
      <c r="CH32" s="239">
        <v>-119314</v>
      </c>
      <c r="CI32" s="239">
        <v>-11931397</v>
      </c>
      <c r="CJ32" s="239">
        <v>-5981351</v>
      </c>
      <c r="CK32" s="239">
        <v>-5861723</v>
      </c>
      <c r="CL32" s="239">
        <v>0</v>
      </c>
      <c r="CM32" s="239">
        <v>-119627</v>
      </c>
      <c r="CN32" s="239">
        <v>-11962701</v>
      </c>
      <c r="CO32" s="239">
        <v>15652</v>
      </c>
      <c r="CP32" s="239">
        <v>15339</v>
      </c>
      <c r="CQ32" s="239">
        <v>0</v>
      </c>
      <c r="CR32" s="239">
        <v>313</v>
      </c>
      <c r="CS32" s="239">
        <v>31304</v>
      </c>
      <c r="CT32" s="239">
        <v>64772808</v>
      </c>
      <c r="CU32" s="239">
        <v>63477352</v>
      </c>
      <c r="CV32" s="239">
        <v>0</v>
      </c>
      <c r="CW32" s="239">
        <v>1295456</v>
      </c>
      <c r="CX32" s="239">
        <v>129545616</v>
      </c>
      <c r="CY32" s="239">
        <v>62889527</v>
      </c>
      <c r="CZ32" s="239">
        <v>61631736</v>
      </c>
      <c r="DA32" s="239">
        <v>0</v>
      </c>
      <c r="DB32" s="239">
        <v>1257791</v>
      </c>
      <c r="DC32" s="239">
        <v>125779054</v>
      </c>
      <c r="DD32" s="239">
        <v>-1883281</v>
      </c>
      <c r="DE32" s="239">
        <v>-1845616</v>
      </c>
      <c r="DF32" s="239">
        <v>0</v>
      </c>
      <c r="DG32" s="239">
        <v>-37665</v>
      </c>
      <c r="DH32" s="239">
        <v>-3766562</v>
      </c>
      <c r="DI32" s="239">
        <v>-1867629</v>
      </c>
      <c r="DJ32" s="239">
        <v>-1830277</v>
      </c>
      <c r="DK32" s="239">
        <v>0</v>
      </c>
      <c r="DL32" s="239">
        <v>-37352</v>
      </c>
      <c r="DM32" s="239">
        <v>-3735258</v>
      </c>
      <c r="DN32" s="835">
        <v>0.5</v>
      </c>
      <c r="DO32" s="835">
        <v>0.49</v>
      </c>
      <c r="DP32" s="835">
        <v>0</v>
      </c>
      <c r="DQ32" s="835">
        <v>0.01</v>
      </c>
      <c r="DR32" s="835">
        <v>1</v>
      </c>
      <c r="DS32" s="214" t="s">
        <v>1160</v>
      </c>
      <c r="DU32" s="214">
        <v>0</v>
      </c>
    </row>
    <row r="33" spans="1:125" s="214" customFormat="1" x14ac:dyDescent="0.2">
      <c r="B33" s="602" t="s">
        <v>149</v>
      </c>
      <c r="C33" s="602" t="s">
        <v>148</v>
      </c>
      <c r="D33" s="239">
        <v>20544242</v>
      </c>
      <c r="E33" s="239">
        <v>16435393</v>
      </c>
      <c r="F33" s="239">
        <v>3697963</v>
      </c>
      <c r="G33" s="239">
        <v>410885</v>
      </c>
      <c r="H33" s="239">
        <v>41088483</v>
      </c>
      <c r="I33" s="239">
        <v>0</v>
      </c>
      <c r="J33" s="239">
        <v>0</v>
      </c>
      <c r="K33" s="239">
        <v>20544242</v>
      </c>
      <c r="L33" s="239">
        <v>192687</v>
      </c>
      <c r="M33" s="239">
        <v>192687</v>
      </c>
      <c r="N33" s="239">
        <v>0</v>
      </c>
      <c r="O33" s="239">
        <v>0</v>
      </c>
      <c r="P33" s="239">
        <v>122339</v>
      </c>
      <c r="Q33" s="239">
        <v>96838</v>
      </c>
      <c r="R33" s="239">
        <v>219177</v>
      </c>
      <c r="S33" s="239">
        <v>0</v>
      </c>
      <c r="T33" s="239">
        <v>0</v>
      </c>
      <c r="U33" s="239">
        <v>0</v>
      </c>
      <c r="V33" s="239">
        <v>0</v>
      </c>
      <c r="W33" s="239">
        <v>0</v>
      </c>
      <c r="X33" s="239">
        <v>0</v>
      </c>
      <c r="Y33" s="239">
        <v>0</v>
      </c>
      <c r="Z33" s="239">
        <v>0</v>
      </c>
      <c r="AA33" s="239">
        <v>0</v>
      </c>
      <c r="AB33" s="239">
        <v>0</v>
      </c>
      <c r="AC33" s="239">
        <v>1796049</v>
      </c>
      <c r="AD33" s="239">
        <v>405152</v>
      </c>
      <c r="AE33" s="239">
        <v>44854</v>
      </c>
      <c r="AF33" s="239">
        <v>2246055</v>
      </c>
      <c r="AG33" s="239">
        <v>388703</v>
      </c>
      <c r="AH33" s="239">
        <v>310962</v>
      </c>
      <c r="AI33" s="239">
        <v>69966</v>
      </c>
      <c r="AJ33" s="239">
        <v>7774</v>
      </c>
      <c r="AK33" s="239">
        <v>777405</v>
      </c>
      <c r="AL33" s="239">
        <v>-193416</v>
      </c>
      <c r="AM33" s="239">
        <v>-154732</v>
      </c>
      <c r="AN33" s="239">
        <v>-34815</v>
      </c>
      <c r="AO33" s="239">
        <v>-3868</v>
      </c>
      <c r="AP33" s="239">
        <v>-386831</v>
      </c>
      <c r="AQ33" s="239">
        <v>-69171</v>
      </c>
      <c r="AR33" s="239">
        <v>-55337</v>
      </c>
      <c r="AS33" s="239">
        <v>-12451</v>
      </c>
      <c r="AT33" s="239">
        <v>-1383</v>
      </c>
      <c r="AU33" s="239">
        <v>-138342</v>
      </c>
      <c r="AV33" s="239">
        <v>36080</v>
      </c>
      <c r="AW33" s="239">
        <v>28864</v>
      </c>
      <c r="AX33" s="239">
        <v>6494</v>
      </c>
      <c r="AY33" s="239">
        <v>722</v>
      </c>
      <c r="AZ33" s="239">
        <v>72160</v>
      </c>
      <c r="BA33" s="239">
        <v>-56167</v>
      </c>
      <c r="BB33" s="239">
        <v>-44934</v>
      </c>
      <c r="BC33" s="239">
        <v>-10110</v>
      </c>
      <c r="BD33" s="239">
        <v>-1123</v>
      </c>
      <c r="BE33" s="239">
        <v>-112334</v>
      </c>
      <c r="BF33" s="239">
        <v>-89258</v>
      </c>
      <c r="BG33" s="239">
        <v>-71407</v>
      </c>
      <c r="BH33" s="239">
        <v>-16067</v>
      </c>
      <c r="BI33" s="239">
        <v>-1784</v>
      </c>
      <c r="BJ33" s="239">
        <v>-178516</v>
      </c>
      <c r="BK33" s="239">
        <v>-1175500</v>
      </c>
      <c r="BL33" s="239">
        <v>-940400</v>
      </c>
      <c r="BM33" s="239">
        <v>-211590</v>
      </c>
      <c r="BN33" s="239">
        <v>-23510</v>
      </c>
      <c r="BO33" s="239">
        <v>-2351000</v>
      </c>
      <c r="BP33" s="239">
        <v>225170</v>
      </c>
      <c r="BQ33" s="239">
        <v>180136</v>
      </c>
      <c r="BR33" s="239">
        <v>40531</v>
      </c>
      <c r="BS33" s="239">
        <v>4503</v>
      </c>
      <c r="BT33" s="239">
        <v>450340</v>
      </c>
      <c r="BU33" s="239">
        <v>-397460</v>
      </c>
      <c r="BV33" s="239">
        <v>-317968</v>
      </c>
      <c r="BW33" s="239">
        <v>-71543</v>
      </c>
      <c r="BX33" s="239">
        <v>-7949</v>
      </c>
      <c r="BY33" s="239">
        <v>-794920</v>
      </c>
      <c r="BZ33" s="239">
        <v>-1347790</v>
      </c>
      <c r="CA33" s="239">
        <v>-1078232</v>
      </c>
      <c r="CB33" s="239">
        <v>-242602</v>
      </c>
      <c r="CC33" s="239">
        <v>-26956</v>
      </c>
      <c r="CD33" s="239">
        <v>-2695580</v>
      </c>
      <c r="CE33" s="239">
        <v>1447268</v>
      </c>
      <c r="CF33" s="239">
        <v>1157812</v>
      </c>
      <c r="CG33" s="239">
        <v>260508</v>
      </c>
      <c r="CH33" s="239">
        <v>28944</v>
      </c>
      <c r="CI33" s="239">
        <v>2894532</v>
      </c>
      <c r="CJ33" s="239">
        <v>540178</v>
      </c>
      <c r="CK33" s="239">
        <v>432142</v>
      </c>
      <c r="CL33" s="239">
        <v>97232</v>
      </c>
      <c r="CM33" s="239">
        <v>10804</v>
      </c>
      <c r="CN33" s="239">
        <v>1080356</v>
      </c>
      <c r="CO33" s="239">
        <v>907090</v>
      </c>
      <c r="CP33" s="239">
        <v>725670</v>
      </c>
      <c r="CQ33" s="239">
        <v>163276</v>
      </c>
      <c r="CR33" s="239">
        <v>18140</v>
      </c>
      <c r="CS33" s="239">
        <v>1814176</v>
      </c>
      <c r="CT33" s="239">
        <v>20251525</v>
      </c>
      <c r="CU33" s="239">
        <v>16201220</v>
      </c>
      <c r="CV33" s="239">
        <v>3645274</v>
      </c>
      <c r="CW33" s="239">
        <v>405030</v>
      </c>
      <c r="CX33" s="239">
        <v>40503049</v>
      </c>
      <c r="CY33" s="239">
        <v>20544242</v>
      </c>
      <c r="CZ33" s="239">
        <v>16435393</v>
      </c>
      <c r="DA33" s="239">
        <v>3697963</v>
      </c>
      <c r="DB33" s="239">
        <v>410885</v>
      </c>
      <c r="DC33" s="239">
        <v>41088483</v>
      </c>
      <c r="DD33" s="239">
        <v>292717</v>
      </c>
      <c r="DE33" s="239">
        <v>234173</v>
      </c>
      <c r="DF33" s="239">
        <v>52689</v>
      </c>
      <c r="DG33" s="239">
        <v>5855</v>
      </c>
      <c r="DH33" s="239">
        <v>585434</v>
      </c>
      <c r="DI33" s="239">
        <v>1199807</v>
      </c>
      <c r="DJ33" s="239">
        <v>959843</v>
      </c>
      <c r="DK33" s="239">
        <v>215965</v>
      </c>
      <c r="DL33" s="239">
        <v>23995</v>
      </c>
      <c r="DM33" s="239">
        <v>2399610</v>
      </c>
      <c r="DN33" s="835">
        <v>0.5</v>
      </c>
      <c r="DO33" s="835">
        <v>0.4</v>
      </c>
      <c r="DP33" s="835">
        <v>0.09</v>
      </c>
      <c r="DQ33" s="835">
        <v>0.01</v>
      </c>
      <c r="DR33" s="835">
        <v>1</v>
      </c>
      <c r="DS33" s="214" t="s">
        <v>1158</v>
      </c>
      <c r="DU33" s="214">
        <v>0</v>
      </c>
    </row>
    <row r="34" spans="1:125" s="214" customFormat="1" x14ac:dyDescent="0.2">
      <c r="B34" s="602" t="s">
        <v>151</v>
      </c>
      <c r="C34" s="602" t="s">
        <v>150</v>
      </c>
      <c r="D34" s="239">
        <v>15679232</v>
      </c>
      <c r="E34" s="239">
        <v>12543385</v>
      </c>
      <c r="F34" s="239">
        <v>3135846</v>
      </c>
      <c r="G34" s="239">
        <v>0</v>
      </c>
      <c r="H34" s="239">
        <v>31358463</v>
      </c>
      <c r="I34" s="239">
        <v>0</v>
      </c>
      <c r="J34" s="239">
        <v>0</v>
      </c>
      <c r="K34" s="239">
        <v>15679232</v>
      </c>
      <c r="L34" s="239">
        <v>163444</v>
      </c>
      <c r="M34" s="239">
        <v>163444</v>
      </c>
      <c r="N34" s="239">
        <v>0</v>
      </c>
      <c r="O34" s="239">
        <v>0</v>
      </c>
      <c r="P34" s="239">
        <v>1217557</v>
      </c>
      <c r="Q34" s="239">
        <v>0</v>
      </c>
      <c r="R34" s="239">
        <v>1217557</v>
      </c>
      <c r="S34" s="239">
        <v>0</v>
      </c>
      <c r="T34" s="239">
        <v>0</v>
      </c>
      <c r="U34" s="239">
        <v>0</v>
      </c>
      <c r="V34" s="239">
        <v>0</v>
      </c>
      <c r="W34" s="239">
        <v>0</v>
      </c>
      <c r="X34" s="239">
        <v>0</v>
      </c>
      <c r="Y34" s="239">
        <v>0</v>
      </c>
      <c r="Z34" s="239">
        <v>0</v>
      </c>
      <c r="AA34" s="239">
        <v>0</v>
      </c>
      <c r="AB34" s="239">
        <v>0</v>
      </c>
      <c r="AC34" s="239">
        <v>1604745</v>
      </c>
      <c r="AD34" s="239">
        <v>396614</v>
      </c>
      <c r="AE34" s="239">
        <v>0</v>
      </c>
      <c r="AF34" s="239">
        <v>2001359</v>
      </c>
      <c r="AG34" s="239">
        <v>837206</v>
      </c>
      <c r="AH34" s="239">
        <v>669765</v>
      </c>
      <c r="AI34" s="239">
        <v>167441</v>
      </c>
      <c r="AJ34" s="239">
        <v>0</v>
      </c>
      <c r="AK34" s="239">
        <v>1674412</v>
      </c>
      <c r="AL34" s="239">
        <v>-286657</v>
      </c>
      <c r="AM34" s="239">
        <v>-229326</v>
      </c>
      <c r="AN34" s="239">
        <v>-57332</v>
      </c>
      <c r="AO34" s="239">
        <v>0</v>
      </c>
      <c r="AP34" s="239">
        <v>-573315</v>
      </c>
      <c r="AQ34" s="239">
        <v>-222285.53999999998</v>
      </c>
      <c r="AR34" s="239">
        <v>-177828</v>
      </c>
      <c r="AS34" s="239">
        <v>-44457</v>
      </c>
      <c r="AT34" s="239">
        <v>0</v>
      </c>
      <c r="AU34" s="239">
        <v>-444570.54</v>
      </c>
      <c r="AV34" s="239">
        <v>85927</v>
      </c>
      <c r="AW34" s="239">
        <v>68742</v>
      </c>
      <c r="AX34" s="239">
        <v>17186</v>
      </c>
      <c r="AY34" s="239">
        <v>0</v>
      </c>
      <c r="AZ34" s="239">
        <v>171855</v>
      </c>
      <c r="BA34" s="239">
        <v>-129103</v>
      </c>
      <c r="BB34" s="239">
        <v>-103283</v>
      </c>
      <c r="BC34" s="239">
        <v>-25821</v>
      </c>
      <c r="BD34" s="239">
        <v>0</v>
      </c>
      <c r="BE34" s="239">
        <v>-258207</v>
      </c>
      <c r="BF34" s="239">
        <v>-265461.53999999998</v>
      </c>
      <c r="BG34" s="239">
        <v>-212369</v>
      </c>
      <c r="BH34" s="239">
        <v>-53092</v>
      </c>
      <c r="BI34" s="239">
        <v>0</v>
      </c>
      <c r="BJ34" s="239">
        <v>-530922.54</v>
      </c>
      <c r="BK34" s="239">
        <v>-1212483</v>
      </c>
      <c r="BL34" s="239">
        <v>-969986</v>
      </c>
      <c r="BM34" s="239">
        <v>-242497</v>
      </c>
      <c r="BN34" s="239">
        <v>0</v>
      </c>
      <c r="BO34" s="239">
        <v>-2424966</v>
      </c>
      <c r="BP34" s="239">
        <v>685369</v>
      </c>
      <c r="BQ34" s="239">
        <v>548295</v>
      </c>
      <c r="BR34" s="239">
        <v>137074</v>
      </c>
      <c r="BS34" s="239">
        <v>0</v>
      </c>
      <c r="BT34" s="239">
        <v>1370738</v>
      </c>
      <c r="BU34" s="239">
        <v>-250279</v>
      </c>
      <c r="BV34" s="239">
        <v>-200224</v>
      </c>
      <c r="BW34" s="239">
        <v>-50056</v>
      </c>
      <c r="BX34" s="239">
        <v>0</v>
      </c>
      <c r="BY34" s="239">
        <v>-500559</v>
      </c>
      <c r="BZ34" s="239">
        <v>-777393</v>
      </c>
      <c r="CA34" s="239">
        <v>-621915</v>
      </c>
      <c r="CB34" s="239">
        <v>-155479</v>
      </c>
      <c r="CC34" s="239">
        <v>0</v>
      </c>
      <c r="CD34" s="239">
        <v>-1554787</v>
      </c>
      <c r="CE34" s="239">
        <v>-63007</v>
      </c>
      <c r="CF34" s="239">
        <v>-50407</v>
      </c>
      <c r="CG34" s="239">
        <v>-12602</v>
      </c>
      <c r="CH34" s="239">
        <v>0</v>
      </c>
      <c r="CI34" s="239">
        <v>-126016</v>
      </c>
      <c r="CJ34" s="239">
        <v>39891</v>
      </c>
      <c r="CK34" s="239">
        <v>31913</v>
      </c>
      <c r="CL34" s="239">
        <v>7978</v>
      </c>
      <c r="CM34" s="239">
        <v>0</v>
      </c>
      <c r="CN34" s="239">
        <v>79782</v>
      </c>
      <c r="CO34" s="239">
        <v>-102898</v>
      </c>
      <c r="CP34" s="239">
        <v>-82320</v>
      </c>
      <c r="CQ34" s="239">
        <v>-20580</v>
      </c>
      <c r="CR34" s="239">
        <v>0</v>
      </c>
      <c r="CS34" s="239">
        <v>-205798</v>
      </c>
      <c r="CT34" s="239">
        <v>15211898</v>
      </c>
      <c r="CU34" s="239">
        <v>12169518</v>
      </c>
      <c r="CV34" s="239">
        <v>3042380</v>
      </c>
      <c r="CW34" s="239">
        <v>0</v>
      </c>
      <c r="CX34" s="239">
        <v>30423796</v>
      </c>
      <c r="CY34" s="239">
        <v>15679232</v>
      </c>
      <c r="CZ34" s="239">
        <v>12543385</v>
      </c>
      <c r="DA34" s="239">
        <v>3135846</v>
      </c>
      <c r="DB34" s="239">
        <v>0</v>
      </c>
      <c r="DC34" s="239">
        <v>31358463</v>
      </c>
      <c r="DD34" s="239">
        <v>467334</v>
      </c>
      <c r="DE34" s="239">
        <v>373867</v>
      </c>
      <c r="DF34" s="239">
        <v>93466</v>
      </c>
      <c r="DG34" s="239">
        <v>0</v>
      </c>
      <c r="DH34" s="239">
        <v>934667</v>
      </c>
      <c r="DI34" s="239">
        <v>364436</v>
      </c>
      <c r="DJ34" s="239">
        <v>291547</v>
      </c>
      <c r="DK34" s="239">
        <v>72886</v>
      </c>
      <c r="DL34" s="239">
        <v>0</v>
      </c>
      <c r="DM34" s="239">
        <v>728869</v>
      </c>
      <c r="DN34" s="835">
        <v>0.5</v>
      </c>
      <c r="DO34" s="835">
        <v>0.4</v>
      </c>
      <c r="DP34" s="835">
        <v>0.1</v>
      </c>
      <c r="DQ34" s="835">
        <v>0</v>
      </c>
      <c r="DR34" s="835">
        <v>1</v>
      </c>
      <c r="DS34" s="214" t="s">
        <v>1158</v>
      </c>
      <c r="DU34" s="214">
        <v>0</v>
      </c>
    </row>
    <row r="35" spans="1:125" s="214" customFormat="1" x14ac:dyDescent="0.2">
      <c r="B35" s="602" t="s">
        <v>153</v>
      </c>
      <c r="C35" s="602" t="s">
        <v>152</v>
      </c>
      <c r="D35" s="239">
        <v>39721427</v>
      </c>
      <c r="E35" s="239">
        <v>36110388</v>
      </c>
      <c r="F35" s="239">
        <v>44536146</v>
      </c>
      <c r="G35" s="239">
        <v>0</v>
      </c>
      <c r="H35" s="239">
        <v>120367961</v>
      </c>
      <c r="I35" s="239">
        <v>0</v>
      </c>
      <c r="J35" s="239">
        <v>0</v>
      </c>
      <c r="K35" s="239">
        <v>39721427</v>
      </c>
      <c r="L35" s="239">
        <v>416255</v>
      </c>
      <c r="M35" s="239">
        <v>416255</v>
      </c>
      <c r="N35" s="239">
        <v>0</v>
      </c>
      <c r="O35" s="239">
        <v>0</v>
      </c>
      <c r="P35" s="239">
        <v>0</v>
      </c>
      <c r="Q35" s="239">
        <v>0</v>
      </c>
      <c r="R35" s="239">
        <v>0</v>
      </c>
      <c r="S35" s="239">
        <v>0</v>
      </c>
      <c r="T35" s="239">
        <v>0</v>
      </c>
      <c r="U35" s="239">
        <v>0</v>
      </c>
      <c r="V35" s="239">
        <v>0</v>
      </c>
      <c r="W35" s="239">
        <v>0</v>
      </c>
      <c r="X35" s="239">
        <v>0</v>
      </c>
      <c r="Y35" s="239">
        <v>0</v>
      </c>
      <c r="Z35" s="239">
        <v>0</v>
      </c>
      <c r="AA35" s="239">
        <v>0</v>
      </c>
      <c r="AB35" s="239">
        <v>0</v>
      </c>
      <c r="AC35" s="239">
        <v>2812894</v>
      </c>
      <c r="AD35" s="239">
        <v>3469238</v>
      </c>
      <c r="AE35" s="239">
        <v>0</v>
      </c>
      <c r="AF35" s="239">
        <v>6282132</v>
      </c>
      <c r="AG35" s="239">
        <v>2664617</v>
      </c>
      <c r="AH35" s="239">
        <v>2422380</v>
      </c>
      <c r="AI35" s="239">
        <v>2987602</v>
      </c>
      <c r="AJ35" s="239">
        <v>0</v>
      </c>
      <c r="AK35" s="239">
        <v>8074599</v>
      </c>
      <c r="AL35" s="239">
        <v>-2116777</v>
      </c>
      <c r="AM35" s="239">
        <v>-1924342</v>
      </c>
      <c r="AN35" s="239">
        <v>-2373355</v>
      </c>
      <c r="AO35" s="239">
        <v>0</v>
      </c>
      <c r="AP35" s="239">
        <v>-6414474</v>
      </c>
      <c r="AQ35" s="239">
        <v>-362527</v>
      </c>
      <c r="AR35" s="239">
        <v>-329570</v>
      </c>
      <c r="AS35" s="239">
        <v>-406470</v>
      </c>
      <c r="AT35" s="239">
        <v>0</v>
      </c>
      <c r="AU35" s="239">
        <v>-1098567</v>
      </c>
      <c r="AV35" s="239">
        <v>525366</v>
      </c>
      <c r="AW35" s="239">
        <v>477606</v>
      </c>
      <c r="AX35" s="239">
        <v>589047</v>
      </c>
      <c r="AY35" s="239">
        <v>0</v>
      </c>
      <c r="AZ35" s="239">
        <v>1592019</v>
      </c>
      <c r="BA35" s="239">
        <v>-1294769</v>
      </c>
      <c r="BB35" s="239">
        <v>-1177064</v>
      </c>
      <c r="BC35" s="239">
        <v>-1451712</v>
      </c>
      <c r="BD35" s="239">
        <v>0</v>
      </c>
      <c r="BE35" s="239">
        <v>-3923545</v>
      </c>
      <c r="BF35" s="239">
        <v>-1131930</v>
      </c>
      <c r="BG35" s="239">
        <v>-1029028</v>
      </c>
      <c r="BH35" s="239">
        <v>-1269135</v>
      </c>
      <c r="BI35" s="239">
        <v>0</v>
      </c>
      <c r="BJ35" s="239">
        <v>-3430093</v>
      </c>
      <c r="BK35" s="239">
        <v>-4669025</v>
      </c>
      <c r="BL35" s="239">
        <v>-4244567</v>
      </c>
      <c r="BM35" s="239">
        <v>-5234966</v>
      </c>
      <c r="BN35" s="239">
        <v>0</v>
      </c>
      <c r="BO35" s="239">
        <v>-14148558</v>
      </c>
      <c r="BP35" s="239">
        <v>0</v>
      </c>
      <c r="BQ35" s="239">
        <v>0</v>
      </c>
      <c r="BR35" s="239">
        <v>0</v>
      </c>
      <c r="BS35" s="239">
        <v>0</v>
      </c>
      <c r="BT35" s="239">
        <v>0</v>
      </c>
      <c r="BU35" s="239">
        <v>-1695366</v>
      </c>
      <c r="BV35" s="239">
        <v>-1541242</v>
      </c>
      <c r="BW35" s="239">
        <v>-1900865</v>
      </c>
      <c r="BX35" s="239">
        <v>0</v>
      </c>
      <c r="BY35" s="239">
        <v>-5137473</v>
      </c>
      <c r="BZ35" s="239">
        <v>-6364391</v>
      </c>
      <c r="CA35" s="239">
        <v>-5785809</v>
      </c>
      <c r="CB35" s="239">
        <v>-7135831</v>
      </c>
      <c r="CC35" s="239">
        <v>0</v>
      </c>
      <c r="CD35" s="239">
        <v>-19286031</v>
      </c>
      <c r="CE35" s="239">
        <v>-2873011.5</v>
      </c>
      <c r="CF35" s="239">
        <v>-1723806.9</v>
      </c>
      <c r="CG35" s="239">
        <v>-1149204.6000000001</v>
      </c>
      <c r="CH35" s="239">
        <v>0</v>
      </c>
      <c r="CI35" s="239">
        <v>-5746023</v>
      </c>
      <c r="CJ35" s="239">
        <v>-2623641</v>
      </c>
      <c r="CK35" s="239">
        <v>-1574185</v>
      </c>
      <c r="CL35" s="239">
        <v>-1049456</v>
      </c>
      <c r="CM35" s="239">
        <v>0</v>
      </c>
      <c r="CN35" s="239">
        <v>-5247282</v>
      </c>
      <c r="CO35" s="239">
        <v>-249370.5</v>
      </c>
      <c r="CP35" s="239">
        <v>-149621.89999999991</v>
      </c>
      <c r="CQ35" s="239">
        <v>-99748.600000000093</v>
      </c>
      <c r="CR35" s="239">
        <v>0</v>
      </c>
      <c r="CS35" s="239">
        <v>-498741</v>
      </c>
      <c r="CT35" s="239">
        <v>41436325</v>
      </c>
      <c r="CU35" s="239">
        <v>37669386</v>
      </c>
      <c r="CV35" s="239">
        <v>46458910</v>
      </c>
      <c r="CW35" s="239">
        <v>0</v>
      </c>
      <c r="CX35" s="239">
        <v>125564621</v>
      </c>
      <c r="CY35" s="239">
        <v>39721427</v>
      </c>
      <c r="CZ35" s="239">
        <v>36110388</v>
      </c>
      <c r="DA35" s="239">
        <v>44536146</v>
      </c>
      <c r="DB35" s="239">
        <v>0</v>
      </c>
      <c r="DC35" s="239">
        <v>120367961</v>
      </c>
      <c r="DD35" s="239">
        <v>-1714898</v>
      </c>
      <c r="DE35" s="239">
        <v>-1558998</v>
      </c>
      <c r="DF35" s="239">
        <v>-1922764</v>
      </c>
      <c r="DG35" s="239">
        <v>0</v>
      </c>
      <c r="DH35" s="239">
        <v>-5196660</v>
      </c>
      <c r="DI35" s="239">
        <v>-1964268.5</v>
      </c>
      <c r="DJ35" s="239">
        <v>-1708619.9</v>
      </c>
      <c r="DK35" s="239">
        <v>-2022512.6</v>
      </c>
      <c r="DL35" s="239">
        <v>0</v>
      </c>
      <c r="DM35" s="239">
        <v>-5695401</v>
      </c>
      <c r="DN35" s="835">
        <v>0.33</v>
      </c>
      <c r="DO35" s="835">
        <v>0.3</v>
      </c>
      <c r="DP35" s="835">
        <v>0.37</v>
      </c>
      <c r="DQ35" s="835">
        <v>0</v>
      </c>
      <c r="DR35" s="835">
        <v>1</v>
      </c>
      <c r="DS35" s="214" t="s">
        <v>1159</v>
      </c>
      <c r="DU35" s="214">
        <v>0</v>
      </c>
    </row>
    <row r="36" spans="1:125" s="214" customFormat="1" x14ac:dyDescent="0.2">
      <c r="B36" s="602" t="s">
        <v>155</v>
      </c>
      <c r="C36" s="602" t="s">
        <v>154</v>
      </c>
      <c r="D36" s="239">
        <v>14040237</v>
      </c>
      <c r="E36" s="239">
        <v>11232190</v>
      </c>
      <c r="F36" s="239">
        <v>2527243</v>
      </c>
      <c r="G36" s="239">
        <v>280805</v>
      </c>
      <c r="H36" s="239">
        <v>28080475</v>
      </c>
      <c r="I36" s="239">
        <v>0</v>
      </c>
      <c r="J36" s="239">
        <v>0</v>
      </c>
      <c r="K36" s="239">
        <v>14040237</v>
      </c>
      <c r="L36" s="239">
        <v>104595</v>
      </c>
      <c r="M36" s="239">
        <v>104595</v>
      </c>
      <c r="N36" s="239">
        <v>0</v>
      </c>
      <c r="O36" s="239">
        <v>0</v>
      </c>
      <c r="P36" s="239">
        <v>0</v>
      </c>
      <c r="Q36" s="239">
        <v>0</v>
      </c>
      <c r="R36" s="239">
        <v>0</v>
      </c>
      <c r="S36" s="239">
        <v>0</v>
      </c>
      <c r="T36" s="239">
        <v>0</v>
      </c>
      <c r="U36" s="239">
        <v>0</v>
      </c>
      <c r="V36" s="239">
        <v>0</v>
      </c>
      <c r="W36" s="239">
        <v>0</v>
      </c>
      <c r="X36" s="239">
        <v>0</v>
      </c>
      <c r="Y36" s="239">
        <v>0</v>
      </c>
      <c r="Z36" s="239">
        <v>0</v>
      </c>
      <c r="AA36" s="239">
        <v>0</v>
      </c>
      <c r="AB36" s="239">
        <v>0</v>
      </c>
      <c r="AC36" s="239">
        <v>923996</v>
      </c>
      <c r="AD36" s="239">
        <v>207900</v>
      </c>
      <c r="AE36" s="239">
        <v>23100</v>
      </c>
      <c r="AF36" s="239">
        <v>1154996</v>
      </c>
      <c r="AG36" s="239">
        <v>1486948</v>
      </c>
      <c r="AH36" s="239">
        <v>1189558</v>
      </c>
      <c r="AI36" s="239">
        <v>267651</v>
      </c>
      <c r="AJ36" s="239">
        <v>29739</v>
      </c>
      <c r="AK36" s="239">
        <v>2973896</v>
      </c>
      <c r="AL36" s="239">
        <v>-368474</v>
      </c>
      <c r="AM36" s="239">
        <v>-294780</v>
      </c>
      <c r="AN36" s="239">
        <v>-66326</v>
      </c>
      <c r="AO36" s="239">
        <v>-7370</v>
      </c>
      <c r="AP36" s="239">
        <v>-736950</v>
      </c>
      <c r="AQ36" s="239">
        <v>-607522</v>
      </c>
      <c r="AR36" s="239">
        <v>-486018</v>
      </c>
      <c r="AS36" s="239">
        <v>-109354</v>
      </c>
      <c r="AT36" s="239">
        <v>-12150</v>
      </c>
      <c r="AU36" s="239">
        <v>-1215044</v>
      </c>
      <c r="AV36" s="239">
        <v>0</v>
      </c>
      <c r="AW36" s="239">
        <v>0</v>
      </c>
      <c r="AX36" s="239">
        <v>0</v>
      </c>
      <c r="AY36" s="239">
        <v>0</v>
      </c>
      <c r="AZ36" s="239">
        <v>0</v>
      </c>
      <c r="BA36" s="239">
        <v>66216</v>
      </c>
      <c r="BB36" s="239">
        <v>52973</v>
      </c>
      <c r="BC36" s="239">
        <v>11919</v>
      </c>
      <c r="BD36" s="239">
        <v>1324</v>
      </c>
      <c r="BE36" s="239">
        <v>132432</v>
      </c>
      <c r="BF36" s="239">
        <v>-541306</v>
      </c>
      <c r="BG36" s="239">
        <v>-433045</v>
      </c>
      <c r="BH36" s="239">
        <v>-97435</v>
      </c>
      <c r="BI36" s="239">
        <v>-10826</v>
      </c>
      <c r="BJ36" s="239">
        <v>-1082612</v>
      </c>
      <c r="BK36" s="239">
        <v>-2431369</v>
      </c>
      <c r="BL36" s="239">
        <v>-1945094</v>
      </c>
      <c r="BM36" s="239">
        <v>-437646</v>
      </c>
      <c r="BN36" s="239">
        <v>-48627</v>
      </c>
      <c r="BO36" s="239">
        <v>-4862736</v>
      </c>
      <c r="BP36" s="239">
        <v>1229789</v>
      </c>
      <c r="BQ36" s="239">
        <v>983831</v>
      </c>
      <c r="BR36" s="239">
        <v>221362</v>
      </c>
      <c r="BS36" s="239">
        <v>24596</v>
      </c>
      <c r="BT36" s="239">
        <v>2459578</v>
      </c>
      <c r="BU36" s="239">
        <v>-500000</v>
      </c>
      <c r="BV36" s="239">
        <v>-400000</v>
      </c>
      <c r="BW36" s="239">
        <v>-90000</v>
      </c>
      <c r="BX36" s="239">
        <v>-10000</v>
      </c>
      <c r="BY36" s="239">
        <v>-1000000</v>
      </c>
      <c r="BZ36" s="239">
        <v>-1701580</v>
      </c>
      <c r="CA36" s="239">
        <v>-1361263</v>
      </c>
      <c r="CB36" s="239">
        <v>-306284</v>
      </c>
      <c r="CC36" s="239">
        <v>-34031</v>
      </c>
      <c r="CD36" s="239">
        <v>-3403158</v>
      </c>
      <c r="CE36" s="239">
        <v>-553101</v>
      </c>
      <c r="CF36" s="239">
        <v>-442480.80000000005</v>
      </c>
      <c r="CG36" s="239">
        <v>-99558.18</v>
      </c>
      <c r="CH36" s="239">
        <v>-11062.02</v>
      </c>
      <c r="CI36" s="239">
        <v>-1106202</v>
      </c>
      <c r="CJ36" s="239">
        <v>0</v>
      </c>
      <c r="CK36" s="239">
        <v>0</v>
      </c>
      <c r="CL36" s="239">
        <v>0</v>
      </c>
      <c r="CM36" s="239">
        <v>0</v>
      </c>
      <c r="CN36" s="239">
        <v>0</v>
      </c>
      <c r="CO36" s="239">
        <v>-553101</v>
      </c>
      <c r="CP36" s="239">
        <v>-442480.80000000005</v>
      </c>
      <c r="CQ36" s="239">
        <v>-99558.18</v>
      </c>
      <c r="CR36" s="239">
        <v>-11062.02</v>
      </c>
      <c r="CS36" s="239">
        <v>-1106202</v>
      </c>
      <c r="CT36" s="239">
        <v>13941333</v>
      </c>
      <c r="CU36" s="239">
        <v>11153067</v>
      </c>
      <c r="CV36" s="239">
        <v>2509440</v>
      </c>
      <c r="CW36" s="239">
        <v>278827</v>
      </c>
      <c r="CX36" s="239">
        <v>27882667</v>
      </c>
      <c r="CY36" s="239">
        <v>14040237</v>
      </c>
      <c r="CZ36" s="239">
        <v>11232190</v>
      </c>
      <c r="DA36" s="239">
        <v>2527243</v>
      </c>
      <c r="DB36" s="239">
        <v>280805</v>
      </c>
      <c r="DC36" s="239">
        <v>28080475</v>
      </c>
      <c r="DD36" s="239">
        <v>98904</v>
      </c>
      <c r="DE36" s="239">
        <v>79123</v>
      </c>
      <c r="DF36" s="239">
        <v>17803</v>
      </c>
      <c r="DG36" s="239">
        <v>1978</v>
      </c>
      <c r="DH36" s="239">
        <v>197808</v>
      </c>
      <c r="DI36" s="239">
        <v>-454197</v>
      </c>
      <c r="DJ36" s="239">
        <v>-363357.80000000005</v>
      </c>
      <c r="DK36" s="239">
        <v>-81755.179999999993</v>
      </c>
      <c r="DL36" s="239">
        <v>-9084.02</v>
      </c>
      <c r="DM36" s="239">
        <v>-908394</v>
      </c>
      <c r="DN36" s="835">
        <v>0.5</v>
      </c>
      <c r="DO36" s="835">
        <v>0.4</v>
      </c>
      <c r="DP36" s="835">
        <v>0.09</v>
      </c>
      <c r="DQ36" s="835">
        <v>0.01</v>
      </c>
      <c r="DR36" s="835">
        <v>1</v>
      </c>
      <c r="DS36" s="214" t="s">
        <v>1158</v>
      </c>
      <c r="DU36" s="214">
        <v>0</v>
      </c>
    </row>
    <row r="37" spans="1:125" s="214" customFormat="1" x14ac:dyDescent="0.2">
      <c r="B37" s="602" t="s">
        <v>157</v>
      </c>
      <c r="C37" s="602" t="s">
        <v>156</v>
      </c>
      <c r="D37" s="239">
        <v>56205713</v>
      </c>
      <c r="E37" s="239">
        <v>55081598</v>
      </c>
      <c r="F37" s="239">
        <v>0</v>
      </c>
      <c r="G37" s="239">
        <v>1124114</v>
      </c>
      <c r="H37" s="239">
        <v>112411425</v>
      </c>
      <c r="I37" s="239">
        <v>0</v>
      </c>
      <c r="J37" s="239">
        <v>0</v>
      </c>
      <c r="K37" s="239">
        <v>56205713</v>
      </c>
      <c r="L37" s="239">
        <v>432307</v>
      </c>
      <c r="M37" s="239">
        <v>432307</v>
      </c>
      <c r="N37" s="239">
        <v>0</v>
      </c>
      <c r="O37" s="239">
        <v>0</v>
      </c>
      <c r="P37" s="239">
        <v>0</v>
      </c>
      <c r="Q37" s="239">
        <v>0</v>
      </c>
      <c r="R37" s="239">
        <v>0</v>
      </c>
      <c r="S37" s="239">
        <v>0</v>
      </c>
      <c r="T37" s="239">
        <v>0</v>
      </c>
      <c r="U37" s="239">
        <v>0</v>
      </c>
      <c r="V37" s="239">
        <v>0</v>
      </c>
      <c r="W37" s="239">
        <v>0</v>
      </c>
      <c r="X37" s="239">
        <v>0</v>
      </c>
      <c r="Y37" s="239">
        <v>0</v>
      </c>
      <c r="Z37" s="239">
        <v>0</v>
      </c>
      <c r="AA37" s="239">
        <v>0</v>
      </c>
      <c r="AB37" s="239">
        <v>0</v>
      </c>
      <c r="AC37" s="239">
        <v>5160121</v>
      </c>
      <c r="AD37" s="239">
        <v>0</v>
      </c>
      <c r="AE37" s="239">
        <v>105310</v>
      </c>
      <c r="AF37" s="239">
        <v>5265431</v>
      </c>
      <c r="AG37" s="239">
        <v>2733148</v>
      </c>
      <c r="AH37" s="239">
        <v>2678485</v>
      </c>
      <c r="AI37" s="239">
        <v>0</v>
      </c>
      <c r="AJ37" s="239">
        <v>54663</v>
      </c>
      <c r="AK37" s="239">
        <v>5466296</v>
      </c>
      <c r="AL37" s="239">
        <v>-2081163</v>
      </c>
      <c r="AM37" s="239">
        <v>-2039540</v>
      </c>
      <c r="AN37" s="239">
        <v>0</v>
      </c>
      <c r="AO37" s="239">
        <v>-41623</v>
      </c>
      <c r="AP37" s="239">
        <v>-4162326</v>
      </c>
      <c r="AQ37" s="239">
        <v>-1045690</v>
      </c>
      <c r="AR37" s="239">
        <v>-1024776</v>
      </c>
      <c r="AS37" s="239">
        <v>0</v>
      </c>
      <c r="AT37" s="239">
        <v>-20914</v>
      </c>
      <c r="AU37" s="239">
        <v>-2091380</v>
      </c>
      <c r="AV37" s="239">
        <v>331871</v>
      </c>
      <c r="AW37" s="239">
        <v>325233</v>
      </c>
      <c r="AX37" s="239">
        <v>0</v>
      </c>
      <c r="AY37" s="239">
        <v>6637</v>
      </c>
      <c r="AZ37" s="239">
        <v>663741</v>
      </c>
      <c r="BA37" s="239">
        <v>-405601</v>
      </c>
      <c r="BB37" s="239">
        <v>-397489</v>
      </c>
      <c r="BC37" s="239">
        <v>0</v>
      </c>
      <c r="BD37" s="239">
        <v>-8112</v>
      </c>
      <c r="BE37" s="239">
        <v>-811202</v>
      </c>
      <c r="BF37" s="239">
        <v>-1119420</v>
      </c>
      <c r="BG37" s="239">
        <v>-1097032</v>
      </c>
      <c r="BH37" s="239">
        <v>0</v>
      </c>
      <c r="BI37" s="239">
        <v>-22389</v>
      </c>
      <c r="BJ37" s="239">
        <v>-2238841</v>
      </c>
      <c r="BK37" s="239">
        <v>-2569069</v>
      </c>
      <c r="BL37" s="239">
        <v>-2517688</v>
      </c>
      <c r="BM37" s="239">
        <v>0</v>
      </c>
      <c r="BN37" s="239">
        <v>-51381</v>
      </c>
      <c r="BO37" s="239">
        <v>-5138138</v>
      </c>
      <c r="BP37" s="239">
        <v>1527530</v>
      </c>
      <c r="BQ37" s="239">
        <v>1496980</v>
      </c>
      <c r="BR37" s="239">
        <v>0</v>
      </c>
      <c r="BS37" s="239">
        <v>30551</v>
      </c>
      <c r="BT37" s="239">
        <v>3055061</v>
      </c>
      <c r="BU37" s="239">
        <v>-3465066</v>
      </c>
      <c r="BV37" s="239">
        <v>-3395765</v>
      </c>
      <c r="BW37" s="239">
        <v>0</v>
      </c>
      <c r="BX37" s="239">
        <v>-69301</v>
      </c>
      <c r="BY37" s="239">
        <v>-6930132</v>
      </c>
      <c r="BZ37" s="239">
        <v>-4506605</v>
      </c>
      <c r="CA37" s="239">
        <v>-4416473</v>
      </c>
      <c r="CB37" s="239">
        <v>0</v>
      </c>
      <c r="CC37" s="239">
        <v>-90131</v>
      </c>
      <c r="CD37" s="239">
        <v>-9013209</v>
      </c>
      <c r="CE37" s="239">
        <v>-1771682</v>
      </c>
      <c r="CF37" s="239">
        <v>-1736248</v>
      </c>
      <c r="CG37" s="239">
        <v>0</v>
      </c>
      <c r="CH37" s="239">
        <v>-35433</v>
      </c>
      <c r="CI37" s="239">
        <v>-3543363</v>
      </c>
      <c r="CJ37" s="239">
        <v>-1718500</v>
      </c>
      <c r="CK37" s="239">
        <v>-1684130</v>
      </c>
      <c r="CL37" s="239">
        <v>0</v>
      </c>
      <c r="CM37" s="239">
        <v>-34370</v>
      </c>
      <c r="CN37" s="239">
        <v>-3437000</v>
      </c>
      <c r="CO37" s="239">
        <v>-53182</v>
      </c>
      <c r="CP37" s="239">
        <v>-52118</v>
      </c>
      <c r="CQ37" s="239">
        <v>0</v>
      </c>
      <c r="CR37" s="239">
        <v>-1063</v>
      </c>
      <c r="CS37" s="239">
        <v>-106363</v>
      </c>
      <c r="CT37" s="239">
        <v>58037542</v>
      </c>
      <c r="CU37" s="239">
        <v>56876791</v>
      </c>
      <c r="CV37" s="239">
        <v>0</v>
      </c>
      <c r="CW37" s="239">
        <v>1160751</v>
      </c>
      <c r="CX37" s="239">
        <v>116075084</v>
      </c>
      <c r="CY37" s="239">
        <v>56205713</v>
      </c>
      <c r="CZ37" s="239">
        <v>55081598</v>
      </c>
      <c r="DA37" s="239">
        <v>0</v>
      </c>
      <c r="DB37" s="239">
        <v>1124114</v>
      </c>
      <c r="DC37" s="239">
        <v>112411425</v>
      </c>
      <c r="DD37" s="239">
        <v>-1831829</v>
      </c>
      <c r="DE37" s="239">
        <v>-1795193</v>
      </c>
      <c r="DF37" s="239">
        <v>0</v>
      </c>
      <c r="DG37" s="239">
        <v>-36637</v>
      </c>
      <c r="DH37" s="239">
        <v>-3663659</v>
      </c>
      <c r="DI37" s="239">
        <v>-1885011</v>
      </c>
      <c r="DJ37" s="239">
        <v>-1847311</v>
      </c>
      <c r="DK37" s="239">
        <v>0</v>
      </c>
      <c r="DL37" s="239">
        <v>-37700</v>
      </c>
      <c r="DM37" s="239">
        <v>-3770022</v>
      </c>
      <c r="DN37" s="835">
        <v>0.5</v>
      </c>
      <c r="DO37" s="835">
        <v>0.49</v>
      </c>
      <c r="DP37" s="835">
        <v>0</v>
      </c>
      <c r="DQ37" s="835">
        <v>0.01</v>
      </c>
      <c r="DR37" s="835">
        <v>1</v>
      </c>
      <c r="DS37" s="214" t="s">
        <v>746</v>
      </c>
      <c r="DU37" s="214">
        <v>0</v>
      </c>
    </row>
    <row r="38" spans="1:125" s="214" customFormat="1" x14ac:dyDescent="0.2">
      <c r="B38" s="602" t="s">
        <v>159</v>
      </c>
      <c r="C38" s="602" t="s">
        <v>158</v>
      </c>
      <c r="D38" s="239">
        <v>0</v>
      </c>
      <c r="E38" s="239">
        <v>192722941</v>
      </c>
      <c r="F38" s="239">
        <v>10251220</v>
      </c>
      <c r="G38" s="239">
        <v>2050244</v>
      </c>
      <c r="H38" s="239">
        <v>205024405</v>
      </c>
      <c r="I38" s="239">
        <v>0</v>
      </c>
      <c r="J38" s="239">
        <v>0</v>
      </c>
      <c r="K38" s="239">
        <v>0</v>
      </c>
      <c r="L38" s="239">
        <v>715969</v>
      </c>
      <c r="M38" s="239">
        <v>715969</v>
      </c>
      <c r="N38" s="239">
        <v>3240095</v>
      </c>
      <c r="O38" s="239">
        <v>3240095</v>
      </c>
      <c r="P38" s="239">
        <v>205327</v>
      </c>
      <c r="Q38" s="239">
        <v>0</v>
      </c>
      <c r="R38" s="239">
        <v>205327</v>
      </c>
      <c r="S38" s="239">
        <v>0</v>
      </c>
      <c r="T38" s="239">
        <v>0</v>
      </c>
      <c r="U38" s="239">
        <v>0</v>
      </c>
      <c r="V38" s="239">
        <v>0</v>
      </c>
      <c r="W38" s="239">
        <v>0</v>
      </c>
      <c r="X38" s="239">
        <v>0</v>
      </c>
      <c r="Y38" s="239">
        <v>0</v>
      </c>
      <c r="Z38" s="239">
        <v>0</v>
      </c>
      <c r="AA38" s="239">
        <v>0</v>
      </c>
      <c r="AB38" s="239">
        <v>0</v>
      </c>
      <c r="AC38" s="239">
        <v>14605153</v>
      </c>
      <c r="AD38" s="239">
        <v>697672</v>
      </c>
      <c r="AE38" s="239">
        <v>139534</v>
      </c>
      <c r="AF38" s="239">
        <v>15442359</v>
      </c>
      <c r="AG38" s="239">
        <v>-1</v>
      </c>
      <c r="AH38" s="239">
        <v>5438815</v>
      </c>
      <c r="AI38" s="239">
        <v>289299</v>
      </c>
      <c r="AJ38" s="239">
        <v>57860</v>
      </c>
      <c r="AK38" s="239">
        <v>5785973</v>
      </c>
      <c r="AL38" s="239">
        <v>0</v>
      </c>
      <c r="AM38" s="239">
        <v>-2814187</v>
      </c>
      <c r="AN38" s="239">
        <v>-149691</v>
      </c>
      <c r="AO38" s="239">
        <v>-29938</v>
      </c>
      <c r="AP38" s="239">
        <v>-2993816</v>
      </c>
      <c r="AQ38" s="239">
        <v>0</v>
      </c>
      <c r="AR38" s="239">
        <v>-2019294</v>
      </c>
      <c r="AS38" s="239">
        <v>-107409</v>
      </c>
      <c r="AT38" s="239">
        <v>-21482</v>
      </c>
      <c r="AU38" s="239">
        <v>-2148185</v>
      </c>
      <c r="AV38" s="239">
        <v>0</v>
      </c>
      <c r="AW38" s="239">
        <v>943630</v>
      </c>
      <c r="AX38" s="239">
        <v>50193</v>
      </c>
      <c r="AY38" s="239">
        <v>10039</v>
      </c>
      <c r="AZ38" s="239">
        <v>1003862</v>
      </c>
      <c r="BA38" s="239">
        <v>0</v>
      </c>
      <c r="BB38" s="239">
        <v>-1261176</v>
      </c>
      <c r="BC38" s="239">
        <v>-67084</v>
      </c>
      <c r="BD38" s="239">
        <v>-13417</v>
      </c>
      <c r="BE38" s="239">
        <v>-1341677</v>
      </c>
      <c r="BF38" s="239">
        <v>0</v>
      </c>
      <c r="BG38" s="239">
        <v>-2336840</v>
      </c>
      <c r="BH38" s="239">
        <v>-124300</v>
      </c>
      <c r="BI38" s="239">
        <v>-24860</v>
      </c>
      <c r="BJ38" s="239">
        <v>-2486000</v>
      </c>
      <c r="BK38" s="239">
        <v>0</v>
      </c>
      <c r="BL38" s="239">
        <v>-21326875</v>
      </c>
      <c r="BM38" s="239">
        <v>-1134408</v>
      </c>
      <c r="BN38" s="239">
        <v>-226882</v>
      </c>
      <c r="BO38" s="239">
        <v>-22688165</v>
      </c>
      <c r="BP38" s="239">
        <v>0</v>
      </c>
      <c r="BQ38" s="239">
        <v>5884338</v>
      </c>
      <c r="BR38" s="239">
        <v>312997</v>
      </c>
      <c r="BS38" s="239">
        <v>62599</v>
      </c>
      <c r="BT38" s="239">
        <v>6259934</v>
      </c>
      <c r="BU38" s="239">
        <v>0</v>
      </c>
      <c r="BV38" s="239">
        <v>-8273107</v>
      </c>
      <c r="BW38" s="239">
        <v>-440059</v>
      </c>
      <c r="BX38" s="239">
        <v>-88012</v>
      </c>
      <c r="BY38" s="239">
        <v>-8801178</v>
      </c>
      <c r="BZ38" s="239">
        <v>0</v>
      </c>
      <c r="CA38" s="239">
        <v>-23715644</v>
      </c>
      <c r="CB38" s="239">
        <v>-1261470</v>
      </c>
      <c r="CC38" s="239">
        <v>-252295</v>
      </c>
      <c r="CD38" s="239">
        <v>-25229409</v>
      </c>
      <c r="CE38" s="239">
        <v>201175</v>
      </c>
      <c r="CF38" s="239">
        <v>197153</v>
      </c>
      <c r="CG38" s="239">
        <v>0</v>
      </c>
      <c r="CH38" s="239">
        <v>4024</v>
      </c>
      <c r="CI38" s="239">
        <v>402352</v>
      </c>
      <c r="CJ38" s="239">
        <v>6586389</v>
      </c>
      <c r="CK38" s="239">
        <v>6454662</v>
      </c>
      <c r="CL38" s="239">
        <v>0</v>
      </c>
      <c r="CM38" s="239">
        <v>131728</v>
      </c>
      <c r="CN38" s="239">
        <v>13172779</v>
      </c>
      <c r="CO38" s="239">
        <v>-6385214</v>
      </c>
      <c r="CP38" s="239">
        <v>-6257509</v>
      </c>
      <c r="CQ38" s="239">
        <v>0</v>
      </c>
      <c r="CR38" s="239">
        <v>-127704</v>
      </c>
      <c r="CS38" s="239">
        <v>-12770427</v>
      </c>
      <c r="CT38" s="239">
        <v>-1</v>
      </c>
      <c r="CU38" s="239">
        <v>192395901</v>
      </c>
      <c r="CV38" s="239">
        <v>10233825</v>
      </c>
      <c r="CW38" s="239">
        <v>2046765</v>
      </c>
      <c r="CX38" s="239">
        <v>204676490</v>
      </c>
      <c r="CY38" s="239">
        <v>0</v>
      </c>
      <c r="CZ38" s="239">
        <v>192722941</v>
      </c>
      <c r="DA38" s="239">
        <v>10251220</v>
      </c>
      <c r="DB38" s="239">
        <v>2050244</v>
      </c>
      <c r="DC38" s="239">
        <v>205024405</v>
      </c>
      <c r="DD38" s="239">
        <v>1</v>
      </c>
      <c r="DE38" s="239">
        <v>327040</v>
      </c>
      <c r="DF38" s="239">
        <v>17395</v>
      </c>
      <c r="DG38" s="239">
        <v>3479</v>
      </c>
      <c r="DH38" s="239">
        <v>347915</v>
      </c>
      <c r="DI38" s="239">
        <v>-6385213</v>
      </c>
      <c r="DJ38" s="239">
        <v>-5930469</v>
      </c>
      <c r="DK38" s="239">
        <v>17395</v>
      </c>
      <c r="DL38" s="239">
        <v>-124225</v>
      </c>
      <c r="DM38" s="239">
        <v>-12422512</v>
      </c>
      <c r="DN38" s="835">
        <v>0</v>
      </c>
      <c r="DO38" s="835">
        <v>0.94</v>
      </c>
      <c r="DP38" s="835">
        <v>0.05</v>
      </c>
      <c r="DQ38" s="835">
        <v>0.01</v>
      </c>
      <c r="DR38" s="835">
        <v>1</v>
      </c>
      <c r="DS38" s="214" t="s">
        <v>746</v>
      </c>
      <c r="DU38" s="214">
        <v>0</v>
      </c>
    </row>
    <row r="39" spans="1:125" s="214" customFormat="1" x14ac:dyDescent="0.2">
      <c r="B39" s="602" t="s">
        <v>161</v>
      </c>
      <c r="C39" s="602" t="s">
        <v>160</v>
      </c>
      <c r="D39" s="239">
        <v>13973903</v>
      </c>
      <c r="E39" s="239">
        <v>11179123</v>
      </c>
      <c r="F39" s="239">
        <v>2794781</v>
      </c>
      <c r="G39" s="239">
        <v>0</v>
      </c>
      <c r="H39" s="239">
        <v>27947807</v>
      </c>
      <c r="I39" s="239">
        <v>0</v>
      </c>
      <c r="J39" s="239">
        <v>0</v>
      </c>
      <c r="K39" s="239">
        <v>13973903</v>
      </c>
      <c r="L39" s="239">
        <v>139831</v>
      </c>
      <c r="M39" s="239">
        <v>139831</v>
      </c>
      <c r="N39" s="239">
        <v>0</v>
      </c>
      <c r="O39" s="239">
        <v>0</v>
      </c>
      <c r="P39" s="239">
        <v>146976</v>
      </c>
      <c r="Q39" s="239">
        <v>0</v>
      </c>
      <c r="R39" s="239">
        <v>146976</v>
      </c>
      <c r="S39" s="239">
        <v>0</v>
      </c>
      <c r="T39" s="239">
        <v>0</v>
      </c>
      <c r="U39" s="239">
        <v>0</v>
      </c>
      <c r="V39" s="239">
        <v>0</v>
      </c>
      <c r="W39" s="239">
        <v>0</v>
      </c>
      <c r="X39" s="239">
        <v>0</v>
      </c>
      <c r="Y39" s="239">
        <v>0</v>
      </c>
      <c r="Z39" s="239">
        <v>0</v>
      </c>
      <c r="AA39" s="239">
        <v>0</v>
      </c>
      <c r="AB39" s="239">
        <v>0</v>
      </c>
      <c r="AC39" s="239">
        <v>1361037</v>
      </c>
      <c r="AD39" s="239">
        <v>339708</v>
      </c>
      <c r="AE39" s="239">
        <v>0</v>
      </c>
      <c r="AF39" s="239">
        <v>1700745</v>
      </c>
      <c r="AG39" s="239">
        <v>212593</v>
      </c>
      <c r="AH39" s="239">
        <v>170074</v>
      </c>
      <c r="AI39" s="239">
        <v>42519</v>
      </c>
      <c r="AJ39" s="239">
        <v>0</v>
      </c>
      <c r="AK39" s="239">
        <v>425186</v>
      </c>
      <c r="AL39" s="239">
        <v>-467913</v>
      </c>
      <c r="AM39" s="239">
        <v>-374330</v>
      </c>
      <c r="AN39" s="239">
        <v>-93583</v>
      </c>
      <c r="AO39" s="239">
        <v>0</v>
      </c>
      <c r="AP39" s="239">
        <v>-935826</v>
      </c>
      <c r="AQ39" s="239">
        <v>-78276</v>
      </c>
      <c r="AR39" s="239">
        <v>-62621</v>
      </c>
      <c r="AS39" s="239">
        <v>-15655</v>
      </c>
      <c r="AT39" s="239">
        <v>0</v>
      </c>
      <c r="AU39" s="239">
        <v>-156552</v>
      </c>
      <c r="AV39" s="239">
        <v>52747</v>
      </c>
      <c r="AW39" s="239">
        <v>42197</v>
      </c>
      <c r="AX39" s="239">
        <v>10549</v>
      </c>
      <c r="AY39" s="239">
        <v>0</v>
      </c>
      <c r="AZ39" s="239">
        <v>105493</v>
      </c>
      <c r="BA39" s="239">
        <v>-58786</v>
      </c>
      <c r="BB39" s="239">
        <v>-47029</v>
      </c>
      <c r="BC39" s="239">
        <v>-11757</v>
      </c>
      <c r="BD39" s="239">
        <v>0</v>
      </c>
      <c r="BE39" s="239">
        <v>-117572</v>
      </c>
      <c r="BF39" s="239">
        <v>-84315</v>
      </c>
      <c r="BG39" s="239">
        <v>-67453</v>
      </c>
      <c r="BH39" s="239">
        <v>-16863</v>
      </c>
      <c r="BI39" s="239">
        <v>0</v>
      </c>
      <c r="BJ39" s="239">
        <v>-168631</v>
      </c>
      <c r="BK39" s="239">
        <v>-1492877</v>
      </c>
      <c r="BL39" s="239">
        <v>-1194301</v>
      </c>
      <c r="BM39" s="239">
        <v>-298575</v>
      </c>
      <c r="BN39" s="239">
        <v>0</v>
      </c>
      <c r="BO39" s="239">
        <v>-2985753</v>
      </c>
      <c r="BP39" s="239">
        <v>596250</v>
      </c>
      <c r="BQ39" s="239">
        <v>477000</v>
      </c>
      <c r="BR39" s="239">
        <v>119250</v>
      </c>
      <c r="BS39" s="239">
        <v>0</v>
      </c>
      <c r="BT39" s="239">
        <v>1192500</v>
      </c>
      <c r="BU39" s="239">
        <v>-646225</v>
      </c>
      <c r="BV39" s="239">
        <v>-516980</v>
      </c>
      <c r="BW39" s="239">
        <v>-129245</v>
      </c>
      <c r="BX39" s="239">
        <v>0</v>
      </c>
      <c r="BY39" s="239">
        <v>-1292450</v>
      </c>
      <c r="BZ39" s="239">
        <v>-1542852</v>
      </c>
      <c r="CA39" s="239">
        <v>-1234281</v>
      </c>
      <c r="CB39" s="239">
        <v>-308570</v>
      </c>
      <c r="CC39" s="239">
        <v>0</v>
      </c>
      <c r="CD39" s="239">
        <v>-3085703</v>
      </c>
      <c r="CE39" s="239">
        <v>-589760</v>
      </c>
      <c r="CF39" s="239">
        <v>-471809</v>
      </c>
      <c r="CG39" s="239">
        <v>-117953</v>
      </c>
      <c r="CH39" s="239">
        <v>0</v>
      </c>
      <c r="CI39" s="239">
        <v>-1179522</v>
      </c>
      <c r="CJ39" s="239">
        <v>-282054</v>
      </c>
      <c r="CK39" s="239">
        <v>-225644</v>
      </c>
      <c r="CL39" s="239">
        <v>-56411</v>
      </c>
      <c r="CM39" s="239">
        <v>0</v>
      </c>
      <c r="CN39" s="239">
        <v>-564109</v>
      </c>
      <c r="CO39" s="239">
        <v>-307706</v>
      </c>
      <c r="CP39" s="239">
        <v>-246165</v>
      </c>
      <c r="CQ39" s="239">
        <v>-61542</v>
      </c>
      <c r="CR39" s="239">
        <v>0</v>
      </c>
      <c r="CS39" s="239">
        <v>-615413</v>
      </c>
      <c r="CT39" s="239">
        <v>14718682</v>
      </c>
      <c r="CU39" s="239">
        <v>11774946</v>
      </c>
      <c r="CV39" s="239">
        <v>2943736</v>
      </c>
      <c r="CW39" s="239">
        <v>0</v>
      </c>
      <c r="CX39" s="239">
        <v>29437364</v>
      </c>
      <c r="CY39" s="239">
        <v>13973903</v>
      </c>
      <c r="CZ39" s="239">
        <v>11179123</v>
      </c>
      <c r="DA39" s="239">
        <v>2794781</v>
      </c>
      <c r="DB39" s="239">
        <v>0</v>
      </c>
      <c r="DC39" s="239">
        <v>27947807</v>
      </c>
      <c r="DD39" s="239">
        <v>-744779</v>
      </c>
      <c r="DE39" s="239">
        <v>-595823</v>
      </c>
      <c r="DF39" s="239">
        <v>-148955</v>
      </c>
      <c r="DG39" s="239">
        <v>0</v>
      </c>
      <c r="DH39" s="239">
        <v>-1489557</v>
      </c>
      <c r="DI39" s="239">
        <v>-1052485</v>
      </c>
      <c r="DJ39" s="239">
        <v>-841988</v>
      </c>
      <c r="DK39" s="239">
        <v>-210497</v>
      </c>
      <c r="DL39" s="239">
        <v>0</v>
      </c>
      <c r="DM39" s="239">
        <v>-2104970</v>
      </c>
      <c r="DN39" s="835">
        <v>0.5</v>
      </c>
      <c r="DO39" s="835">
        <v>0.4</v>
      </c>
      <c r="DP39" s="835">
        <v>0.1</v>
      </c>
      <c r="DQ39" s="835">
        <v>0</v>
      </c>
      <c r="DR39" s="835">
        <v>1</v>
      </c>
      <c r="DS39" s="214" t="s">
        <v>1158</v>
      </c>
      <c r="DU39" s="214">
        <v>0</v>
      </c>
    </row>
    <row r="40" spans="1:125" s="214" customFormat="1" x14ac:dyDescent="0.2">
      <c r="B40" s="602" t="s">
        <v>163</v>
      </c>
      <c r="C40" s="602" t="s">
        <v>162</v>
      </c>
      <c r="D40" s="239">
        <v>29431611</v>
      </c>
      <c r="E40" s="239">
        <v>26756009</v>
      </c>
      <c r="F40" s="239">
        <v>32999078</v>
      </c>
      <c r="G40" s="239">
        <v>0</v>
      </c>
      <c r="H40" s="239">
        <v>89186698</v>
      </c>
      <c r="I40" s="239">
        <v>0</v>
      </c>
      <c r="J40" s="239">
        <v>0</v>
      </c>
      <c r="K40" s="239">
        <v>29431611</v>
      </c>
      <c r="L40" s="239">
        <v>336429</v>
      </c>
      <c r="M40" s="239">
        <v>336429</v>
      </c>
      <c r="N40" s="239">
        <v>0</v>
      </c>
      <c r="O40" s="239">
        <v>0</v>
      </c>
      <c r="P40" s="239">
        <v>0</v>
      </c>
      <c r="Q40" s="239">
        <v>0</v>
      </c>
      <c r="R40" s="239">
        <v>0</v>
      </c>
      <c r="S40" s="239">
        <v>0</v>
      </c>
      <c r="T40" s="239">
        <v>0</v>
      </c>
      <c r="U40" s="239">
        <v>0</v>
      </c>
      <c r="V40" s="239">
        <v>0</v>
      </c>
      <c r="W40" s="239">
        <v>0</v>
      </c>
      <c r="X40" s="239">
        <v>0</v>
      </c>
      <c r="Y40" s="239">
        <v>0</v>
      </c>
      <c r="Z40" s="239">
        <v>0</v>
      </c>
      <c r="AA40" s="239">
        <v>0</v>
      </c>
      <c r="AB40" s="239">
        <v>0</v>
      </c>
      <c r="AC40" s="239">
        <v>2243541</v>
      </c>
      <c r="AD40" s="239">
        <v>2767034</v>
      </c>
      <c r="AE40" s="239">
        <v>0</v>
      </c>
      <c r="AF40" s="239">
        <v>5010575</v>
      </c>
      <c r="AG40" s="239">
        <v>819395</v>
      </c>
      <c r="AH40" s="239">
        <v>744905</v>
      </c>
      <c r="AI40" s="239">
        <v>918716</v>
      </c>
      <c r="AJ40" s="239">
        <v>0</v>
      </c>
      <c r="AK40" s="239">
        <v>2483016</v>
      </c>
      <c r="AL40" s="239">
        <v>-2672138</v>
      </c>
      <c r="AM40" s="239">
        <v>-2429216</v>
      </c>
      <c r="AN40" s="239">
        <v>-2996033</v>
      </c>
      <c r="AO40" s="239">
        <v>0</v>
      </c>
      <c r="AP40" s="239">
        <v>-8097387</v>
      </c>
      <c r="AQ40" s="239">
        <v>-248906</v>
      </c>
      <c r="AR40" s="239">
        <v>-226277</v>
      </c>
      <c r="AS40" s="239">
        <v>-279075</v>
      </c>
      <c r="AT40" s="239">
        <v>0</v>
      </c>
      <c r="AU40" s="239">
        <v>-754258</v>
      </c>
      <c r="AV40" s="239">
        <v>211309</v>
      </c>
      <c r="AW40" s="239">
        <v>192099</v>
      </c>
      <c r="AX40" s="239">
        <v>236922</v>
      </c>
      <c r="AY40" s="239">
        <v>0</v>
      </c>
      <c r="AZ40" s="239">
        <v>640330</v>
      </c>
      <c r="BA40" s="239">
        <v>-228238</v>
      </c>
      <c r="BB40" s="239">
        <v>-207489</v>
      </c>
      <c r="BC40" s="239">
        <v>-255903</v>
      </c>
      <c r="BD40" s="239">
        <v>0</v>
      </c>
      <c r="BE40" s="239">
        <v>-691630</v>
      </c>
      <c r="BF40" s="239">
        <v>-265835</v>
      </c>
      <c r="BG40" s="239">
        <v>-241667</v>
      </c>
      <c r="BH40" s="239">
        <v>-298056</v>
      </c>
      <c r="BI40" s="239">
        <v>0</v>
      </c>
      <c r="BJ40" s="239">
        <v>-805558</v>
      </c>
      <c r="BK40" s="239">
        <v>-3183602</v>
      </c>
      <c r="BL40" s="239">
        <v>-2894184</v>
      </c>
      <c r="BM40" s="239">
        <v>-3569493</v>
      </c>
      <c r="BN40" s="239">
        <v>0</v>
      </c>
      <c r="BO40" s="239">
        <v>-9647279</v>
      </c>
      <c r="BP40" s="239">
        <v>1274722</v>
      </c>
      <c r="BQ40" s="239">
        <v>1158839</v>
      </c>
      <c r="BR40" s="239">
        <v>1429234</v>
      </c>
      <c r="BS40" s="239">
        <v>0</v>
      </c>
      <c r="BT40" s="239">
        <v>3862795</v>
      </c>
      <c r="BU40" s="239">
        <v>-1936252</v>
      </c>
      <c r="BV40" s="239">
        <v>-1760229</v>
      </c>
      <c r="BW40" s="239">
        <v>-2170949</v>
      </c>
      <c r="BX40" s="239">
        <v>0</v>
      </c>
      <c r="BY40" s="239">
        <v>-5867430</v>
      </c>
      <c r="BZ40" s="239">
        <v>-3845132</v>
      </c>
      <c r="CA40" s="239">
        <v>-3495574</v>
      </c>
      <c r="CB40" s="239">
        <v>-4311208</v>
      </c>
      <c r="CC40" s="239">
        <v>0</v>
      </c>
      <c r="CD40" s="239">
        <v>-11651914</v>
      </c>
      <c r="CE40" s="239">
        <v>-298561.09999999963</v>
      </c>
      <c r="CF40" s="239">
        <v>-179137</v>
      </c>
      <c r="CG40" s="239">
        <v>-119425</v>
      </c>
      <c r="CH40" s="239">
        <v>0</v>
      </c>
      <c r="CI40" s="239">
        <v>-597123.09999999963</v>
      </c>
      <c r="CJ40" s="239">
        <v>288387</v>
      </c>
      <c r="CK40" s="239">
        <v>173032</v>
      </c>
      <c r="CL40" s="239">
        <v>115355</v>
      </c>
      <c r="CM40" s="239">
        <v>0</v>
      </c>
      <c r="CN40" s="239">
        <v>576774</v>
      </c>
      <c r="CO40" s="239">
        <v>-586948.09999999963</v>
      </c>
      <c r="CP40" s="239">
        <v>-352169</v>
      </c>
      <c r="CQ40" s="239">
        <v>-234780</v>
      </c>
      <c r="CR40" s="239">
        <v>0</v>
      </c>
      <c r="CS40" s="239">
        <v>-1173897.0999999996</v>
      </c>
      <c r="CT40" s="239">
        <v>29923117</v>
      </c>
      <c r="CU40" s="239">
        <v>27202833</v>
      </c>
      <c r="CV40" s="239">
        <v>33550161</v>
      </c>
      <c r="CW40" s="239">
        <v>0</v>
      </c>
      <c r="CX40" s="239">
        <v>90676111</v>
      </c>
      <c r="CY40" s="239">
        <v>29431611</v>
      </c>
      <c r="CZ40" s="239">
        <v>26756009</v>
      </c>
      <c r="DA40" s="239">
        <v>32999078</v>
      </c>
      <c r="DB40" s="239">
        <v>0</v>
      </c>
      <c r="DC40" s="239">
        <v>89186698</v>
      </c>
      <c r="DD40" s="239">
        <v>-491506</v>
      </c>
      <c r="DE40" s="239">
        <v>-446824</v>
      </c>
      <c r="DF40" s="239">
        <v>-551083</v>
      </c>
      <c r="DG40" s="239">
        <v>0</v>
      </c>
      <c r="DH40" s="239">
        <v>-1489413</v>
      </c>
      <c r="DI40" s="239">
        <v>-1078454.0999999996</v>
      </c>
      <c r="DJ40" s="239">
        <v>-798993</v>
      </c>
      <c r="DK40" s="239">
        <v>-785863</v>
      </c>
      <c r="DL40" s="239">
        <v>0</v>
      </c>
      <c r="DM40" s="239">
        <v>-2663310.0999999996</v>
      </c>
      <c r="DN40" s="835">
        <v>0.33</v>
      </c>
      <c r="DO40" s="835">
        <v>0.3</v>
      </c>
      <c r="DP40" s="835">
        <v>0.37</v>
      </c>
      <c r="DQ40" s="835">
        <v>0</v>
      </c>
      <c r="DR40" s="835">
        <v>1</v>
      </c>
      <c r="DS40" s="214" t="s">
        <v>1159</v>
      </c>
      <c r="DU40" s="214">
        <v>0</v>
      </c>
    </row>
    <row r="41" spans="1:125" s="214" customFormat="1" x14ac:dyDescent="0.2">
      <c r="B41" s="602" t="s">
        <v>165</v>
      </c>
      <c r="C41" s="602" t="s">
        <v>164</v>
      </c>
      <c r="D41" s="239">
        <v>11431624</v>
      </c>
      <c r="E41" s="239">
        <v>9145299</v>
      </c>
      <c r="F41" s="239">
        <v>2057692</v>
      </c>
      <c r="G41" s="239">
        <v>228632</v>
      </c>
      <c r="H41" s="239">
        <v>22863247</v>
      </c>
      <c r="I41" s="239">
        <v>0</v>
      </c>
      <c r="J41" s="239">
        <v>0</v>
      </c>
      <c r="K41" s="239">
        <v>11431624</v>
      </c>
      <c r="L41" s="239">
        <v>119076</v>
      </c>
      <c r="M41" s="239">
        <v>119076</v>
      </c>
      <c r="N41" s="239">
        <v>0</v>
      </c>
      <c r="O41" s="239">
        <v>0</v>
      </c>
      <c r="P41" s="239">
        <v>0</v>
      </c>
      <c r="Q41" s="239">
        <v>0</v>
      </c>
      <c r="R41" s="239">
        <v>0</v>
      </c>
      <c r="S41" s="239">
        <v>0</v>
      </c>
      <c r="T41" s="239">
        <v>0</v>
      </c>
      <c r="U41" s="239">
        <v>0</v>
      </c>
      <c r="V41" s="239">
        <v>0</v>
      </c>
      <c r="W41" s="239">
        <v>0</v>
      </c>
      <c r="X41" s="239">
        <v>0</v>
      </c>
      <c r="Y41" s="239">
        <v>0</v>
      </c>
      <c r="Z41" s="239">
        <v>0</v>
      </c>
      <c r="AA41" s="239">
        <v>0</v>
      </c>
      <c r="AB41" s="239">
        <v>0</v>
      </c>
      <c r="AC41" s="239">
        <v>1226269</v>
      </c>
      <c r="AD41" s="239">
        <v>275911</v>
      </c>
      <c r="AE41" s="239">
        <v>30655</v>
      </c>
      <c r="AF41" s="239">
        <v>1532835</v>
      </c>
      <c r="AG41" s="239">
        <v>1617591</v>
      </c>
      <c r="AH41" s="239">
        <v>1294073</v>
      </c>
      <c r="AI41" s="239">
        <v>291166</v>
      </c>
      <c r="AJ41" s="239">
        <v>32352</v>
      </c>
      <c r="AK41" s="239">
        <v>3235182</v>
      </c>
      <c r="AL41" s="239">
        <v>-364017</v>
      </c>
      <c r="AM41" s="239">
        <v>-291214</v>
      </c>
      <c r="AN41" s="239">
        <v>-65523</v>
      </c>
      <c r="AO41" s="239">
        <v>-7280</v>
      </c>
      <c r="AP41" s="239">
        <v>-728034</v>
      </c>
      <c r="AQ41" s="239">
        <v>-489006</v>
      </c>
      <c r="AR41" s="239">
        <v>-391204</v>
      </c>
      <c r="AS41" s="239">
        <v>-88021</v>
      </c>
      <c r="AT41" s="239">
        <v>-9780</v>
      </c>
      <c r="AU41" s="239">
        <v>-978011</v>
      </c>
      <c r="AV41" s="239">
        <v>111874</v>
      </c>
      <c r="AW41" s="239">
        <v>89498</v>
      </c>
      <c r="AX41" s="239">
        <v>20137</v>
      </c>
      <c r="AY41" s="239">
        <v>2237</v>
      </c>
      <c r="AZ41" s="239">
        <v>223746</v>
      </c>
      <c r="BA41" s="239">
        <v>-209858</v>
      </c>
      <c r="BB41" s="239">
        <v>-167886</v>
      </c>
      <c r="BC41" s="239">
        <v>-37774</v>
      </c>
      <c r="BD41" s="239">
        <v>-4197</v>
      </c>
      <c r="BE41" s="239">
        <v>-419715</v>
      </c>
      <c r="BF41" s="239">
        <v>-586990</v>
      </c>
      <c r="BG41" s="239">
        <v>-469592</v>
      </c>
      <c r="BH41" s="239">
        <v>-105658</v>
      </c>
      <c r="BI41" s="239">
        <v>-11740</v>
      </c>
      <c r="BJ41" s="239">
        <v>-1173980</v>
      </c>
      <c r="BK41" s="239">
        <v>-952877</v>
      </c>
      <c r="BL41" s="239">
        <v>-762302</v>
      </c>
      <c r="BM41" s="239">
        <v>-171518</v>
      </c>
      <c r="BN41" s="239">
        <v>-19058</v>
      </c>
      <c r="BO41" s="239">
        <v>-1905755</v>
      </c>
      <c r="BP41" s="239">
        <v>662534</v>
      </c>
      <c r="BQ41" s="239">
        <v>530028</v>
      </c>
      <c r="BR41" s="239">
        <v>119256</v>
      </c>
      <c r="BS41" s="239">
        <v>13251</v>
      </c>
      <c r="BT41" s="239">
        <v>1325069</v>
      </c>
      <c r="BU41" s="239">
        <v>-1338481</v>
      </c>
      <c r="BV41" s="239">
        <v>-1070786</v>
      </c>
      <c r="BW41" s="239">
        <v>-240927</v>
      </c>
      <c r="BX41" s="239">
        <v>-26770</v>
      </c>
      <c r="BY41" s="239">
        <v>-2676964</v>
      </c>
      <c r="BZ41" s="239">
        <v>-1628824</v>
      </c>
      <c r="CA41" s="239">
        <v>-1303060</v>
      </c>
      <c r="CB41" s="239">
        <v>-293189</v>
      </c>
      <c r="CC41" s="239">
        <v>-32577</v>
      </c>
      <c r="CD41" s="239">
        <v>-3257650</v>
      </c>
      <c r="CE41" s="239">
        <v>-674460</v>
      </c>
      <c r="CF41" s="239">
        <v>-539566</v>
      </c>
      <c r="CG41" s="239">
        <v>-121402</v>
      </c>
      <c r="CH41" s="239">
        <v>-13489</v>
      </c>
      <c r="CI41" s="239">
        <v>-1348917</v>
      </c>
      <c r="CJ41" s="239">
        <v>-253464</v>
      </c>
      <c r="CK41" s="239">
        <v>-202771</v>
      </c>
      <c r="CL41" s="239">
        <v>-45623</v>
      </c>
      <c r="CM41" s="239">
        <v>-5069</v>
      </c>
      <c r="CN41" s="239">
        <v>-506927</v>
      </c>
      <c r="CO41" s="239">
        <v>-420996</v>
      </c>
      <c r="CP41" s="239">
        <v>-336795</v>
      </c>
      <c r="CQ41" s="239">
        <v>-75779</v>
      </c>
      <c r="CR41" s="239">
        <v>-8420</v>
      </c>
      <c r="CS41" s="239">
        <v>-841990</v>
      </c>
      <c r="CT41" s="239">
        <v>11161832</v>
      </c>
      <c r="CU41" s="239">
        <v>8929466</v>
      </c>
      <c r="CV41" s="239">
        <v>2009130</v>
      </c>
      <c r="CW41" s="239">
        <v>223237</v>
      </c>
      <c r="CX41" s="239">
        <v>22323665</v>
      </c>
      <c r="CY41" s="239">
        <v>11431624</v>
      </c>
      <c r="CZ41" s="239">
        <v>9145299</v>
      </c>
      <c r="DA41" s="239">
        <v>2057692</v>
      </c>
      <c r="DB41" s="239">
        <v>228632</v>
      </c>
      <c r="DC41" s="239">
        <v>22863247</v>
      </c>
      <c r="DD41" s="239">
        <v>269792</v>
      </c>
      <c r="DE41" s="239">
        <v>215833</v>
      </c>
      <c r="DF41" s="239">
        <v>48562</v>
      </c>
      <c r="DG41" s="239">
        <v>5395</v>
      </c>
      <c r="DH41" s="239">
        <v>539582</v>
      </c>
      <c r="DI41" s="239">
        <v>-151204</v>
      </c>
      <c r="DJ41" s="239">
        <v>-120962</v>
      </c>
      <c r="DK41" s="239">
        <v>-27217</v>
      </c>
      <c r="DL41" s="239">
        <v>-3025</v>
      </c>
      <c r="DM41" s="239">
        <v>-302408</v>
      </c>
      <c r="DN41" s="835">
        <v>0.5</v>
      </c>
      <c r="DO41" s="835">
        <v>0.4</v>
      </c>
      <c r="DP41" s="835">
        <v>0.09</v>
      </c>
      <c r="DQ41" s="835">
        <v>0.01</v>
      </c>
      <c r="DR41" s="835">
        <v>1</v>
      </c>
      <c r="DS41" s="214" t="s">
        <v>1158</v>
      </c>
      <c r="DU41" s="214">
        <v>0</v>
      </c>
    </row>
    <row r="42" spans="1:125" s="214" customFormat="1" x14ac:dyDescent="0.2">
      <c r="B42" s="602" t="s">
        <v>167</v>
      </c>
      <c r="C42" s="602" t="s">
        <v>166</v>
      </c>
      <c r="D42" s="239">
        <v>19583612</v>
      </c>
      <c r="E42" s="239">
        <v>15666890</v>
      </c>
      <c r="F42" s="239">
        <v>3916723</v>
      </c>
      <c r="G42" s="239">
        <v>0</v>
      </c>
      <c r="H42" s="239">
        <v>39167225</v>
      </c>
      <c r="I42" s="239">
        <v>0</v>
      </c>
      <c r="J42" s="239">
        <v>0</v>
      </c>
      <c r="K42" s="239">
        <v>19583612</v>
      </c>
      <c r="L42" s="239">
        <v>111335</v>
      </c>
      <c r="M42" s="239">
        <v>111335</v>
      </c>
      <c r="N42" s="239">
        <v>0</v>
      </c>
      <c r="O42" s="239">
        <v>0</v>
      </c>
      <c r="P42" s="239">
        <v>0</v>
      </c>
      <c r="Q42" s="239">
        <v>0</v>
      </c>
      <c r="R42" s="239">
        <v>0</v>
      </c>
      <c r="S42" s="239">
        <v>0</v>
      </c>
      <c r="T42" s="239">
        <v>0</v>
      </c>
      <c r="U42" s="239">
        <v>0</v>
      </c>
      <c r="V42" s="239">
        <v>0</v>
      </c>
      <c r="W42" s="239">
        <v>0</v>
      </c>
      <c r="X42" s="239">
        <v>0</v>
      </c>
      <c r="Y42" s="239">
        <v>0</v>
      </c>
      <c r="Z42" s="239">
        <v>0</v>
      </c>
      <c r="AA42" s="239">
        <v>0</v>
      </c>
      <c r="AB42" s="239">
        <v>0</v>
      </c>
      <c r="AC42" s="239">
        <v>1062551</v>
      </c>
      <c r="AD42" s="239">
        <v>265638</v>
      </c>
      <c r="AE42" s="239">
        <v>0</v>
      </c>
      <c r="AF42" s="239">
        <v>1328189</v>
      </c>
      <c r="AG42" s="239">
        <v>1546043</v>
      </c>
      <c r="AH42" s="239">
        <v>1236835</v>
      </c>
      <c r="AI42" s="239">
        <v>309209</v>
      </c>
      <c r="AJ42" s="239">
        <v>0</v>
      </c>
      <c r="AK42" s="239">
        <v>3092087</v>
      </c>
      <c r="AL42" s="239">
        <v>-335918</v>
      </c>
      <c r="AM42" s="239">
        <v>-268735</v>
      </c>
      <c r="AN42" s="239">
        <v>-67184</v>
      </c>
      <c r="AO42" s="239">
        <v>0</v>
      </c>
      <c r="AP42" s="239">
        <v>-671837</v>
      </c>
      <c r="AQ42" s="239">
        <v>-124717.70000000001</v>
      </c>
      <c r="AR42" s="239">
        <v>-99774</v>
      </c>
      <c r="AS42" s="239">
        <v>-24944</v>
      </c>
      <c r="AT42" s="239">
        <v>0</v>
      </c>
      <c r="AU42" s="239">
        <v>-249435.7</v>
      </c>
      <c r="AV42" s="239">
        <v>285177</v>
      </c>
      <c r="AW42" s="239">
        <v>228141</v>
      </c>
      <c r="AX42" s="239">
        <v>57035</v>
      </c>
      <c r="AY42" s="239">
        <v>0</v>
      </c>
      <c r="AZ42" s="239">
        <v>570353</v>
      </c>
      <c r="BA42" s="239">
        <v>-124339</v>
      </c>
      <c r="BB42" s="239">
        <v>-99472</v>
      </c>
      <c r="BC42" s="239">
        <v>-24868</v>
      </c>
      <c r="BD42" s="239">
        <v>0</v>
      </c>
      <c r="BE42" s="239">
        <v>-248679</v>
      </c>
      <c r="BF42" s="239">
        <v>36120.299999999988</v>
      </c>
      <c r="BG42" s="239">
        <v>28895</v>
      </c>
      <c r="BH42" s="239">
        <v>7223</v>
      </c>
      <c r="BI42" s="239">
        <v>0</v>
      </c>
      <c r="BJ42" s="239">
        <v>72238.299999999988</v>
      </c>
      <c r="BK42" s="239">
        <v>-1254103</v>
      </c>
      <c r="BL42" s="239">
        <v>-1003283</v>
      </c>
      <c r="BM42" s="239">
        <v>-250821</v>
      </c>
      <c r="BN42" s="239">
        <v>0</v>
      </c>
      <c r="BO42" s="239">
        <v>-2508207</v>
      </c>
      <c r="BP42" s="239">
        <v>862043</v>
      </c>
      <c r="BQ42" s="239">
        <v>689634</v>
      </c>
      <c r="BR42" s="239">
        <v>172409</v>
      </c>
      <c r="BS42" s="239">
        <v>0</v>
      </c>
      <c r="BT42" s="239">
        <v>1724086</v>
      </c>
      <c r="BU42" s="239">
        <v>-723641</v>
      </c>
      <c r="BV42" s="239">
        <v>-578912</v>
      </c>
      <c r="BW42" s="239">
        <v>-144728</v>
      </c>
      <c r="BX42" s="239">
        <v>0</v>
      </c>
      <c r="BY42" s="239">
        <v>-1447281</v>
      </c>
      <c r="BZ42" s="239">
        <v>-1115701</v>
      </c>
      <c r="CA42" s="239">
        <v>-892561</v>
      </c>
      <c r="CB42" s="239">
        <v>-223140</v>
      </c>
      <c r="CC42" s="239">
        <v>0</v>
      </c>
      <c r="CD42" s="239">
        <v>-2231402</v>
      </c>
      <c r="CE42" s="239">
        <v>-2081913.700000003</v>
      </c>
      <c r="CF42" s="239">
        <v>-1665531</v>
      </c>
      <c r="CG42" s="239">
        <v>-416383</v>
      </c>
      <c r="CH42" s="239">
        <v>0</v>
      </c>
      <c r="CI42" s="239">
        <v>-4163827.700000003</v>
      </c>
      <c r="CJ42" s="239">
        <v>-1857449</v>
      </c>
      <c r="CK42" s="239">
        <v>-1485959</v>
      </c>
      <c r="CL42" s="239">
        <v>-371490</v>
      </c>
      <c r="CM42" s="239">
        <v>0</v>
      </c>
      <c r="CN42" s="239">
        <v>-3714898</v>
      </c>
      <c r="CO42" s="239">
        <v>-224464.70000000298</v>
      </c>
      <c r="CP42" s="239">
        <v>-179572</v>
      </c>
      <c r="CQ42" s="239">
        <v>-44893</v>
      </c>
      <c r="CR42" s="239">
        <v>0</v>
      </c>
      <c r="CS42" s="239">
        <v>-448929.70000000298</v>
      </c>
      <c r="CT42" s="239">
        <v>19654357</v>
      </c>
      <c r="CU42" s="239">
        <v>15723485</v>
      </c>
      <c r="CV42" s="239">
        <v>3930871</v>
      </c>
      <c r="CW42" s="239">
        <v>0</v>
      </c>
      <c r="CX42" s="239">
        <v>39308713</v>
      </c>
      <c r="CY42" s="239">
        <v>19583612</v>
      </c>
      <c r="CZ42" s="239">
        <v>15666890</v>
      </c>
      <c r="DA42" s="239">
        <v>3916723</v>
      </c>
      <c r="DB42" s="239">
        <v>0</v>
      </c>
      <c r="DC42" s="239">
        <v>39167225</v>
      </c>
      <c r="DD42" s="239">
        <v>-70745</v>
      </c>
      <c r="DE42" s="239">
        <v>-56595</v>
      </c>
      <c r="DF42" s="239">
        <v>-14148</v>
      </c>
      <c r="DG42" s="239">
        <v>0</v>
      </c>
      <c r="DH42" s="239">
        <v>-141488</v>
      </c>
      <c r="DI42" s="239">
        <v>-295209.70000000298</v>
      </c>
      <c r="DJ42" s="239">
        <v>-236167</v>
      </c>
      <c r="DK42" s="239">
        <v>-59041</v>
      </c>
      <c r="DL42" s="239">
        <v>0</v>
      </c>
      <c r="DM42" s="239">
        <v>-590417.70000000298</v>
      </c>
      <c r="DN42" s="835">
        <v>0.5</v>
      </c>
      <c r="DO42" s="835">
        <v>0.4</v>
      </c>
      <c r="DP42" s="835">
        <v>0.1</v>
      </c>
      <c r="DQ42" s="835">
        <v>0</v>
      </c>
      <c r="DR42" s="835">
        <v>1</v>
      </c>
      <c r="DS42" s="214" t="s">
        <v>1158</v>
      </c>
      <c r="DU42" s="214">
        <v>0</v>
      </c>
    </row>
    <row r="43" spans="1:125" s="214" customFormat="1" x14ac:dyDescent="0.2">
      <c r="A43" s="215"/>
      <c r="B43" s="602" t="s">
        <v>169</v>
      </c>
      <c r="C43" s="602" t="s">
        <v>168</v>
      </c>
      <c r="D43" s="239">
        <v>13379458.32</v>
      </c>
      <c r="E43" s="239">
        <v>10703566</v>
      </c>
      <c r="F43" s="239">
        <v>2408302</v>
      </c>
      <c r="G43" s="239">
        <v>267589</v>
      </c>
      <c r="H43" s="239">
        <v>26758915.32</v>
      </c>
      <c r="I43" s="239">
        <v>111652</v>
      </c>
      <c r="J43" s="239">
        <v>111652</v>
      </c>
      <c r="K43" s="239">
        <v>13267806.32</v>
      </c>
      <c r="L43" s="239">
        <v>106254</v>
      </c>
      <c r="M43" s="239">
        <v>106254</v>
      </c>
      <c r="N43" s="239">
        <v>0</v>
      </c>
      <c r="O43" s="239">
        <v>0</v>
      </c>
      <c r="P43" s="239">
        <v>0</v>
      </c>
      <c r="Q43" s="239">
        <v>2290.6799999999998</v>
      </c>
      <c r="R43" s="239">
        <v>2290.6799999999998</v>
      </c>
      <c r="S43" s="239">
        <v>111652.36051502146</v>
      </c>
      <c r="T43" s="239">
        <v>0</v>
      </c>
      <c r="U43" s="239">
        <v>0</v>
      </c>
      <c r="V43" s="239">
        <v>111652.36051502146</v>
      </c>
      <c r="W43" s="239">
        <v>0</v>
      </c>
      <c r="X43" s="239">
        <v>0</v>
      </c>
      <c r="Y43" s="239">
        <v>0</v>
      </c>
      <c r="Z43" s="239">
        <v>0</v>
      </c>
      <c r="AA43" s="239">
        <v>0</v>
      </c>
      <c r="AB43" s="239">
        <v>0</v>
      </c>
      <c r="AC43" s="239">
        <v>886173</v>
      </c>
      <c r="AD43" s="239">
        <v>199422</v>
      </c>
      <c r="AE43" s="239">
        <v>22155</v>
      </c>
      <c r="AF43" s="239">
        <v>1107750</v>
      </c>
      <c r="AG43" s="239">
        <v>451228</v>
      </c>
      <c r="AH43" s="239">
        <v>360983</v>
      </c>
      <c r="AI43" s="239">
        <v>81221</v>
      </c>
      <c r="AJ43" s="239">
        <v>9025</v>
      </c>
      <c r="AK43" s="239">
        <v>902457</v>
      </c>
      <c r="AL43" s="239">
        <v>-326648</v>
      </c>
      <c r="AM43" s="239">
        <v>-261319</v>
      </c>
      <c r="AN43" s="239">
        <v>-58797</v>
      </c>
      <c r="AO43" s="239">
        <v>-6533</v>
      </c>
      <c r="AP43" s="239">
        <v>-653297</v>
      </c>
      <c r="AQ43" s="239">
        <v>-358000</v>
      </c>
      <c r="AR43" s="239">
        <v>-286400</v>
      </c>
      <c r="AS43" s="239">
        <v>-64440</v>
      </c>
      <c r="AT43" s="239">
        <v>-7160</v>
      </c>
      <c r="AU43" s="239">
        <v>-716000</v>
      </c>
      <c r="AV43" s="239">
        <v>71664</v>
      </c>
      <c r="AW43" s="239">
        <v>57331</v>
      </c>
      <c r="AX43" s="239">
        <v>12900</v>
      </c>
      <c r="AY43" s="239">
        <v>1433</v>
      </c>
      <c r="AZ43" s="239">
        <v>143328</v>
      </c>
      <c r="BA43" s="239">
        <v>-48164</v>
      </c>
      <c r="BB43" s="239">
        <v>-38531</v>
      </c>
      <c r="BC43" s="239">
        <v>-8670</v>
      </c>
      <c r="BD43" s="239">
        <v>-963</v>
      </c>
      <c r="BE43" s="239">
        <v>-96328</v>
      </c>
      <c r="BF43" s="239">
        <v>-334500</v>
      </c>
      <c r="BG43" s="239">
        <v>-267600</v>
      </c>
      <c r="BH43" s="239">
        <v>-60210</v>
      </c>
      <c r="BI43" s="239">
        <v>-6690</v>
      </c>
      <c r="BJ43" s="239">
        <v>-669000</v>
      </c>
      <c r="BK43" s="239">
        <v>-1511867</v>
      </c>
      <c r="BL43" s="239">
        <v>-1209494</v>
      </c>
      <c r="BM43" s="239">
        <v>-272136</v>
      </c>
      <c r="BN43" s="239">
        <v>-30237</v>
      </c>
      <c r="BO43" s="239">
        <v>-3023734</v>
      </c>
      <c r="BP43" s="239">
        <v>162371</v>
      </c>
      <c r="BQ43" s="239">
        <v>129897</v>
      </c>
      <c r="BR43" s="239">
        <v>29227</v>
      </c>
      <c r="BS43" s="239">
        <v>3247</v>
      </c>
      <c r="BT43" s="239">
        <v>324742</v>
      </c>
      <c r="BU43" s="239">
        <v>662041</v>
      </c>
      <c r="BV43" s="239">
        <v>529634</v>
      </c>
      <c r="BW43" s="239">
        <v>119168</v>
      </c>
      <c r="BX43" s="239">
        <v>13241</v>
      </c>
      <c r="BY43" s="239">
        <v>1324084</v>
      </c>
      <c r="BZ43" s="239">
        <v>-687455</v>
      </c>
      <c r="CA43" s="239">
        <v>-549963</v>
      </c>
      <c r="CB43" s="239">
        <v>-123741</v>
      </c>
      <c r="CC43" s="239">
        <v>-13749</v>
      </c>
      <c r="CD43" s="239">
        <v>-1374908</v>
      </c>
      <c r="CE43" s="239">
        <v>-1668735</v>
      </c>
      <c r="CF43" s="239">
        <v>-1334986</v>
      </c>
      <c r="CG43" s="239">
        <v>-300372</v>
      </c>
      <c r="CH43" s="239">
        <v>-33374</v>
      </c>
      <c r="CI43" s="239">
        <v>-3337467</v>
      </c>
      <c r="CJ43" s="239">
        <v>-862829</v>
      </c>
      <c r="CK43" s="239">
        <v>-690263</v>
      </c>
      <c r="CL43" s="239">
        <v>-155309</v>
      </c>
      <c r="CM43" s="239">
        <v>-17257</v>
      </c>
      <c r="CN43" s="239">
        <v>-1725658</v>
      </c>
      <c r="CO43" s="239">
        <v>-805906</v>
      </c>
      <c r="CP43" s="239">
        <v>-644723</v>
      </c>
      <c r="CQ43" s="239">
        <v>-145063</v>
      </c>
      <c r="CR43" s="239">
        <v>-16117</v>
      </c>
      <c r="CS43" s="239">
        <v>-1611809</v>
      </c>
      <c r="CT43" s="239">
        <v>13219280</v>
      </c>
      <c r="CU43" s="239">
        <v>10575424</v>
      </c>
      <c r="CV43" s="239">
        <v>2379470</v>
      </c>
      <c r="CW43" s="239">
        <v>264386</v>
      </c>
      <c r="CX43" s="239">
        <v>26438560</v>
      </c>
      <c r="CY43" s="239">
        <v>13379458.32</v>
      </c>
      <c r="CZ43" s="239">
        <v>10703566</v>
      </c>
      <c r="DA43" s="239">
        <v>2408302</v>
      </c>
      <c r="DB43" s="239">
        <v>267589</v>
      </c>
      <c r="DC43" s="239">
        <v>26758915.32</v>
      </c>
      <c r="DD43" s="239">
        <v>160178.3200000003</v>
      </c>
      <c r="DE43" s="239">
        <v>128142</v>
      </c>
      <c r="DF43" s="239">
        <v>28832</v>
      </c>
      <c r="DG43" s="239">
        <v>3203</v>
      </c>
      <c r="DH43" s="239">
        <v>320355.3200000003</v>
      </c>
      <c r="DI43" s="239">
        <v>-645727.6799999997</v>
      </c>
      <c r="DJ43" s="239">
        <v>-516581</v>
      </c>
      <c r="DK43" s="239">
        <v>-116231</v>
      </c>
      <c r="DL43" s="239">
        <v>-12914</v>
      </c>
      <c r="DM43" s="239">
        <v>-1291453.6799999997</v>
      </c>
      <c r="DN43" s="835">
        <v>0.5</v>
      </c>
      <c r="DO43" s="835">
        <v>0.4</v>
      </c>
      <c r="DP43" s="835">
        <v>0.09</v>
      </c>
      <c r="DQ43" s="835">
        <v>0.01</v>
      </c>
      <c r="DR43" s="835">
        <v>1</v>
      </c>
      <c r="DS43" s="214" t="s">
        <v>1158</v>
      </c>
      <c r="DU43" s="214">
        <v>0</v>
      </c>
    </row>
    <row r="44" spans="1:125" s="214" customFormat="1" x14ac:dyDescent="0.2">
      <c r="B44" s="602" t="s">
        <v>171</v>
      </c>
      <c r="C44" s="602" t="s">
        <v>170</v>
      </c>
      <c r="D44" s="239">
        <v>12174137</v>
      </c>
      <c r="E44" s="239">
        <v>9739310</v>
      </c>
      <c r="F44" s="239">
        <v>2191345</v>
      </c>
      <c r="G44" s="239">
        <v>243483</v>
      </c>
      <c r="H44" s="239">
        <v>24348275</v>
      </c>
      <c r="I44" s="239">
        <v>0</v>
      </c>
      <c r="J44" s="239">
        <v>0</v>
      </c>
      <c r="K44" s="239">
        <v>12174137</v>
      </c>
      <c r="L44" s="239">
        <v>148995</v>
      </c>
      <c r="M44" s="239">
        <v>148995</v>
      </c>
      <c r="N44" s="239">
        <v>0</v>
      </c>
      <c r="O44" s="239">
        <v>0</v>
      </c>
      <c r="P44" s="239">
        <v>234277</v>
      </c>
      <c r="Q44" s="239">
        <v>0</v>
      </c>
      <c r="R44" s="239">
        <v>234277</v>
      </c>
      <c r="S44" s="239">
        <v>0</v>
      </c>
      <c r="T44" s="239">
        <v>0</v>
      </c>
      <c r="U44" s="239">
        <v>0</v>
      </c>
      <c r="V44" s="239">
        <v>0</v>
      </c>
      <c r="W44" s="239">
        <v>0</v>
      </c>
      <c r="X44" s="239">
        <v>0</v>
      </c>
      <c r="Y44" s="239">
        <v>0</v>
      </c>
      <c r="Z44" s="239">
        <v>0</v>
      </c>
      <c r="AA44" s="239">
        <v>0</v>
      </c>
      <c r="AB44" s="239">
        <v>0</v>
      </c>
      <c r="AC44" s="239">
        <v>1198850</v>
      </c>
      <c r="AD44" s="239">
        <v>268949</v>
      </c>
      <c r="AE44" s="239">
        <v>29882</v>
      </c>
      <c r="AF44" s="239">
        <v>1497681</v>
      </c>
      <c r="AG44" s="239">
        <v>687490</v>
      </c>
      <c r="AH44" s="239">
        <v>549992</v>
      </c>
      <c r="AI44" s="239">
        <v>123748</v>
      </c>
      <c r="AJ44" s="239">
        <v>13750</v>
      </c>
      <c r="AK44" s="239">
        <v>1374980</v>
      </c>
      <c r="AL44" s="239">
        <v>-145643</v>
      </c>
      <c r="AM44" s="239">
        <v>-116515</v>
      </c>
      <c r="AN44" s="239">
        <v>-26216</v>
      </c>
      <c r="AO44" s="239">
        <v>-2913</v>
      </c>
      <c r="AP44" s="239">
        <v>-291287</v>
      </c>
      <c r="AQ44" s="239">
        <v>-650924.33999999985</v>
      </c>
      <c r="AR44" s="239">
        <v>-520740</v>
      </c>
      <c r="AS44" s="239">
        <v>-117167</v>
      </c>
      <c r="AT44" s="239">
        <v>-13019</v>
      </c>
      <c r="AU44" s="239">
        <v>-1301850.3399999999</v>
      </c>
      <c r="AV44" s="239">
        <v>215443</v>
      </c>
      <c r="AW44" s="239">
        <v>172354</v>
      </c>
      <c r="AX44" s="239">
        <v>38780</v>
      </c>
      <c r="AY44" s="239">
        <v>4309</v>
      </c>
      <c r="AZ44" s="239">
        <v>430886</v>
      </c>
      <c r="BA44" s="239">
        <v>-246414</v>
      </c>
      <c r="BB44" s="239">
        <v>-197130</v>
      </c>
      <c r="BC44" s="239">
        <v>-44354</v>
      </c>
      <c r="BD44" s="239">
        <v>-4928</v>
      </c>
      <c r="BE44" s="239">
        <v>-492826</v>
      </c>
      <c r="BF44" s="239">
        <v>-681895.33999999985</v>
      </c>
      <c r="BG44" s="239">
        <v>-545516</v>
      </c>
      <c r="BH44" s="239">
        <v>-122741</v>
      </c>
      <c r="BI44" s="239">
        <v>-13638</v>
      </c>
      <c r="BJ44" s="239">
        <v>-1363790.3399999999</v>
      </c>
      <c r="BK44" s="239">
        <v>-3359751</v>
      </c>
      <c r="BL44" s="239">
        <v>-2687801</v>
      </c>
      <c r="BM44" s="239">
        <v>-604755</v>
      </c>
      <c r="BN44" s="239">
        <v>-67195</v>
      </c>
      <c r="BO44" s="239">
        <v>-6719502</v>
      </c>
      <c r="BP44" s="239">
        <v>933838</v>
      </c>
      <c r="BQ44" s="239">
        <v>747071</v>
      </c>
      <c r="BR44" s="239">
        <v>168091</v>
      </c>
      <c r="BS44" s="239">
        <v>18677</v>
      </c>
      <c r="BT44" s="239">
        <v>1867677</v>
      </c>
      <c r="BU44" s="239">
        <v>-876547</v>
      </c>
      <c r="BV44" s="239">
        <v>-701238</v>
      </c>
      <c r="BW44" s="239">
        <v>-157779</v>
      </c>
      <c r="BX44" s="239">
        <v>-17531</v>
      </c>
      <c r="BY44" s="239">
        <v>-1753095</v>
      </c>
      <c r="BZ44" s="239">
        <v>-3302460</v>
      </c>
      <c r="CA44" s="239">
        <v>-2641968</v>
      </c>
      <c r="CB44" s="239">
        <v>-594443</v>
      </c>
      <c r="CC44" s="239">
        <v>-66049</v>
      </c>
      <c r="CD44" s="239">
        <v>-6604920</v>
      </c>
      <c r="CE44" s="239">
        <v>71635</v>
      </c>
      <c r="CF44" s="239">
        <v>57309</v>
      </c>
      <c r="CG44" s="239">
        <v>12895</v>
      </c>
      <c r="CH44" s="239">
        <v>1432</v>
      </c>
      <c r="CI44" s="239">
        <v>143271</v>
      </c>
      <c r="CJ44" s="239">
        <v>-594424</v>
      </c>
      <c r="CK44" s="239">
        <v>-475538</v>
      </c>
      <c r="CL44" s="239">
        <v>-106996</v>
      </c>
      <c r="CM44" s="239">
        <v>-11888</v>
      </c>
      <c r="CN44" s="239">
        <v>-1188846</v>
      </c>
      <c r="CO44" s="239">
        <v>666059</v>
      </c>
      <c r="CP44" s="239">
        <v>532847</v>
      </c>
      <c r="CQ44" s="239">
        <v>119891</v>
      </c>
      <c r="CR44" s="239">
        <v>13320</v>
      </c>
      <c r="CS44" s="239">
        <v>1332117</v>
      </c>
      <c r="CT44" s="239">
        <v>12331845</v>
      </c>
      <c r="CU44" s="239">
        <v>9865476</v>
      </c>
      <c r="CV44" s="239">
        <v>2219732</v>
      </c>
      <c r="CW44" s="239">
        <v>246637</v>
      </c>
      <c r="CX44" s="239">
        <v>24663690</v>
      </c>
      <c r="CY44" s="239">
        <v>12174137</v>
      </c>
      <c r="CZ44" s="239">
        <v>9739310</v>
      </c>
      <c r="DA44" s="239">
        <v>2191345</v>
      </c>
      <c r="DB44" s="239">
        <v>243483</v>
      </c>
      <c r="DC44" s="239">
        <v>24348275</v>
      </c>
      <c r="DD44" s="239">
        <v>-157708</v>
      </c>
      <c r="DE44" s="239">
        <v>-126166</v>
      </c>
      <c r="DF44" s="239">
        <v>-28387</v>
      </c>
      <c r="DG44" s="239">
        <v>-3154</v>
      </c>
      <c r="DH44" s="239">
        <v>-315415</v>
      </c>
      <c r="DI44" s="239">
        <v>508351</v>
      </c>
      <c r="DJ44" s="239">
        <v>406681</v>
      </c>
      <c r="DK44" s="239">
        <v>91504</v>
      </c>
      <c r="DL44" s="239">
        <v>10166</v>
      </c>
      <c r="DM44" s="239">
        <v>1016702</v>
      </c>
      <c r="DN44" s="835">
        <v>0.5</v>
      </c>
      <c r="DO44" s="835">
        <v>0.4</v>
      </c>
      <c r="DP44" s="835">
        <v>0.09</v>
      </c>
      <c r="DQ44" s="835">
        <v>0.01</v>
      </c>
      <c r="DR44" s="835">
        <v>1</v>
      </c>
      <c r="DS44" s="214" t="s">
        <v>1158</v>
      </c>
      <c r="DU44" s="214">
        <v>0</v>
      </c>
    </row>
    <row r="45" spans="1:125" s="214" customFormat="1" x14ac:dyDescent="0.2">
      <c r="B45" s="602" t="s">
        <v>173</v>
      </c>
      <c r="C45" s="602" t="s">
        <v>172</v>
      </c>
      <c r="D45" s="239">
        <v>0</v>
      </c>
      <c r="E45" s="239">
        <v>41023104</v>
      </c>
      <c r="F45" s="239">
        <v>0</v>
      </c>
      <c r="G45" s="239">
        <v>414375</v>
      </c>
      <c r="H45" s="239">
        <v>41437479</v>
      </c>
      <c r="I45" s="239">
        <v>0</v>
      </c>
      <c r="J45" s="239">
        <v>0</v>
      </c>
      <c r="K45" s="239">
        <v>0</v>
      </c>
      <c r="L45" s="239">
        <v>238334</v>
      </c>
      <c r="M45" s="239">
        <v>238334</v>
      </c>
      <c r="N45" s="239">
        <v>0</v>
      </c>
      <c r="O45" s="239">
        <v>0</v>
      </c>
      <c r="P45" s="239">
        <v>0</v>
      </c>
      <c r="Q45" s="239">
        <v>0</v>
      </c>
      <c r="R45" s="239">
        <v>0</v>
      </c>
      <c r="S45" s="239">
        <v>0</v>
      </c>
      <c r="T45" s="239">
        <v>0</v>
      </c>
      <c r="U45" s="239">
        <v>0</v>
      </c>
      <c r="V45" s="239">
        <v>0</v>
      </c>
      <c r="W45" s="239">
        <v>0</v>
      </c>
      <c r="X45" s="239">
        <v>0</v>
      </c>
      <c r="Y45" s="239">
        <v>0</v>
      </c>
      <c r="Z45" s="239">
        <v>0</v>
      </c>
      <c r="AA45" s="239">
        <v>0</v>
      </c>
      <c r="AB45" s="239">
        <v>0</v>
      </c>
      <c r="AC45" s="239">
        <v>6193346</v>
      </c>
      <c r="AD45" s="239">
        <v>0</v>
      </c>
      <c r="AE45" s="239">
        <v>62560</v>
      </c>
      <c r="AF45" s="239">
        <v>6255906</v>
      </c>
      <c r="AG45" s="239">
        <v>0</v>
      </c>
      <c r="AH45" s="239">
        <v>7080118</v>
      </c>
      <c r="AI45" s="239">
        <v>0</v>
      </c>
      <c r="AJ45" s="239">
        <v>71516</v>
      </c>
      <c r="AK45" s="239">
        <v>7151634</v>
      </c>
      <c r="AL45" s="239">
        <v>0</v>
      </c>
      <c r="AM45" s="239">
        <v>-1504157</v>
      </c>
      <c r="AN45" s="239">
        <v>0</v>
      </c>
      <c r="AO45" s="239">
        <v>-15194</v>
      </c>
      <c r="AP45" s="239">
        <v>-1519351</v>
      </c>
      <c r="AQ45" s="239">
        <v>0</v>
      </c>
      <c r="AR45" s="239">
        <v>-3731447</v>
      </c>
      <c r="AS45" s="239">
        <v>0</v>
      </c>
      <c r="AT45" s="239">
        <v>-37691</v>
      </c>
      <c r="AU45" s="239">
        <v>-3769138</v>
      </c>
      <c r="AV45" s="239">
        <v>0</v>
      </c>
      <c r="AW45" s="239">
        <v>308518</v>
      </c>
      <c r="AX45" s="239">
        <v>0</v>
      </c>
      <c r="AY45" s="239">
        <v>3116</v>
      </c>
      <c r="AZ45" s="239">
        <v>311634</v>
      </c>
      <c r="BA45" s="239">
        <v>0</v>
      </c>
      <c r="BB45" s="239">
        <v>-503064</v>
      </c>
      <c r="BC45" s="239">
        <v>0</v>
      </c>
      <c r="BD45" s="239">
        <v>-5081</v>
      </c>
      <c r="BE45" s="239">
        <v>-508145</v>
      </c>
      <c r="BF45" s="239">
        <v>0</v>
      </c>
      <c r="BG45" s="239">
        <v>-3925993</v>
      </c>
      <c r="BH45" s="239">
        <v>0</v>
      </c>
      <c r="BI45" s="239">
        <v>-39656</v>
      </c>
      <c r="BJ45" s="239">
        <v>-3965649</v>
      </c>
      <c r="BK45" s="239">
        <v>0</v>
      </c>
      <c r="BL45" s="239">
        <v>-7344561</v>
      </c>
      <c r="BM45" s="239">
        <v>0</v>
      </c>
      <c r="BN45" s="239">
        <v>-74187</v>
      </c>
      <c r="BO45" s="239">
        <v>-7418748</v>
      </c>
      <c r="BP45" s="239">
        <v>0</v>
      </c>
      <c r="BQ45" s="239">
        <v>868603</v>
      </c>
      <c r="BR45" s="239">
        <v>0</v>
      </c>
      <c r="BS45" s="239">
        <v>8774</v>
      </c>
      <c r="BT45" s="239">
        <v>877377</v>
      </c>
      <c r="BU45" s="239">
        <v>0</v>
      </c>
      <c r="BV45" s="239">
        <v>-6292481</v>
      </c>
      <c r="BW45" s="239">
        <v>0</v>
      </c>
      <c r="BX45" s="239">
        <v>-63560</v>
      </c>
      <c r="BY45" s="239">
        <v>-6356041</v>
      </c>
      <c r="BZ45" s="239">
        <v>0</v>
      </c>
      <c r="CA45" s="239">
        <v>-12768439</v>
      </c>
      <c r="CB45" s="239">
        <v>0</v>
      </c>
      <c r="CC45" s="239">
        <v>-128973</v>
      </c>
      <c r="CD45" s="239">
        <v>-12897412</v>
      </c>
      <c r="CE45" s="239">
        <v>-1845883</v>
      </c>
      <c r="CF45" s="239">
        <v>-1808965.34</v>
      </c>
      <c r="CG45" s="239">
        <v>0</v>
      </c>
      <c r="CH45" s="239">
        <v>-36917.660000000003</v>
      </c>
      <c r="CI45" s="239">
        <v>-3691766</v>
      </c>
      <c r="CJ45" s="239">
        <v>-1920410</v>
      </c>
      <c r="CK45" s="239">
        <v>-1882001</v>
      </c>
      <c r="CL45" s="239">
        <v>0</v>
      </c>
      <c r="CM45" s="239">
        <v>-38408</v>
      </c>
      <c r="CN45" s="239">
        <v>-3840819</v>
      </c>
      <c r="CO45" s="239">
        <v>74527</v>
      </c>
      <c r="CP45" s="239">
        <v>73035.659999999916</v>
      </c>
      <c r="CQ45" s="239">
        <v>0</v>
      </c>
      <c r="CR45" s="239">
        <v>1490.3399999999965</v>
      </c>
      <c r="CS45" s="239">
        <v>149053</v>
      </c>
      <c r="CT45" s="239">
        <v>0</v>
      </c>
      <c r="CU45" s="239">
        <v>46204101</v>
      </c>
      <c r="CV45" s="239">
        <v>0</v>
      </c>
      <c r="CW45" s="239">
        <v>466708</v>
      </c>
      <c r="CX45" s="239">
        <v>46670809</v>
      </c>
      <c r="CY45" s="239">
        <v>0</v>
      </c>
      <c r="CZ45" s="239">
        <v>41023104</v>
      </c>
      <c r="DA45" s="239">
        <v>0</v>
      </c>
      <c r="DB45" s="239">
        <v>414375</v>
      </c>
      <c r="DC45" s="239">
        <v>41437479</v>
      </c>
      <c r="DD45" s="239">
        <v>0</v>
      </c>
      <c r="DE45" s="239">
        <v>-5180997</v>
      </c>
      <c r="DF45" s="239">
        <v>0</v>
      </c>
      <c r="DG45" s="239">
        <v>-52333</v>
      </c>
      <c r="DH45" s="239">
        <v>-5233330</v>
      </c>
      <c r="DI45" s="239">
        <v>74527</v>
      </c>
      <c r="DJ45" s="239">
        <v>-5107961.34</v>
      </c>
      <c r="DK45" s="239">
        <v>0</v>
      </c>
      <c r="DL45" s="239">
        <v>-50842.66</v>
      </c>
      <c r="DM45" s="239">
        <v>-5084277</v>
      </c>
      <c r="DN45" s="835">
        <v>0</v>
      </c>
      <c r="DO45" s="835">
        <v>0.99</v>
      </c>
      <c r="DP45" s="835">
        <v>0</v>
      </c>
      <c r="DQ45" s="835">
        <v>0.01</v>
      </c>
      <c r="DR45" s="835">
        <v>1</v>
      </c>
      <c r="DS45" s="214" t="s">
        <v>1160</v>
      </c>
      <c r="DU45" s="214">
        <v>0</v>
      </c>
    </row>
    <row r="46" spans="1:125" s="214" customFormat="1" x14ac:dyDescent="0.2">
      <c r="B46" s="602" t="s">
        <v>175</v>
      </c>
      <c r="C46" s="602" t="s">
        <v>174</v>
      </c>
      <c r="D46" s="239">
        <v>26194886</v>
      </c>
      <c r="E46" s="239">
        <v>25670988</v>
      </c>
      <c r="F46" s="239">
        <v>0</v>
      </c>
      <c r="G46" s="239">
        <v>523898</v>
      </c>
      <c r="H46" s="239">
        <v>52389772</v>
      </c>
      <c r="I46" s="239">
        <v>0</v>
      </c>
      <c r="J46" s="239">
        <v>0</v>
      </c>
      <c r="K46" s="239">
        <v>26194886</v>
      </c>
      <c r="L46" s="239">
        <v>349888</v>
      </c>
      <c r="M46" s="239">
        <v>349888</v>
      </c>
      <c r="N46" s="239">
        <v>0</v>
      </c>
      <c r="O46" s="239">
        <v>0</v>
      </c>
      <c r="P46" s="239">
        <v>345565</v>
      </c>
      <c r="Q46" s="239">
        <v>0</v>
      </c>
      <c r="R46" s="239">
        <v>345565</v>
      </c>
      <c r="S46" s="239">
        <v>0</v>
      </c>
      <c r="T46" s="239">
        <v>0</v>
      </c>
      <c r="U46" s="239">
        <v>0</v>
      </c>
      <c r="V46" s="239">
        <v>0</v>
      </c>
      <c r="W46" s="239">
        <v>0</v>
      </c>
      <c r="X46" s="239">
        <v>0</v>
      </c>
      <c r="Y46" s="239">
        <v>0</v>
      </c>
      <c r="Z46" s="239">
        <v>0</v>
      </c>
      <c r="AA46" s="239">
        <v>0</v>
      </c>
      <c r="AB46" s="239">
        <v>0</v>
      </c>
      <c r="AC46" s="239">
        <v>3916420</v>
      </c>
      <c r="AD46" s="239">
        <v>0</v>
      </c>
      <c r="AE46" s="239">
        <v>79822</v>
      </c>
      <c r="AF46" s="239">
        <v>3996242</v>
      </c>
      <c r="AG46" s="239">
        <v>2925167</v>
      </c>
      <c r="AH46" s="239">
        <v>2866664</v>
      </c>
      <c r="AI46" s="239">
        <v>0</v>
      </c>
      <c r="AJ46" s="239">
        <v>58503</v>
      </c>
      <c r="AK46" s="239">
        <v>5850334</v>
      </c>
      <c r="AL46" s="239">
        <v>-975597</v>
      </c>
      <c r="AM46" s="239">
        <v>-956085</v>
      </c>
      <c r="AN46" s="239">
        <v>0</v>
      </c>
      <c r="AO46" s="239">
        <v>-19512</v>
      </c>
      <c r="AP46" s="239">
        <v>-1951194</v>
      </c>
      <c r="AQ46" s="239">
        <v>-1381479</v>
      </c>
      <c r="AR46" s="239">
        <v>-1353849</v>
      </c>
      <c r="AS46" s="239">
        <v>0</v>
      </c>
      <c r="AT46" s="239">
        <v>-27630</v>
      </c>
      <c r="AU46" s="239">
        <v>-2762958</v>
      </c>
      <c r="AV46" s="239">
        <v>-15737</v>
      </c>
      <c r="AW46" s="239">
        <v>-15423</v>
      </c>
      <c r="AX46" s="239">
        <v>0</v>
      </c>
      <c r="AY46" s="239">
        <v>-315</v>
      </c>
      <c r="AZ46" s="239">
        <v>-31475</v>
      </c>
      <c r="BA46" s="239">
        <v>-361281</v>
      </c>
      <c r="BB46" s="239">
        <v>-354055</v>
      </c>
      <c r="BC46" s="239">
        <v>0</v>
      </c>
      <c r="BD46" s="239">
        <v>-7226</v>
      </c>
      <c r="BE46" s="239">
        <v>-722562</v>
      </c>
      <c r="BF46" s="239">
        <v>-1758497</v>
      </c>
      <c r="BG46" s="239">
        <v>-1723327</v>
      </c>
      <c r="BH46" s="239">
        <v>0</v>
      </c>
      <c r="BI46" s="239">
        <v>-35171</v>
      </c>
      <c r="BJ46" s="239">
        <v>-3516995</v>
      </c>
      <c r="BK46" s="239">
        <v>-3310238</v>
      </c>
      <c r="BL46" s="239">
        <v>-3244034</v>
      </c>
      <c r="BM46" s="239">
        <v>0</v>
      </c>
      <c r="BN46" s="239">
        <v>-66205</v>
      </c>
      <c r="BO46" s="239">
        <v>-6620477</v>
      </c>
      <c r="BP46" s="239">
        <v>1832856</v>
      </c>
      <c r="BQ46" s="239">
        <v>1796199</v>
      </c>
      <c r="BR46" s="239">
        <v>0</v>
      </c>
      <c r="BS46" s="239">
        <v>36657</v>
      </c>
      <c r="BT46" s="239">
        <v>3665712</v>
      </c>
      <c r="BU46" s="239">
        <v>-2145956</v>
      </c>
      <c r="BV46" s="239">
        <v>-2103036</v>
      </c>
      <c r="BW46" s="239">
        <v>0</v>
      </c>
      <c r="BX46" s="239">
        <v>-42919</v>
      </c>
      <c r="BY46" s="239">
        <v>-4291911</v>
      </c>
      <c r="BZ46" s="239">
        <v>-3623338</v>
      </c>
      <c r="CA46" s="239">
        <v>-3550871</v>
      </c>
      <c r="CB46" s="239">
        <v>0</v>
      </c>
      <c r="CC46" s="239">
        <v>-72467</v>
      </c>
      <c r="CD46" s="239">
        <v>-7246676</v>
      </c>
      <c r="CE46" s="239">
        <v>-2494289</v>
      </c>
      <c r="CF46" s="239">
        <v>-2444402</v>
      </c>
      <c r="CG46" s="239">
        <v>0</v>
      </c>
      <c r="CH46" s="239">
        <v>-49885</v>
      </c>
      <c r="CI46" s="239">
        <v>-4988576</v>
      </c>
      <c r="CJ46" s="239">
        <v>-3196102</v>
      </c>
      <c r="CK46" s="239">
        <v>-3132180</v>
      </c>
      <c r="CL46" s="239">
        <v>0</v>
      </c>
      <c r="CM46" s="239">
        <v>-63922</v>
      </c>
      <c r="CN46" s="239">
        <v>-6392204</v>
      </c>
      <c r="CO46" s="239">
        <v>701813</v>
      </c>
      <c r="CP46" s="239">
        <v>687778</v>
      </c>
      <c r="CQ46" s="239">
        <v>0</v>
      </c>
      <c r="CR46" s="239">
        <v>14037</v>
      </c>
      <c r="CS46" s="239">
        <v>1403628</v>
      </c>
      <c r="CT46" s="239">
        <v>25929190</v>
      </c>
      <c r="CU46" s="239">
        <v>25410606</v>
      </c>
      <c r="CV46" s="239">
        <v>0</v>
      </c>
      <c r="CW46" s="239">
        <v>518584</v>
      </c>
      <c r="CX46" s="239">
        <v>51858380</v>
      </c>
      <c r="CY46" s="239">
        <v>26194886</v>
      </c>
      <c r="CZ46" s="239">
        <v>25670988</v>
      </c>
      <c r="DA46" s="239">
        <v>0</v>
      </c>
      <c r="DB46" s="239">
        <v>523898</v>
      </c>
      <c r="DC46" s="239">
        <v>52389772</v>
      </c>
      <c r="DD46" s="239">
        <v>265696</v>
      </c>
      <c r="DE46" s="239">
        <v>260382</v>
      </c>
      <c r="DF46" s="239">
        <v>0</v>
      </c>
      <c r="DG46" s="239">
        <v>5314</v>
      </c>
      <c r="DH46" s="239">
        <v>531392</v>
      </c>
      <c r="DI46" s="239">
        <v>967509</v>
      </c>
      <c r="DJ46" s="239">
        <v>948160</v>
      </c>
      <c r="DK46" s="239">
        <v>0</v>
      </c>
      <c r="DL46" s="239">
        <v>19351</v>
      </c>
      <c r="DM46" s="239">
        <v>1935020</v>
      </c>
      <c r="DN46" s="835">
        <v>0.5</v>
      </c>
      <c r="DO46" s="835">
        <v>0.49</v>
      </c>
      <c r="DP46" s="835">
        <v>0</v>
      </c>
      <c r="DQ46" s="835">
        <v>0.01</v>
      </c>
      <c r="DR46" s="835">
        <v>1</v>
      </c>
      <c r="DS46" s="214" t="s">
        <v>1160</v>
      </c>
      <c r="DU46" s="214">
        <v>0</v>
      </c>
    </row>
    <row r="47" spans="1:125" s="214" customFormat="1" x14ac:dyDescent="0.2">
      <c r="B47" s="602" t="s">
        <v>177</v>
      </c>
      <c r="C47" s="602" t="s">
        <v>176</v>
      </c>
      <c r="D47" s="239">
        <v>51437491</v>
      </c>
      <c r="E47" s="239">
        <v>41149993</v>
      </c>
      <c r="F47" s="239">
        <v>9258748</v>
      </c>
      <c r="G47" s="239">
        <v>1028750</v>
      </c>
      <c r="H47" s="239">
        <v>102874982</v>
      </c>
      <c r="I47" s="239">
        <v>367158</v>
      </c>
      <c r="J47" s="239">
        <v>367158</v>
      </c>
      <c r="K47" s="239">
        <v>51070333</v>
      </c>
      <c r="L47" s="239">
        <v>226244</v>
      </c>
      <c r="M47" s="239">
        <v>226244</v>
      </c>
      <c r="N47" s="239">
        <v>0</v>
      </c>
      <c r="O47" s="239">
        <v>0</v>
      </c>
      <c r="P47" s="239">
        <v>0</v>
      </c>
      <c r="Q47" s="239">
        <v>0</v>
      </c>
      <c r="R47" s="239">
        <v>0</v>
      </c>
      <c r="S47" s="239">
        <v>0</v>
      </c>
      <c r="T47" s="239">
        <v>0</v>
      </c>
      <c r="U47" s="239">
        <v>0</v>
      </c>
      <c r="V47" s="239">
        <v>0</v>
      </c>
      <c r="W47" s="239">
        <v>293726.40000000002</v>
      </c>
      <c r="X47" s="239">
        <v>66088.44</v>
      </c>
      <c r="Y47" s="239">
        <v>7343.16</v>
      </c>
      <c r="Z47" s="239">
        <v>367158</v>
      </c>
      <c r="AA47" s="239">
        <v>0</v>
      </c>
      <c r="AB47" s="239">
        <v>0</v>
      </c>
      <c r="AC47" s="239">
        <v>1697116</v>
      </c>
      <c r="AD47" s="239">
        <v>381852</v>
      </c>
      <c r="AE47" s="239">
        <v>42426</v>
      </c>
      <c r="AF47" s="239">
        <v>2121394</v>
      </c>
      <c r="AG47" s="239">
        <v>1415386</v>
      </c>
      <c r="AH47" s="239">
        <v>1132309</v>
      </c>
      <c r="AI47" s="239">
        <v>254769</v>
      </c>
      <c r="AJ47" s="239">
        <v>28308</v>
      </c>
      <c r="AK47" s="239">
        <v>2830772</v>
      </c>
      <c r="AL47" s="239">
        <v>-1266408</v>
      </c>
      <c r="AM47" s="239">
        <v>-1013127</v>
      </c>
      <c r="AN47" s="239">
        <v>-227954</v>
      </c>
      <c r="AO47" s="239">
        <v>-25328</v>
      </c>
      <c r="AP47" s="239">
        <v>-2532817</v>
      </c>
      <c r="AQ47" s="239">
        <v>-335641</v>
      </c>
      <c r="AR47" s="239">
        <v>-268513</v>
      </c>
      <c r="AS47" s="239">
        <v>-60415</v>
      </c>
      <c r="AT47" s="239">
        <v>-6713</v>
      </c>
      <c r="AU47" s="239">
        <v>-671282</v>
      </c>
      <c r="AV47" s="239">
        <v>0</v>
      </c>
      <c r="AW47" s="239">
        <v>0</v>
      </c>
      <c r="AX47" s="239">
        <v>0</v>
      </c>
      <c r="AY47" s="239">
        <v>0</v>
      </c>
      <c r="AZ47" s="239">
        <v>0</v>
      </c>
      <c r="BA47" s="239">
        <v>-98862</v>
      </c>
      <c r="BB47" s="239">
        <v>-79090</v>
      </c>
      <c r="BC47" s="239">
        <v>-17795</v>
      </c>
      <c r="BD47" s="239">
        <v>-1977</v>
      </c>
      <c r="BE47" s="239">
        <v>-197724</v>
      </c>
      <c r="BF47" s="239">
        <v>-434503</v>
      </c>
      <c r="BG47" s="239">
        <v>-347603</v>
      </c>
      <c r="BH47" s="239">
        <v>-78210</v>
      </c>
      <c r="BI47" s="239">
        <v>-8690</v>
      </c>
      <c r="BJ47" s="239">
        <v>-869006</v>
      </c>
      <c r="BK47" s="239">
        <v>-4595440</v>
      </c>
      <c r="BL47" s="239">
        <v>-3676352</v>
      </c>
      <c r="BM47" s="239">
        <v>-827179</v>
      </c>
      <c r="BN47" s="239">
        <v>-91909</v>
      </c>
      <c r="BO47" s="239">
        <v>-9190880</v>
      </c>
      <c r="BP47" s="239">
        <v>2210731</v>
      </c>
      <c r="BQ47" s="239">
        <v>1768584</v>
      </c>
      <c r="BR47" s="239">
        <v>397931</v>
      </c>
      <c r="BS47" s="239">
        <v>44215</v>
      </c>
      <c r="BT47" s="239">
        <v>4421461</v>
      </c>
      <c r="BU47" s="239">
        <v>-2744956</v>
      </c>
      <c r="BV47" s="239">
        <v>-2195964</v>
      </c>
      <c r="BW47" s="239">
        <v>-494092</v>
      </c>
      <c r="BX47" s="239">
        <v>-54899</v>
      </c>
      <c r="BY47" s="239">
        <v>-5489911</v>
      </c>
      <c r="BZ47" s="239">
        <v>-5129665</v>
      </c>
      <c r="CA47" s="239">
        <v>-4103732</v>
      </c>
      <c r="CB47" s="239">
        <v>-923340</v>
      </c>
      <c r="CC47" s="239">
        <v>-102593</v>
      </c>
      <c r="CD47" s="239">
        <v>-10259330</v>
      </c>
      <c r="CE47" s="239">
        <v>-928207</v>
      </c>
      <c r="CF47" s="239">
        <v>-742566</v>
      </c>
      <c r="CG47" s="239">
        <v>-167077</v>
      </c>
      <c r="CH47" s="239">
        <v>-18565</v>
      </c>
      <c r="CI47" s="239">
        <v>-1856415</v>
      </c>
      <c r="CJ47" s="239">
        <v>-944258</v>
      </c>
      <c r="CK47" s="239">
        <v>-755406</v>
      </c>
      <c r="CL47" s="239">
        <v>-169966</v>
      </c>
      <c r="CM47" s="239">
        <v>-18885</v>
      </c>
      <c r="CN47" s="239">
        <v>-1888515</v>
      </c>
      <c r="CO47" s="239">
        <v>16051</v>
      </c>
      <c r="CP47" s="239">
        <v>12840</v>
      </c>
      <c r="CQ47" s="239">
        <v>2889</v>
      </c>
      <c r="CR47" s="239">
        <v>320</v>
      </c>
      <c r="CS47" s="239">
        <v>32100</v>
      </c>
      <c r="CT47" s="239">
        <v>51092064</v>
      </c>
      <c r="CU47" s="239">
        <v>40873652</v>
      </c>
      <c r="CV47" s="239">
        <v>9196572</v>
      </c>
      <c r="CW47" s="239">
        <v>1021841</v>
      </c>
      <c r="CX47" s="239">
        <v>102184129</v>
      </c>
      <c r="CY47" s="239">
        <v>51437491</v>
      </c>
      <c r="CZ47" s="239">
        <v>41149993</v>
      </c>
      <c r="DA47" s="239">
        <v>9258748</v>
      </c>
      <c r="DB47" s="239">
        <v>1028750</v>
      </c>
      <c r="DC47" s="239">
        <v>102874982</v>
      </c>
      <c r="DD47" s="239">
        <v>345427</v>
      </c>
      <c r="DE47" s="239">
        <v>276341</v>
      </c>
      <c r="DF47" s="239">
        <v>62176</v>
      </c>
      <c r="DG47" s="239">
        <v>6909</v>
      </c>
      <c r="DH47" s="239">
        <v>690853</v>
      </c>
      <c r="DI47" s="239">
        <v>361478</v>
      </c>
      <c r="DJ47" s="239">
        <v>289181</v>
      </c>
      <c r="DK47" s="239">
        <v>65065</v>
      </c>
      <c r="DL47" s="239">
        <v>7229</v>
      </c>
      <c r="DM47" s="239">
        <v>722953</v>
      </c>
      <c r="DN47" s="835">
        <v>0.5</v>
      </c>
      <c r="DO47" s="835">
        <v>0.4</v>
      </c>
      <c r="DP47" s="835">
        <v>0.09</v>
      </c>
      <c r="DQ47" s="835">
        <v>0.01</v>
      </c>
      <c r="DR47" s="835">
        <v>1</v>
      </c>
      <c r="DS47" s="214" t="s">
        <v>1158</v>
      </c>
      <c r="DU47" s="214">
        <v>0</v>
      </c>
    </row>
    <row r="48" spans="1:125" s="214" customFormat="1" x14ac:dyDescent="0.2">
      <c r="B48" s="602" t="s">
        <v>179</v>
      </c>
      <c r="C48" s="602" t="s">
        <v>178</v>
      </c>
      <c r="D48" s="239">
        <v>195191508</v>
      </c>
      <c r="E48" s="239">
        <v>177446825</v>
      </c>
      <c r="F48" s="239">
        <v>218851085</v>
      </c>
      <c r="G48" s="239">
        <v>0</v>
      </c>
      <c r="H48" s="239">
        <v>591489418</v>
      </c>
      <c r="I48" s="239">
        <v>0</v>
      </c>
      <c r="J48" s="239">
        <v>0</v>
      </c>
      <c r="K48" s="239">
        <v>195191508</v>
      </c>
      <c r="L48" s="239">
        <v>1258806</v>
      </c>
      <c r="M48" s="239">
        <v>1258806</v>
      </c>
      <c r="N48" s="239">
        <v>0</v>
      </c>
      <c r="O48" s="239">
        <v>0</v>
      </c>
      <c r="P48" s="239">
        <v>0</v>
      </c>
      <c r="Q48" s="239">
        <v>0</v>
      </c>
      <c r="R48" s="239">
        <v>0</v>
      </c>
      <c r="S48" s="239">
        <v>0</v>
      </c>
      <c r="T48" s="239">
        <v>0</v>
      </c>
      <c r="U48" s="239">
        <v>0</v>
      </c>
      <c r="V48" s="239">
        <v>0</v>
      </c>
      <c r="W48" s="239">
        <v>0</v>
      </c>
      <c r="X48" s="239">
        <v>0</v>
      </c>
      <c r="Y48" s="239">
        <v>0</v>
      </c>
      <c r="Z48" s="239">
        <v>0</v>
      </c>
      <c r="AA48" s="239">
        <v>0</v>
      </c>
      <c r="AB48" s="239">
        <v>0</v>
      </c>
      <c r="AC48" s="239">
        <v>5425483</v>
      </c>
      <c r="AD48" s="239">
        <v>6691429</v>
      </c>
      <c r="AE48" s="239">
        <v>0</v>
      </c>
      <c r="AF48" s="239">
        <v>12116912</v>
      </c>
      <c r="AG48" s="239">
        <v>3849287</v>
      </c>
      <c r="AH48" s="239">
        <v>3499351</v>
      </c>
      <c r="AI48" s="239">
        <v>4315866</v>
      </c>
      <c r="AJ48" s="239">
        <v>0</v>
      </c>
      <c r="AK48" s="239">
        <v>11664504</v>
      </c>
      <c r="AL48" s="239">
        <v>-3777290</v>
      </c>
      <c r="AM48" s="239">
        <v>-3433899</v>
      </c>
      <c r="AN48" s="239">
        <v>-4235142</v>
      </c>
      <c r="AO48" s="239">
        <v>0</v>
      </c>
      <c r="AP48" s="239">
        <v>-11446331</v>
      </c>
      <c r="AQ48" s="239">
        <v>-2615468</v>
      </c>
      <c r="AR48" s="239">
        <v>-2377697</v>
      </c>
      <c r="AS48" s="239">
        <v>-2932493</v>
      </c>
      <c r="AT48" s="239">
        <v>0</v>
      </c>
      <c r="AU48" s="239">
        <v>-7925658</v>
      </c>
      <c r="AV48" s="239">
        <v>796415</v>
      </c>
      <c r="AW48" s="239">
        <v>724013</v>
      </c>
      <c r="AX48" s="239">
        <v>892949</v>
      </c>
      <c r="AY48" s="239">
        <v>0</v>
      </c>
      <c r="AZ48" s="239">
        <v>2413377</v>
      </c>
      <c r="BA48" s="239">
        <v>-881322</v>
      </c>
      <c r="BB48" s="239">
        <v>-801203</v>
      </c>
      <c r="BC48" s="239">
        <v>-988150</v>
      </c>
      <c r="BD48" s="239">
        <v>0</v>
      </c>
      <c r="BE48" s="239">
        <v>-2670675</v>
      </c>
      <c r="BF48" s="239">
        <v>-2700375</v>
      </c>
      <c r="BG48" s="239">
        <v>-2454887</v>
      </c>
      <c r="BH48" s="239">
        <v>-3027694</v>
      </c>
      <c r="BI48" s="239">
        <v>0</v>
      </c>
      <c r="BJ48" s="239">
        <v>-8182956</v>
      </c>
      <c r="BK48" s="239">
        <v>-9519145</v>
      </c>
      <c r="BL48" s="239">
        <v>-8653768</v>
      </c>
      <c r="BM48" s="239">
        <v>-10672981</v>
      </c>
      <c r="BN48" s="239">
        <v>0</v>
      </c>
      <c r="BO48" s="239">
        <v>-28845894</v>
      </c>
      <c r="BP48" s="239">
        <v>9821403</v>
      </c>
      <c r="BQ48" s="239">
        <v>8928549</v>
      </c>
      <c r="BR48" s="239">
        <v>11011877</v>
      </c>
      <c r="BS48" s="239">
        <v>0</v>
      </c>
      <c r="BT48" s="239">
        <v>29761829</v>
      </c>
      <c r="BU48" s="239">
        <v>-20022403</v>
      </c>
      <c r="BV48" s="239">
        <v>-18202185</v>
      </c>
      <c r="BW48" s="239">
        <v>-22449361</v>
      </c>
      <c r="BX48" s="239">
        <v>0</v>
      </c>
      <c r="BY48" s="239">
        <v>-60673949</v>
      </c>
      <c r="BZ48" s="239">
        <v>-19720145</v>
      </c>
      <c r="CA48" s="239">
        <v>-17927404</v>
      </c>
      <c r="CB48" s="239">
        <v>-22110465</v>
      </c>
      <c r="CC48" s="239">
        <v>0</v>
      </c>
      <c r="CD48" s="239">
        <v>-59758014</v>
      </c>
      <c r="CE48" s="239">
        <v>-3639799</v>
      </c>
      <c r="CF48" s="239">
        <v>-2183880</v>
      </c>
      <c r="CG48" s="239">
        <v>-1455920</v>
      </c>
      <c r="CH48" s="239">
        <v>0</v>
      </c>
      <c r="CI48" s="239">
        <v>-7279599</v>
      </c>
      <c r="CJ48" s="239">
        <v>20847</v>
      </c>
      <c r="CK48" s="239">
        <v>12508</v>
      </c>
      <c r="CL48" s="239">
        <v>8339</v>
      </c>
      <c r="CM48" s="239">
        <v>0</v>
      </c>
      <c r="CN48" s="239">
        <v>41694</v>
      </c>
      <c r="CO48" s="239">
        <v>-3660646</v>
      </c>
      <c r="CP48" s="239">
        <v>-2196388</v>
      </c>
      <c r="CQ48" s="239">
        <v>-1464259</v>
      </c>
      <c r="CR48" s="239">
        <v>0</v>
      </c>
      <c r="CS48" s="239">
        <v>-7321293</v>
      </c>
      <c r="CT48" s="239">
        <v>206250000</v>
      </c>
      <c r="CU48" s="239">
        <v>187500000</v>
      </c>
      <c r="CV48" s="239">
        <v>231250000</v>
      </c>
      <c r="CW48" s="239">
        <v>0</v>
      </c>
      <c r="CX48" s="239">
        <v>625000000</v>
      </c>
      <c r="CY48" s="239">
        <v>195191508</v>
      </c>
      <c r="CZ48" s="239">
        <v>177446825</v>
      </c>
      <c r="DA48" s="239">
        <v>218851085</v>
      </c>
      <c r="DB48" s="239">
        <v>0</v>
      </c>
      <c r="DC48" s="239">
        <v>591489418</v>
      </c>
      <c r="DD48" s="239">
        <v>-11058492</v>
      </c>
      <c r="DE48" s="239">
        <v>-10053175</v>
      </c>
      <c r="DF48" s="239">
        <v>-12398915</v>
      </c>
      <c r="DG48" s="239">
        <v>0</v>
      </c>
      <c r="DH48" s="239">
        <v>-33510582</v>
      </c>
      <c r="DI48" s="239">
        <v>-14719138</v>
      </c>
      <c r="DJ48" s="239">
        <v>-12249563</v>
      </c>
      <c r="DK48" s="239">
        <v>-13863174</v>
      </c>
      <c r="DL48" s="239">
        <v>0</v>
      </c>
      <c r="DM48" s="239">
        <v>-40831875</v>
      </c>
      <c r="DN48" s="835">
        <v>0.33</v>
      </c>
      <c r="DO48" s="835">
        <v>0.3</v>
      </c>
      <c r="DP48" s="835">
        <v>0.37</v>
      </c>
      <c r="DQ48" s="835">
        <v>0</v>
      </c>
      <c r="DR48" s="835">
        <v>1</v>
      </c>
      <c r="DS48" s="214" t="s">
        <v>1161</v>
      </c>
      <c r="DU48" s="214">
        <v>0</v>
      </c>
    </row>
    <row r="49" spans="2:125" s="214" customFormat="1" x14ac:dyDescent="0.2">
      <c r="B49" s="602" t="s">
        <v>181</v>
      </c>
      <c r="C49" s="602" t="s">
        <v>180</v>
      </c>
      <c r="D49" s="239">
        <v>15168349</v>
      </c>
      <c r="E49" s="239">
        <v>12134680</v>
      </c>
      <c r="F49" s="239">
        <v>2730303</v>
      </c>
      <c r="G49" s="239">
        <v>303367</v>
      </c>
      <c r="H49" s="239">
        <v>30336699</v>
      </c>
      <c r="I49" s="239">
        <v>0</v>
      </c>
      <c r="J49" s="239">
        <v>0</v>
      </c>
      <c r="K49" s="239">
        <v>15168349</v>
      </c>
      <c r="L49" s="239">
        <v>130851</v>
      </c>
      <c r="M49" s="239">
        <v>130851</v>
      </c>
      <c r="N49" s="239">
        <v>0</v>
      </c>
      <c r="O49" s="239">
        <v>0</v>
      </c>
      <c r="P49" s="239">
        <v>0</v>
      </c>
      <c r="Q49" s="239">
        <v>0</v>
      </c>
      <c r="R49" s="239">
        <v>0</v>
      </c>
      <c r="S49" s="239">
        <v>0</v>
      </c>
      <c r="T49" s="239">
        <v>0</v>
      </c>
      <c r="U49" s="239">
        <v>0</v>
      </c>
      <c r="V49" s="239">
        <v>0</v>
      </c>
      <c r="W49" s="239">
        <v>0</v>
      </c>
      <c r="X49" s="239">
        <v>0</v>
      </c>
      <c r="Y49" s="239">
        <v>0</v>
      </c>
      <c r="Z49" s="239">
        <v>0</v>
      </c>
      <c r="AA49" s="239">
        <v>0</v>
      </c>
      <c r="AB49" s="239">
        <v>0</v>
      </c>
      <c r="AC49" s="239">
        <v>1404803</v>
      </c>
      <c r="AD49" s="239">
        <v>316082</v>
      </c>
      <c r="AE49" s="239">
        <v>35121</v>
      </c>
      <c r="AF49" s="239">
        <v>1756006</v>
      </c>
      <c r="AG49" s="239">
        <v>791932</v>
      </c>
      <c r="AH49" s="239">
        <v>633546</v>
      </c>
      <c r="AI49" s="239">
        <v>142548</v>
      </c>
      <c r="AJ49" s="239">
        <v>15839</v>
      </c>
      <c r="AK49" s="239">
        <v>1583865</v>
      </c>
      <c r="AL49" s="239">
        <v>-144525</v>
      </c>
      <c r="AM49" s="239">
        <v>-115619</v>
      </c>
      <c r="AN49" s="239">
        <v>-26014</v>
      </c>
      <c r="AO49" s="239">
        <v>-2890</v>
      </c>
      <c r="AP49" s="239">
        <v>-289048</v>
      </c>
      <c r="AQ49" s="239">
        <v>-665771</v>
      </c>
      <c r="AR49" s="239">
        <v>-532616</v>
      </c>
      <c r="AS49" s="239">
        <v>-119839</v>
      </c>
      <c r="AT49" s="239">
        <v>-13315</v>
      </c>
      <c r="AU49" s="239">
        <v>-1331541</v>
      </c>
      <c r="AV49" s="239">
        <v>150057</v>
      </c>
      <c r="AW49" s="239">
        <v>120045</v>
      </c>
      <c r="AX49" s="239">
        <v>27010</v>
      </c>
      <c r="AY49" s="239">
        <v>3001</v>
      </c>
      <c r="AZ49" s="239">
        <v>300113</v>
      </c>
      <c r="BA49" s="239">
        <v>-104628</v>
      </c>
      <c r="BB49" s="239">
        <v>-83702</v>
      </c>
      <c r="BC49" s="239">
        <v>-18833</v>
      </c>
      <c r="BD49" s="239">
        <v>-2093</v>
      </c>
      <c r="BE49" s="239">
        <v>-209256</v>
      </c>
      <c r="BF49" s="239">
        <v>-620342</v>
      </c>
      <c r="BG49" s="239">
        <v>-496273</v>
      </c>
      <c r="BH49" s="239">
        <v>-111662</v>
      </c>
      <c r="BI49" s="239">
        <v>-12407</v>
      </c>
      <c r="BJ49" s="239">
        <v>-1240684</v>
      </c>
      <c r="BK49" s="239">
        <v>-3157688</v>
      </c>
      <c r="BL49" s="239">
        <v>-2526150</v>
      </c>
      <c r="BM49" s="239">
        <v>-568384</v>
      </c>
      <c r="BN49" s="239">
        <v>-63154</v>
      </c>
      <c r="BO49" s="239">
        <v>-6315376</v>
      </c>
      <c r="BP49" s="239">
        <v>1259686</v>
      </c>
      <c r="BQ49" s="239">
        <v>1007749</v>
      </c>
      <c r="BR49" s="239">
        <v>226743</v>
      </c>
      <c r="BS49" s="239">
        <v>25194</v>
      </c>
      <c r="BT49" s="239">
        <v>2519372</v>
      </c>
      <c r="BU49" s="239">
        <v>-703286</v>
      </c>
      <c r="BV49" s="239">
        <v>-562630</v>
      </c>
      <c r="BW49" s="239">
        <v>-126592</v>
      </c>
      <c r="BX49" s="239">
        <v>-14066</v>
      </c>
      <c r="BY49" s="239">
        <v>-1406574</v>
      </c>
      <c r="BZ49" s="239">
        <v>-2601288</v>
      </c>
      <c r="CA49" s="239">
        <v>-2081031</v>
      </c>
      <c r="CB49" s="239">
        <v>-468233</v>
      </c>
      <c r="CC49" s="239">
        <v>-52026</v>
      </c>
      <c r="CD49" s="239">
        <v>-5202578</v>
      </c>
      <c r="CE49" s="239">
        <v>-557268</v>
      </c>
      <c r="CF49" s="239">
        <v>-445816</v>
      </c>
      <c r="CG49" s="239">
        <v>-100309</v>
      </c>
      <c r="CH49" s="239">
        <v>-11146</v>
      </c>
      <c r="CI49" s="239">
        <v>-1114539</v>
      </c>
      <c r="CJ49" s="239">
        <v>-747137</v>
      </c>
      <c r="CK49" s="239">
        <v>-597710</v>
      </c>
      <c r="CL49" s="239">
        <v>-134485</v>
      </c>
      <c r="CM49" s="239">
        <v>-14943</v>
      </c>
      <c r="CN49" s="239">
        <v>-1494275</v>
      </c>
      <c r="CO49" s="239">
        <v>189869</v>
      </c>
      <c r="CP49" s="239">
        <v>151894</v>
      </c>
      <c r="CQ49" s="239">
        <v>34176</v>
      </c>
      <c r="CR49" s="239">
        <v>3797</v>
      </c>
      <c r="CS49" s="239">
        <v>379736</v>
      </c>
      <c r="CT49" s="239">
        <v>15030964</v>
      </c>
      <c r="CU49" s="239">
        <v>12024771</v>
      </c>
      <c r="CV49" s="239">
        <v>2705574</v>
      </c>
      <c r="CW49" s="239">
        <v>300619</v>
      </c>
      <c r="CX49" s="239">
        <v>30061928</v>
      </c>
      <c r="CY49" s="239">
        <v>15168349</v>
      </c>
      <c r="CZ49" s="239">
        <v>12134680</v>
      </c>
      <c r="DA49" s="239">
        <v>2730303</v>
      </c>
      <c r="DB49" s="239">
        <v>303367</v>
      </c>
      <c r="DC49" s="239">
        <v>30336699</v>
      </c>
      <c r="DD49" s="239">
        <v>137385</v>
      </c>
      <c r="DE49" s="239">
        <v>109909</v>
      </c>
      <c r="DF49" s="239">
        <v>24729</v>
      </c>
      <c r="DG49" s="239">
        <v>2748</v>
      </c>
      <c r="DH49" s="239">
        <v>274771</v>
      </c>
      <c r="DI49" s="239">
        <v>327254</v>
      </c>
      <c r="DJ49" s="239">
        <v>261803</v>
      </c>
      <c r="DK49" s="239">
        <v>58905</v>
      </c>
      <c r="DL49" s="239">
        <v>6545</v>
      </c>
      <c r="DM49" s="239">
        <v>654507</v>
      </c>
      <c r="DN49" s="835">
        <v>0.5</v>
      </c>
      <c r="DO49" s="835">
        <v>0.4</v>
      </c>
      <c r="DP49" s="835">
        <v>0.09</v>
      </c>
      <c r="DQ49" s="835">
        <v>0.01</v>
      </c>
      <c r="DR49" s="835">
        <v>1</v>
      </c>
      <c r="DS49" s="214" t="s">
        <v>1158</v>
      </c>
      <c r="DU49" s="214">
        <v>0</v>
      </c>
    </row>
    <row r="50" spans="2:125" s="214" customFormat="1" x14ac:dyDescent="0.2">
      <c r="B50" s="602" t="s">
        <v>183</v>
      </c>
      <c r="C50" s="602" t="s">
        <v>182</v>
      </c>
      <c r="D50" s="239">
        <v>23875486</v>
      </c>
      <c r="E50" s="239">
        <v>19100389</v>
      </c>
      <c r="F50" s="239">
        <v>4297588</v>
      </c>
      <c r="G50" s="239">
        <v>477510</v>
      </c>
      <c r="H50" s="239">
        <v>47750973</v>
      </c>
      <c r="I50" s="239">
        <v>0</v>
      </c>
      <c r="J50" s="239">
        <v>0</v>
      </c>
      <c r="K50" s="239">
        <v>23875486</v>
      </c>
      <c r="L50" s="239">
        <v>228946</v>
      </c>
      <c r="M50" s="239">
        <v>228946</v>
      </c>
      <c r="N50" s="239">
        <v>0</v>
      </c>
      <c r="O50" s="239">
        <v>0</v>
      </c>
      <c r="P50" s="239">
        <v>328566</v>
      </c>
      <c r="Q50" s="239">
        <v>0</v>
      </c>
      <c r="R50" s="239">
        <v>328566</v>
      </c>
      <c r="S50" s="239">
        <v>0</v>
      </c>
      <c r="T50" s="239">
        <v>0</v>
      </c>
      <c r="U50" s="239">
        <v>0</v>
      </c>
      <c r="V50" s="239">
        <v>0</v>
      </c>
      <c r="W50" s="239">
        <v>0</v>
      </c>
      <c r="X50" s="239">
        <v>0</v>
      </c>
      <c r="Y50" s="239">
        <v>0</v>
      </c>
      <c r="Z50" s="239">
        <v>0</v>
      </c>
      <c r="AA50" s="239">
        <v>0</v>
      </c>
      <c r="AB50" s="239">
        <v>0</v>
      </c>
      <c r="AC50" s="239">
        <v>1934042</v>
      </c>
      <c r="AD50" s="239">
        <v>434049</v>
      </c>
      <c r="AE50" s="239">
        <v>48228</v>
      </c>
      <c r="AF50" s="239">
        <v>2416319</v>
      </c>
      <c r="AG50" s="239">
        <v>708124</v>
      </c>
      <c r="AH50" s="239">
        <v>566499</v>
      </c>
      <c r="AI50" s="239">
        <v>127462</v>
      </c>
      <c r="AJ50" s="239">
        <v>14162</v>
      </c>
      <c r="AK50" s="239">
        <v>1416247</v>
      </c>
      <c r="AL50" s="239">
        <v>-561703</v>
      </c>
      <c r="AM50" s="239">
        <v>-449362</v>
      </c>
      <c r="AN50" s="239">
        <v>-101106</v>
      </c>
      <c r="AO50" s="239">
        <v>-11234</v>
      </c>
      <c r="AP50" s="239">
        <v>-1123405</v>
      </c>
      <c r="AQ50" s="239">
        <v>-283175</v>
      </c>
      <c r="AR50" s="239">
        <v>-226539</v>
      </c>
      <c r="AS50" s="239">
        <v>-50971</v>
      </c>
      <c r="AT50" s="239">
        <v>-5663</v>
      </c>
      <c r="AU50" s="239">
        <v>-566348</v>
      </c>
      <c r="AV50" s="239">
        <v>67370</v>
      </c>
      <c r="AW50" s="239">
        <v>53896</v>
      </c>
      <c r="AX50" s="239">
        <v>12127</v>
      </c>
      <c r="AY50" s="239">
        <v>1347</v>
      </c>
      <c r="AZ50" s="239">
        <v>134740</v>
      </c>
      <c r="BA50" s="239">
        <v>-49204</v>
      </c>
      <c r="BB50" s="239">
        <v>-39363</v>
      </c>
      <c r="BC50" s="239">
        <v>-8857</v>
      </c>
      <c r="BD50" s="239">
        <v>-984</v>
      </c>
      <c r="BE50" s="239">
        <v>-98408</v>
      </c>
      <c r="BF50" s="239">
        <v>-265009</v>
      </c>
      <c r="BG50" s="239">
        <v>-212006</v>
      </c>
      <c r="BH50" s="239">
        <v>-47701</v>
      </c>
      <c r="BI50" s="239">
        <v>-5300</v>
      </c>
      <c r="BJ50" s="239">
        <v>-530016</v>
      </c>
      <c r="BK50" s="239">
        <v>-2324624</v>
      </c>
      <c r="BL50" s="239">
        <v>-1859699</v>
      </c>
      <c r="BM50" s="239">
        <v>-418432</v>
      </c>
      <c r="BN50" s="239">
        <v>-46492</v>
      </c>
      <c r="BO50" s="239">
        <v>-4649247</v>
      </c>
      <c r="BP50" s="239">
        <v>1129524</v>
      </c>
      <c r="BQ50" s="239">
        <v>903620</v>
      </c>
      <c r="BR50" s="239">
        <v>203315</v>
      </c>
      <c r="BS50" s="239">
        <v>22591</v>
      </c>
      <c r="BT50" s="239">
        <v>2259050</v>
      </c>
      <c r="BU50" s="239">
        <v>-1852321</v>
      </c>
      <c r="BV50" s="239">
        <v>-1481857</v>
      </c>
      <c r="BW50" s="239">
        <v>-333418</v>
      </c>
      <c r="BX50" s="239">
        <v>-37046</v>
      </c>
      <c r="BY50" s="239">
        <v>-3704642</v>
      </c>
      <c r="BZ50" s="239">
        <v>-3047421</v>
      </c>
      <c r="CA50" s="239">
        <v>-2437936</v>
      </c>
      <c r="CB50" s="239">
        <v>-548535</v>
      </c>
      <c r="CC50" s="239">
        <v>-60947</v>
      </c>
      <c r="CD50" s="239">
        <v>-6094839</v>
      </c>
      <c r="CE50" s="239">
        <v>2359493</v>
      </c>
      <c r="CF50" s="239">
        <v>1402028</v>
      </c>
      <c r="CG50" s="239">
        <v>424709</v>
      </c>
      <c r="CH50" s="239">
        <v>47191</v>
      </c>
      <c r="CI50" s="239">
        <v>4233421</v>
      </c>
      <c r="CJ50" s="239">
        <v>1383465</v>
      </c>
      <c r="CK50" s="239">
        <v>1106772</v>
      </c>
      <c r="CL50" s="239">
        <v>249024</v>
      </c>
      <c r="CM50" s="239">
        <v>27669</v>
      </c>
      <c r="CN50" s="239">
        <v>2766930</v>
      </c>
      <c r="CO50" s="239">
        <v>976028</v>
      </c>
      <c r="CP50" s="239">
        <v>295256</v>
      </c>
      <c r="CQ50" s="239">
        <v>175685</v>
      </c>
      <c r="CR50" s="239">
        <v>19522</v>
      </c>
      <c r="CS50" s="239">
        <v>1466491</v>
      </c>
      <c r="CT50" s="239">
        <v>24098117</v>
      </c>
      <c r="CU50" s="239">
        <v>19278493</v>
      </c>
      <c r="CV50" s="239">
        <v>4337661</v>
      </c>
      <c r="CW50" s="239">
        <v>481962</v>
      </c>
      <c r="CX50" s="239">
        <v>48196233</v>
      </c>
      <c r="CY50" s="239">
        <v>23875486</v>
      </c>
      <c r="CZ50" s="239">
        <v>19100389</v>
      </c>
      <c r="DA50" s="239">
        <v>4297588</v>
      </c>
      <c r="DB50" s="239">
        <v>477510</v>
      </c>
      <c r="DC50" s="239">
        <v>47750973</v>
      </c>
      <c r="DD50" s="239">
        <v>-222631</v>
      </c>
      <c r="DE50" s="239">
        <v>-178104</v>
      </c>
      <c r="DF50" s="239">
        <v>-40073</v>
      </c>
      <c r="DG50" s="239">
        <v>-4452</v>
      </c>
      <c r="DH50" s="239">
        <v>-445260</v>
      </c>
      <c r="DI50" s="239">
        <v>753397</v>
      </c>
      <c r="DJ50" s="239">
        <v>117152</v>
      </c>
      <c r="DK50" s="239">
        <v>135612</v>
      </c>
      <c r="DL50" s="239">
        <v>15070</v>
      </c>
      <c r="DM50" s="239">
        <v>1021231</v>
      </c>
      <c r="DN50" s="835">
        <v>0.5</v>
      </c>
      <c r="DO50" s="835">
        <v>0.4</v>
      </c>
      <c r="DP50" s="835">
        <v>0.09</v>
      </c>
      <c r="DQ50" s="835">
        <v>0.01</v>
      </c>
      <c r="DR50" s="835">
        <v>1</v>
      </c>
      <c r="DS50" s="214" t="s">
        <v>1158</v>
      </c>
      <c r="DU50" s="214">
        <v>0</v>
      </c>
    </row>
    <row r="51" spans="2:125" s="214" customFormat="1" x14ac:dyDescent="0.2">
      <c r="B51" s="602" t="s">
        <v>185</v>
      </c>
      <c r="C51" s="602" t="s">
        <v>184</v>
      </c>
      <c r="D51" s="239">
        <v>20165778</v>
      </c>
      <c r="E51" s="239">
        <v>16132622</v>
      </c>
      <c r="F51" s="239">
        <v>4033156</v>
      </c>
      <c r="G51" s="239">
        <v>0</v>
      </c>
      <c r="H51" s="239">
        <v>40331556</v>
      </c>
      <c r="I51" s="239">
        <v>40825</v>
      </c>
      <c r="J51" s="239">
        <v>40825</v>
      </c>
      <c r="K51" s="239">
        <v>20124953</v>
      </c>
      <c r="L51" s="239">
        <v>176202</v>
      </c>
      <c r="M51" s="239">
        <v>176202</v>
      </c>
      <c r="N51" s="239">
        <v>0</v>
      </c>
      <c r="O51" s="239">
        <v>0</v>
      </c>
      <c r="P51" s="239">
        <v>334290</v>
      </c>
      <c r="Q51" s="239">
        <v>0</v>
      </c>
      <c r="R51" s="239">
        <v>334290</v>
      </c>
      <c r="S51" s="239">
        <v>40825.178111587978</v>
      </c>
      <c r="T51" s="239">
        <v>0</v>
      </c>
      <c r="U51" s="239">
        <v>0</v>
      </c>
      <c r="V51" s="239">
        <v>40825.178111587978</v>
      </c>
      <c r="W51" s="239">
        <v>0</v>
      </c>
      <c r="X51" s="239">
        <v>0</v>
      </c>
      <c r="Y51" s="239">
        <v>0</v>
      </c>
      <c r="Z51" s="239">
        <v>0</v>
      </c>
      <c r="AA51" s="239">
        <v>0</v>
      </c>
      <c r="AB51" s="239">
        <v>0</v>
      </c>
      <c r="AC51" s="239">
        <v>1551614</v>
      </c>
      <c r="AD51" s="239">
        <v>372940</v>
      </c>
      <c r="AE51" s="239">
        <v>0</v>
      </c>
      <c r="AF51" s="239">
        <v>1924554</v>
      </c>
      <c r="AG51" s="239">
        <v>1006657</v>
      </c>
      <c r="AH51" s="239">
        <v>805326</v>
      </c>
      <c r="AI51" s="239">
        <v>201331</v>
      </c>
      <c r="AJ51" s="239">
        <v>0</v>
      </c>
      <c r="AK51" s="239">
        <v>2013314</v>
      </c>
      <c r="AL51" s="239">
        <v>-345942</v>
      </c>
      <c r="AM51" s="239">
        <v>-276753</v>
      </c>
      <c r="AN51" s="239">
        <v>-69188</v>
      </c>
      <c r="AO51" s="239">
        <v>0</v>
      </c>
      <c r="AP51" s="239">
        <v>-691883</v>
      </c>
      <c r="AQ51" s="239">
        <v>-170456</v>
      </c>
      <c r="AR51" s="239">
        <v>-136365</v>
      </c>
      <c r="AS51" s="239">
        <v>-34091</v>
      </c>
      <c r="AT51" s="239">
        <v>0</v>
      </c>
      <c r="AU51" s="239">
        <v>-340912</v>
      </c>
      <c r="AV51" s="239">
        <v>40252</v>
      </c>
      <c r="AW51" s="239">
        <v>32201</v>
      </c>
      <c r="AX51" s="239">
        <v>8050</v>
      </c>
      <c r="AY51" s="239">
        <v>0</v>
      </c>
      <c r="AZ51" s="239">
        <v>80503</v>
      </c>
      <c r="BA51" s="239">
        <v>-14909</v>
      </c>
      <c r="BB51" s="239">
        <v>-11928</v>
      </c>
      <c r="BC51" s="239">
        <v>-2982</v>
      </c>
      <c r="BD51" s="239">
        <v>0</v>
      </c>
      <c r="BE51" s="239">
        <v>-29819</v>
      </c>
      <c r="BF51" s="239">
        <v>-145113</v>
      </c>
      <c r="BG51" s="239">
        <v>-116092</v>
      </c>
      <c r="BH51" s="239">
        <v>-29023</v>
      </c>
      <c r="BI51" s="239">
        <v>0</v>
      </c>
      <c r="BJ51" s="239">
        <v>-290228</v>
      </c>
      <c r="BK51" s="239">
        <v>-899001</v>
      </c>
      <c r="BL51" s="239">
        <v>-719201</v>
      </c>
      <c r="BM51" s="239">
        <v>-179800</v>
      </c>
      <c r="BN51" s="239">
        <v>0</v>
      </c>
      <c r="BO51" s="239">
        <v>-1798002</v>
      </c>
      <c r="BP51" s="239">
        <v>572506</v>
      </c>
      <c r="BQ51" s="239">
        <v>458005</v>
      </c>
      <c r="BR51" s="239">
        <v>114501</v>
      </c>
      <c r="BS51" s="239">
        <v>0</v>
      </c>
      <c r="BT51" s="239">
        <v>1145012</v>
      </c>
      <c r="BU51" s="239">
        <v>-533872</v>
      </c>
      <c r="BV51" s="239">
        <v>-427097</v>
      </c>
      <c r="BW51" s="239">
        <v>-106774</v>
      </c>
      <c r="BX51" s="239">
        <v>0</v>
      </c>
      <c r="BY51" s="239">
        <v>-1067743</v>
      </c>
      <c r="BZ51" s="239">
        <v>-860367</v>
      </c>
      <c r="CA51" s="239">
        <v>-688293</v>
      </c>
      <c r="CB51" s="239">
        <v>-172073</v>
      </c>
      <c r="CC51" s="239">
        <v>0</v>
      </c>
      <c r="CD51" s="239">
        <v>-1720733</v>
      </c>
      <c r="CE51" s="239">
        <v>-311464</v>
      </c>
      <c r="CF51" s="239">
        <v>-249171</v>
      </c>
      <c r="CG51" s="239">
        <v>-62293</v>
      </c>
      <c r="CH51" s="239">
        <v>0</v>
      </c>
      <c r="CI51" s="239">
        <v>-622928</v>
      </c>
      <c r="CJ51" s="239">
        <v>-123731</v>
      </c>
      <c r="CK51" s="239">
        <v>-98985</v>
      </c>
      <c r="CL51" s="239">
        <v>-24746</v>
      </c>
      <c r="CM51" s="239">
        <v>0</v>
      </c>
      <c r="CN51" s="239">
        <v>-247462</v>
      </c>
      <c r="CO51" s="239">
        <v>-187733</v>
      </c>
      <c r="CP51" s="239">
        <v>-150186</v>
      </c>
      <c r="CQ51" s="239">
        <v>-37547</v>
      </c>
      <c r="CR51" s="239">
        <v>0</v>
      </c>
      <c r="CS51" s="239">
        <v>-375466</v>
      </c>
      <c r="CT51" s="239">
        <v>20603909</v>
      </c>
      <c r="CU51" s="239">
        <v>16483128</v>
      </c>
      <c r="CV51" s="239">
        <v>4120782</v>
      </c>
      <c r="CW51" s="239">
        <v>0</v>
      </c>
      <c r="CX51" s="239">
        <v>41207819</v>
      </c>
      <c r="CY51" s="239">
        <v>20165778</v>
      </c>
      <c r="CZ51" s="239">
        <v>16132622</v>
      </c>
      <c r="DA51" s="239">
        <v>4033156</v>
      </c>
      <c r="DB51" s="239">
        <v>0</v>
      </c>
      <c r="DC51" s="239">
        <v>40331556</v>
      </c>
      <c r="DD51" s="239">
        <v>-438131</v>
      </c>
      <c r="DE51" s="239">
        <v>-350506</v>
      </c>
      <c r="DF51" s="239">
        <v>-87626</v>
      </c>
      <c r="DG51" s="239">
        <v>0</v>
      </c>
      <c r="DH51" s="239">
        <v>-876263</v>
      </c>
      <c r="DI51" s="239">
        <v>-625864</v>
      </c>
      <c r="DJ51" s="239">
        <v>-500692</v>
      </c>
      <c r="DK51" s="239">
        <v>-125173</v>
      </c>
      <c r="DL51" s="239">
        <v>0</v>
      </c>
      <c r="DM51" s="239">
        <v>-1251729</v>
      </c>
      <c r="DN51" s="835">
        <v>0.5</v>
      </c>
      <c r="DO51" s="835">
        <v>0.4</v>
      </c>
      <c r="DP51" s="835">
        <v>0.1</v>
      </c>
      <c r="DQ51" s="835">
        <v>0</v>
      </c>
      <c r="DR51" s="835">
        <v>1</v>
      </c>
      <c r="DS51" s="214" t="s">
        <v>1158</v>
      </c>
      <c r="DU51" s="214">
        <v>0</v>
      </c>
    </row>
    <row r="52" spans="2:125" s="214" customFormat="1" x14ac:dyDescent="0.2">
      <c r="B52" s="602" t="s">
        <v>187</v>
      </c>
      <c r="C52" s="602" t="s">
        <v>186</v>
      </c>
      <c r="D52" s="239">
        <v>6793674</v>
      </c>
      <c r="E52" s="239">
        <v>5434938</v>
      </c>
      <c r="F52" s="239">
        <v>1222861</v>
      </c>
      <c r="G52" s="239">
        <v>135873</v>
      </c>
      <c r="H52" s="239">
        <v>13587346</v>
      </c>
      <c r="I52" s="239">
        <v>0</v>
      </c>
      <c r="J52" s="239">
        <v>0</v>
      </c>
      <c r="K52" s="239">
        <v>6793674</v>
      </c>
      <c r="L52" s="239">
        <v>78958</v>
      </c>
      <c r="M52" s="239">
        <v>78958</v>
      </c>
      <c r="N52" s="239">
        <v>0</v>
      </c>
      <c r="O52" s="239">
        <v>0</v>
      </c>
      <c r="P52" s="239">
        <v>0</v>
      </c>
      <c r="Q52" s="239">
        <v>0</v>
      </c>
      <c r="R52" s="239">
        <v>0</v>
      </c>
      <c r="S52" s="239">
        <v>0</v>
      </c>
      <c r="T52" s="239">
        <v>0</v>
      </c>
      <c r="U52" s="239">
        <v>0</v>
      </c>
      <c r="V52" s="239">
        <v>0</v>
      </c>
      <c r="W52" s="239">
        <v>0</v>
      </c>
      <c r="X52" s="239">
        <v>0</v>
      </c>
      <c r="Y52" s="239">
        <v>0</v>
      </c>
      <c r="Z52" s="239">
        <v>0</v>
      </c>
      <c r="AA52" s="239">
        <v>0</v>
      </c>
      <c r="AB52" s="239">
        <v>0</v>
      </c>
      <c r="AC52" s="239">
        <v>968258</v>
      </c>
      <c r="AD52" s="239">
        <v>217858</v>
      </c>
      <c r="AE52" s="239">
        <v>24207</v>
      </c>
      <c r="AF52" s="239">
        <v>1210323</v>
      </c>
      <c r="AG52" s="239">
        <v>156214</v>
      </c>
      <c r="AH52" s="239">
        <v>124972</v>
      </c>
      <c r="AI52" s="239">
        <v>28119</v>
      </c>
      <c r="AJ52" s="239">
        <v>3124</v>
      </c>
      <c r="AK52" s="239">
        <v>312429</v>
      </c>
      <c r="AL52" s="239">
        <v>-206903</v>
      </c>
      <c r="AM52" s="239">
        <v>-165522</v>
      </c>
      <c r="AN52" s="239">
        <v>-37243</v>
      </c>
      <c r="AO52" s="239">
        <v>-4138</v>
      </c>
      <c r="AP52" s="239">
        <v>-413806</v>
      </c>
      <c r="AQ52" s="239">
        <v>-71764</v>
      </c>
      <c r="AR52" s="239">
        <v>-57411</v>
      </c>
      <c r="AS52" s="239">
        <v>-12918</v>
      </c>
      <c r="AT52" s="239">
        <v>-1435</v>
      </c>
      <c r="AU52" s="239">
        <v>-143528</v>
      </c>
      <c r="AV52" s="239">
        <v>26369</v>
      </c>
      <c r="AW52" s="239">
        <v>21094</v>
      </c>
      <c r="AX52" s="239">
        <v>4746</v>
      </c>
      <c r="AY52" s="239">
        <v>527</v>
      </c>
      <c r="AZ52" s="239">
        <v>52736</v>
      </c>
      <c r="BA52" s="239">
        <v>-54317</v>
      </c>
      <c r="BB52" s="239">
        <v>-43453</v>
      </c>
      <c r="BC52" s="239">
        <v>-9777</v>
      </c>
      <c r="BD52" s="239">
        <v>-1086</v>
      </c>
      <c r="BE52" s="239">
        <v>-108633</v>
      </c>
      <c r="BF52" s="239">
        <v>-99712</v>
      </c>
      <c r="BG52" s="239">
        <v>-79770</v>
      </c>
      <c r="BH52" s="239">
        <v>-17949</v>
      </c>
      <c r="BI52" s="239">
        <v>-1994</v>
      </c>
      <c r="BJ52" s="239">
        <v>-199425</v>
      </c>
      <c r="BK52" s="239">
        <v>-1215000</v>
      </c>
      <c r="BL52" s="239">
        <v>-972000</v>
      </c>
      <c r="BM52" s="239">
        <v>-218700</v>
      </c>
      <c r="BN52" s="239">
        <v>-24300</v>
      </c>
      <c r="BO52" s="239">
        <v>-2430000</v>
      </c>
      <c r="BP52" s="239">
        <v>526828</v>
      </c>
      <c r="BQ52" s="239">
        <v>421462</v>
      </c>
      <c r="BR52" s="239">
        <v>94829</v>
      </c>
      <c r="BS52" s="239">
        <v>10537</v>
      </c>
      <c r="BT52" s="239">
        <v>1053656</v>
      </c>
      <c r="BU52" s="239">
        <v>-291828</v>
      </c>
      <c r="BV52" s="239">
        <v>-233462</v>
      </c>
      <c r="BW52" s="239">
        <v>-52529</v>
      </c>
      <c r="BX52" s="239">
        <v>-5837</v>
      </c>
      <c r="BY52" s="239">
        <v>-583656</v>
      </c>
      <c r="BZ52" s="239">
        <v>-980000</v>
      </c>
      <c r="CA52" s="239">
        <v>-784000</v>
      </c>
      <c r="CB52" s="239">
        <v>-176400</v>
      </c>
      <c r="CC52" s="239">
        <v>-19600</v>
      </c>
      <c r="CD52" s="239">
        <v>-1960000</v>
      </c>
      <c r="CE52" s="239">
        <v>10899</v>
      </c>
      <c r="CF52" s="239">
        <v>8719</v>
      </c>
      <c r="CG52" s="239">
        <v>1962</v>
      </c>
      <c r="CH52" s="239">
        <v>218</v>
      </c>
      <c r="CI52" s="239">
        <v>21798</v>
      </c>
      <c r="CJ52" s="239">
        <v>3625</v>
      </c>
      <c r="CK52" s="239">
        <v>2900</v>
      </c>
      <c r="CL52" s="239">
        <v>653</v>
      </c>
      <c r="CM52" s="239">
        <v>73</v>
      </c>
      <c r="CN52" s="239">
        <v>7251</v>
      </c>
      <c r="CO52" s="239">
        <v>7274</v>
      </c>
      <c r="CP52" s="239">
        <v>5819</v>
      </c>
      <c r="CQ52" s="239">
        <v>1309</v>
      </c>
      <c r="CR52" s="239">
        <v>145</v>
      </c>
      <c r="CS52" s="239">
        <v>14547</v>
      </c>
      <c r="CT52" s="239">
        <v>6961881</v>
      </c>
      <c r="CU52" s="239">
        <v>5569506</v>
      </c>
      <c r="CV52" s="239">
        <v>1253139</v>
      </c>
      <c r="CW52" s="239">
        <v>139238</v>
      </c>
      <c r="CX52" s="239">
        <v>13923764</v>
      </c>
      <c r="CY52" s="239">
        <v>6793674</v>
      </c>
      <c r="CZ52" s="239">
        <v>5434938</v>
      </c>
      <c r="DA52" s="239">
        <v>1222861</v>
      </c>
      <c r="DB52" s="239">
        <v>135873</v>
      </c>
      <c r="DC52" s="239">
        <v>13587346</v>
      </c>
      <c r="DD52" s="239">
        <v>-168207</v>
      </c>
      <c r="DE52" s="239">
        <v>-134568</v>
      </c>
      <c r="DF52" s="239">
        <v>-30278</v>
      </c>
      <c r="DG52" s="239">
        <v>-3365</v>
      </c>
      <c r="DH52" s="239">
        <v>-336418</v>
      </c>
      <c r="DI52" s="239">
        <v>-160933</v>
      </c>
      <c r="DJ52" s="239">
        <v>-128749</v>
      </c>
      <c r="DK52" s="239">
        <v>-28969</v>
      </c>
      <c r="DL52" s="239">
        <v>-3220</v>
      </c>
      <c r="DM52" s="239">
        <v>-321871</v>
      </c>
      <c r="DN52" s="835">
        <v>0.5</v>
      </c>
      <c r="DO52" s="835">
        <v>0.4</v>
      </c>
      <c r="DP52" s="835">
        <v>0.09</v>
      </c>
      <c r="DQ52" s="835">
        <v>0.01</v>
      </c>
      <c r="DR52" s="835">
        <v>1</v>
      </c>
      <c r="DS52" s="214" t="s">
        <v>1158</v>
      </c>
      <c r="DU52" s="214">
        <v>0</v>
      </c>
    </row>
    <row r="53" spans="2:125" s="214" customFormat="1" x14ac:dyDescent="0.2">
      <c r="B53" s="602" t="s">
        <v>189</v>
      </c>
      <c r="C53" s="602" t="s">
        <v>188</v>
      </c>
      <c r="D53" s="239">
        <v>41148846</v>
      </c>
      <c r="E53" s="239">
        <v>40325870</v>
      </c>
      <c r="F53" s="239">
        <v>0</v>
      </c>
      <c r="G53" s="239">
        <v>822977</v>
      </c>
      <c r="H53" s="239">
        <v>82297693</v>
      </c>
      <c r="I53" s="239">
        <v>0</v>
      </c>
      <c r="J53" s="239">
        <v>0</v>
      </c>
      <c r="K53" s="239">
        <v>41148846</v>
      </c>
      <c r="L53" s="239">
        <v>305867</v>
      </c>
      <c r="M53" s="239">
        <v>305867</v>
      </c>
      <c r="N53" s="239">
        <v>0</v>
      </c>
      <c r="O53" s="239">
        <v>0</v>
      </c>
      <c r="P53" s="239">
        <v>363795</v>
      </c>
      <c r="Q53" s="239">
        <v>0</v>
      </c>
      <c r="R53" s="239">
        <v>363795</v>
      </c>
      <c r="S53" s="239">
        <v>0</v>
      </c>
      <c r="T53" s="239">
        <v>0</v>
      </c>
      <c r="U53" s="239">
        <v>0</v>
      </c>
      <c r="V53" s="239">
        <v>0</v>
      </c>
      <c r="W53" s="239">
        <v>0</v>
      </c>
      <c r="X53" s="239">
        <v>0</v>
      </c>
      <c r="Y53" s="239">
        <v>0</v>
      </c>
      <c r="Z53" s="239">
        <v>0</v>
      </c>
      <c r="AA53" s="239">
        <v>0</v>
      </c>
      <c r="AB53" s="239">
        <v>0</v>
      </c>
      <c r="AC53" s="239">
        <v>3858320</v>
      </c>
      <c r="AD53" s="239">
        <v>0</v>
      </c>
      <c r="AE53" s="239">
        <v>78629</v>
      </c>
      <c r="AF53" s="239">
        <v>3936949</v>
      </c>
      <c r="AG53" s="239">
        <v>1634061</v>
      </c>
      <c r="AH53" s="239">
        <v>1601380</v>
      </c>
      <c r="AI53" s="239">
        <v>0</v>
      </c>
      <c r="AJ53" s="239">
        <v>32681</v>
      </c>
      <c r="AK53" s="239">
        <v>3268122</v>
      </c>
      <c r="AL53" s="239">
        <v>-610217</v>
      </c>
      <c r="AM53" s="239">
        <v>-598013</v>
      </c>
      <c r="AN53" s="239">
        <v>0</v>
      </c>
      <c r="AO53" s="239">
        <v>-12204</v>
      </c>
      <c r="AP53" s="239">
        <v>-1220434</v>
      </c>
      <c r="AQ53" s="239">
        <v>-220267</v>
      </c>
      <c r="AR53" s="239">
        <v>-215861</v>
      </c>
      <c r="AS53" s="239">
        <v>0</v>
      </c>
      <c r="AT53" s="239">
        <v>-4405</v>
      </c>
      <c r="AU53" s="239">
        <v>-440533</v>
      </c>
      <c r="AV53" s="239">
        <v>273008</v>
      </c>
      <c r="AW53" s="239">
        <v>267548</v>
      </c>
      <c r="AX53" s="239">
        <v>0</v>
      </c>
      <c r="AY53" s="239">
        <v>5460</v>
      </c>
      <c r="AZ53" s="239">
        <v>546016</v>
      </c>
      <c r="BA53" s="239">
        <v>-304062</v>
      </c>
      <c r="BB53" s="239">
        <v>-297980</v>
      </c>
      <c r="BC53" s="239">
        <v>0</v>
      </c>
      <c r="BD53" s="239">
        <v>-6081</v>
      </c>
      <c r="BE53" s="239">
        <v>-608123</v>
      </c>
      <c r="BF53" s="239">
        <v>-251321</v>
      </c>
      <c r="BG53" s="239">
        <v>-246293</v>
      </c>
      <c r="BH53" s="239">
        <v>0</v>
      </c>
      <c r="BI53" s="239">
        <v>-5026</v>
      </c>
      <c r="BJ53" s="239">
        <v>-502640</v>
      </c>
      <c r="BK53" s="239">
        <v>-2172621</v>
      </c>
      <c r="BL53" s="239">
        <v>-2129169</v>
      </c>
      <c r="BM53" s="239">
        <v>0</v>
      </c>
      <c r="BN53" s="239">
        <v>-43452</v>
      </c>
      <c r="BO53" s="239">
        <v>-4345242</v>
      </c>
      <c r="BP53" s="239">
        <v>844060</v>
      </c>
      <c r="BQ53" s="239">
        <v>827178</v>
      </c>
      <c r="BR53" s="239">
        <v>0</v>
      </c>
      <c r="BS53" s="239">
        <v>16881</v>
      </c>
      <c r="BT53" s="239">
        <v>1688119</v>
      </c>
      <c r="BU53" s="239">
        <v>-822012</v>
      </c>
      <c r="BV53" s="239">
        <v>-805571</v>
      </c>
      <c r="BW53" s="239">
        <v>0</v>
      </c>
      <c r="BX53" s="239">
        <v>-16440</v>
      </c>
      <c r="BY53" s="239">
        <v>-1644023</v>
      </c>
      <c r="BZ53" s="239">
        <v>-2150573</v>
      </c>
      <c r="CA53" s="239">
        <v>-2107562</v>
      </c>
      <c r="CB53" s="239">
        <v>0</v>
      </c>
      <c r="CC53" s="239">
        <v>-43011</v>
      </c>
      <c r="CD53" s="239">
        <v>-4301146</v>
      </c>
      <c r="CE53" s="239">
        <v>-1942428</v>
      </c>
      <c r="CF53" s="239">
        <v>-1903580</v>
      </c>
      <c r="CG53" s="239">
        <v>0</v>
      </c>
      <c r="CH53" s="239">
        <v>-38849</v>
      </c>
      <c r="CI53" s="239">
        <v>-3884857</v>
      </c>
      <c r="CJ53" s="239">
        <v>-596500</v>
      </c>
      <c r="CK53" s="239">
        <v>-584570</v>
      </c>
      <c r="CL53" s="239">
        <v>0</v>
      </c>
      <c r="CM53" s="239">
        <v>-11930</v>
      </c>
      <c r="CN53" s="239">
        <v>-1193000</v>
      </c>
      <c r="CO53" s="239">
        <v>-1345928</v>
      </c>
      <c r="CP53" s="239">
        <v>-1319010</v>
      </c>
      <c r="CQ53" s="239">
        <v>0</v>
      </c>
      <c r="CR53" s="239">
        <v>-26919</v>
      </c>
      <c r="CS53" s="239">
        <v>-2691857</v>
      </c>
      <c r="CT53" s="239">
        <v>40510208</v>
      </c>
      <c r="CU53" s="239">
        <v>39700003</v>
      </c>
      <c r="CV53" s="239">
        <v>0</v>
      </c>
      <c r="CW53" s="239">
        <v>810204</v>
      </c>
      <c r="CX53" s="239">
        <v>81020415</v>
      </c>
      <c r="CY53" s="239">
        <v>41148846</v>
      </c>
      <c r="CZ53" s="239">
        <v>40325870</v>
      </c>
      <c r="DA53" s="239">
        <v>0</v>
      </c>
      <c r="DB53" s="239">
        <v>822977</v>
      </c>
      <c r="DC53" s="239">
        <v>82297693</v>
      </c>
      <c r="DD53" s="239">
        <v>638638</v>
      </c>
      <c r="DE53" s="239">
        <v>625867</v>
      </c>
      <c r="DF53" s="239">
        <v>0</v>
      </c>
      <c r="DG53" s="239">
        <v>12773</v>
      </c>
      <c r="DH53" s="239">
        <v>1277278</v>
      </c>
      <c r="DI53" s="239">
        <v>-707290</v>
      </c>
      <c r="DJ53" s="239">
        <v>-693143</v>
      </c>
      <c r="DK53" s="239">
        <v>0</v>
      </c>
      <c r="DL53" s="239">
        <v>-14146</v>
      </c>
      <c r="DM53" s="239">
        <v>-1414579</v>
      </c>
      <c r="DN53" s="835">
        <v>0.5</v>
      </c>
      <c r="DO53" s="835">
        <v>0.49</v>
      </c>
      <c r="DP53" s="835">
        <v>0</v>
      </c>
      <c r="DQ53" s="835">
        <v>0.01</v>
      </c>
      <c r="DR53" s="835">
        <v>1</v>
      </c>
      <c r="DS53" s="214" t="s">
        <v>746</v>
      </c>
      <c r="DU53" s="214">
        <v>0</v>
      </c>
    </row>
    <row r="54" spans="2:125" s="214" customFormat="1" x14ac:dyDescent="0.2">
      <c r="B54" s="602" t="s">
        <v>191</v>
      </c>
      <c r="C54" s="602" t="s">
        <v>190</v>
      </c>
      <c r="D54" s="239">
        <v>22071494</v>
      </c>
      <c r="E54" s="239">
        <v>17657195</v>
      </c>
      <c r="F54" s="239">
        <v>3972869</v>
      </c>
      <c r="G54" s="239">
        <v>441430</v>
      </c>
      <c r="H54" s="239">
        <v>44142988</v>
      </c>
      <c r="I54" s="239">
        <v>0</v>
      </c>
      <c r="J54" s="239">
        <v>0</v>
      </c>
      <c r="K54" s="239">
        <v>22071494</v>
      </c>
      <c r="L54" s="239">
        <v>193360</v>
      </c>
      <c r="M54" s="239">
        <v>193360</v>
      </c>
      <c r="N54" s="239">
        <v>5540</v>
      </c>
      <c r="O54" s="239">
        <v>5540</v>
      </c>
      <c r="P54" s="239">
        <v>179125</v>
      </c>
      <c r="Q54" s="239">
        <v>12686</v>
      </c>
      <c r="R54" s="239">
        <v>191811</v>
      </c>
      <c r="S54" s="239">
        <v>0</v>
      </c>
      <c r="T54" s="239">
        <v>0</v>
      </c>
      <c r="U54" s="239">
        <v>0</v>
      </c>
      <c r="V54" s="239">
        <v>0</v>
      </c>
      <c r="W54" s="239">
        <v>0</v>
      </c>
      <c r="X54" s="239">
        <v>0</v>
      </c>
      <c r="Y54" s="239">
        <v>0</v>
      </c>
      <c r="Z54" s="239">
        <v>0</v>
      </c>
      <c r="AA54" s="239">
        <v>0</v>
      </c>
      <c r="AB54" s="239">
        <v>0</v>
      </c>
      <c r="AC54" s="239">
        <v>1931329</v>
      </c>
      <c r="AD54" s="239">
        <v>434115</v>
      </c>
      <c r="AE54" s="239">
        <v>48215</v>
      </c>
      <c r="AF54" s="239">
        <v>2413659</v>
      </c>
      <c r="AG54" s="239">
        <v>419269</v>
      </c>
      <c r="AH54" s="239">
        <v>335415</v>
      </c>
      <c r="AI54" s="239">
        <v>75468</v>
      </c>
      <c r="AJ54" s="239">
        <v>8385</v>
      </c>
      <c r="AK54" s="239">
        <v>838537</v>
      </c>
      <c r="AL54" s="239">
        <v>-463271</v>
      </c>
      <c r="AM54" s="239">
        <v>-370616</v>
      </c>
      <c r="AN54" s="239">
        <v>-83389</v>
      </c>
      <c r="AO54" s="239">
        <v>-9265</v>
      </c>
      <c r="AP54" s="239">
        <v>-926541</v>
      </c>
      <c r="AQ54" s="239">
        <v>-149021</v>
      </c>
      <c r="AR54" s="239">
        <v>-119216</v>
      </c>
      <c r="AS54" s="239">
        <v>-26824</v>
      </c>
      <c r="AT54" s="239">
        <v>-2980</v>
      </c>
      <c r="AU54" s="239">
        <v>-298041</v>
      </c>
      <c r="AV54" s="239">
        <v>129190</v>
      </c>
      <c r="AW54" s="239">
        <v>103352</v>
      </c>
      <c r="AX54" s="239">
        <v>23254</v>
      </c>
      <c r="AY54" s="239">
        <v>2584</v>
      </c>
      <c r="AZ54" s="239">
        <v>258380</v>
      </c>
      <c r="BA54" s="239">
        <v>-176929</v>
      </c>
      <c r="BB54" s="239">
        <v>-141544</v>
      </c>
      <c r="BC54" s="239">
        <v>-31847</v>
      </c>
      <c r="BD54" s="239">
        <v>-3539</v>
      </c>
      <c r="BE54" s="239">
        <v>-353859</v>
      </c>
      <c r="BF54" s="239">
        <v>-196760</v>
      </c>
      <c r="BG54" s="239">
        <v>-157408</v>
      </c>
      <c r="BH54" s="239">
        <v>-35417</v>
      </c>
      <c r="BI54" s="239">
        <v>-3935</v>
      </c>
      <c r="BJ54" s="239">
        <v>-393520</v>
      </c>
      <c r="BK54" s="239">
        <v>-2125000</v>
      </c>
      <c r="BL54" s="239">
        <v>-1700000</v>
      </c>
      <c r="BM54" s="239">
        <v>-382500</v>
      </c>
      <c r="BN54" s="239">
        <v>-42500</v>
      </c>
      <c r="BO54" s="239">
        <v>-4250000</v>
      </c>
      <c r="BP54" s="239">
        <v>979646</v>
      </c>
      <c r="BQ54" s="239">
        <v>783716</v>
      </c>
      <c r="BR54" s="239">
        <v>176336</v>
      </c>
      <c r="BS54" s="239">
        <v>19593</v>
      </c>
      <c r="BT54" s="239">
        <v>1959291</v>
      </c>
      <c r="BU54" s="239">
        <v>-900654</v>
      </c>
      <c r="BV54" s="239">
        <v>-720524</v>
      </c>
      <c r="BW54" s="239">
        <v>-162118</v>
      </c>
      <c r="BX54" s="239">
        <v>-18013</v>
      </c>
      <c r="BY54" s="239">
        <v>-1801309</v>
      </c>
      <c r="BZ54" s="239">
        <v>-2046008</v>
      </c>
      <c r="CA54" s="239">
        <v>-1636808</v>
      </c>
      <c r="CB54" s="239">
        <v>-368282</v>
      </c>
      <c r="CC54" s="239">
        <v>-40920</v>
      </c>
      <c r="CD54" s="239">
        <v>-4092018</v>
      </c>
      <c r="CE54" s="239">
        <v>-975479</v>
      </c>
      <c r="CF54" s="239">
        <v>-780385</v>
      </c>
      <c r="CG54" s="239">
        <v>-175587</v>
      </c>
      <c r="CH54" s="239">
        <v>-19510</v>
      </c>
      <c r="CI54" s="239">
        <v>-1950961</v>
      </c>
      <c r="CJ54" s="239">
        <v>-600412</v>
      </c>
      <c r="CK54" s="239">
        <v>-480329</v>
      </c>
      <c r="CL54" s="239">
        <v>-108074</v>
      </c>
      <c r="CM54" s="239">
        <v>-12008</v>
      </c>
      <c r="CN54" s="239">
        <v>-1200823</v>
      </c>
      <c r="CO54" s="239">
        <v>-375067</v>
      </c>
      <c r="CP54" s="239">
        <v>-300056</v>
      </c>
      <c r="CQ54" s="239">
        <v>-67513</v>
      </c>
      <c r="CR54" s="239">
        <v>-7502</v>
      </c>
      <c r="CS54" s="239">
        <v>-750138</v>
      </c>
      <c r="CT54" s="239">
        <v>22514693</v>
      </c>
      <c r="CU54" s="239">
        <v>18011755</v>
      </c>
      <c r="CV54" s="239">
        <v>4052645</v>
      </c>
      <c r="CW54" s="239">
        <v>450294</v>
      </c>
      <c r="CX54" s="239">
        <v>45029387</v>
      </c>
      <c r="CY54" s="239">
        <v>22071494</v>
      </c>
      <c r="CZ54" s="239">
        <v>17657195</v>
      </c>
      <c r="DA54" s="239">
        <v>3972869</v>
      </c>
      <c r="DB54" s="239">
        <v>441430</v>
      </c>
      <c r="DC54" s="239">
        <v>44142988</v>
      </c>
      <c r="DD54" s="239">
        <v>-443199</v>
      </c>
      <c r="DE54" s="239">
        <v>-354560</v>
      </c>
      <c r="DF54" s="239">
        <v>-79776</v>
      </c>
      <c r="DG54" s="239">
        <v>-8864</v>
      </c>
      <c r="DH54" s="239">
        <v>-886399</v>
      </c>
      <c r="DI54" s="239">
        <v>-818266</v>
      </c>
      <c r="DJ54" s="239">
        <v>-654616</v>
      </c>
      <c r="DK54" s="239">
        <v>-147289</v>
      </c>
      <c r="DL54" s="239">
        <v>-16366</v>
      </c>
      <c r="DM54" s="239">
        <v>-1636537</v>
      </c>
      <c r="DN54" s="835">
        <v>0.5</v>
      </c>
      <c r="DO54" s="835">
        <v>0.4</v>
      </c>
      <c r="DP54" s="835">
        <v>0.09</v>
      </c>
      <c r="DQ54" s="835">
        <v>0.01</v>
      </c>
      <c r="DR54" s="835">
        <v>1</v>
      </c>
      <c r="DS54" s="214" t="s">
        <v>1158</v>
      </c>
      <c r="DU54" s="214">
        <v>0</v>
      </c>
    </row>
    <row r="55" spans="2:125" s="214" customFormat="1" x14ac:dyDescent="0.2">
      <c r="B55" s="602" t="s">
        <v>193</v>
      </c>
      <c r="C55" s="602" t="s">
        <v>192</v>
      </c>
      <c r="D55" s="239">
        <v>38260365</v>
      </c>
      <c r="E55" s="239">
        <v>30608292</v>
      </c>
      <c r="F55" s="239">
        <v>6886866</v>
      </c>
      <c r="G55" s="239">
        <v>765207</v>
      </c>
      <c r="H55" s="239">
        <v>76520730</v>
      </c>
      <c r="I55" s="239">
        <v>0</v>
      </c>
      <c r="J55" s="239">
        <v>0</v>
      </c>
      <c r="K55" s="239">
        <v>38260365</v>
      </c>
      <c r="L55" s="239">
        <v>217330</v>
      </c>
      <c r="M55" s="239">
        <v>217330</v>
      </c>
      <c r="N55" s="239">
        <v>0</v>
      </c>
      <c r="O55" s="239">
        <v>0</v>
      </c>
      <c r="P55" s="239">
        <v>0</v>
      </c>
      <c r="Q55" s="239">
        <v>0</v>
      </c>
      <c r="R55" s="239">
        <v>0</v>
      </c>
      <c r="S55" s="239">
        <v>0</v>
      </c>
      <c r="T55" s="239">
        <v>0</v>
      </c>
      <c r="U55" s="239">
        <v>0</v>
      </c>
      <c r="V55" s="239">
        <v>0</v>
      </c>
      <c r="W55" s="239">
        <v>0</v>
      </c>
      <c r="X55" s="239">
        <v>0</v>
      </c>
      <c r="Y55" s="239">
        <v>0</v>
      </c>
      <c r="Z55" s="239">
        <v>0</v>
      </c>
      <c r="AA55" s="239">
        <v>0</v>
      </c>
      <c r="AB55" s="239">
        <v>0</v>
      </c>
      <c r="AC55" s="239">
        <v>2087709</v>
      </c>
      <c r="AD55" s="239">
        <v>469735</v>
      </c>
      <c r="AE55" s="239">
        <v>52192</v>
      </c>
      <c r="AF55" s="239">
        <v>2609636</v>
      </c>
      <c r="AG55" s="239">
        <v>1364514</v>
      </c>
      <c r="AH55" s="239">
        <v>1091612</v>
      </c>
      <c r="AI55" s="239">
        <v>245613</v>
      </c>
      <c r="AJ55" s="239">
        <v>27290</v>
      </c>
      <c r="AK55" s="239">
        <v>2729029</v>
      </c>
      <c r="AL55" s="239">
        <v>-1161716</v>
      </c>
      <c r="AM55" s="239">
        <v>-929372</v>
      </c>
      <c r="AN55" s="239">
        <v>-209109</v>
      </c>
      <c r="AO55" s="239">
        <v>-23234</v>
      </c>
      <c r="AP55" s="239">
        <v>-2323431</v>
      </c>
      <c r="AQ55" s="239">
        <v>-436936.65</v>
      </c>
      <c r="AR55" s="239">
        <v>-349550</v>
      </c>
      <c r="AS55" s="239">
        <v>-78649</v>
      </c>
      <c r="AT55" s="239">
        <v>-8739</v>
      </c>
      <c r="AU55" s="239">
        <v>-873874.65</v>
      </c>
      <c r="AV55" s="239">
        <v>0</v>
      </c>
      <c r="AW55" s="239">
        <v>0</v>
      </c>
      <c r="AX55" s="239">
        <v>0</v>
      </c>
      <c r="AY55" s="239">
        <v>0</v>
      </c>
      <c r="AZ55" s="239">
        <v>0</v>
      </c>
      <c r="BA55" s="239">
        <v>-22220</v>
      </c>
      <c r="BB55" s="239">
        <v>-17776</v>
      </c>
      <c r="BC55" s="239">
        <v>-4000</v>
      </c>
      <c r="BD55" s="239">
        <v>-444</v>
      </c>
      <c r="BE55" s="239">
        <v>-44440</v>
      </c>
      <c r="BF55" s="239">
        <v>-459156.65</v>
      </c>
      <c r="BG55" s="239">
        <v>-367326</v>
      </c>
      <c r="BH55" s="239">
        <v>-82649</v>
      </c>
      <c r="BI55" s="239">
        <v>-9183</v>
      </c>
      <c r="BJ55" s="239">
        <v>-918314.65</v>
      </c>
      <c r="BK55" s="239">
        <v>-5394204</v>
      </c>
      <c r="BL55" s="239">
        <v>-4315363</v>
      </c>
      <c r="BM55" s="239">
        <v>-970957</v>
      </c>
      <c r="BN55" s="239">
        <v>-107884</v>
      </c>
      <c r="BO55" s="239">
        <v>-10788408</v>
      </c>
      <c r="BP55" s="239">
        <v>1250538</v>
      </c>
      <c r="BQ55" s="239">
        <v>1000430</v>
      </c>
      <c r="BR55" s="239">
        <v>225097</v>
      </c>
      <c r="BS55" s="239">
        <v>25011</v>
      </c>
      <c r="BT55" s="239">
        <v>2501076</v>
      </c>
      <c r="BU55" s="239">
        <v>-617893</v>
      </c>
      <c r="BV55" s="239">
        <v>-494315</v>
      </c>
      <c r="BW55" s="239">
        <v>-111221</v>
      </c>
      <c r="BX55" s="239">
        <v>-12358</v>
      </c>
      <c r="BY55" s="239">
        <v>-1235787</v>
      </c>
      <c r="BZ55" s="239">
        <v>-4761559</v>
      </c>
      <c r="CA55" s="239">
        <v>-3809248</v>
      </c>
      <c r="CB55" s="239">
        <v>-857081</v>
      </c>
      <c r="CC55" s="239">
        <v>-95231</v>
      </c>
      <c r="CD55" s="239">
        <v>-9523119</v>
      </c>
      <c r="CE55" s="239">
        <v>1905218</v>
      </c>
      <c r="CF55" s="239">
        <v>1524174</v>
      </c>
      <c r="CG55" s="239">
        <v>342939</v>
      </c>
      <c r="CH55" s="239">
        <v>38105</v>
      </c>
      <c r="CI55" s="239">
        <v>3810436</v>
      </c>
      <c r="CJ55" s="239">
        <v>1496905</v>
      </c>
      <c r="CK55" s="239">
        <v>1197524</v>
      </c>
      <c r="CL55" s="239">
        <v>269443</v>
      </c>
      <c r="CM55" s="239">
        <v>29938</v>
      </c>
      <c r="CN55" s="239">
        <v>2993810</v>
      </c>
      <c r="CO55" s="239">
        <v>408313</v>
      </c>
      <c r="CP55" s="239">
        <v>326650</v>
      </c>
      <c r="CQ55" s="239">
        <v>73496</v>
      </c>
      <c r="CR55" s="239">
        <v>8167</v>
      </c>
      <c r="CS55" s="239">
        <v>816626</v>
      </c>
      <c r="CT55" s="239">
        <v>38307086</v>
      </c>
      <c r="CU55" s="239">
        <v>30645670</v>
      </c>
      <c r="CV55" s="239">
        <v>6895276</v>
      </c>
      <c r="CW55" s="239">
        <v>766142</v>
      </c>
      <c r="CX55" s="239">
        <v>76614174</v>
      </c>
      <c r="CY55" s="239">
        <v>38260365</v>
      </c>
      <c r="CZ55" s="239">
        <v>30608292</v>
      </c>
      <c r="DA55" s="239">
        <v>6886866</v>
      </c>
      <c r="DB55" s="239">
        <v>765207</v>
      </c>
      <c r="DC55" s="239">
        <v>76520730</v>
      </c>
      <c r="DD55" s="239">
        <v>-46721</v>
      </c>
      <c r="DE55" s="239">
        <v>-37378</v>
      </c>
      <c r="DF55" s="239">
        <v>-8410</v>
      </c>
      <c r="DG55" s="239">
        <v>-935</v>
      </c>
      <c r="DH55" s="239">
        <v>-93444</v>
      </c>
      <c r="DI55" s="239">
        <v>361592</v>
      </c>
      <c r="DJ55" s="239">
        <v>289272</v>
      </c>
      <c r="DK55" s="239">
        <v>65086</v>
      </c>
      <c r="DL55" s="239">
        <v>7232</v>
      </c>
      <c r="DM55" s="239">
        <v>723182</v>
      </c>
      <c r="DN55" s="835">
        <v>0.5</v>
      </c>
      <c r="DO55" s="835">
        <v>0.4</v>
      </c>
      <c r="DP55" s="835">
        <v>0.09</v>
      </c>
      <c r="DQ55" s="835">
        <v>0.01</v>
      </c>
      <c r="DR55" s="835">
        <v>1</v>
      </c>
      <c r="DS55" s="214" t="s">
        <v>1158</v>
      </c>
      <c r="DU55" s="214">
        <v>0</v>
      </c>
    </row>
    <row r="56" spans="2:125" s="214" customFormat="1" x14ac:dyDescent="0.2">
      <c r="B56" s="602" t="s">
        <v>195</v>
      </c>
      <c r="C56" s="602" t="s">
        <v>194</v>
      </c>
      <c r="D56" s="239">
        <v>26291430</v>
      </c>
      <c r="E56" s="239">
        <v>21033144</v>
      </c>
      <c r="F56" s="239">
        <v>5258286</v>
      </c>
      <c r="G56" s="239">
        <v>0</v>
      </c>
      <c r="H56" s="239">
        <v>52582860</v>
      </c>
      <c r="I56" s="239">
        <v>0</v>
      </c>
      <c r="J56" s="239">
        <v>0</v>
      </c>
      <c r="K56" s="239">
        <v>26291430</v>
      </c>
      <c r="L56" s="239">
        <v>174255</v>
      </c>
      <c r="M56" s="239">
        <v>174255</v>
      </c>
      <c r="N56" s="239">
        <v>0</v>
      </c>
      <c r="O56" s="239">
        <v>0</v>
      </c>
      <c r="P56" s="239">
        <v>0</v>
      </c>
      <c r="Q56" s="239">
        <v>0</v>
      </c>
      <c r="R56" s="239">
        <v>0</v>
      </c>
      <c r="S56" s="239">
        <v>0</v>
      </c>
      <c r="T56" s="239">
        <v>0</v>
      </c>
      <c r="U56" s="239">
        <v>0</v>
      </c>
      <c r="V56" s="239">
        <v>0</v>
      </c>
      <c r="W56" s="239">
        <v>0</v>
      </c>
      <c r="X56" s="239">
        <v>0</v>
      </c>
      <c r="Y56" s="239">
        <v>0</v>
      </c>
      <c r="Z56" s="239">
        <v>0</v>
      </c>
      <c r="AA56" s="239">
        <v>0</v>
      </c>
      <c r="AB56" s="239">
        <v>0</v>
      </c>
      <c r="AC56" s="239">
        <v>1451663</v>
      </c>
      <c r="AD56" s="239">
        <v>362917</v>
      </c>
      <c r="AE56" s="239">
        <v>0</v>
      </c>
      <c r="AF56" s="239">
        <v>1814580</v>
      </c>
      <c r="AG56" s="239">
        <v>623525</v>
      </c>
      <c r="AH56" s="239">
        <v>498820</v>
      </c>
      <c r="AI56" s="239">
        <v>124705</v>
      </c>
      <c r="AJ56" s="239">
        <v>0</v>
      </c>
      <c r="AK56" s="239">
        <v>1247050</v>
      </c>
      <c r="AL56" s="239">
        <v>-2547411</v>
      </c>
      <c r="AM56" s="239">
        <v>-2037929</v>
      </c>
      <c r="AN56" s="239">
        <v>-509482</v>
      </c>
      <c r="AO56" s="239">
        <v>0</v>
      </c>
      <c r="AP56" s="239">
        <v>-5094822</v>
      </c>
      <c r="AQ56" s="239">
        <v>-212982</v>
      </c>
      <c r="AR56" s="239">
        <v>-170386</v>
      </c>
      <c r="AS56" s="239">
        <v>-42596</v>
      </c>
      <c r="AT56" s="239">
        <v>0</v>
      </c>
      <c r="AU56" s="239">
        <v>-425964</v>
      </c>
      <c r="AV56" s="239">
        <v>102476</v>
      </c>
      <c r="AW56" s="239">
        <v>81980</v>
      </c>
      <c r="AX56" s="239">
        <v>20495</v>
      </c>
      <c r="AY56" s="239">
        <v>0</v>
      </c>
      <c r="AZ56" s="239">
        <v>204951</v>
      </c>
      <c r="BA56" s="239">
        <v>-110541</v>
      </c>
      <c r="BB56" s="239">
        <v>-88432</v>
      </c>
      <c r="BC56" s="239">
        <v>-22108</v>
      </c>
      <c r="BD56" s="239">
        <v>0</v>
      </c>
      <c r="BE56" s="239">
        <v>-221081</v>
      </c>
      <c r="BF56" s="239">
        <v>-221047</v>
      </c>
      <c r="BG56" s="239">
        <v>-176838</v>
      </c>
      <c r="BH56" s="239">
        <v>-44209</v>
      </c>
      <c r="BI56" s="239">
        <v>0</v>
      </c>
      <c r="BJ56" s="239">
        <v>-442094</v>
      </c>
      <c r="BK56" s="239">
        <v>-1255322</v>
      </c>
      <c r="BL56" s="239">
        <v>-1004258</v>
      </c>
      <c r="BM56" s="239">
        <v>-251065</v>
      </c>
      <c r="BN56" s="239">
        <v>0</v>
      </c>
      <c r="BO56" s="239">
        <v>-2510645</v>
      </c>
      <c r="BP56" s="239">
        <v>654997</v>
      </c>
      <c r="BQ56" s="239">
        <v>523998</v>
      </c>
      <c r="BR56" s="239">
        <v>131000</v>
      </c>
      <c r="BS56" s="239">
        <v>0</v>
      </c>
      <c r="BT56" s="239">
        <v>1309995</v>
      </c>
      <c r="BU56" s="239">
        <v>-812707</v>
      </c>
      <c r="BV56" s="239">
        <v>-650166</v>
      </c>
      <c r="BW56" s="239">
        <v>-162541</v>
      </c>
      <c r="BX56" s="239">
        <v>0</v>
      </c>
      <c r="BY56" s="239">
        <v>-1625414</v>
      </c>
      <c r="BZ56" s="239">
        <v>-1413032</v>
      </c>
      <c r="CA56" s="239">
        <v>-1130426</v>
      </c>
      <c r="CB56" s="239">
        <v>-282606</v>
      </c>
      <c r="CC56" s="239">
        <v>0</v>
      </c>
      <c r="CD56" s="239">
        <v>-2826064</v>
      </c>
      <c r="CE56" s="239">
        <v>-849885</v>
      </c>
      <c r="CF56" s="239">
        <v>-679908</v>
      </c>
      <c r="CG56" s="239">
        <v>-169977</v>
      </c>
      <c r="CH56" s="239">
        <v>0</v>
      </c>
      <c r="CI56" s="239">
        <v>-1699770</v>
      </c>
      <c r="CJ56" s="239">
        <v>-555531</v>
      </c>
      <c r="CK56" s="239">
        <v>-444425</v>
      </c>
      <c r="CL56" s="239">
        <v>-111106</v>
      </c>
      <c r="CM56" s="239">
        <v>0</v>
      </c>
      <c r="CN56" s="239">
        <v>-1111062</v>
      </c>
      <c r="CO56" s="239">
        <v>-294354</v>
      </c>
      <c r="CP56" s="239">
        <v>-235483</v>
      </c>
      <c r="CQ56" s="239">
        <v>-58871</v>
      </c>
      <c r="CR56" s="239">
        <v>0</v>
      </c>
      <c r="CS56" s="239">
        <v>-588708</v>
      </c>
      <c r="CT56" s="239">
        <v>26837818</v>
      </c>
      <c r="CU56" s="239">
        <v>21470254</v>
      </c>
      <c r="CV56" s="239">
        <v>5367564</v>
      </c>
      <c r="CW56" s="239">
        <v>0</v>
      </c>
      <c r="CX56" s="239">
        <v>53675636</v>
      </c>
      <c r="CY56" s="239">
        <v>26291430</v>
      </c>
      <c r="CZ56" s="239">
        <v>21033144</v>
      </c>
      <c r="DA56" s="239">
        <v>5258286</v>
      </c>
      <c r="DB56" s="239">
        <v>0</v>
      </c>
      <c r="DC56" s="239">
        <v>52582860</v>
      </c>
      <c r="DD56" s="239">
        <v>-546388</v>
      </c>
      <c r="DE56" s="239">
        <v>-437110</v>
      </c>
      <c r="DF56" s="239">
        <v>-109278</v>
      </c>
      <c r="DG56" s="239">
        <v>0</v>
      </c>
      <c r="DH56" s="239">
        <v>-1092776</v>
      </c>
      <c r="DI56" s="239">
        <v>-840742</v>
      </c>
      <c r="DJ56" s="239">
        <v>-672593</v>
      </c>
      <c r="DK56" s="239">
        <v>-168149</v>
      </c>
      <c r="DL56" s="239">
        <v>0</v>
      </c>
      <c r="DM56" s="239">
        <v>-1681484</v>
      </c>
      <c r="DN56" s="835">
        <v>0.5</v>
      </c>
      <c r="DO56" s="835">
        <v>0.4</v>
      </c>
      <c r="DP56" s="835">
        <v>0.1</v>
      </c>
      <c r="DQ56" s="835">
        <v>0</v>
      </c>
      <c r="DR56" s="835">
        <v>1</v>
      </c>
      <c r="DS56" s="214" t="s">
        <v>1158</v>
      </c>
      <c r="DU56" s="214">
        <v>0</v>
      </c>
    </row>
    <row r="57" spans="2:125" s="214" customFormat="1" x14ac:dyDescent="0.2">
      <c r="B57" s="602" t="s">
        <v>197</v>
      </c>
      <c r="C57" s="602" t="s">
        <v>196</v>
      </c>
      <c r="D57" s="239">
        <v>45003544</v>
      </c>
      <c r="E57" s="239">
        <v>36002835</v>
      </c>
      <c r="F57" s="239">
        <v>9000709</v>
      </c>
      <c r="G57" s="239">
        <v>0</v>
      </c>
      <c r="H57" s="239">
        <v>90007088</v>
      </c>
      <c r="I57" s="239">
        <v>0</v>
      </c>
      <c r="J57" s="239">
        <v>0</v>
      </c>
      <c r="K57" s="239">
        <v>45003544</v>
      </c>
      <c r="L57" s="239">
        <v>227866</v>
      </c>
      <c r="M57" s="239">
        <v>227866</v>
      </c>
      <c r="N57" s="239">
        <v>0</v>
      </c>
      <c r="O57" s="239">
        <v>0</v>
      </c>
      <c r="P57" s="239">
        <v>300118</v>
      </c>
      <c r="Q57" s="239">
        <v>231117</v>
      </c>
      <c r="R57" s="239">
        <v>531235</v>
      </c>
      <c r="S57" s="239">
        <v>0</v>
      </c>
      <c r="T57" s="239">
        <v>0</v>
      </c>
      <c r="U57" s="239">
        <v>0</v>
      </c>
      <c r="V57" s="239">
        <v>0</v>
      </c>
      <c r="W57" s="239">
        <v>0</v>
      </c>
      <c r="X57" s="239">
        <v>0</v>
      </c>
      <c r="Y57" s="239">
        <v>0</v>
      </c>
      <c r="Z57" s="239">
        <v>0</v>
      </c>
      <c r="AA57" s="239">
        <v>0</v>
      </c>
      <c r="AB57" s="239">
        <v>0</v>
      </c>
      <c r="AC57" s="239">
        <v>1973355</v>
      </c>
      <c r="AD57" s="239">
        <v>495683</v>
      </c>
      <c r="AE57" s="239">
        <v>0</v>
      </c>
      <c r="AF57" s="239">
        <v>2469038</v>
      </c>
      <c r="AG57" s="239">
        <v>3637887</v>
      </c>
      <c r="AH57" s="239">
        <v>2910310</v>
      </c>
      <c r="AI57" s="239">
        <v>727577</v>
      </c>
      <c r="AJ57" s="239">
        <v>0</v>
      </c>
      <c r="AK57" s="239">
        <v>7275774</v>
      </c>
      <c r="AL57" s="239">
        <v>-2019868</v>
      </c>
      <c r="AM57" s="239">
        <v>-1615894</v>
      </c>
      <c r="AN57" s="239">
        <v>-403974</v>
      </c>
      <c r="AO57" s="239">
        <v>0</v>
      </c>
      <c r="AP57" s="239">
        <v>-4039736</v>
      </c>
      <c r="AQ57" s="239">
        <v>-116153</v>
      </c>
      <c r="AR57" s="239">
        <v>-92923</v>
      </c>
      <c r="AS57" s="239">
        <v>-23231</v>
      </c>
      <c r="AT57" s="239">
        <v>0</v>
      </c>
      <c r="AU57" s="239">
        <v>-232307</v>
      </c>
      <c r="AV57" s="239">
        <v>0</v>
      </c>
      <c r="AW57" s="239">
        <v>0</v>
      </c>
      <c r="AX57" s="239">
        <v>0</v>
      </c>
      <c r="AY57" s="239">
        <v>0</v>
      </c>
      <c r="AZ57" s="239">
        <v>0</v>
      </c>
      <c r="BA57" s="239">
        <v>-302558</v>
      </c>
      <c r="BB57" s="239">
        <v>-242047</v>
      </c>
      <c r="BC57" s="239">
        <v>-60512</v>
      </c>
      <c r="BD57" s="239">
        <v>0</v>
      </c>
      <c r="BE57" s="239">
        <v>-605117</v>
      </c>
      <c r="BF57" s="239">
        <v>-418711</v>
      </c>
      <c r="BG57" s="239">
        <v>-334970</v>
      </c>
      <c r="BH57" s="239">
        <v>-83743</v>
      </c>
      <c r="BI57" s="239">
        <v>0</v>
      </c>
      <c r="BJ57" s="239">
        <v>-837424</v>
      </c>
      <c r="BK57" s="239">
        <v>-2389238</v>
      </c>
      <c r="BL57" s="239">
        <v>-1911391</v>
      </c>
      <c r="BM57" s="239">
        <v>-477848</v>
      </c>
      <c r="BN57" s="239">
        <v>0</v>
      </c>
      <c r="BO57" s="239">
        <v>-4778477</v>
      </c>
      <c r="BP57" s="239">
        <v>853576</v>
      </c>
      <c r="BQ57" s="239">
        <v>682861</v>
      </c>
      <c r="BR57" s="239">
        <v>170715</v>
      </c>
      <c r="BS57" s="239">
        <v>0</v>
      </c>
      <c r="BT57" s="239">
        <v>1707152</v>
      </c>
      <c r="BU57" s="239">
        <v>-3209577</v>
      </c>
      <c r="BV57" s="239">
        <v>-2567662</v>
      </c>
      <c r="BW57" s="239">
        <v>-641915</v>
      </c>
      <c r="BX57" s="239">
        <v>0</v>
      </c>
      <c r="BY57" s="239">
        <v>-6419154</v>
      </c>
      <c r="BZ57" s="239">
        <v>-4745239</v>
      </c>
      <c r="CA57" s="239">
        <v>-3796192</v>
      </c>
      <c r="CB57" s="239">
        <v>-949048</v>
      </c>
      <c r="CC57" s="239">
        <v>0</v>
      </c>
      <c r="CD57" s="239">
        <v>-9490479</v>
      </c>
      <c r="CE57" s="239">
        <v>-2191637</v>
      </c>
      <c r="CF57" s="239">
        <v>-1753310</v>
      </c>
      <c r="CG57" s="239">
        <v>-438327</v>
      </c>
      <c r="CH57" s="239">
        <v>0</v>
      </c>
      <c r="CI57" s="239">
        <v>-4383274</v>
      </c>
      <c r="CJ57" s="239">
        <v>-785597</v>
      </c>
      <c r="CK57" s="239">
        <v>-628477</v>
      </c>
      <c r="CL57" s="239">
        <v>-157119</v>
      </c>
      <c r="CM57" s="239">
        <v>0</v>
      </c>
      <c r="CN57" s="239">
        <v>-1571193</v>
      </c>
      <c r="CO57" s="239">
        <v>-1406040</v>
      </c>
      <c r="CP57" s="239">
        <v>-1124833</v>
      </c>
      <c r="CQ57" s="239">
        <v>-281208</v>
      </c>
      <c r="CR57" s="239">
        <v>0</v>
      </c>
      <c r="CS57" s="239">
        <v>-2812081</v>
      </c>
      <c r="CT57" s="239">
        <v>42597413</v>
      </c>
      <c r="CU57" s="239">
        <v>34077930</v>
      </c>
      <c r="CV57" s="239">
        <v>8519483</v>
      </c>
      <c r="CW57" s="239">
        <v>0</v>
      </c>
      <c r="CX57" s="239">
        <v>85194826</v>
      </c>
      <c r="CY57" s="239">
        <v>45003544</v>
      </c>
      <c r="CZ57" s="239">
        <v>36002835</v>
      </c>
      <c r="DA57" s="239">
        <v>9000709</v>
      </c>
      <c r="DB57" s="239">
        <v>0</v>
      </c>
      <c r="DC57" s="239">
        <v>90007088</v>
      </c>
      <c r="DD57" s="239">
        <v>2406131</v>
      </c>
      <c r="DE57" s="239">
        <v>1924905</v>
      </c>
      <c r="DF57" s="239">
        <v>481226</v>
      </c>
      <c r="DG57" s="239">
        <v>0</v>
      </c>
      <c r="DH57" s="239">
        <v>4812262</v>
      </c>
      <c r="DI57" s="239">
        <v>1000091</v>
      </c>
      <c r="DJ57" s="239">
        <v>800072</v>
      </c>
      <c r="DK57" s="239">
        <v>200018</v>
      </c>
      <c r="DL57" s="239">
        <v>0</v>
      </c>
      <c r="DM57" s="239">
        <v>2000181</v>
      </c>
      <c r="DN57" s="835">
        <v>0.5</v>
      </c>
      <c r="DO57" s="835">
        <v>0.4</v>
      </c>
      <c r="DP57" s="835">
        <v>0.1</v>
      </c>
      <c r="DQ57" s="835">
        <v>0</v>
      </c>
      <c r="DR57" s="835">
        <v>1</v>
      </c>
      <c r="DS57" s="214" t="s">
        <v>1158</v>
      </c>
      <c r="DU57" s="214">
        <v>0</v>
      </c>
    </row>
    <row r="58" spans="2:125" s="214" customFormat="1" x14ac:dyDescent="0.2">
      <c r="B58" s="602" t="s">
        <v>199</v>
      </c>
      <c r="C58" s="602" t="s">
        <v>198</v>
      </c>
      <c r="D58" s="239">
        <v>65948972</v>
      </c>
      <c r="E58" s="239">
        <v>64629993</v>
      </c>
      <c r="F58" s="239">
        <v>0</v>
      </c>
      <c r="G58" s="239">
        <v>1318979</v>
      </c>
      <c r="H58" s="239">
        <v>131897944</v>
      </c>
      <c r="I58" s="239">
        <v>475670</v>
      </c>
      <c r="J58" s="239">
        <v>475670</v>
      </c>
      <c r="K58" s="239">
        <v>65473302</v>
      </c>
      <c r="L58" s="239">
        <v>563725</v>
      </c>
      <c r="M58" s="239">
        <v>563725</v>
      </c>
      <c r="N58" s="239">
        <v>312749</v>
      </c>
      <c r="O58" s="239">
        <v>312749</v>
      </c>
      <c r="P58" s="239">
        <v>94085</v>
      </c>
      <c r="Q58" s="239">
        <v>0</v>
      </c>
      <c r="R58" s="239">
        <v>94085</v>
      </c>
      <c r="S58" s="239">
        <v>328128.01716738194</v>
      </c>
      <c r="T58" s="239">
        <v>0</v>
      </c>
      <c r="U58" s="239">
        <v>0</v>
      </c>
      <c r="V58" s="239">
        <v>328128.01716738194</v>
      </c>
      <c r="W58" s="239">
        <v>144591.16</v>
      </c>
      <c r="X58" s="239">
        <v>0</v>
      </c>
      <c r="Y58" s="239">
        <v>2950.84</v>
      </c>
      <c r="Z58" s="239">
        <v>147542</v>
      </c>
      <c r="AA58" s="239">
        <v>0</v>
      </c>
      <c r="AB58" s="239">
        <v>0</v>
      </c>
      <c r="AC58" s="239">
        <v>6308991</v>
      </c>
      <c r="AD58" s="239">
        <v>0</v>
      </c>
      <c r="AE58" s="239">
        <v>128269</v>
      </c>
      <c r="AF58" s="239">
        <v>6437260</v>
      </c>
      <c r="AG58" s="239">
        <v>2599821</v>
      </c>
      <c r="AH58" s="239">
        <v>2547824</v>
      </c>
      <c r="AI58" s="239">
        <v>0</v>
      </c>
      <c r="AJ58" s="239">
        <v>51996</v>
      </c>
      <c r="AK58" s="239">
        <v>5199641</v>
      </c>
      <c r="AL58" s="239">
        <v>-599594</v>
      </c>
      <c r="AM58" s="239">
        <v>-587602</v>
      </c>
      <c r="AN58" s="239">
        <v>0</v>
      </c>
      <c r="AO58" s="239">
        <v>-11992</v>
      </c>
      <c r="AP58" s="239">
        <v>-1199188</v>
      </c>
      <c r="AQ58" s="239">
        <v>-899543</v>
      </c>
      <c r="AR58" s="239">
        <v>-881553</v>
      </c>
      <c r="AS58" s="239">
        <v>0</v>
      </c>
      <c r="AT58" s="239">
        <v>-17991</v>
      </c>
      <c r="AU58" s="239">
        <v>-1799087</v>
      </c>
      <c r="AV58" s="239">
        <v>899543</v>
      </c>
      <c r="AW58" s="239">
        <v>881553</v>
      </c>
      <c r="AX58" s="239">
        <v>0</v>
      </c>
      <c r="AY58" s="239">
        <v>17991</v>
      </c>
      <c r="AZ58" s="239">
        <v>1799087</v>
      </c>
      <c r="BA58" s="239">
        <v>-854067</v>
      </c>
      <c r="BB58" s="239">
        <v>-836985</v>
      </c>
      <c r="BC58" s="239">
        <v>0</v>
      </c>
      <c r="BD58" s="239">
        <v>-17081</v>
      </c>
      <c r="BE58" s="239">
        <v>-1708133</v>
      </c>
      <c r="BF58" s="239">
        <v>-854067</v>
      </c>
      <c r="BG58" s="239">
        <v>-836985</v>
      </c>
      <c r="BH58" s="239">
        <v>0</v>
      </c>
      <c r="BI58" s="239">
        <v>-17081</v>
      </c>
      <c r="BJ58" s="239">
        <v>-1708133</v>
      </c>
      <c r="BK58" s="239">
        <v>-7086183</v>
      </c>
      <c r="BL58" s="239">
        <v>-6944459</v>
      </c>
      <c r="BM58" s="239">
        <v>0</v>
      </c>
      <c r="BN58" s="239">
        <v>-141724</v>
      </c>
      <c r="BO58" s="239">
        <v>-14172366</v>
      </c>
      <c r="BP58" s="239">
        <v>2831532</v>
      </c>
      <c r="BQ58" s="239">
        <v>2774902</v>
      </c>
      <c r="BR58" s="239">
        <v>0</v>
      </c>
      <c r="BS58" s="239">
        <v>56631</v>
      </c>
      <c r="BT58" s="239">
        <v>5663065</v>
      </c>
      <c r="BU58" s="239">
        <v>-3595330</v>
      </c>
      <c r="BV58" s="239">
        <v>-3523423</v>
      </c>
      <c r="BW58" s="239">
        <v>0</v>
      </c>
      <c r="BX58" s="239">
        <v>-71907</v>
      </c>
      <c r="BY58" s="239">
        <v>-7190660</v>
      </c>
      <c r="BZ58" s="239">
        <v>-7849981</v>
      </c>
      <c r="CA58" s="239">
        <v>-7692980</v>
      </c>
      <c r="CB58" s="239">
        <v>0</v>
      </c>
      <c r="CC58" s="239">
        <v>-157000</v>
      </c>
      <c r="CD58" s="239">
        <v>-15699961</v>
      </c>
      <c r="CE58" s="239">
        <v>-1570586</v>
      </c>
      <c r="CF58" s="239">
        <v>-1539175</v>
      </c>
      <c r="CG58" s="239">
        <v>0</v>
      </c>
      <c r="CH58" s="239">
        <v>-31413</v>
      </c>
      <c r="CI58" s="239">
        <v>-3141174</v>
      </c>
      <c r="CJ58" s="239">
        <v>-2238090</v>
      </c>
      <c r="CK58" s="239">
        <v>-2193328</v>
      </c>
      <c r="CL58" s="239">
        <v>0</v>
      </c>
      <c r="CM58" s="239">
        <v>-44762</v>
      </c>
      <c r="CN58" s="239">
        <v>-4476180</v>
      </c>
      <c r="CO58" s="239">
        <v>667504</v>
      </c>
      <c r="CP58" s="239">
        <v>654153</v>
      </c>
      <c r="CQ58" s="239">
        <v>0</v>
      </c>
      <c r="CR58" s="239">
        <v>13349</v>
      </c>
      <c r="CS58" s="239">
        <v>1335006</v>
      </c>
      <c r="CT58" s="239">
        <v>65812496</v>
      </c>
      <c r="CU58" s="239">
        <v>64496247</v>
      </c>
      <c r="CV58" s="239">
        <v>0</v>
      </c>
      <c r="CW58" s="239">
        <v>1316250</v>
      </c>
      <c r="CX58" s="239">
        <v>131624993</v>
      </c>
      <c r="CY58" s="239">
        <v>65948972</v>
      </c>
      <c r="CZ58" s="239">
        <v>64629993</v>
      </c>
      <c r="DA58" s="239">
        <v>0</v>
      </c>
      <c r="DB58" s="239">
        <v>1318979</v>
      </c>
      <c r="DC58" s="239">
        <v>131897944</v>
      </c>
      <c r="DD58" s="239">
        <v>136476</v>
      </c>
      <c r="DE58" s="239">
        <v>133746</v>
      </c>
      <c r="DF58" s="239">
        <v>0</v>
      </c>
      <c r="DG58" s="239">
        <v>2729</v>
      </c>
      <c r="DH58" s="239">
        <v>272951</v>
      </c>
      <c r="DI58" s="239">
        <v>803980</v>
      </c>
      <c r="DJ58" s="239">
        <v>787899</v>
      </c>
      <c r="DK58" s="239">
        <v>0</v>
      </c>
      <c r="DL58" s="239">
        <v>16078</v>
      </c>
      <c r="DM58" s="239">
        <v>1607957</v>
      </c>
      <c r="DN58" s="835">
        <v>0.5</v>
      </c>
      <c r="DO58" s="835">
        <v>0.49</v>
      </c>
      <c r="DP58" s="835">
        <v>0</v>
      </c>
      <c r="DQ58" s="835">
        <v>0.01</v>
      </c>
      <c r="DR58" s="835">
        <v>1</v>
      </c>
      <c r="DS58" s="214" t="s">
        <v>746</v>
      </c>
      <c r="DU58" s="214">
        <v>0</v>
      </c>
    </row>
    <row r="59" spans="2:125" s="214" customFormat="1" x14ac:dyDescent="0.2">
      <c r="B59" s="602" t="s">
        <v>201</v>
      </c>
      <c r="C59" s="602" t="s">
        <v>917</v>
      </c>
      <c r="D59" s="239">
        <v>65603971</v>
      </c>
      <c r="E59" s="239">
        <v>64291891</v>
      </c>
      <c r="F59" s="239">
        <v>0</v>
      </c>
      <c r="G59" s="239">
        <v>1312079</v>
      </c>
      <c r="H59" s="239">
        <v>131207941</v>
      </c>
      <c r="I59" s="239">
        <v>106647</v>
      </c>
      <c r="J59" s="239">
        <v>106647</v>
      </c>
      <c r="K59" s="239">
        <v>65497324</v>
      </c>
      <c r="L59" s="239">
        <v>480131</v>
      </c>
      <c r="M59" s="239">
        <v>480131</v>
      </c>
      <c r="N59" s="239">
        <v>11515</v>
      </c>
      <c r="O59" s="239">
        <v>11515</v>
      </c>
      <c r="P59" s="239">
        <v>389640</v>
      </c>
      <c r="Q59" s="239">
        <v>0</v>
      </c>
      <c r="R59" s="239">
        <v>389640</v>
      </c>
      <c r="S59" s="239">
        <v>106647.28969957081</v>
      </c>
      <c r="T59" s="239">
        <v>0</v>
      </c>
      <c r="U59" s="239">
        <v>0</v>
      </c>
      <c r="V59" s="239">
        <v>106647.28969957081</v>
      </c>
      <c r="W59" s="239">
        <v>0</v>
      </c>
      <c r="X59" s="239">
        <v>0</v>
      </c>
      <c r="Y59" s="239">
        <v>0</v>
      </c>
      <c r="Z59" s="239">
        <v>0</v>
      </c>
      <c r="AA59" s="239">
        <v>0</v>
      </c>
      <c r="AB59" s="239">
        <v>0</v>
      </c>
      <c r="AC59" s="239">
        <v>5097017</v>
      </c>
      <c r="AD59" s="239">
        <v>0</v>
      </c>
      <c r="AE59" s="239">
        <v>103850</v>
      </c>
      <c r="AF59" s="239">
        <v>5200867</v>
      </c>
      <c r="AG59" s="239">
        <v>1640339</v>
      </c>
      <c r="AH59" s="239">
        <v>1607532</v>
      </c>
      <c r="AI59" s="239">
        <v>0</v>
      </c>
      <c r="AJ59" s="239">
        <v>32807</v>
      </c>
      <c r="AK59" s="239">
        <v>3280678</v>
      </c>
      <c r="AL59" s="239">
        <v>-2685669</v>
      </c>
      <c r="AM59" s="239">
        <v>-2631955</v>
      </c>
      <c r="AN59" s="239">
        <v>0</v>
      </c>
      <c r="AO59" s="239">
        <v>-53713</v>
      </c>
      <c r="AP59" s="239">
        <v>-5371337</v>
      </c>
      <c r="AQ59" s="239">
        <v>-1476881</v>
      </c>
      <c r="AR59" s="239">
        <v>-1447344</v>
      </c>
      <c r="AS59" s="239">
        <v>0</v>
      </c>
      <c r="AT59" s="239">
        <v>-29538</v>
      </c>
      <c r="AU59" s="239">
        <v>-2953763</v>
      </c>
      <c r="AV59" s="239">
        <v>569275</v>
      </c>
      <c r="AW59" s="239">
        <v>557890</v>
      </c>
      <c r="AX59" s="239">
        <v>0</v>
      </c>
      <c r="AY59" s="239">
        <v>11386</v>
      </c>
      <c r="AZ59" s="239">
        <v>1138551</v>
      </c>
      <c r="BA59" s="239">
        <v>-568174</v>
      </c>
      <c r="BB59" s="239">
        <v>-556811</v>
      </c>
      <c r="BC59" s="239">
        <v>0</v>
      </c>
      <c r="BD59" s="239">
        <v>-11363</v>
      </c>
      <c r="BE59" s="239">
        <v>-1136348</v>
      </c>
      <c r="BF59" s="239">
        <v>-1475780</v>
      </c>
      <c r="BG59" s="239">
        <v>-1446265</v>
      </c>
      <c r="BH59" s="239">
        <v>0</v>
      </c>
      <c r="BI59" s="239">
        <v>-29515</v>
      </c>
      <c r="BJ59" s="239">
        <v>-2951560</v>
      </c>
      <c r="BK59" s="239">
        <v>-6573233</v>
      </c>
      <c r="BL59" s="239">
        <v>-6441769</v>
      </c>
      <c r="BM59" s="239">
        <v>0</v>
      </c>
      <c r="BN59" s="239">
        <v>-131465</v>
      </c>
      <c r="BO59" s="239">
        <v>-13146467</v>
      </c>
      <c r="BP59" s="239">
        <v>2524694</v>
      </c>
      <c r="BQ59" s="239">
        <v>2474201</v>
      </c>
      <c r="BR59" s="239">
        <v>0</v>
      </c>
      <c r="BS59" s="239">
        <v>50494</v>
      </c>
      <c r="BT59" s="239">
        <v>5049389</v>
      </c>
      <c r="BU59" s="239">
        <v>-8383441</v>
      </c>
      <c r="BV59" s="239">
        <v>-8215772</v>
      </c>
      <c r="BW59" s="239">
        <v>0</v>
      </c>
      <c r="BX59" s="239">
        <v>-167669</v>
      </c>
      <c r="BY59" s="239">
        <v>-16766882</v>
      </c>
      <c r="BZ59" s="239">
        <v>-12431980</v>
      </c>
      <c r="CA59" s="239">
        <v>-12183340</v>
      </c>
      <c r="CB59" s="239">
        <v>0</v>
      </c>
      <c r="CC59" s="239">
        <v>-248640</v>
      </c>
      <c r="CD59" s="239">
        <v>-24863960</v>
      </c>
      <c r="CE59" s="239">
        <v>3897261</v>
      </c>
      <c r="CF59" s="239">
        <v>3819317</v>
      </c>
      <c r="CG59" s="239">
        <v>0</v>
      </c>
      <c r="CH59" s="239">
        <v>77945</v>
      </c>
      <c r="CI59" s="239">
        <v>7794523</v>
      </c>
      <c r="CJ59" s="239">
        <v>0</v>
      </c>
      <c r="CK59" s="239">
        <v>0</v>
      </c>
      <c r="CL59" s="239">
        <v>0</v>
      </c>
      <c r="CM59" s="239">
        <v>0</v>
      </c>
      <c r="CN59" s="239">
        <v>0</v>
      </c>
      <c r="CO59" s="239">
        <v>3897261</v>
      </c>
      <c r="CP59" s="239">
        <v>3819317</v>
      </c>
      <c r="CQ59" s="239">
        <v>0</v>
      </c>
      <c r="CR59" s="239">
        <v>77945</v>
      </c>
      <c r="CS59" s="239">
        <v>7794523</v>
      </c>
      <c r="CT59" s="239">
        <v>68702462</v>
      </c>
      <c r="CU59" s="239">
        <v>67328413</v>
      </c>
      <c r="CV59" s="239">
        <v>0</v>
      </c>
      <c r="CW59" s="239">
        <v>1374049</v>
      </c>
      <c r="CX59" s="239">
        <v>137404924</v>
      </c>
      <c r="CY59" s="239">
        <v>65603971</v>
      </c>
      <c r="CZ59" s="239">
        <v>64291891</v>
      </c>
      <c r="DA59" s="239">
        <v>0</v>
      </c>
      <c r="DB59" s="239">
        <v>1312079</v>
      </c>
      <c r="DC59" s="239">
        <v>131207941</v>
      </c>
      <c r="DD59" s="239">
        <v>-3098491</v>
      </c>
      <c r="DE59" s="239">
        <v>-3036522</v>
      </c>
      <c r="DF59" s="239">
        <v>0</v>
      </c>
      <c r="DG59" s="239">
        <v>-61970</v>
      </c>
      <c r="DH59" s="239">
        <v>-6196983</v>
      </c>
      <c r="DI59" s="239">
        <v>798770</v>
      </c>
      <c r="DJ59" s="239">
        <v>782795</v>
      </c>
      <c r="DK59" s="239">
        <v>0</v>
      </c>
      <c r="DL59" s="239">
        <v>15975</v>
      </c>
      <c r="DM59" s="239">
        <v>1597540</v>
      </c>
      <c r="DN59" s="835">
        <v>0.5</v>
      </c>
      <c r="DO59" s="835">
        <v>0.49</v>
      </c>
      <c r="DP59" s="835">
        <v>0</v>
      </c>
      <c r="DQ59" s="835">
        <v>0.01</v>
      </c>
      <c r="DR59" s="835">
        <v>1</v>
      </c>
      <c r="DS59" s="214" t="s">
        <v>746</v>
      </c>
      <c r="DU59" s="214">
        <v>0</v>
      </c>
    </row>
    <row r="60" spans="2:125" s="214" customFormat="1" x14ac:dyDescent="0.2">
      <c r="B60" s="602" t="s">
        <v>203</v>
      </c>
      <c r="C60" s="602" t="s">
        <v>202</v>
      </c>
      <c r="D60" s="239">
        <v>16875722</v>
      </c>
      <c r="E60" s="239">
        <v>13500578</v>
      </c>
      <c r="F60" s="239">
        <v>3037630</v>
      </c>
      <c r="G60" s="239">
        <v>337514</v>
      </c>
      <c r="H60" s="239">
        <v>33751444</v>
      </c>
      <c r="I60" s="239">
        <v>0</v>
      </c>
      <c r="J60" s="239">
        <v>0</v>
      </c>
      <c r="K60" s="239">
        <v>16875722</v>
      </c>
      <c r="L60" s="239">
        <v>163817</v>
      </c>
      <c r="M60" s="239">
        <v>163817</v>
      </c>
      <c r="N60" s="239">
        <v>886300</v>
      </c>
      <c r="O60" s="239">
        <v>886300</v>
      </c>
      <c r="P60" s="239">
        <v>54963</v>
      </c>
      <c r="Q60" s="239">
        <v>0</v>
      </c>
      <c r="R60" s="239">
        <v>54963</v>
      </c>
      <c r="S60" s="239">
        <v>0</v>
      </c>
      <c r="T60" s="239">
        <v>0</v>
      </c>
      <c r="U60" s="239">
        <v>0</v>
      </c>
      <c r="V60" s="239">
        <v>0</v>
      </c>
      <c r="W60" s="239">
        <v>0</v>
      </c>
      <c r="X60" s="239">
        <v>0</v>
      </c>
      <c r="Y60" s="239">
        <v>0</v>
      </c>
      <c r="Z60" s="239">
        <v>0</v>
      </c>
      <c r="AA60" s="239">
        <v>0</v>
      </c>
      <c r="AB60" s="239">
        <v>0</v>
      </c>
      <c r="AC60" s="239">
        <v>1538317</v>
      </c>
      <c r="AD60" s="239">
        <v>342940</v>
      </c>
      <c r="AE60" s="239">
        <v>38104</v>
      </c>
      <c r="AF60" s="239">
        <v>1919361</v>
      </c>
      <c r="AG60" s="239">
        <v>429638</v>
      </c>
      <c r="AH60" s="239">
        <v>343711</v>
      </c>
      <c r="AI60" s="239">
        <v>77335</v>
      </c>
      <c r="AJ60" s="239">
        <v>8593</v>
      </c>
      <c r="AK60" s="239">
        <v>859277</v>
      </c>
      <c r="AL60" s="239">
        <v>-295428</v>
      </c>
      <c r="AM60" s="239">
        <v>-236342</v>
      </c>
      <c r="AN60" s="239">
        <v>-53177</v>
      </c>
      <c r="AO60" s="239">
        <v>-5909</v>
      </c>
      <c r="AP60" s="239">
        <v>-590856</v>
      </c>
      <c r="AQ60" s="239">
        <v>-348051</v>
      </c>
      <c r="AR60" s="239">
        <v>-278440</v>
      </c>
      <c r="AS60" s="239">
        <v>-62649</v>
      </c>
      <c r="AT60" s="239">
        <v>-6961</v>
      </c>
      <c r="AU60" s="239">
        <v>-696101</v>
      </c>
      <c r="AV60" s="239">
        <v>15043</v>
      </c>
      <c r="AW60" s="239">
        <v>12034</v>
      </c>
      <c r="AX60" s="239">
        <v>2708</v>
      </c>
      <c r="AY60" s="239">
        <v>301</v>
      </c>
      <c r="AZ60" s="239">
        <v>30086</v>
      </c>
      <c r="BA60" s="239">
        <v>-4412</v>
      </c>
      <c r="BB60" s="239">
        <v>-3530</v>
      </c>
      <c r="BC60" s="239">
        <v>-794</v>
      </c>
      <c r="BD60" s="239">
        <v>-88</v>
      </c>
      <c r="BE60" s="239">
        <v>-8824</v>
      </c>
      <c r="BF60" s="239">
        <v>-337420</v>
      </c>
      <c r="BG60" s="239">
        <v>-269936</v>
      </c>
      <c r="BH60" s="239">
        <v>-60735</v>
      </c>
      <c r="BI60" s="239">
        <v>-6748</v>
      </c>
      <c r="BJ60" s="239">
        <v>-674839</v>
      </c>
      <c r="BK60" s="239">
        <v>-2257321</v>
      </c>
      <c r="BL60" s="239">
        <v>-1805856</v>
      </c>
      <c r="BM60" s="239">
        <v>-406318</v>
      </c>
      <c r="BN60" s="239">
        <v>-45146</v>
      </c>
      <c r="BO60" s="239">
        <v>-4514641</v>
      </c>
      <c r="BP60" s="239">
        <v>1329180</v>
      </c>
      <c r="BQ60" s="239">
        <v>1063344</v>
      </c>
      <c r="BR60" s="239">
        <v>239252</v>
      </c>
      <c r="BS60" s="239">
        <v>26584</v>
      </c>
      <c r="BT60" s="239">
        <v>2658360</v>
      </c>
      <c r="BU60" s="239">
        <v>-798761</v>
      </c>
      <c r="BV60" s="239">
        <v>-639008</v>
      </c>
      <c r="BW60" s="239">
        <v>-143777</v>
      </c>
      <c r="BX60" s="239">
        <v>-15975</v>
      </c>
      <c r="BY60" s="239">
        <v>-1597521</v>
      </c>
      <c r="BZ60" s="239">
        <v>-1726902</v>
      </c>
      <c r="CA60" s="239">
        <v>-1381520</v>
      </c>
      <c r="CB60" s="239">
        <v>-310843</v>
      </c>
      <c r="CC60" s="239">
        <v>-34537</v>
      </c>
      <c r="CD60" s="239">
        <v>-3453802</v>
      </c>
      <c r="CE60" s="239">
        <v>-496017</v>
      </c>
      <c r="CF60" s="239">
        <v>-396814</v>
      </c>
      <c r="CG60" s="239">
        <v>-89283</v>
      </c>
      <c r="CH60" s="239">
        <v>-9920</v>
      </c>
      <c r="CI60" s="239">
        <v>-992034</v>
      </c>
      <c r="CJ60" s="239">
        <v>-133032</v>
      </c>
      <c r="CK60" s="239">
        <v>-106426</v>
      </c>
      <c r="CL60" s="239">
        <v>-23946</v>
      </c>
      <c r="CM60" s="239">
        <v>-2661</v>
      </c>
      <c r="CN60" s="239">
        <v>-266065</v>
      </c>
      <c r="CO60" s="239">
        <v>-362985</v>
      </c>
      <c r="CP60" s="239">
        <v>-290388</v>
      </c>
      <c r="CQ60" s="239">
        <v>-65337</v>
      </c>
      <c r="CR60" s="239">
        <v>-7259</v>
      </c>
      <c r="CS60" s="239">
        <v>-725969</v>
      </c>
      <c r="CT60" s="239">
        <v>18462875</v>
      </c>
      <c r="CU60" s="239">
        <v>14770301</v>
      </c>
      <c r="CV60" s="239">
        <v>3323318</v>
      </c>
      <c r="CW60" s="239">
        <v>369258</v>
      </c>
      <c r="CX60" s="239">
        <v>36925752</v>
      </c>
      <c r="CY60" s="239">
        <v>16875722</v>
      </c>
      <c r="CZ60" s="239">
        <v>13500578</v>
      </c>
      <c r="DA60" s="239">
        <v>3037630</v>
      </c>
      <c r="DB60" s="239">
        <v>337514</v>
      </c>
      <c r="DC60" s="239">
        <v>33751444</v>
      </c>
      <c r="DD60" s="239">
        <v>-1587153</v>
      </c>
      <c r="DE60" s="239">
        <v>-1269723</v>
      </c>
      <c r="DF60" s="239">
        <v>-285688</v>
      </c>
      <c r="DG60" s="239">
        <v>-31744</v>
      </c>
      <c r="DH60" s="239">
        <v>-3174308</v>
      </c>
      <c r="DI60" s="239">
        <v>-1950138</v>
      </c>
      <c r="DJ60" s="239">
        <v>-1560111</v>
      </c>
      <c r="DK60" s="239">
        <v>-351025</v>
      </c>
      <c r="DL60" s="239">
        <v>-39003</v>
      </c>
      <c r="DM60" s="239">
        <v>-3900277</v>
      </c>
      <c r="DN60" s="835">
        <v>0.5</v>
      </c>
      <c r="DO60" s="835">
        <v>0.4</v>
      </c>
      <c r="DP60" s="835">
        <v>0.09</v>
      </c>
      <c r="DQ60" s="835">
        <v>0.01</v>
      </c>
      <c r="DR60" s="835">
        <v>1</v>
      </c>
      <c r="DS60" s="214" t="s">
        <v>1158</v>
      </c>
      <c r="DU60" s="214">
        <v>0</v>
      </c>
    </row>
    <row r="61" spans="2:125" s="214" customFormat="1" x14ac:dyDescent="0.2">
      <c r="B61" s="602" t="s">
        <v>205</v>
      </c>
      <c r="C61" s="602" t="s">
        <v>204</v>
      </c>
      <c r="D61" s="239">
        <v>22407989</v>
      </c>
      <c r="E61" s="239">
        <v>17926391</v>
      </c>
      <c r="F61" s="239">
        <v>4481598</v>
      </c>
      <c r="G61" s="239">
        <v>0</v>
      </c>
      <c r="H61" s="239">
        <v>44815978</v>
      </c>
      <c r="I61" s="239">
        <v>0</v>
      </c>
      <c r="J61" s="239">
        <v>0</v>
      </c>
      <c r="K61" s="239">
        <v>22407989</v>
      </c>
      <c r="L61" s="239">
        <v>197628</v>
      </c>
      <c r="M61" s="239">
        <v>197628</v>
      </c>
      <c r="N61" s="239">
        <v>0</v>
      </c>
      <c r="O61" s="239">
        <v>0</v>
      </c>
      <c r="P61" s="239">
        <v>162512</v>
      </c>
      <c r="Q61" s="239">
        <v>17217</v>
      </c>
      <c r="R61" s="239">
        <v>179729</v>
      </c>
      <c r="S61" s="239">
        <v>0</v>
      </c>
      <c r="T61" s="239">
        <v>0</v>
      </c>
      <c r="U61" s="239">
        <v>0</v>
      </c>
      <c r="V61" s="239">
        <v>0</v>
      </c>
      <c r="W61" s="239">
        <v>0</v>
      </c>
      <c r="X61" s="239">
        <v>0</v>
      </c>
      <c r="Y61" s="239">
        <v>0</v>
      </c>
      <c r="Z61" s="239">
        <v>0</v>
      </c>
      <c r="AA61" s="239">
        <v>0</v>
      </c>
      <c r="AB61" s="239">
        <v>0</v>
      </c>
      <c r="AC61" s="239">
        <v>1867647</v>
      </c>
      <c r="AD61" s="239">
        <v>466561</v>
      </c>
      <c r="AE61" s="239">
        <v>0</v>
      </c>
      <c r="AF61" s="239">
        <v>2334208</v>
      </c>
      <c r="AG61" s="239">
        <v>986904</v>
      </c>
      <c r="AH61" s="239">
        <v>789524</v>
      </c>
      <c r="AI61" s="239">
        <v>197381</v>
      </c>
      <c r="AJ61" s="239">
        <v>0</v>
      </c>
      <c r="AK61" s="239">
        <v>1973809</v>
      </c>
      <c r="AL61" s="239">
        <v>-827377</v>
      </c>
      <c r="AM61" s="239">
        <v>-661902</v>
      </c>
      <c r="AN61" s="239">
        <v>-165475</v>
      </c>
      <c r="AO61" s="239">
        <v>0</v>
      </c>
      <c r="AP61" s="239">
        <v>-1654754</v>
      </c>
      <c r="AQ61" s="239">
        <v>-448427.27</v>
      </c>
      <c r="AR61" s="239">
        <v>-358742</v>
      </c>
      <c r="AS61" s="239">
        <v>-89685</v>
      </c>
      <c r="AT61" s="239">
        <v>0</v>
      </c>
      <c r="AU61" s="239">
        <v>-896854.27</v>
      </c>
      <c r="AV61" s="239">
        <v>138357</v>
      </c>
      <c r="AW61" s="239">
        <v>110686</v>
      </c>
      <c r="AX61" s="239">
        <v>27672</v>
      </c>
      <c r="AY61" s="239">
        <v>0</v>
      </c>
      <c r="AZ61" s="239">
        <v>276715</v>
      </c>
      <c r="BA61" s="239">
        <v>-125000</v>
      </c>
      <c r="BB61" s="239">
        <v>-100000</v>
      </c>
      <c r="BC61" s="239">
        <v>-25000</v>
      </c>
      <c r="BD61" s="239">
        <v>0</v>
      </c>
      <c r="BE61" s="239">
        <v>-250000</v>
      </c>
      <c r="BF61" s="239">
        <v>-435070.27</v>
      </c>
      <c r="BG61" s="239">
        <v>-348056</v>
      </c>
      <c r="BH61" s="239">
        <v>-87013</v>
      </c>
      <c r="BI61" s="239">
        <v>0</v>
      </c>
      <c r="BJ61" s="239">
        <v>-870139.27</v>
      </c>
      <c r="BK61" s="239">
        <v>-1682581</v>
      </c>
      <c r="BL61" s="239">
        <v>-1346065</v>
      </c>
      <c r="BM61" s="239">
        <v>-336516</v>
      </c>
      <c r="BN61" s="239">
        <v>0</v>
      </c>
      <c r="BO61" s="239">
        <v>-3365162</v>
      </c>
      <c r="BP61" s="239">
        <v>653913</v>
      </c>
      <c r="BQ61" s="239">
        <v>523130</v>
      </c>
      <c r="BR61" s="239">
        <v>130783</v>
      </c>
      <c r="BS61" s="239">
        <v>0</v>
      </c>
      <c r="BT61" s="239">
        <v>1307826</v>
      </c>
      <c r="BU61" s="239">
        <v>-1521332</v>
      </c>
      <c r="BV61" s="239">
        <v>-1217066</v>
      </c>
      <c r="BW61" s="239">
        <v>-304266</v>
      </c>
      <c r="BX61" s="239">
        <v>0</v>
      </c>
      <c r="BY61" s="239">
        <v>-3042664</v>
      </c>
      <c r="BZ61" s="239">
        <v>-2550000</v>
      </c>
      <c r="CA61" s="239">
        <v>-2040001</v>
      </c>
      <c r="CB61" s="239">
        <v>-509999</v>
      </c>
      <c r="CC61" s="239">
        <v>0</v>
      </c>
      <c r="CD61" s="239">
        <v>-5100000</v>
      </c>
      <c r="CE61" s="239">
        <v>-1898199</v>
      </c>
      <c r="CF61" s="239">
        <v>-1518559</v>
      </c>
      <c r="CG61" s="239">
        <v>-379640</v>
      </c>
      <c r="CH61" s="239">
        <v>0</v>
      </c>
      <c r="CI61" s="239">
        <v>-3796398</v>
      </c>
      <c r="CJ61" s="239">
        <v>-1746729</v>
      </c>
      <c r="CK61" s="239">
        <v>-1397384</v>
      </c>
      <c r="CL61" s="239">
        <v>-349346</v>
      </c>
      <c r="CM61" s="239">
        <v>0</v>
      </c>
      <c r="CN61" s="239">
        <v>-3493459</v>
      </c>
      <c r="CO61" s="239">
        <v>-151470</v>
      </c>
      <c r="CP61" s="239">
        <v>-121175</v>
      </c>
      <c r="CQ61" s="239">
        <v>-30294</v>
      </c>
      <c r="CR61" s="239">
        <v>0</v>
      </c>
      <c r="CS61" s="239">
        <v>-302939</v>
      </c>
      <c r="CT61" s="239">
        <v>23128611</v>
      </c>
      <c r="CU61" s="239">
        <v>18502888</v>
      </c>
      <c r="CV61" s="239">
        <v>4625722</v>
      </c>
      <c r="CW61" s="239">
        <v>0</v>
      </c>
      <c r="CX61" s="239">
        <v>46257221</v>
      </c>
      <c r="CY61" s="239">
        <v>22407989</v>
      </c>
      <c r="CZ61" s="239">
        <v>17926391</v>
      </c>
      <c r="DA61" s="239">
        <v>4481598</v>
      </c>
      <c r="DB61" s="239">
        <v>0</v>
      </c>
      <c r="DC61" s="239">
        <v>44815978</v>
      </c>
      <c r="DD61" s="239">
        <v>-720622</v>
      </c>
      <c r="DE61" s="239">
        <v>-576497</v>
      </c>
      <c r="DF61" s="239">
        <v>-144124</v>
      </c>
      <c r="DG61" s="239">
        <v>0</v>
      </c>
      <c r="DH61" s="239">
        <v>-1441243</v>
      </c>
      <c r="DI61" s="239">
        <v>-872092</v>
      </c>
      <c r="DJ61" s="239">
        <v>-697672</v>
      </c>
      <c r="DK61" s="239">
        <v>-174418</v>
      </c>
      <c r="DL61" s="239">
        <v>0</v>
      </c>
      <c r="DM61" s="239">
        <v>-1744182</v>
      </c>
      <c r="DN61" s="835">
        <v>0.5</v>
      </c>
      <c r="DO61" s="835">
        <v>0.4</v>
      </c>
      <c r="DP61" s="835">
        <v>0.1</v>
      </c>
      <c r="DQ61" s="835">
        <v>0</v>
      </c>
      <c r="DR61" s="835">
        <v>1</v>
      </c>
      <c r="DS61" s="214" t="s">
        <v>1158</v>
      </c>
      <c r="DU61" s="214">
        <v>0</v>
      </c>
    </row>
    <row r="62" spans="2:125" s="214" customFormat="1" x14ac:dyDescent="0.2">
      <c r="B62" s="602" t="s">
        <v>207</v>
      </c>
      <c r="C62" s="602" t="s">
        <v>206</v>
      </c>
      <c r="D62" s="239">
        <v>10330492</v>
      </c>
      <c r="E62" s="239">
        <v>8264393</v>
      </c>
      <c r="F62" s="239">
        <v>1859488</v>
      </c>
      <c r="G62" s="239">
        <v>206610</v>
      </c>
      <c r="H62" s="239">
        <v>20660983</v>
      </c>
      <c r="I62" s="239">
        <v>0</v>
      </c>
      <c r="J62" s="239">
        <v>0</v>
      </c>
      <c r="K62" s="239">
        <v>10330492</v>
      </c>
      <c r="L62" s="239">
        <v>112028</v>
      </c>
      <c r="M62" s="239">
        <v>112028</v>
      </c>
      <c r="N62" s="239">
        <v>0</v>
      </c>
      <c r="O62" s="239">
        <v>0</v>
      </c>
      <c r="P62" s="239">
        <v>0</v>
      </c>
      <c r="Q62" s="239">
        <v>0</v>
      </c>
      <c r="R62" s="239">
        <v>0</v>
      </c>
      <c r="S62" s="239">
        <v>0</v>
      </c>
      <c r="T62" s="239">
        <v>0</v>
      </c>
      <c r="U62" s="239">
        <v>0</v>
      </c>
      <c r="V62" s="239">
        <v>0</v>
      </c>
      <c r="W62" s="239">
        <v>0</v>
      </c>
      <c r="X62" s="239">
        <v>0</v>
      </c>
      <c r="Y62" s="239">
        <v>0</v>
      </c>
      <c r="Z62" s="239">
        <v>0</v>
      </c>
      <c r="AA62" s="239">
        <v>0</v>
      </c>
      <c r="AB62" s="239">
        <v>0</v>
      </c>
      <c r="AC62" s="239">
        <v>1039522</v>
      </c>
      <c r="AD62" s="239">
        <v>233893</v>
      </c>
      <c r="AE62" s="239">
        <v>25989</v>
      </c>
      <c r="AF62" s="239">
        <v>1299404</v>
      </c>
      <c r="AG62" s="239">
        <v>333749</v>
      </c>
      <c r="AH62" s="239">
        <v>267000</v>
      </c>
      <c r="AI62" s="239">
        <v>60075</v>
      </c>
      <c r="AJ62" s="239">
        <v>6675</v>
      </c>
      <c r="AK62" s="239">
        <v>667499</v>
      </c>
      <c r="AL62" s="239">
        <v>-226191</v>
      </c>
      <c r="AM62" s="239">
        <v>-180953</v>
      </c>
      <c r="AN62" s="239">
        <v>-40714</v>
      </c>
      <c r="AO62" s="239">
        <v>-4524</v>
      </c>
      <c r="AP62" s="239">
        <v>-452382</v>
      </c>
      <c r="AQ62" s="239">
        <v>-158404</v>
      </c>
      <c r="AR62" s="239">
        <v>-126724</v>
      </c>
      <c r="AS62" s="239">
        <v>-28513</v>
      </c>
      <c r="AT62" s="239">
        <v>-3168</v>
      </c>
      <c r="AU62" s="239">
        <v>-316809</v>
      </c>
      <c r="AV62" s="239">
        <v>26397</v>
      </c>
      <c r="AW62" s="239">
        <v>21118</v>
      </c>
      <c r="AX62" s="239">
        <v>4752</v>
      </c>
      <c r="AY62" s="239">
        <v>528</v>
      </c>
      <c r="AZ62" s="239">
        <v>52795</v>
      </c>
      <c r="BA62" s="239">
        <v>-17524</v>
      </c>
      <c r="BB62" s="239">
        <v>-14020</v>
      </c>
      <c r="BC62" s="239">
        <v>-3155</v>
      </c>
      <c r="BD62" s="239">
        <v>-351</v>
      </c>
      <c r="BE62" s="239">
        <v>-35050</v>
      </c>
      <c r="BF62" s="239">
        <v>-149531</v>
      </c>
      <c r="BG62" s="239">
        <v>-119626</v>
      </c>
      <c r="BH62" s="239">
        <v>-26916</v>
      </c>
      <c r="BI62" s="239">
        <v>-2991</v>
      </c>
      <c r="BJ62" s="239">
        <v>-299064</v>
      </c>
      <c r="BK62" s="239">
        <v>-1165347</v>
      </c>
      <c r="BL62" s="239">
        <v>-932278</v>
      </c>
      <c r="BM62" s="239">
        <v>-209762</v>
      </c>
      <c r="BN62" s="239">
        <v>-23307</v>
      </c>
      <c r="BO62" s="239">
        <v>-2330694</v>
      </c>
      <c r="BP62" s="239">
        <v>159390</v>
      </c>
      <c r="BQ62" s="239">
        <v>127512</v>
      </c>
      <c r="BR62" s="239">
        <v>28690</v>
      </c>
      <c r="BS62" s="239">
        <v>3188</v>
      </c>
      <c r="BT62" s="239">
        <v>318780</v>
      </c>
      <c r="BU62" s="239">
        <v>-308709</v>
      </c>
      <c r="BV62" s="239">
        <v>-246966</v>
      </c>
      <c r="BW62" s="239">
        <v>-55567</v>
      </c>
      <c r="BX62" s="239">
        <v>-6174</v>
      </c>
      <c r="BY62" s="239">
        <v>-617416</v>
      </c>
      <c r="BZ62" s="239">
        <v>-1314666</v>
      </c>
      <c r="CA62" s="239">
        <v>-1051732</v>
      </c>
      <c r="CB62" s="239">
        <v>-236639</v>
      </c>
      <c r="CC62" s="239">
        <v>-26293</v>
      </c>
      <c r="CD62" s="239">
        <v>-2629330</v>
      </c>
      <c r="CE62" s="239">
        <v>120306</v>
      </c>
      <c r="CF62" s="239">
        <v>96246</v>
      </c>
      <c r="CG62" s="239">
        <v>21655</v>
      </c>
      <c r="CH62" s="239">
        <v>2406</v>
      </c>
      <c r="CI62" s="239">
        <v>240613</v>
      </c>
      <c r="CJ62" s="239">
        <v>805144</v>
      </c>
      <c r="CK62" s="239">
        <v>644115</v>
      </c>
      <c r="CL62" s="239">
        <v>144926</v>
      </c>
      <c r="CM62" s="239">
        <v>16103</v>
      </c>
      <c r="CN62" s="239">
        <v>1610288</v>
      </c>
      <c r="CO62" s="239">
        <v>-684838</v>
      </c>
      <c r="CP62" s="239">
        <v>-547869</v>
      </c>
      <c r="CQ62" s="239">
        <v>-123271</v>
      </c>
      <c r="CR62" s="239">
        <v>-13697</v>
      </c>
      <c r="CS62" s="239">
        <v>-1369675</v>
      </c>
      <c r="CT62" s="239">
        <v>10955199</v>
      </c>
      <c r="CU62" s="239">
        <v>8764160</v>
      </c>
      <c r="CV62" s="239">
        <v>1971936</v>
      </c>
      <c r="CW62" s="239">
        <v>219104</v>
      </c>
      <c r="CX62" s="239">
        <v>21910399</v>
      </c>
      <c r="CY62" s="239">
        <v>10330492</v>
      </c>
      <c r="CZ62" s="239">
        <v>8264393</v>
      </c>
      <c r="DA62" s="239">
        <v>1859488</v>
      </c>
      <c r="DB62" s="239">
        <v>206610</v>
      </c>
      <c r="DC62" s="239">
        <v>20660983</v>
      </c>
      <c r="DD62" s="239">
        <v>-624707</v>
      </c>
      <c r="DE62" s="239">
        <v>-499767</v>
      </c>
      <c r="DF62" s="239">
        <v>-112448</v>
      </c>
      <c r="DG62" s="239">
        <v>-12494</v>
      </c>
      <c r="DH62" s="239">
        <v>-1249416</v>
      </c>
      <c r="DI62" s="239">
        <v>-1309545</v>
      </c>
      <c r="DJ62" s="239">
        <v>-1047636</v>
      </c>
      <c r="DK62" s="239">
        <v>-235719</v>
      </c>
      <c r="DL62" s="239">
        <v>-26191</v>
      </c>
      <c r="DM62" s="239">
        <v>-2619091</v>
      </c>
      <c r="DN62" s="835">
        <v>0.5</v>
      </c>
      <c r="DO62" s="835">
        <v>0.4</v>
      </c>
      <c r="DP62" s="835">
        <v>0.09</v>
      </c>
      <c r="DQ62" s="835">
        <v>0.01</v>
      </c>
      <c r="DR62" s="835">
        <v>1</v>
      </c>
      <c r="DS62" s="214" t="s">
        <v>1158</v>
      </c>
      <c r="DU62" s="214">
        <v>0</v>
      </c>
    </row>
    <row r="63" spans="2:125" s="214" customFormat="1" x14ac:dyDescent="0.2">
      <c r="B63" s="602" t="s">
        <v>209</v>
      </c>
      <c r="C63" s="602" t="s">
        <v>208</v>
      </c>
      <c r="D63" s="239">
        <v>11814804</v>
      </c>
      <c r="E63" s="239">
        <v>9451844</v>
      </c>
      <c r="F63" s="239">
        <v>2126665</v>
      </c>
      <c r="G63" s="239">
        <v>236296</v>
      </c>
      <c r="H63" s="239">
        <v>23629609</v>
      </c>
      <c r="I63" s="239">
        <v>0</v>
      </c>
      <c r="J63" s="239">
        <v>0</v>
      </c>
      <c r="K63" s="239">
        <v>11814804</v>
      </c>
      <c r="L63" s="239">
        <v>132804</v>
      </c>
      <c r="M63" s="239">
        <v>132804</v>
      </c>
      <c r="N63" s="239">
        <v>0</v>
      </c>
      <c r="O63" s="239">
        <v>0</v>
      </c>
      <c r="P63" s="239">
        <v>0</v>
      </c>
      <c r="Q63" s="239">
        <v>0</v>
      </c>
      <c r="R63" s="239">
        <v>0</v>
      </c>
      <c r="S63" s="239">
        <v>0</v>
      </c>
      <c r="T63" s="239">
        <v>0</v>
      </c>
      <c r="U63" s="239">
        <v>0</v>
      </c>
      <c r="V63" s="239">
        <v>0</v>
      </c>
      <c r="W63" s="239">
        <v>0</v>
      </c>
      <c r="X63" s="239">
        <v>0</v>
      </c>
      <c r="Y63" s="239">
        <v>0</v>
      </c>
      <c r="Z63" s="239">
        <v>0</v>
      </c>
      <c r="AA63" s="239">
        <v>0</v>
      </c>
      <c r="AB63" s="239">
        <v>0</v>
      </c>
      <c r="AC63" s="239">
        <v>1212808</v>
      </c>
      <c r="AD63" s="239">
        <v>272883</v>
      </c>
      <c r="AE63" s="239">
        <v>30321</v>
      </c>
      <c r="AF63" s="239">
        <v>1516012</v>
      </c>
      <c r="AG63" s="239">
        <v>378824</v>
      </c>
      <c r="AH63" s="239">
        <v>303059</v>
      </c>
      <c r="AI63" s="239">
        <v>68188</v>
      </c>
      <c r="AJ63" s="239">
        <v>7576</v>
      </c>
      <c r="AK63" s="239">
        <v>757647</v>
      </c>
      <c r="AL63" s="239">
        <v>-291684</v>
      </c>
      <c r="AM63" s="239">
        <v>-233347</v>
      </c>
      <c r="AN63" s="239">
        <v>-52503</v>
      </c>
      <c r="AO63" s="239">
        <v>-5834</v>
      </c>
      <c r="AP63" s="239">
        <v>-583368</v>
      </c>
      <c r="AQ63" s="239">
        <v>-336091</v>
      </c>
      <c r="AR63" s="239">
        <v>-268873</v>
      </c>
      <c r="AS63" s="239">
        <v>-60496</v>
      </c>
      <c r="AT63" s="239">
        <v>-6722</v>
      </c>
      <c r="AU63" s="239">
        <v>-672182</v>
      </c>
      <c r="AV63" s="239">
        <v>143225</v>
      </c>
      <c r="AW63" s="239">
        <v>114581</v>
      </c>
      <c r="AX63" s="239">
        <v>25781</v>
      </c>
      <c r="AY63" s="239">
        <v>2865</v>
      </c>
      <c r="AZ63" s="239">
        <v>286452</v>
      </c>
      <c r="BA63" s="239">
        <v>-90524</v>
      </c>
      <c r="BB63" s="239">
        <v>-72419</v>
      </c>
      <c r="BC63" s="239">
        <v>-16294</v>
      </c>
      <c r="BD63" s="239">
        <v>-1810</v>
      </c>
      <c r="BE63" s="239">
        <v>-181047</v>
      </c>
      <c r="BF63" s="239">
        <v>-283390</v>
      </c>
      <c r="BG63" s="239">
        <v>-226711</v>
      </c>
      <c r="BH63" s="239">
        <v>-51009</v>
      </c>
      <c r="BI63" s="239">
        <v>-5667</v>
      </c>
      <c r="BJ63" s="239">
        <v>-566777</v>
      </c>
      <c r="BK63" s="239">
        <v>-825000</v>
      </c>
      <c r="BL63" s="239">
        <v>-660000</v>
      </c>
      <c r="BM63" s="239">
        <v>-148500</v>
      </c>
      <c r="BN63" s="239">
        <v>-16500</v>
      </c>
      <c r="BO63" s="239">
        <v>-1650000</v>
      </c>
      <c r="BP63" s="239">
        <v>401931</v>
      </c>
      <c r="BQ63" s="239">
        <v>321546</v>
      </c>
      <c r="BR63" s="239">
        <v>72348</v>
      </c>
      <c r="BS63" s="239">
        <v>8039</v>
      </c>
      <c r="BT63" s="239">
        <v>803864</v>
      </c>
      <c r="BU63" s="239">
        <v>-679481</v>
      </c>
      <c r="BV63" s="239">
        <v>-543586</v>
      </c>
      <c r="BW63" s="239">
        <v>-122307</v>
      </c>
      <c r="BX63" s="239">
        <v>-13590</v>
      </c>
      <c r="BY63" s="239">
        <v>-1358964</v>
      </c>
      <c r="BZ63" s="239">
        <v>-1102550</v>
      </c>
      <c r="CA63" s="239">
        <v>-882040</v>
      </c>
      <c r="CB63" s="239">
        <v>-198459</v>
      </c>
      <c r="CC63" s="239">
        <v>-22051</v>
      </c>
      <c r="CD63" s="239">
        <v>-2205100</v>
      </c>
      <c r="CE63" s="239">
        <v>-717805</v>
      </c>
      <c r="CF63" s="239">
        <v>-574242</v>
      </c>
      <c r="CG63" s="239">
        <v>-129204</v>
      </c>
      <c r="CH63" s="239">
        <v>-14356</v>
      </c>
      <c r="CI63" s="239">
        <v>-1435607</v>
      </c>
      <c r="CJ63" s="239">
        <v>-606836</v>
      </c>
      <c r="CK63" s="239">
        <v>-485468</v>
      </c>
      <c r="CL63" s="239">
        <v>-109230</v>
      </c>
      <c r="CM63" s="239">
        <v>-12137</v>
      </c>
      <c r="CN63" s="239">
        <v>-1213671</v>
      </c>
      <c r="CO63" s="239">
        <v>-110969</v>
      </c>
      <c r="CP63" s="239">
        <v>-88774</v>
      </c>
      <c r="CQ63" s="239">
        <v>-19974</v>
      </c>
      <c r="CR63" s="239">
        <v>-2219</v>
      </c>
      <c r="CS63" s="239">
        <v>-221936</v>
      </c>
      <c r="CT63" s="239">
        <v>12411134</v>
      </c>
      <c r="CU63" s="239">
        <v>9928908</v>
      </c>
      <c r="CV63" s="239">
        <v>2234004</v>
      </c>
      <c r="CW63" s="239">
        <v>248223</v>
      </c>
      <c r="CX63" s="239">
        <v>24822269</v>
      </c>
      <c r="CY63" s="239">
        <v>11814804</v>
      </c>
      <c r="CZ63" s="239">
        <v>9451844</v>
      </c>
      <c r="DA63" s="239">
        <v>2126665</v>
      </c>
      <c r="DB63" s="239">
        <v>236296</v>
      </c>
      <c r="DC63" s="239">
        <v>23629609</v>
      </c>
      <c r="DD63" s="239">
        <v>-596330</v>
      </c>
      <c r="DE63" s="239">
        <v>-477064</v>
      </c>
      <c r="DF63" s="239">
        <v>-107339</v>
      </c>
      <c r="DG63" s="239">
        <v>-11927</v>
      </c>
      <c r="DH63" s="239">
        <v>-1192660</v>
      </c>
      <c r="DI63" s="239">
        <v>-707299</v>
      </c>
      <c r="DJ63" s="239">
        <v>-565838</v>
      </c>
      <c r="DK63" s="239">
        <v>-127313</v>
      </c>
      <c r="DL63" s="239">
        <v>-14146</v>
      </c>
      <c r="DM63" s="239">
        <v>-1414596</v>
      </c>
      <c r="DN63" s="835">
        <v>0.5</v>
      </c>
      <c r="DO63" s="835">
        <v>0.4</v>
      </c>
      <c r="DP63" s="835">
        <v>0.09</v>
      </c>
      <c r="DQ63" s="835">
        <v>0.01</v>
      </c>
      <c r="DR63" s="835">
        <v>1</v>
      </c>
      <c r="DS63" s="214" t="s">
        <v>1158</v>
      </c>
      <c r="DU63" s="214">
        <v>0</v>
      </c>
    </row>
    <row r="64" spans="2:125" s="214" customFormat="1" x14ac:dyDescent="0.2">
      <c r="B64" s="602" t="s">
        <v>211</v>
      </c>
      <c r="C64" s="602" t="s">
        <v>210</v>
      </c>
      <c r="D64" s="239">
        <v>10204811</v>
      </c>
      <c r="E64" s="239">
        <v>8163849</v>
      </c>
      <c r="F64" s="239">
        <v>1836866</v>
      </c>
      <c r="G64" s="239">
        <v>204096</v>
      </c>
      <c r="H64" s="239">
        <v>20409622</v>
      </c>
      <c r="I64" s="239">
        <v>0</v>
      </c>
      <c r="J64" s="239">
        <v>0</v>
      </c>
      <c r="K64" s="239">
        <v>10204811</v>
      </c>
      <c r="L64" s="239">
        <v>74395</v>
      </c>
      <c r="M64" s="239">
        <v>74395</v>
      </c>
      <c r="N64" s="239">
        <v>0</v>
      </c>
      <c r="O64" s="239">
        <v>0</v>
      </c>
      <c r="P64" s="239">
        <v>318272</v>
      </c>
      <c r="Q64" s="239">
        <v>0</v>
      </c>
      <c r="R64" s="239">
        <v>318272</v>
      </c>
      <c r="S64" s="239">
        <v>0</v>
      </c>
      <c r="T64" s="239">
        <v>0</v>
      </c>
      <c r="U64" s="239">
        <v>0</v>
      </c>
      <c r="V64" s="239">
        <v>0</v>
      </c>
      <c r="W64" s="239">
        <v>0</v>
      </c>
      <c r="X64" s="239">
        <v>0</v>
      </c>
      <c r="Y64" s="239">
        <v>0</v>
      </c>
      <c r="Z64" s="239">
        <v>0</v>
      </c>
      <c r="AA64" s="239">
        <v>0</v>
      </c>
      <c r="AB64" s="239">
        <v>0</v>
      </c>
      <c r="AC64" s="239">
        <v>765238</v>
      </c>
      <c r="AD64" s="239">
        <v>171104</v>
      </c>
      <c r="AE64" s="239">
        <v>19012</v>
      </c>
      <c r="AF64" s="239">
        <v>955354</v>
      </c>
      <c r="AG64" s="239">
        <v>370074</v>
      </c>
      <c r="AH64" s="239">
        <v>296060</v>
      </c>
      <c r="AI64" s="239">
        <v>66614</v>
      </c>
      <c r="AJ64" s="239">
        <v>7402</v>
      </c>
      <c r="AK64" s="239">
        <v>740150</v>
      </c>
      <c r="AL64" s="239">
        <v>-173793</v>
      </c>
      <c r="AM64" s="239">
        <v>-139034</v>
      </c>
      <c r="AN64" s="239">
        <v>-31283</v>
      </c>
      <c r="AO64" s="239">
        <v>-3476</v>
      </c>
      <c r="AP64" s="239">
        <v>-347586</v>
      </c>
      <c r="AQ64" s="239">
        <v>-145275.49</v>
      </c>
      <c r="AR64" s="239">
        <v>-116221</v>
      </c>
      <c r="AS64" s="239">
        <v>-26150</v>
      </c>
      <c r="AT64" s="239">
        <v>-2906</v>
      </c>
      <c r="AU64" s="239">
        <v>-290552.49</v>
      </c>
      <c r="AV64" s="239">
        <v>34219</v>
      </c>
      <c r="AW64" s="239">
        <v>27374</v>
      </c>
      <c r="AX64" s="239">
        <v>6159</v>
      </c>
      <c r="AY64" s="239">
        <v>684</v>
      </c>
      <c r="AZ64" s="239">
        <v>68436</v>
      </c>
      <c r="BA64" s="239">
        <v>-36731</v>
      </c>
      <c r="BB64" s="239">
        <v>-29384</v>
      </c>
      <c r="BC64" s="239">
        <v>-6611</v>
      </c>
      <c r="BD64" s="239">
        <v>-735</v>
      </c>
      <c r="BE64" s="239">
        <v>-73461</v>
      </c>
      <c r="BF64" s="239">
        <v>-147787.49</v>
      </c>
      <c r="BG64" s="239">
        <v>-118231</v>
      </c>
      <c r="BH64" s="239">
        <v>-26602</v>
      </c>
      <c r="BI64" s="239">
        <v>-2957</v>
      </c>
      <c r="BJ64" s="239">
        <v>-295577.49</v>
      </c>
      <c r="BK64" s="239">
        <v>-770659</v>
      </c>
      <c r="BL64" s="239">
        <v>-616528</v>
      </c>
      <c r="BM64" s="239">
        <v>-138719</v>
      </c>
      <c r="BN64" s="239">
        <v>-15413</v>
      </c>
      <c r="BO64" s="239">
        <v>-1541319</v>
      </c>
      <c r="BP64" s="239">
        <v>534614</v>
      </c>
      <c r="BQ64" s="239">
        <v>427691</v>
      </c>
      <c r="BR64" s="239">
        <v>96230</v>
      </c>
      <c r="BS64" s="239">
        <v>10692</v>
      </c>
      <c r="BT64" s="239">
        <v>1069227</v>
      </c>
      <c r="BU64" s="239">
        <v>-263954</v>
      </c>
      <c r="BV64" s="239">
        <v>-211163</v>
      </c>
      <c r="BW64" s="239">
        <v>-47512</v>
      </c>
      <c r="BX64" s="239">
        <v>-5279</v>
      </c>
      <c r="BY64" s="239">
        <v>-527908</v>
      </c>
      <c r="BZ64" s="239">
        <v>-499999</v>
      </c>
      <c r="CA64" s="239">
        <v>-400000</v>
      </c>
      <c r="CB64" s="239">
        <v>-90001</v>
      </c>
      <c r="CC64" s="239">
        <v>-10000</v>
      </c>
      <c r="CD64" s="239">
        <v>-1000000</v>
      </c>
      <c r="CE64" s="239">
        <v>-104750</v>
      </c>
      <c r="CF64" s="239">
        <v>-83801</v>
      </c>
      <c r="CG64" s="239">
        <v>-18854</v>
      </c>
      <c r="CH64" s="239">
        <v>-2095</v>
      </c>
      <c r="CI64" s="239">
        <v>-209500</v>
      </c>
      <c r="CJ64" s="239">
        <v>-119188</v>
      </c>
      <c r="CK64" s="239">
        <v>-95351</v>
      </c>
      <c r="CL64" s="239">
        <v>-21454</v>
      </c>
      <c r="CM64" s="239">
        <v>-2384</v>
      </c>
      <c r="CN64" s="239">
        <v>-238377</v>
      </c>
      <c r="CO64" s="239">
        <v>14438</v>
      </c>
      <c r="CP64" s="239">
        <v>11550</v>
      </c>
      <c r="CQ64" s="239">
        <v>2600</v>
      </c>
      <c r="CR64" s="239">
        <v>289</v>
      </c>
      <c r="CS64" s="239">
        <v>28877</v>
      </c>
      <c r="CT64" s="239">
        <v>9609027</v>
      </c>
      <c r="CU64" s="239">
        <v>7687222</v>
      </c>
      <c r="CV64" s="239">
        <v>1729625</v>
      </c>
      <c r="CW64" s="239">
        <v>192181</v>
      </c>
      <c r="CX64" s="239">
        <v>19218055</v>
      </c>
      <c r="CY64" s="239">
        <v>10204811</v>
      </c>
      <c r="CZ64" s="239">
        <v>8163849</v>
      </c>
      <c r="DA64" s="239">
        <v>1836866</v>
      </c>
      <c r="DB64" s="239">
        <v>204096</v>
      </c>
      <c r="DC64" s="239">
        <v>20409622</v>
      </c>
      <c r="DD64" s="239">
        <v>595784</v>
      </c>
      <c r="DE64" s="239">
        <v>476627</v>
      </c>
      <c r="DF64" s="239">
        <v>107241</v>
      </c>
      <c r="DG64" s="239">
        <v>11915</v>
      </c>
      <c r="DH64" s="239">
        <v>1191567</v>
      </c>
      <c r="DI64" s="239">
        <v>610222</v>
      </c>
      <c r="DJ64" s="239">
        <v>488177</v>
      </c>
      <c r="DK64" s="239">
        <v>109841</v>
      </c>
      <c r="DL64" s="239">
        <v>12204</v>
      </c>
      <c r="DM64" s="239">
        <v>1220444</v>
      </c>
      <c r="DN64" s="835">
        <v>0.5</v>
      </c>
      <c r="DO64" s="835">
        <v>0.4</v>
      </c>
      <c r="DP64" s="835">
        <v>0.09</v>
      </c>
      <c r="DQ64" s="835">
        <v>0.01</v>
      </c>
      <c r="DR64" s="835">
        <v>1</v>
      </c>
      <c r="DS64" s="214" t="s">
        <v>1158</v>
      </c>
      <c r="DU64" s="214">
        <v>0</v>
      </c>
    </row>
    <row r="65" spans="1:125" s="214" customFormat="1" x14ac:dyDescent="0.2">
      <c r="B65" s="602" t="s">
        <v>213</v>
      </c>
      <c r="C65" s="602" t="s">
        <v>212</v>
      </c>
      <c r="D65" s="239">
        <v>373815051</v>
      </c>
      <c r="E65" s="239">
        <v>339831864</v>
      </c>
      <c r="F65" s="239">
        <v>419125966</v>
      </c>
      <c r="G65" s="239">
        <v>0</v>
      </c>
      <c r="H65" s="239">
        <v>1132772881</v>
      </c>
      <c r="I65" s="239">
        <v>0</v>
      </c>
      <c r="J65" s="239">
        <v>0</v>
      </c>
      <c r="K65" s="239">
        <v>373815051</v>
      </c>
      <c r="L65" s="239">
        <v>1959373</v>
      </c>
      <c r="M65" s="239">
        <v>1959373</v>
      </c>
      <c r="N65" s="239">
        <v>0</v>
      </c>
      <c r="O65" s="239">
        <v>0</v>
      </c>
      <c r="P65" s="239">
        <v>0</v>
      </c>
      <c r="Q65" s="239">
        <v>0</v>
      </c>
      <c r="R65" s="239">
        <v>0</v>
      </c>
      <c r="S65" s="239">
        <v>0</v>
      </c>
      <c r="T65" s="239">
        <v>0</v>
      </c>
      <c r="U65" s="239">
        <v>0</v>
      </c>
      <c r="V65" s="239">
        <v>0</v>
      </c>
      <c r="W65" s="239">
        <v>0</v>
      </c>
      <c r="X65" s="239">
        <v>0</v>
      </c>
      <c r="Y65" s="239">
        <v>0</v>
      </c>
      <c r="Z65" s="239">
        <v>0</v>
      </c>
      <c r="AA65" s="239">
        <v>0</v>
      </c>
      <c r="AB65" s="239">
        <v>0</v>
      </c>
      <c r="AC65" s="239">
        <v>6970401</v>
      </c>
      <c r="AD65" s="239">
        <v>8596829</v>
      </c>
      <c r="AE65" s="239">
        <v>0</v>
      </c>
      <c r="AF65" s="239">
        <v>15567230</v>
      </c>
      <c r="AG65" s="239">
        <v>7741818</v>
      </c>
      <c r="AH65" s="239">
        <v>7038016</v>
      </c>
      <c r="AI65" s="239">
        <v>8680220</v>
      </c>
      <c r="AJ65" s="239">
        <v>0</v>
      </c>
      <c r="AK65" s="239">
        <v>23460054</v>
      </c>
      <c r="AL65" s="239">
        <v>-31943515</v>
      </c>
      <c r="AM65" s="239">
        <v>-29039560</v>
      </c>
      <c r="AN65" s="239">
        <v>-35815457</v>
      </c>
      <c r="AO65" s="239">
        <v>0</v>
      </c>
      <c r="AP65" s="239">
        <v>-96798532</v>
      </c>
      <c r="AQ65" s="239">
        <v>-3332616</v>
      </c>
      <c r="AR65" s="239">
        <v>-3029651</v>
      </c>
      <c r="AS65" s="239">
        <v>-3736570</v>
      </c>
      <c r="AT65" s="239">
        <v>0</v>
      </c>
      <c r="AU65" s="239">
        <v>-10098837</v>
      </c>
      <c r="AV65" s="239">
        <v>403099</v>
      </c>
      <c r="AW65" s="239">
        <v>366454</v>
      </c>
      <c r="AX65" s="239">
        <v>451960</v>
      </c>
      <c r="AY65" s="239">
        <v>0</v>
      </c>
      <c r="AZ65" s="239">
        <v>1221513</v>
      </c>
      <c r="BA65" s="239">
        <v>-274562</v>
      </c>
      <c r="BB65" s="239">
        <v>-249601</v>
      </c>
      <c r="BC65" s="239">
        <v>-307841</v>
      </c>
      <c r="BD65" s="239">
        <v>0</v>
      </c>
      <c r="BE65" s="239">
        <v>-832004</v>
      </c>
      <c r="BF65" s="239">
        <v>-3204079</v>
      </c>
      <c r="BG65" s="239">
        <v>-2912798</v>
      </c>
      <c r="BH65" s="239">
        <v>-3592451</v>
      </c>
      <c r="BI65" s="239">
        <v>0</v>
      </c>
      <c r="BJ65" s="239">
        <v>-9709328</v>
      </c>
      <c r="BK65" s="239">
        <v>-88190878</v>
      </c>
      <c r="BL65" s="239">
        <v>-80173526</v>
      </c>
      <c r="BM65" s="239">
        <v>-98880681</v>
      </c>
      <c r="BN65" s="239">
        <v>0</v>
      </c>
      <c r="BO65" s="239">
        <v>-267245085</v>
      </c>
      <c r="BP65" s="239">
        <v>27979238</v>
      </c>
      <c r="BQ65" s="239">
        <v>25435671</v>
      </c>
      <c r="BR65" s="239">
        <v>31370661</v>
      </c>
      <c r="BS65" s="239">
        <v>0</v>
      </c>
      <c r="BT65" s="239">
        <v>84785570</v>
      </c>
      <c r="BU65" s="239">
        <v>-1847753</v>
      </c>
      <c r="BV65" s="239">
        <v>-1679776</v>
      </c>
      <c r="BW65" s="239">
        <v>-2071724</v>
      </c>
      <c r="BX65" s="239">
        <v>0</v>
      </c>
      <c r="BY65" s="239">
        <v>-5599253</v>
      </c>
      <c r="BZ65" s="239">
        <v>-62059393</v>
      </c>
      <c r="CA65" s="239">
        <v>-56417631</v>
      </c>
      <c r="CB65" s="239">
        <v>-69581744</v>
      </c>
      <c r="CC65" s="239">
        <v>0</v>
      </c>
      <c r="CD65" s="239">
        <v>-188058768</v>
      </c>
      <c r="CE65" s="239">
        <v>-287026</v>
      </c>
      <c r="CF65" s="239">
        <v>-172216</v>
      </c>
      <c r="CG65" s="239">
        <v>-114811</v>
      </c>
      <c r="CH65" s="239">
        <v>0</v>
      </c>
      <c r="CI65" s="239">
        <v>-574053</v>
      </c>
      <c r="CJ65" s="239">
        <v>26475965</v>
      </c>
      <c r="CK65" s="239">
        <v>15885579</v>
      </c>
      <c r="CL65" s="239">
        <v>10590386</v>
      </c>
      <c r="CM65" s="239">
        <v>0</v>
      </c>
      <c r="CN65" s="239">
        <v>52951930</v>
      </c>
      <c r="CO65" s="239">
        <v>-26762991</v>
      </c>
      <c r="CP65" s="239">
        <v>-16057795</v>
      </c>
      <c r="CQ65" s="239">
        <v>-10705197</v>
      </c>
      <c r="CR65" s="239">
        <v>0</v>
      </c>
      <c r="CS65" s="239">
        <v>-53525983</v>
      </c>
      <c r="CT65" s="239">
        <v>349909897</v>
      </c>
      <c r="CU65" s="239">
        <v>318099907</v>
      </c>
      <c r="CV65" s="239">
        <v>392323219</v>
      </c>
      <c r="CW65" s="239">
        <v>0</v>
      </c>
      <c r="CX65" s="239">
        <v>1060333023</v>
      </c>
      <c r="CY65" s="239">
        <v>373815051</v>
      </c>
      <c r="CZ65" s="239">
        <v>339831864</v>
      </c>
      <c r="DA65" s="239">
        <v>419125966</v>
      </c>
      <c r="DB65" s="239">
        <v>0</v>
      </c>
      <c r="DC65" s="239">
        <v>1132772881</v>
      </c>
      <c r="DD65" s="239">
        <v>23905154</v>
      </c>
      <c r="DE65" s="239">
        <v>21731957</v>
      </c>
      <c r="DF65" s="239">
        <v>26802747</v>
      </c>
      <c r="DG65" s="239">
        <v>0</v>
      </c>
      <c r="DH65" s="239">
        <v>72439858</v>
      </c>
      <c r="DI65" s="239">
        <v>-2857837</v>
      </c>
      <c r="DJ65" s="239">
        <v>5674162</v>
      </c>
      <c r="DK65" s="239">
        <v>16097550</v>
      </c>
      <c r="DL65" s="239">
        <v>0</v>
      </c>
      <c r="DM65" s="239">
        <v>18913875</v>
      </c>
      <c r="DN65" s="835">
        <v>0.33</v>
      </c>
      <c r="DO65" s="835">
        <v>0.3</v>
      </c>
      <c r="DP65" s="835">
        <v>0.37</v>
      </c>
      <c r="DQ65" s="835">
        <v>0</v>
      </c>
      <c r="DR65" s="835">
        <v>1</v>
      </c>
      <c r="DS65" s="214" t="s">
        <v>1161</v>
      </c>
      <c r="DU65" s="214">
        <v>0</v>
      </c>
    </row>
    <row r="66" spans="1:125" s="214" customFormat="1" x14ac:dyDescent="0.2">
      <c r="B66" s="602" t="s">
        <v>215</v>
      </c>
      <c r="C66" s="602" t="s">
        <v>214</v>
      </c>
      <c r="D66" s="239">
        <v>29947429</v>
      </c>
      <c r="E66" s="239">
        <v>23957943</v>
      </c>
      <c r="F66" s="239">
        <v>5390537</v>
      </c>
      <c r="G66" s="239">
        <v>598949</v>
      </c>
      <c r="H66" s="239">
        <v>59894858</v>
      </c>
      <c r="I66" s="239">
        <v>0</v>
      </c>
      <c r="J66" s="239">
        <v>0</v>
      </c>
      <c r="K66" s="239">
        <v>29947429</v>
      </c>
      <c r="L66" s="239">
        <v>239982</v>
      </c>
      <c r="M66" s="239">
        <v>239982</v>
      </c>
      <c r="N66" s="239">
        <v>0</v>
      </c>
      <c r="O66" s="239">
        <v>0</v>
      </c>
      <c r="P66" s="239">
        <v>0</v>
      </c>
      <c r="Q66" s="239">
        <v>0</v>
      </c>
      <c r="R66" s="239">
        <v>0</v>
      </c>
      <c r="S66" s="239">
        <v>0</v>
      </c>
      <c r="T66" s="239">
        <v>0</v>
      </c>
      <c r="U66" s="239">
        <v>0</v>
      </c>
      <c r="V66" s="239">
        <v>0</v>
      </c>
      <c r="W66" s="239">
        <v>0</v>
      </c>
      <c r="X66" s="239">
        <v>0</v>
      </c>
      <c r="Y66" s="239">
        <v>0</v>
      </c>
      <c r="Z66" s="239">
        <v>0</v>
      </c>
      <c r="AA66" s="239">
        <v>0</v>
      </c>
      <c r="AB66" s="239">
        <v>0</v>
      </c>
      <c r="AC66" s="239">
        <v>2150889</v>
      </c>
      <c r="AD66" s="239">
        <v>483951</v>
      </c>
      <c r="AE66" s="239">
        <v>53772</v>
      </c>
      <c r="AF66" s="239">
        <v>2688612</v>
      </c>
      <c r="AG66" s="239">
        <v>1233119</v>
      </c>
      <c r="AH66" s="239">
        <v>986495</v>
      </c>
      <c r="AI66" s="239">
        <v>221961</v>
      </c>
      <c r="AJ66" s="239">
        <v>24662</v>
      </c>
      <c r="AK66" s="239">
        <v>2466237</v>
      </c>
      <c r="AL66" s="239">
        <v>-669681</v>
      </c>
      <c r="AM66" s="239">
        <v>-535744</v>
      </c>
      <c r="AN66" s="239">
        <v>-120542</v>
      </c>
      <c r="AO66" s="239">
        <v>-13394</v>
      </c>
      <c r="AP66" s="239">
        <v>-1339361</v>
      </c>
      <c r="AQ66" s="239">
        <v>-652479</v>
      </c>
      <c r="AR66" s="239">
        <v>-521984</v>
      </c>
      <c r="AS66" s="239">
        <v>-117446</v>
      </c>
      <c r="AT66" s="239">
        <v>-13050</v>
      </c>
      <c r="AU66" s="239">
        <v>-1304959</v>
      </c>
      <c r="AV66" s="239">
        <v>243662</v>
      </c>
      <c r="AW66" s="239">
        <v>194930</v>
      </c>
      <c r="AX66" s="239">
        <v>43859</v>
      </c>
      <c r="AY66" s="239">
        <v>4873</v>
      </c>
      <c r="AZ66" s="239">
        <v>487324</v>
      </c>
      <c r="BA66" s="239">
        <v>-142705</v>
      </c>
      <c r="BB66" s="239">
        <v>-114164</v>
      </c>
      <c r="BC66" s="239">
        <v>-25687</v>
      </c>
      <c r="BD66" s="239">
        <v>-2854</v>
      </c>
      <c r="BE66" s="239">
        <v>-285410</v>
      </c>
      <c r="BF66" s="239">
        <v>-551522</v>
      </c>
      <c r="BG66" s="239">
        <v>-441218</v>
      </c>
      <c r="BH66" s="239">
        <v>-99274</v>
      </c>
      <c r="BI66" s="239">
        <v>-11031</v>
      </c>
      <c r="BJ66" s="239">
        <v>-1103045</v>
      </c>
      <c r="BK66" s="239">
        <v>-2247321</v>
      </c>
      <c r="BL66" s="239">
        <v>-1797856</v>
      </c>
      <c r="BM66" s="239">
        <v>-404518</v>
      </c>
      <c r="BN66" s="239">
        <v>-44946</v>
      </c>
      <c r="BO66" s="239">
        <v>-4494641</v>
      </c>
      <c r="BP66" s="239">
        <v>915556</v>
      </c>
      <c r="BQ66" s="239">
        <v>732445</v>
      </c>
      <c r="BR66" s="239">
        <v>164800</v>
      </c>
      <c r="BS66" s="239">
        <v>18311</v>
      </c>
      <c r="BT66" s="239">
        <v>1831112</v>
      </c>
      <c r="BU66" s="239">
        <v>-1550536</v>
      </c>
      <c r="BV66" s="239">
        <v>-1240430</v>
      </c>
      <c r="BW66" s="239">
        <v>-279097</v>
      </c>
      <c r="BX66" s="239">
        <v>-31011</v>
      </c>
      <c r="BY66" s="239">
        <v>-3101074</v>
      </c>
      <c r="BZ66" s="239">
        <v>-2882301</v>
      </c>
      <c r="CA66" s="239">
        <v>-2305841</v>
      </c>
      <c r="CB66" s="239">
        <v>-518815</v>
      </c>
      <c r="CC66" s="239">
        <v>-57646</v>
      </c>
      <c r="CD66" s="239">
        <v>-5764603</v>
      </c>
      <c r="CE66" s="239">
        <v>303897</v>
      </c>
      <c r="CF66" s="239">
        <v>243117</v>
      </c>
      <c r="CG66" s="239">
        <v>54702</v>
      </c>
      <c r="CH66" s="239">
        <v>6077</v>
      </c>
      <c r="CI66" s="239">
        <v>607793</v>
      </c>
      <c r="CJ66" s="239">
        <v>-1197774</v>
      </c>
      <c r="CK66" s="239">
        <v>-958218</v>
      </c>
      <c r="CL66" s="239">
        <v>-215599</v>
      </c>
      <c r="CM66" s="239">
        <v>-23955</v>
      </c>
      <c r="CN66" s="239">
        <v>-2395546</v>
      </c>
      <c r="CO66" s="239">
        <v>1501671</v>
      </c>
      <c r="CP66" s="239">
        <v>1201335</v>
      </c>
      <c r="CQ66" s="239">
        <v>270301</v>
      </c>
      <c r="CR66" s="239">
        <v>30032</v>
      </c>
      <c r="CS66" s="239">
        <v>3003339</v>
      </c>
      <c r="CT66" s="239">
        <v>30317136</v>
      </c>
      <c r="CU66" s="239">
        <v>24253709</v>
      </c>
      <c r="CV66" s="239">
        <v>5457084</v>
      </c>
      <c r="CW66" s="239">
        <v>606343</v>
      </c>
      <c r="CX66" s="239">
        <v>60634272</v>
      </c>
      <c r="CY66" s="239">
        <v>29947429</v>
      </c>
      <c r="CZ66" s="239">
        <v>23957943</v>
      </c>
      <c r="DA66" s="239">
        <v>5390537</v>
      </c>
      <c r="DB66" s="239">
        <v>598949</v>
      </c>
      <c r="DC66" s="239">
        <v>59894858</v>
      </c>
      <c r="DD66" s="239">
        <v>-369707</v>
      </c>
      <c r="DE66" s="239">
        <v>-295766</v>
      </c>
      <c r="DF66" s="239">
        <v>-66547</v>
      </c>
      <c r="DG66" s="239">
        <v>-7394</v>
      </c>
      <c r="DH66" s="239">
        <v>-739414</v>
      </c>
      <c r="DI66" s="239">
        <v>1131964</v>
      </c>
      <c r="DJ66" s="239">
        <v>905569</v>
      </c>
      <c r="DK66" s="239">
        <v>203754</v>
      </c>
      <c r="DL66" s="239">
        <v>22638</v>
      </c>
      <c r="DM66" s="239">
        <v>2263925</v>
      </c>
      <c r="DN66" s="835">
        <v>0.5</v>
      </c>
      <c r="DO66" s="835">
        <v>0.4</v>
      </c>
      <c r="DP66" s="835">
        <v>0.09</v>
      </c>
      <c r="DQ66" s="835">
        <v>0.01</v>
      </c>
      <c r="DR66" s="835">
        <v>1</v>
      </c>
      <c r="DS66" s="214" t="s">
        <v>1158</v>
      </c>
      <c r="DU66" s="214">
        <v>0</v>
      </c>
    </row>
    <row r="67" spans="1:125" s="214" customFormat="1" x14ac:dyDescent="0.2">
      <c r="A67" s="215" t="s">
        <v>1668</v>
      </c>
      <c r="B67" s="602" t="s">
        <v>217</v>
      </c>
      <c r="C67" s="602" t="s">
        <v>216</v>
      </c>
      <c r="D67" s="239">
        <v>14416994</v>
      </c>
      <c r="E67" s="239">
        <v>11533596</v>
      </c>
      <c r="F67" s="239">
        <v>2883399</v>
      </c>
      <c r="G67" s="239">
        <v>0</v>
      </c>
      <c r="H67" s="239">
        <v>28833989</v>
      </c>
      <c r="I67" s="239">
        <v>0</v>
      </c>
      <c r="J67" s="239">
        <v>0</v>
      </c>
      <c r="K67" s="239">
        <v>14416994</v>
      </c>
      <c r="L67" s="239">
        <v>101141</v>
      </c>
      <c r="M67" s="239">
        <v>101141</v>
      </c>
      <c r="N67" s="239">
        <v>0</v>
      </c>
      <c r="O67" s="239">
        <v>0</v>
      </c>
      <c r="P67" s="239">
        <v>36304</v>
      </c>
      <c r="Q67" s="239">
        <v>0</v>
      </c>
      <c r="R67" s="239">
        <v>36304</v>
      </c>
      <c r="S67" s="239">
        <v>0</v>
      </c>
      <c r="T67" s="239">
        <v>0</v>
      </c>
      <c r="U67" s="239">
        <v>0</v>
      </c>
      <c r="V67" s="239">
        <v>0</v>
      </c>
      <c r="W67" s="239">
        <v>0</v>
      </c>
      <c r="X67" s="239">
        <v>0</v>
      </c>
      <c r="Y67" s="239">
        <v>0</v>
      </c>
      <c r="Z67" s="239">
        <v>0</v>
      </c>
      <c r="AA67" s="239">
        <v>0</v>
      </c>
      <c r="AB67" s="239">
        <v>0</v>
      </c>
      <c r="AC67" s="239">
        <v>844616</v>
      </c>
      <c r="AD67" s="239">
        <v>211018</v>
      </c>
      <c r="AE67" s="239">
        <v>0</v>
      </c>
      <c r="AF67" s="239">
        <v>1055634</v>
      </c>
      <c r="AG67" s="239">
        <v>504332</v>
      </c>
      <c r="AH67" s="239">
        <v>403465</v>
      </c>
      <c r="AI67" s="239">
        <v>100866</v>
      </c>
      <c r="AJ67" s="239">
        <v>0</v>
      </c>
      <c r="AK67" s="239">
        <v>1008663</v>
      </c>
      <c r="AL67" s="239">
        <v>-363010</v>
      </c>
      <c r="AM67" s="239">
        <v>-290408</v>
      </c>
      <c r="AN67" s="239">
        <v>-72602</v>
      </c>
      <c r="AO67" s="239">
        <v>0</v>
      </c>
      <c r="AP67" s="239">
        <v>-726020</v>
      </c>
      <c r="AQ67" s="239">
        <v>-87500</v>
      </c>
      <c r="AR67" s="239">
        <v>-70000</v>
      </c>
      <c r="AS67" s="239">
        <v>-17500</v>
      </c>
      <c r="AT67" s="239">
        <v>0</v>
      </c>
      <c r="AU67" s="239">
        <v>-175000</v>
      </c>
      <c r="AV67" s="239">
        <v>2466</v>
      </c>
      <c r="AW67" s="239">
        <v>1973</v>
      </c>
      <c r="AX67" s="239">
        <v>493</v>
      </c>
      <c r="AY67" s="239">
        <v>0</v>
      </c>
      <c r="AZ67" s="239">
        <v>4932</v>
      </c>
      <c r="BA67" s="239">
        <v>0</v>
      </c>
      <c r="BB67" s="239">
        <v>0</v>
      </c>
      <c r="BC67" s="239">
        <v>0</v>
      </c>
      <c r="BD67" s="239">
        <v>0</v>
      </c>
      <c r="BE67" s="239">
        <v>0</v>
      </c>
      <c r="BF67" s="239">
        <v>-85034</v>
      </c>
      <c r="BG67" s="239">
        <v>-68027</v>
      </c>
      <c r="BH67" s="239">
        <v>-17007</v>
      </c>
      <c r="BI67" s="239">
        <v>0</v>
      </c>
      <c r="BJ67" s="239">
        <v>-170068</v>
      </c>
      <c r="BK67" s="239">
        <v>-555474</v>
      </c>
      <c r="BL67" s="239">
        <v>-444380</v>
      </c>
      <c r="BM67" s="239">
        <v>-111095</v>
      </c>
      <c r="BN67" s="239">
        <v>0</v>
      </c>
      <c r="BO67" s="239">
        <v>-1110949</v>
      </c>
      <c r="BP67" s="239">
        <v>412575</v>
      </c>
      <c r="BQ67" s="239">
        <v>330060</v>
      </c>
      <c r="BR67" s="239">
        <v>82515</v>
      </c>
      <c r="BS67" s="239">
        <v>0</v>
      </c>
      <c r="BT67" s="239">
        <v>825150</v>
      </c>
      <c r="BU67" s="239">
        <v>-2782393</v>
      </c>
      <c r="BV67" s="239">
        <v>-2225915</v>
      </c>
      <c r="BW67" s="239">
        <v>-556479</v>
      </c>
      <c r="BX67" s="239">
        <v>0</v>
      </c>
      <c r="BY67" s="239">
        <v>-5564787</v>
      </c>
      <c r="BZ67" s="239">
        <v>-2925292</v>
      </c>
      <c r="CA67" s="239">
        <v>-2340235</v>
      </c>
      <c r="CB67" s="239">
        <v>-585059</v>
      </c>
      <c r="CC67" s="239">
        <v>0</v>
      </c>
      <c r="CD67" s="239">
        <v>-5850586</v>
      </c>
      <c r="CE67" s="239">
        <v>1498552</v>
      </c>
      <c r="CF67" s="239">
        <v>1198842</v>
      </c>
      <c r="CG67" s="239">
        <v>299711</v>
      </c>
      <c r="CH67" s="239">
        <v>0</v>
      </c>
      <c r="CI67" s="239">
        <v>2997105</v>
      </c>
      <c r="CJ67" s="239">
        <v>315717</v>
      </c>
      <c r="CK67" s="239">
        <v>252573</v>
      </c>
      <c r="CL67" s="239">
        <v>63143</v>
      </c>
      <c r="CM67" s="239">
        <v>0</v>
      </c>
      <c r="CN67" s="239">
        <v>631433</v>
      </c>
      <c r="CO67" s="239">
        <v>1182835</v>
      </c>
      <c r="CP67" s="239">
        <v>946269</v>
      </c>
      <c r="CQ67" s="239">
        <v>236568</v>
      </c>
      <c r="CR67" s="239">
        <v>0</v>
      </c>
      <c r="CS67" s="239">
        <v>2365672</v>
      </c>
      <c r="CT67" s="239">
        <v>16366927</v>
      </c>
      <c r="CU67" s="239">
        <v>13093542</v>
      </c>
      <c r="CV67" s="239">
        <v>3273386</v>
      </c>
      <c r="CW67" s="239">
        <v>0</v>
      </c>
      <c r="CX67" s="239">
        <v>32733855</v>
      </c>
      <c r="CY67" s="239">
        <v>14416994</v>
      </c>
      <c r="CZ67" s="239">
        <v>11533596</v>
      </c>
      <c r="DA67" s="239">
        <v>2883399</v>
      </c>
      <c r="DB67" s="239">
        <v>0</v>
      </c>
      <c r="DC67" s="239">
        <v>28833989</v>
      </c>
      <c r="DD67" s="239">
        <v>-1949933</v>
      </c>
      <c r="DE67" s="239">
        <v>-1559946</v>
      </c>
      <c r="DF67" s="239">
        <v>-389987</v>
      </c>
      <c r="DG67" s="239">
        <v>0</v>
      </c>
      <c r="DH67" s="239">
        <v>-3899866</v>
      </c>
      <c r="DI67" s="239">
        <v>-767098</v>
      </c>
      <c r="DJ67" s="239">
        <v>-613677</v>
      </c>
      <c r="DK67" s="239">
        <v>-153419</v>
      </c>
      <c r="DL67" s="239">
        <v>0</v>
      </c>
      <c r="DM67" s="239">
        <v>-1534194</v>
      </c>
      <c r="DN67" s="835">
        <v>0.5</v>
      </c>
      <c r="DO67" s="835">
        <v>0.4</v>
      </c>
      <c r="DP67" s="835">
        <v>0.1</v>
      </c>
      <c r="DQ67" s="835">
        <v>0</v>
      </c>
      <c r="DR67" s="835">
        <v>1</v>
      </c>
      <c r="DS67" s="214" t="s">
        <v>1158</v>
      </c>
      <c r="DU67" s="214">
        <v>0</v>
      </c>
    </row>
    <row r="68" spans="1:125" s="214" customFormat="1" x14ac:dyDescent="0.2">
      <c r="B68" s="602" t="s">
        <v>219</v>
      </c>
      <c r="C68" s="602" t="s">
        <v>218</v>
      </c>
      <c r="D68" s="239">
        <v>15153957</v>
      </c>
      <c r="E68" s="239">
        <v>12123166</v>
      </c>
      <c r="F68" s="239">
        <v>3030791</v>
      </c>
      <c r="G68" s="239">
        <v>0</v>
      </c>
      <c r="H68" s="239">
        <v>30307914</v>
      </c>
      <c r="I68" s="239">
        <v>0</v>
      </c>
      <c r="J68" s="239">
        <v>0</v>
      </c>
      <c r="K68" s="239">
        <v>15153957</v>
      </c>
      <c r="L68" s="239">
        <v>87948</v>
      </c>
      <c r="M68" s="239">
        <v>87948</v>
      </c>
      <c r="N68" s="239">
        <v>0</v>
      </c>
      <c r="O68" s="239">
        <v>0</v>
      </c>
      <c r="P68" s="239">
        <v>0</v>
      </c>
      <c r="Q68" s="239">
        <v>0</v>
      </c>
      <c r="R68" s="239">
        <v>0</v>
      </c>
      <c r="S68" s="239">
        <v>0</v>
      </c>
      <c r="T68" s="239">
        <v>0</v>
      </c>
      <c r="U68" s="239">
        <v>0</v>
      </c>
      <c r="V68" s="239">
        <v>0</v>
      </c>
      <c r="W68" s="239">
        <v>0</v>
      </c>
      <c r="X68" s="239">
        <v>0</v>
      </c>
      <c r="Y68" s="239">
        <v>0</v>
      </c>
      <c r="Z68" s="239">
        <v>0</v>
      </c>
      <c r="AA68" s="239">
        <v>0</v>
      </c>
      <c r="AB68" s="239">
        <v>0</v>
      </c>
      <c r="AC68" s="239">
        <v>683421</v>
      </c>
      <c r="AD68" s="239">
        <v>170856</v>
      </c>
      <c r="AE68" s="239">
        <v>0</v>
      </c>
      <c r="AF68" s="239">
        <v>854277</v>
      </c>
      <c r="AG68" s="239">
        <v>1810383</v>
      </c>
      <c r="AH68" s="239">
        <v>1448307</v>
      </c>
      <c r="AI68" s="239">
        <v>362077</v>
      </c>
      <c r="AJ68" s="239">
        <v>0</v>
      </c>
      <c r="AK68" s="239">
        <v>3620767</v>
      </c>
      <c r="AL68" s="239">
        <v>-391472</v>
      </c>
      <c r="AM68" s="239">
        <v>-313177</v>
      </c>
      <c r="AN68" s="239">
        <v>-78294</v>
      </c>
      <c r="AO68" s="239">
        <v>0</v>
      </c>
      <c r="AP68" s="239">
        <v>-782943</v>
      </c>
      <c r="AQ68" s="239">
        <v>-428910.69999999995</v>
      </c>
      <c r="AR68" s="239">
        <v>-343128</v>
      </c>
      <c r="AS68" s="239">
        <v>-85782</v>
      </c>
      <c r="AT68" s="239">
        <v>0</v>
      </c>
      <c r="AU68" s="239">
        <v>-857820.7</v>
      </c>
      <c r="AV68" s="239">
        <v>2023</v>
      </c>
      <c r="AW68" s="239">
        <v>1619</v>
      </c>
      <c r="AX68" s="239">
        <v>405</v>
      </c>
      <c r="AY68" s="239">
        <v>0</v>
      </c>
      <c r="AZ68" s="239">
        <v>4047</v>
      </c>
      <c r="BA68" s="239">
        <v>-207607</v>
      </c>
      <c r="BB68" s="239">
        <v>-166085</v>
      </c>
      <c r="BC68" s="239">
        <v>-41521</v>
      </c>
      <c r="BD68" s="239">
        <v>0</v>
      </c>
      <c r="BE68" s="239">
        <v>-415213</v>
      </c>
      <c r="BF68" s="239">
        <v>-634494.69999999995</v>
      </c>
      <c r="BG68" s="239">
        <v>-507594</v>
      </c>
      <c r="BH68" s="239">
        <v>-126898</v>
      </c>
      <c r="BI68" s="239">
        <v>0</v>
      </c>
      <c r="BJ68" s="239">
        <v>-1268986.7</v>
      </c>
      <c r="BK68" s="239">
        <v>-1981337</v>
      </c>
      <c r="BL68" s="239">
        <v>-1585070</v>
      </c>
      <c r="BM68" s="239">
        <v>-396268</v>
      </c>
      <c r="BN68" s="239">
        <v>0</v>
      </c>
      <c r="BO68" s="239">
        <v>-3962675</v>
      </c>
      <c r="BP68" s="239">
        <v>743679</v>
      </c>
      <c r="BQ68" s="239">
        <v>594943</v>
      </c>
      <c r="BR68" s="239">
        <v>148736</v>
      </c>
      <c r="BS68" s="239">
        <v>0</v>
      </c>
      <c r="BT68" s="239">
        <v>1487358</v>
      </c>
      <c r="BU68" s="239">
        <v>-116750</v>
      </c>
      <c r="BV68" s="239">
        <v>-93400</v>
      </c>
      <c r="BW68" s="239">
        <v>-23350</v>
      </c>
      <c r="BX68" s="239">
        <v>0</v>
      </c>
      <c r="BY68" s="239">
        <v>-233500</v>
      </c>
      <c r="BZ68" s="239">
        <v>-1354408</v>
      </c>
      <c r="CA68" s="239">
        <v>-1083527</v>
      </c>
      <c r="CB68" s="239">
        <v>-270882</v>
      </c>
      <c r="CC68" s="239">
        <v>0</v>
      </c>
      <c r="CD68" s="239">
        <v>-2708817</v>
      </c>
      <c r="CE68" s="239">
        <v>-644196</v>
      </c>
      <c r="CF68" s="239">
        <v>-515357</v>
      </c>
      <c r="CG68" s="239">
        <v>-128839</v>
      </c>
      <c r="CH68" s="239">
        <v>0</v>
      </c>
      <c r="CI68" s="239">
        <v>-1288392</v>
      </c>
      <c r="CJ68" s="239">
        <v>-115034</v>
      </c>
      <c r="CK68" s="239">
        <v>-92027</v>
      </c>
      <c r="CL68" s="239">
        <v>-23007</v>
      </c>
      <c r="CM68" s="239">
        <v>0</v>
      </c>
      <c r="CN68" s="239">
        <v>-230068</v>
      </c>
      <c r="CO68" s="239">
        <v>-529162</v>
      </c>
      <c r="CP68" s="239">
        <v>-423330</v>
      </c>
      <c r="CQ68" s="239">
        <v>-105832</v>
      </c>
      <c r="CR68" s="239">
        <v>0</v>
      </c>
      <c r="CS68" s="239">
        <v>-1058324</v>
      </c>
      <c r="CT68" s="239">
        <v>17071628</v>
      </c>
      <c r="CU68" s="239">
        <v>13657302</v>
      </c>
      <c r="CV68" s="239">
        <v>3414326</v>
      </c>
      <c r="CW68" s="239">
        <v>0</v>
      </c>
      <c r="CX68" s="239">
        <v>34143256</v>
      </c>
      <c r="CY68" s="239">
        <v>15153957</v>
      </c>
      <c r="CZ68" s="239">
        <v>12123166</v>
      </c>
      <c r="DA68" s="239">
        <v>3030791</v>
      </c>
      <c r="DB68" s="239">
        <v>0</v>
      </c>
      <c r="DC68" s="239">
        <v>30307914</v>
      </c>
      <c r="DD68" s="239">
        <v>-1917671</v>
      </c>
      <c r="DE68" s="239">
        <v>-1534136</v>
      </c>
      <c r="DF68" s="239">
        <v>-383535</v>
      </c>
      <c r="DG68" s="239">
        <v>0</v>
      </c>
      <c r="DH68" s="239">
        <v>-3835342</v>
      </c>
      <c r="DI68" s="239">
        <v>-2446833</v>
      </c>
      <c r="DJ68" s="239">
        <v>-1957466</v>
      </c>
      <c r="DK68" s="239">
        <v>-489367</v>
      </c>
      <c r="DL68" s="239">
        <v>0</v>
      </c>
      <c r="DM68" s="239">
        <v>-4893666</v>
      </c>
      <c r="DN68" s="835">
        <v>0.5</v>
      </c>
      <c r="DO68" s="835">
        <v>0.4</v>
      </c>
      <c r="DP68" s="835">
        <v>0.1</v>
      </c>
      <c r="DQ68" s="835">
        <v>0</v>
      </c>
      <c r="DR68" s="835">
        <v>1</v>
      </c>
      <c r="DS68" s="214" t="s">
        <v>1158</v>
      </c>
      <c r="DU68" s="214">
        <v>0</v>
      </c>
    </row>
    <row r="69" spans="1:125" s="214" customFormat="1" x14ac:dyDescent="0.2">
      <c r="B69" s="602" t="s">
        <v>221</v>
      </c>
      <c r="C69" s="602" t="s">
        <v>220</v>
      </c>
      <c r="D69" s="239">
        <v>0</v>
      </c>
      <c r="E69" s="239">
        <v>145400891</v>
      </c>
      <c r="F69" s="239">
        <v>0</v>
      </c>
      <c r="G69" s="239">
        <v>0</v>
      </c>
      <c r="H69" s="239">
        <v>145400891</v>
      </c>
      <c r="I69" s="239">
        <v>0</v>
      </c>
      <c r="J69" s="239">
        <v>0</v>
      </c>
      <c r="K69" s="239">
        <v>0</v>
      </c>
      <c r="L69" s="239">
        <v>1124892</v>
      </c>
      <c r="M69" s="239">
        <v>1124892</v>
      </c>
      <c r="N69" s="239">
        <v>125898</v>
      </c>
      <c r="O69" s="239">
        <v>125898</v>
      </c>
      <c r="P69" s="239">
        <v>2361706</v>
      </c>
      <c r="Q69" s="239">
        <v>0</v>
      </c>
      <c r="R69" s="239">
        <v>2361706</v>
      </c>
      <c r="S69" s="239">
        <v>0</v>
      </c>
      <c r="T69" s="239">
        <v>0</v>
      </c>
      <c r="U69" s="239">
        <v>0</v>
      </c>
      <c r="V69" s="239">
        <v>0</v>
      </c>
      <c r="W69" s="239">
        <v>0</v>
      </c>
      <c r="X69" s="239">
        <v>0</v>
      </c>
      <c r="Y69" s="239">
        <v>0</v>
      </c>
      <c r="Z69" s="239">
        <v>0</v>
      </c>
      <c r="AA69" s="239">
        <v>0</v>
      </c>
      <c r="AB69" s="239">
        <v>0</v>
      </c>
      <c r="AC69" s="239">
        <v>28938281</v>
      </c>
      <c r="AD69" s="239">
        <v>0</v>
      </c>
      <c r="AE69" s="239">
        <v>0</v>
      </c>
      <c r="AF69" s="239">
        <v>28938281</v>
      </c>
      <c r="AG69" s="239">
        <v>0</v>
      </c>
      <c r="AH69" s="239">
        <v>6782775</v>
      </c>
      <c r="AI69" s="239">
        <v>0</v>
      </c>
      <c r="AJ69" s="239">
        <v>0</v>
      </c>
      <c r="AK69" s="239">
        <v>6782775</v>
      </c>
      <c r="AL69" s="239">
        <v>0</v>
      </c>
      <c r="AM69" s="239">
        <v>-3564156</v>
      </c>
      <c r="AN69" s="239">
        <v>0</v>
      </c>
      <c r="AO69" s="239">
        <v>0</v>
      </c>
      <c r="AP69" s="239">
        <v>-3564156</v>
      </c>
      <c r="AQ69" s="239">
        <v>0</v>
      </c>
      <c r="AR69" s="239">
        <v>-2464764</v>
      </c>
      <c r="AS69" s="239">
        <v>0</v>
      </c>
      <c r="AT69" s="239">
        <v>0</v>
      </c>
      <c r="AU69" s="239">
        <v>-2464764</v>
      </c>
      <c r="AV69" s="239">
        <v>0</v>
      </c>
      <c r="AW69" s="239">
        <v>1138846</v>
      </c>
      <c r="AX69" s="239">
        <v>0</v>
      </c>
      <c r="AY69" s="239">
        <v>0</v>
      </c>
      <c r="AZ69" s="239">
        <v>1138846</v>
      </c>
      <c r="BA69" s="239">
        <v>0</v>
      </c>
      <c r="BB69" s="239">
        <v>-1759683</v>
      </c>
      <c r="BC69" s="239">
        <v>0</v>
      </c>
      <c r="BD69" s="239">
        <v>0</v>
      </c>
      <c r="BE69" s="239">
        <v>-1759683</v>
      </c>
      <c r="BF69" s="239">
        <v>0</v>
      </c>
      <c r="BG69" s="239">
        <v>-3085601</v>
      </c>
      <c r="BH69" s="239">
        <v>0</v>
      </c>
      <c r="BI69" s="239">
        <v>0</v>
      </c>
      <c r="BJ69" s="239">
        <v>-3085601</v>
      </c>
      <c r="BK69" s="239">
        <v>0</v>
      </c>
      <c r="BL69" s="239">
        <v>-20177000</v>
      </c>
      <c r="BM69" s="239">
        <v>0</v>
      </c>
      <c r="BN69" s="239">
        <v>0</v>
      </c>
      <c r="BO69" s="239">
        <v>-20177000</v>
      </c>
      <c r="BP69" s="239">
        <v>0</v>
      </c>
      <c r="BQ69" s="239">
        <v>0</v>
      </c>
      <c r="BR69" s="239">
        <v>0</v>
      </c>
      <c r="BS69" s="239">
        <v>0</v>
      </c>
      <c r="BT69" s="239">
        <v>0</v>
      </c>
      <c r="BU69" s="239">
        <v>0</v>
      </c>
      <c r="BV69" s="239">
        <v>-3633000</v>
      </c>
      <c r="BW69" s="239">
        <v>0</v>
      </c>
      <c r="BX69" s="239">
        <v>0</v>
      </c>
      <c r="BY69" s="239">
        <v>-3633000</v>
      </c>
      <c r="BZ69" s="239">
        <v>0</v>
      </c>
      <c r="CA69" s="239">
        <v>-23810000</v>
      </c>
      <c r="CB69" s="239">
        <v>0</v>
      </c>
      <c r="CC69" s="239">
        <v>0</v>
      </c>
      <c r="CD69" s="239">
        <v>-23810000</v>
      </c>
      <c r="CE69" s="239">
        <v>1244207</v>
      </c>
      <c r="CF69" s="239">
        <v>1244207</v>
      </c>
      <c r="CG69" s="239">
        <v>0</v>
      </c>
      <c r="CH69" s="239">
        <v>0</v>
      </c>
      <c r="CI69" s="239">
        <v>2488414</v>
      </c>
      <c r="CJ69" s="239">
        <v>1000256</v>
      </c>
      <c r="CK69" s="239">
        <v>1000256</v>
      </c>
      <c r="CL69" s="239">
        <v>0</v>
      </c>
      <c r="CM69" s="239">
        <v>0</v>
      </c>
      <c r="CN69" s="239">
        <v>2000512</v>
      </c>
      <c r="CO69" s="239">
        <v>243951</v>
      </c>
      <c r="CP69" s="239">
        <v>243951</v>
      </c>
      <c r="CQ69" s="239">
        <v>0</v>
      </c>
      <c r="CR69" s="239">
        <v>0</v>
      </c>
      <c r="CS69" s="239">
        <v>487902</v>
      </c>
      <c r="CT69" s="239">
        <v>0</v>
      </c>
      <c r="CU69" s="239">
        <v>140213620</v>
      </c>
      <c r="CV69" s="239">
        <v>0</v>
      </c>
      <c r="CW69" s="239">
        <v>0</v>
      </c>
      <c r="CX69" s="239">
        <v>140213620</v>
      </c>
      <c r="CY69" s="239">
        <v>0</v>
      </c>
      <c r="CZ69" s="239">
        <v>145400891</v>
      </c>
      <c r="DA69" s="239">
        <v>0</v>
      </c>
      <c r="DB69" s="239">
        <v>0</v>
      </c>
      <c r="DC69" s="239">
        <v>145400891</v>
      </c>
      <c r="DD69" s="239">
        <v>0</v>
      </c>
      <c r="DE69" s="239">
        <v>5187271</v>
      </c>
      <c r="DF69" s="239">
        <v>0</v>
      </c>
      <c r="DG69" s="239">
        <v>0</v>
      </c>
      <c r="DH69" s="239">
        <v>5187271</v>
      </c>
      <c r="DI69" s="239">
        <v>243951</v>
      </c>
      <c r="DJ69" s="239">
        <v>5431222</v>
      </c>
      <c r="DK69" s="239">
        <v>0</v>
      </c>
      <c r="DL69" s="239">
        <v>0</v>
      </c>
      <c r="DM69" s="239">
        <v>5675173</v>
      </c>
      <c r="DN69" s="835">
        <v>0</v>
      </c>
      <c r="DO69" s="835">
        <v>1</v>
      </c>
      <c r="DP69" s="835">
        <v>0</v>
      </c>
      <c r="DQ69" s="835">
        <v>0</v>
      </c>
      <c r="DR69" s="835">
        <v>1</v>
      </c>
      <c r="DS69" s="214" t="s">
        <v>746</v>
      </c>
      <c r="DU69" s="214">
        <v>0</v>
      </c>
    </row>
    <row r="70" spans="1:125" s="214" customFormat="1" x14ac:dyDescent="0.2">
      <c r="B70" s="602" t="s">
        <v>223</v>
      </c>
      <c r="C70" s="602" t="s">
        <v>222</v>
      </c>
      <c r="D70" s="239">
        <v>15586159</v>
      </c>
      <c r="E70" s="239">
        <v>12468928</v>
      </c>
      <c r="F70" s="239">
        <v>3117232</v>
      </c>
      <c r="G70" s="239">
        <v>0</v>
      </c>
      <c r="H70" s="239">
        <v>31172319</v>
      </c>
      <c r="I70" s="239">
        <v>0</v>
      </c>
      <c r="J70" s="239">
        <v>0</v>
      </c>
      <c r="K70" s="239">
        <v>15586159</v>
      </c>
      <c r="L70" s="239">
        <v>179930</v>
      </c>
      <c r="M70" s="239">
        <v>179930</v>
      </c>
      <c r="N70" s="239">
        <v>0</v>
      </c>
      <c r="O70" s="239">
        <v>0</v>
      </c>
      <c r="P70" s="239">
        <v>98841</v>
      </c>
      <c r="Q70" s="239">
        <v>0</v>
      </c>
      <c r="R70" s="239">
        <v>98841</v>
      </c>
      <c r="S70" s="239">
        <v>0</v>
      </c>
      <c r="T70" s="239">
        <v>0</v>
      </c>
      <c r="U70" s="239">
        <v>0</v>
      </c>
      <c r="V70" s="239">
        <v>0</v>
      </c>
      <c r="W70" s="239">
        <v>0</v>
      </c>
      <c r="X70" s="239">
        <v>0</v>
      </c>
      <c r="Y70" s="239">
        <v>0</v>
      </c>
      <c r="Z70" s="239">
        <v>0</v>
      </c>
      <c r="AA70" s="239">
        <v>0</v>
      </c>
      <c r="AB70" s="239">
        <v>0</v>
      </c>
      <c r="AC70" s="239">
        <v>1857233</v>
      </c>
      <c r="AD70" s="239">
        <v>463937</v>
      </c>
      <c r="AE70" s="239">
        <v>0</v>
      </c>
      <c r="AF70" s="239">
        <v>2321170</v>
      </c>
      <c r="AG70" s="239">
        <v>632997</v>
      </c>
      <c r="AH70" s="239">
        <v>506398</v>
      </c>
      <c r="AI70" s="239">
        <v>126600</v>
      </c>
      <c r="AJ70" s="239">
        <v>0</v>
      </c>
      <c r="AK70" s="239">
        <v>1265995</v>
      </c>
      <c r="AL70" s="239">
        <v>-472747</v>
      </c>
      <c r="AM70" s="239">
        <v>-378198</v>
      </c>
      <c r="AN70" s="239">
        <v>-94549</v>
      </c>
      <c r="AO70" s="239">
        <v>0</v>
      </c>
      <c r="AP70" s="239">
        <v>-945494</v>
      </c>
      <c r="AQ70" s="239">
        <v>-146062</v>
      </c>
      <c r="AR70" s="239">
        <v>-116850</v>
      </c>
      <c r="AS70" s="239">
        <v>-29213</v>
      </c>
      <c r="AT70" s="239">
        <v>0</v>
      </c>
      <c r="AU70" s="239">
        <v>-292125</v>
      </c>
      <c r="AV70" s="239">
        <v>42673</v>
      </c>
      <c r="AW70" s="239">
        <v>34139</v>
      </c>
      <c r="AX70" s="239">
        <v>8535</v>
      </c>
      <c r="AY70" s="239">
        <v>0</v>
      </c>
      <c r="AZ70" s="239">
        <v>85347</v>
      </c>
      <c r="BA70" s="239">
        <v>-115288</v>
      </c>
      <c r="BB70" s="239">
        <v>-92231</v>
      </c>
      <c r="BC70" s="239">
        <v>-23058</v>
      </c>
      <c r="BD70" s="239">
        <v>0</v>
      </c>
      <c r="BE70" s="239">
        <v>-230577</v>
      </c>
      <c r="BF70" s="239">
        <v>-218677</v>
      </c>
      <c r="BG70" s="239">
        <v>-174942</v>
      </c>
      <c r="BH70" s="239">
        <v>-43736</v>
      </c>
      <c r="BI70" s="239">
        <v>0</v>
      </c>
      <c r="BJ70" s="239">
        <v>-437355</v>
      </c>
      <c r="BK70" s="239">
        <v>-946240</v>
      </c>
      <c r="BL70" s="239">
        <v>-756992</v>
      </c>
      <c r="BM70" s="239">
        <v>-189248</v>
      </c>
      <c r="BN70" s="239">
        <v>0</v>
      </c>
      <c r="BO70" s="239">
        <v>-1892480</v>
      </c>
      <c r="BP70" s="239">
        <v>216231</v>
      </c>
      <c r="BQ70" s="239">
        <v>172985</v>
      </c>
      <c r="BR70" s="239">
        <v>43246</v>
      </c>
      <c r="BS70" s="239">
        <v>0</v>
      </c>
      <c r="BT70" s="239">
        <v>432462</v>
      </c>
      <c r="BU70" s="239">
        <v>-573861</v>
      </c>
      <c r="BV70" s="239">
        <v>-459088</v>
      </c>
      <c r="BW70" s="239">
        <v>-114772</v>
      </c>
      <c r="BX70" s="239">
        <v>0</v>
      </c>
      <c r="BY70" s="239">
        <v>-1147721</v>
      </c>
      <c r="BZ70" s="239">
        <v>-1303870</v>
      </c>
      <c r="CA70" s="239">
        <v>-1043095</v>
      </c>
      <c r="CB70" s="239">
        <v>-260774</v>
      </c>
      <c r="CC70" s="239">
        <v>0</v>
      </c>
      <c r="CD70" s="239">
        <v>-2607739</v>
      </c>
      <c r="CE70" s="239">
        <v>416725</v>
      </c>
      <c r="CF70" s="239">
        <v>333381</v>
      </c>
      <c r="CG70" s="239">
        <v>83346</v>
      </c>
      <c r="CH70" s="239">
        <v>0</v>
      </c>
      <c r="CI70" s="239">
        <v>833452</v>
      </c>
      <c r="CJ70" s="239">
        <v>258800</v>
      </c>
      <c r="CK70" s="239">
        <v>207040</v>
      </c>
      <c r="CL70" s="239">
        <v>51760</v>
      </c>
      <c r="CM70" s="239">
        <v>0</v>
      </c>
      <c r="CN70" s="239">
        <v>517600</v>
      </c>
      <c r="CO70" s="239">
        <v>157925</v>
      </c>
      <c r="CP70" s="239">
        <v>126341</v>
      </c>
      <c r="CQ70" s="239">
        <v>31586</v>
      </c>
      <c r="CR70" s="239">
        <v>0</v>
      </c>
      <c r="CS70" s="239">
        <v>315852</v>
      </c>
      <c r="CT70" s="239">
        <v>17595168</v>
      </c>
      <c r="CU70" s="239">
        <v>14076135</v>
      </c>
      <c r="CV70" s="239">
        <v>3519034</v>
      </c>
      <c r="CW70" s="239">
        <v>0</v>
      </c>
      <c r="CX70" s="239">
        <v>35190337</v>
      </c>
      <c r="CY70" s="239">
        <v>15586159</v>
      </c>
      <c r="CZ70" s="239">
        <v>12468928</v>
      </c>
      <c r="DA70" s="239">
        <v>3117232</v>
      </c>
      <c r="DB70" s="239">
        <v>0</v>
      </c>
      <c r="DC70" s="239">
        <v>31172319</v>
      </c>
      <c r="DD70" s="239">
        <v>-2009009</v>
      </c>
      <c r="DE70" s="239">
        <v>-1607207</v>
      </c>
      <c r="DF70" s="239">
        <v>-401802</v>
      </c>
      <c r="DG70" s="239">
        <v>0</v>
      </c>
      <c r="DH70" s="239">
        <v>-4018018</v>
      </c>
      <c r="DI70" s="239">
        <v>-1851084</v>
      </c>
      <c r="DJ70" s="239">
        <v>-1480866</v>
      </c>
      <c r="DK70" s="239">
        <v>-370216</v>
      </c>
      <c r="DL70" s="239">
        <v>0</v>
      </c>
      <c r="DM70" s="239">
        <v>-3702166</v>
      </c>
      <c r="DN70" s="835">
        <v>0.5</v>
      </c>
      <c r="DO70" s="835">
        <v>0.4</v>
      </c>
      <c r="DP70" s="835">
        <v>0.1</v>
      </c>
      <c r="DQ70" s="835">
        <v>0</v>
      </c>
      <c r="DR70" s="835">
        <v>1</v>
      </c>
      <c r="DS70" s="214" t="s">
        <v>1158</v>
      </c>
      <c r="DU70" s="214">
        <v>0</v>
      </c>
    </row>
    <row r="71" spans="1:125" s="214" customFormat="1" x14ac:dyDescent="0.2">
      <c r="B71" s="602" t="s">
        <v>225</v>
      </c>
      <c r="C71" s="602" t="s">
        <v>224</v>
      </c>
      <c r="D71" s="239">
        <v>0</v>
      </c>
      <c r="E71" s="239">
        <v>113820026</v>
      </c>
      <c r="F71" s="239">
        <v>0</v>
      </c>
      <c r="G71" s="239">
        <v>1149697</v>
      </c>
      <c r="H71" s="239">
        <v>114969723</v>
      </c>
      <c r="I71" s="239">
        <v>0</v>
      </c>
      <c r="J71" s="239">
        <v>0</v>
      </c>
      <c r="K71" s="239">
        <v>0</v>
      </c>
      <c r="L71" s="239">
        <v>373014</v>
      </c>
      <c r="M71" s="239">
        <v>373014</v>
      </c>
      <c r="N71" s="239">
        <v>0</v>
      </c>
      <c r="O71" s="239">
        <v>0</v>
      </c>
      <c r="P71" s="239">
        <v>0</v>
      </c>
      <c r="Q71" s="239">
        <v>0</v>
      </c>
      <c r="R71" s="239">
        <v>0</v>
      </c>
      <c r="S71" s="239">
        <v>0</v>
      </c>
      <c r="T71" s="239">
        <v>0</v>
      </c>
      <c r="U71" s="239">
        <v>0</v>
      </c>
      <c r="V71" s="239">
        <v>0</v>
      </c>
      <c r="W71" s="239">
        <v>0</v>
      </c>
      <c r="X71" s="239">
        <v>0</v>
      </c>
      <c r="Y71" s="239">
        <v>0</v>
      </c>
      <c r="Z71" s="239">
        <v>0</v>
      </c>
      <c r="AA71" s="239">
        <v>0</v>
      </c>
      <c r="AB71" s="239">
        <v>0</v>
      </c>
      <c r="AC71" s="239">
        <v>8054987</v>
      </c>
      <c r="AD71" s="239">
        <v>0</v>
      </c>
      <c r="AE71" s="239">
        <v>81364</v>
      </c>
      <c r="AF71" s="239">
        <v>8136351</v>
      </c>
      <c r="AG71" s="239">
        <v>0</v>
      </c>
      <c r="AH71" s="239">
        <v>4465561</v>
      </c>
      <c r="AI71" s="239">
        <v>0</v>
      </c>
      <c r="AJ71" s="239">
        <v>45107</v>
      </c>
      <c r="AK71" s="239">
        <v>4510668</v>
      </c>
      <c r="AL71" s="239">
        <v>0</v>
      </c>
      <c r="AM71" s="239">
        <v>-2413744</v>
      </c>
      <c r="AN71" s="239">
        <v>0</v>
      </c>
      <c r="AO71" s="239">
        <v>-24381</v>
      </c>
      <c r="AP71" s="239">
        <v>-2438125</v>
      </c>
      <c r="AQ71" s="239">
        <v>0</v>
      </c>
      <c r="AR71" s="239">
        <v>-2684490</v>
      </c>
      <c r="AS71" s="239">
        <v>0</v>
      </c>
      <c r="AT71" s="239">
        <v>-27116</v>
      </c>
      <c r="AU71" s="239">
        <v>-2711606</v>
      </c>
      <c r="AV71" s="239">
        <v>0</v>
      </c>
      <c r="AW71" s="239">
        <v>1252628</v>
      </c>
      <c r="AX71" s="239">
        <v>0</v>
      </c>
      <c r="AY71" s="239">
        <v>12653</v>
      </c>
      <c r="AZ71" s="239">
        <v>1265281</v>
      </c>
      <c r="BA71" s="239">
        <v>0</v>
      </c>
      <c r="BB71" s="239">
        <v>-918398</v>
      </c>
      <c r="BC71" s="239">
        <v>0</v>
      </c>
      <c r="BD71" s="239">
        <v>-9277</v>
      </c>
      <c r="BE71" s="239">
        <v>-927675</v>
      </c>
      <c r="BF71" s="239">
        <v>0</v>
      </c>
      <c r="BG71" s="239">
        <v>-2350260</v>
      </c>
      <c r="BH71" s="239">
        <v>0</v>
      </c>
      <c r="BI71" s="239">
        <v>-23740</v>
      </c>
      <c r="BJ71" s="239">
        <v>-2374000</v>
      </c>
      <c r="BK71" s="239">
        <v>0</v>
      </c>
      <c r="BL71" s="239">
        <v>-7215920</v>
      </c>
      <c r="BM71" s="239">
        <v>0</v>
      </c>
      <c r="BN71" s="239">
        <v>-72888</v>
      </c>
      <c r="BO71" s="239">
        <v>-7288808</v>
      </c>
      <c r="BP71" s="239">
        <v>0</v>
      </c>
      <c r="BQ71" s="239">
        <v>1617058</v>
      </c>
      <c r="BR71" s="239">
        <v>0</v>
      </c>
      <c r="BS71" s="239">
        <v>16334</v>
      </c>
      <c r="BT71" s="239">
        <v>1633392</v>
      </c>
      <c r="BU71" s="239">
        <v>0</v>
      </c>
      <c r="BV71" s="239">
        <v>-2689811</v>
      </c>
      <c r="BW71" s="239">
        <v>0</v>
      </c>
      <c r="BX71" s="239">
        <v>-27170</v>
      </c>
      <c r="BY71" s="239">
        <v>-2716981</v>
      </c>
      <c r="BZ71" s="239">
        <v>0</v>
      </c>
      <c r="CA71" s="239">
        <v>-8288673</v>
      </c>
      <c r="CB71" s="239">
        <v>0</v>
      </c>
      <c r="CC71" s="239">
        <v>-83724</v>
      </c>
      <c r="CD71" s="239">
        <v>-8372397</v>
      </c>
      <c r="CE71" s="239">
        <v>1384116</v>
      </c>
      <c r="CF71" s="239">
        <v>1356435</v>
      </c>
      <c r="CG71" s="239">
        <v>0</v>
      </c>
      <c r="CH71" s="239">
        <v>27682</v>
      </c>
      <c r="CI71" s="239">
        <v>2768233</v>
      </c>
      <c r="CJ71" s="239">
        <v>1255214</v>
      </c>
      <c r="CK71" s="239">
        <v>1230110</v>
      </c>
      <c r="CL71" s="239">
        <v>0</v>
      </c>
      <c r="CM71" s="239">
        <v>25104</v>
      </c>
      <c r="CN71" s="239">
        <v>2510428</v>
      </c>
      <c r="CO71" s="239">
        <v>128902</v>
      </c>
      <c r="CP71" s="239">
        <v>126325</v>
      </c>
      <c r="CQ71" s="239">
        <v>0</v>
      </c>
      <c r="CR71" s="239">
        <v>2578</v>
      </c>
      <c r="CS71" s="239">
        <v>257805</v>
      </c>
      <c r="CT71" s="239">
        <v>0</v>
      </c>
      <c r="CU71" s="239">
        <v>114325193</v>
      </c>
      <c r="CV71" s="239">
        <v>0</v>
      </c>
      <c r="CW71" s="239">
        <v>1154800</v>
      </c>
      <c r="CX71" s="239">
        <v>115479993</v>
      </c>
      <c r="CY71" s="239">
        <v>0</v>
      </c>
      <c r="CZ71" s="239">
        <v>113820026</v>
      </c>
      <c r="DA71" s="239">
        <v>0</v>
      </c>
      <c r="DB71" s="239">
        <v>1149697</v>
      </c>
      <c r="DC71" s="239">
        <v>114969723</v>
      </c>
      <c r="DD71" s="239">
        <v>0</v>
      </c>
      <c r="DE71" s="239">
        <v>-505167</v>
      </c>
      <c r="DF71" s="239">
        <v>0</v>
      </c>
      <c r="DG71" s="239">
        <v>-5103</v>
      </c>
      <c r="DH71" s="239">
        <v>-510270</v>
      </c>
      <c r="DI71" s="239">
        <v>128902</v>
      </c>
      <c r="DJ71" s="239">
        <v>-378842</v>
      </c>
      <c r="DK71" s="239">
        <v>0</v>
      </c>
      <c r="DL71" s="239">
        <v>-2525</v>
      </c>
      <c r="DM71" s="239">
        <v>-252465</v>
      </c>
      <c r="DN71" s="835">
        <v>0</v>
      </c>
      <c r="DO71" s="835">
        <v>0.99</v>
      </c>
      <c r="DP71" s="835">
        <v>0</v>
      </c>
      <c r="DQ71" s="835">
        <v>0.01</v>
      </c>
      <c r="DR71" s="835">
        <v>1</v>
      </c>
      <c r="DS71" s="214" t="s">
        <v>1160</v>
      </c>
      <c r="DU71" s="214">
        <v>0</v>
      </c>
    </row>
    <row r="72" spans="1:125" s="214" customFormat="1" x14ac:dyDescent="0.2">
      <c r="B72" s="602" t="s">
        <v>227</v>
      </c>
      <c r="C72" s="602" t="s">
        <v>226</v>
      </c>
      <c r="D72" s="239">
        <v>9009677</v>
      </c>
      <c r="E72" s="239">
        <v>7207742</v>
      </c>
      <c r="F72" s="239">
        <v>1621742</v>
      </c>
      <c r="G72" s="239">
        <v>180194</v>
      </c>
      <c r="H72" s="239">
        <v>18019355</v>
      </c>
      <c r="I72" s="239">
        <v>0</v>
      </c>
      <c r="J72" s="239">
        <v>0</v>
      </c>
      <c r="K72" s="239">
        <v>9009677</v>
      </c>
      <c r="L72" s="239">
        <v>118120</v>
      </c>
      <c r="M72" s="239">
        <v>118120</v>
      </c>
      <c r="N72" s="239">
        <v>0</v>
      </c>
      <c r="O72" s="239">
        <v>0</v>
      </c>
      <c r="P72" s="239">
        <v>0</v>
      </c>
      <c r="Q72" s="239">
        <v>0</v>
      </c>
      <c r="R72" s="239">
        <v>0</v>
      </c>
      <c r="S72" s="239">
        <v>0</v>
      </c>
      <c r="T72" s="239">
        <v>0</v>
      </c>
      <c r="U72" s="239">
        <v>0</v>
      </c>
      <c r="V72" s="239">
        <v>0</v>
      </c>
      <c r="W72" s="239">
        <v>0</v>
      </c>
      <c r="X72" s="239">
        <v>0</v>
      </c>
      <c r="Y72" s="239">
        <v>0</v>
      </c>
      <c r="Z72" s="239">
        <v>0</v>
      </c>
      <c r="AA72" s="239">
        <v>0</v>
      </c>
      <c r="AB72" s="239">
        <v>0</v>
      </c>
      <c r="AC72" s="239">
        <v>1121328</v>
      </c>
      <c r="AD72" s="239">
        <v>252299</v>
      </c>
      <c r="AE72" s="239">
        <v>28035</v>
      </c>
      <c r="AF72" s="239">
        <v>1401662</v>
      </c>
      <c r="AG72" s="239">
        <v>203047</v>
      </c>
      <c r="AH72" s="239">
        <v>162438</v>
      </c>
      <c r="AI72" s="239">
        <v>36549</v>
      </c>
      <c r="AJ72" s="239">
        <v>4061</v>
      </c>
      <c r="AK72" s="239">
        <v>406095</v>
      </c>
      <c r="AL72" s="239">
        <v>-32345</v>
      </c>
      <c r="AM72" s="239">
        <v>-25876</v>
      </c>
      <c r="AN72" s="239">
        <v>-5822</v>
      </c>
      <c r="AO72" s="239">
        <v>-647</v>
      </c>
      <c r="AP72" s="239">
        <v>-64690</v>
      </c>
      <c r="AQ72" s="239">
        <v>-69374</v>
      </c>
      <c r="AR72" s="239">
        <v>-55500</v>
      </c>
      <c r="AS72" s="239">
        <v>-12488</v>
      </c>
      <c r="AT72" s="239">
        <v>-1388</v>
      </c>
      <c r="AU72" s="239">
        <v>-138750</v>
      </c>
      <c r="AV72" s="239">
        <v>23151</v>
      </c>
      <c r="AW72" s="239">
        <v>18520</v>
      </c>
      <c r="AX72" s="239">
        <v>4167</v>
      </c>
      <c r="AY72" s="239">
        <v>463</v>
      </c>
      <c r="AZ72" s="239">
        <v>46301</v>
      </c>
      <c r="BA72" s="239">
        <v>-29925</v>
      </c>
      <c r="BB72" s="239">
        <v>-23940</v>
      </c>
      <c r="BC72" s="239">
        <v>-5387</v>
      </c>
      <c r="BD72" s="239">
        <v>-599</v>
      </c>
      <c r="BE72" s="239">
        <v>-59851</v>
      </c>
      <c r="BF72" s="239">
        <v>-76148</v>
      </c>
      <c r="BG72" s="239">
        <v>-60920</v>
      </c>
      <c r="BH72" s="239">
        <v>-13708</v>
      </c>
      <c r="BI72" s="239">
        <v>-1524</v>
      </c>
      <c r="BJ72" s="239">
        <v>-152300</v>
      </c>
      <c r="BK72" s="239">
        <v>-872150</v>
      </c>
      <c r="BL72" s="239">
        <v>-697720</v>
      </c>
      <c r="BM72" s="239">
        <v>-156987</v>
      </c>
      <c r="BN72" s="239">
        <v>-17443</v>
      </c>
      <c r="BO72" s="239">
        <v>-1744300</v>
      </c>
      <c r="BP72" s="239">
        <v>362214</v>
      </c>
      <c r="BQ72" s="239">
        <v>289771</v>
      </c>
      <c r="BR72" s="239">
        <v>65198</v>
      </c>
      <c r="BS72" s="239">
        <v>7244</v>
      </c>
      <c r="BT72" s="239">
        <v>724427</v>
      </c>
      <c r="BU72" s="239">
        <v>0</v>
      </c>
      <c r="BV72" s="239">
        <v>0</v>
      </c>
      <c r="BW72" s="239">
        <v>0</v>
      </c>
      <c r="BX72" s="239">
        <v>0</v>
      </c>
      <c r="BY72" s="239">
        <v>0</v>
      </c>
      <c r="BZ72" s="239">
        <v>-509936</v>
      </c>
      <c r="CA72" s="239">
        <v>-407949</v>
      </c>
      <c r="CB72" s="239">
        <v>-91789</v>
      </c>
      <c r="CC72" s="239">
        <v>-10199</v>
      </c>
      <c r="CD72" s="239">
        <v>-1019873</v>
      </c>
      <c r="CE72" s="239">
        <v>-629627</v>
      </c>
      <c r="CF72" s="239">
        <v>-503699</v>
      </c>
      <c r="CG72" s="239">
        <v>-113332</v>
      </c>
      <c r="CH72" s="239">
        <v>-12592</v>
      </c>
      <c r="CI72" s="239">
        <v>-1259250</v>
      </c>
      <c r="CJ72" s="239">
        <v>-604603</v>
      </c>
      <c r="CK72" s="239">
        <v>-483682</v>
      </c>
      <c r="CL72" s="239">
        <v>-108829</v>
      </c>
      <c r="CM72" s="239">
        <v>-12092</v>
      </c>
      <c r="CN72" s="239">
        <v>-1209206</v>
      </c>
      <c r="CO72" s="239">
        <v>-25024</v>
      </c>
      <c r="CP72" s="239">
        <v>-20017</v>
      </c>
      <c r="CQ72" s="239">
        <v>-4503</v>
      </c>
      <c r="CR72" s="239">
        <v>-500</v>
      </c>
      <c r="CS72" s="239">
        <v>-50044</v>
      </c>
      <c r="CT72" s="239">
        <v>9136641</v>
      </c>
      <c r="CU72" s="239">
        <v>7309314</v>
      </c>
      <c r="CV72" s="239">
        <v>1644596</v>
      </c>
      <c r="CW72" s="239">
        <v>182733</v>
      </c>
      <c r="CX72" s="239">
        <v>18273284</v>
      </c>
      <c r="CY72" s="239">
        <v>9009677</v>
      </c>
      <c r="CZ72" s="239">
        <v>7207742</v>
      </c>
      <c r="DA72" s="239">
        <v>1621742</v>
      </c>
      <c r="DB72" s="239">
        <v>180194</v>
      </c>
      <c r="DC72" s="239">
        <v>18019355</v>
      </c>
      <c r="DD72" s="239">
        <v>-126964</v>
      </c>
      <c r="DE72" s="239">
        <v>-101572</v>
      </c>
      <c r="DF72" s="239">
        <v>-22854</v>
      </c>
      <c r="DG72" s="239">
        <v>-2539</v>
      </c>
      <c r="DH72" s="239">
        <v>-253929</v>
      </c>
      <c r="DI72" s="239">
        <v>-151988</v>
      </c>
      <c r="DJ72" s="239">
        <v>-121589</v>
      </c>
      <c r="DK72" s="239">
        <v>-27357</v>
      </c>
      <c r="DL72" s="239">
        <v>-3039</v>
      </c>
      <c r="DM72" s="239">
        <v>-303973</v>
      </c>
      <c r="DN72" s="835">
        <v>0.5</v>
      </c>
      <c r="DO72" s="835">
        <v>0.4</v>
      </c>
      <c r="DP72" s="835">
        <v>0.09</v>
      </c>
      <c r="DQ72" s="835">
        <v>0.01</v>
      </c>
      <c r="DR72" s="835">
        <v>1</v>
      </c>
      <c r="DS72" s="214" t="s">
        <v>1158</v>
      </c>
      <c r="DU72" s="214">
        <v>0</v>
      </c>
    </row>
    <row r="73" spans="1:125" s="214" customFormat="1" x14ac:dyDescent="0.2">
      <c r="B73" s="602" t="s">
        <v>229</v>
      </c>
      <c r="C73" s="602" t="s">
        <v>228</v>
      </c>
      <c r="D73" s="239">
        <v>56997122</v>
      </c>
      <c r="E73" s="239">
        <v>45597697</v>
      </c>
      <c r="F73" s="239">
        <v>11399424</v>
      </c>
      <c r="G73" s="239">
        <v>0</v>
      </c>
      <c r="H73" s="239">
        <v>113994243</v>
      </c>
      <c r="I73" s="239">
        <v>0</v>
      </c>
      <c r="J73" s="239">
        <v>0</v>
      </c>
      <c r="K73" s="239">
        <v>56997122</v>
      </c>
      <c r="L73" s="239">
        <v>201502</v>
      </c>
      <c r="M73" s="239">
        <v>201502</v>
      </c>
      <c r="N73" s="239">
        <v>0</v>
      </c>
      <c r="O73" s="239">
        <v>0</v>
      </c>
      <c r="P73" s="239">
        <v>4660</v>
      </c>
      <c r="Q73" s="239">
        <v>0</v>
      </c>
      <c r="R73" s="239">
        <v>4660</v>
      </c>
      <c r="S73" s="239">
        <v>0</v>
      </c>
      <c r="T73" s="239">
        <v>0</v>
      </c>
      <c r="U73" s="239">
        <v>0</v>
      </c>
      <c r="V73" s="239">
        <v>0</v>
      </c>
      <c r="W73" s="239">
        <v>0</v>
      </c>
      <c r="X73" s="239">
        <v>0</v>
      </c>
      <c r="Y73" s="239">
        <v>0</v>
      </c>
      <c r="Z73" s="239">
        <v>0</v>
      </c>
      <c r="AA73" s="239">
        <v>0</v>
      </c>
      <c r="AB73" s="239">
        <v>0</v>
      </c>
      <c r="AC73" s="239">
        <v>1258220</v>
      </c>
      <c r="AD73" s="239">
        <v>314536</v>
      </c>
      <c r="AE73" s="239">
        <v>0</v>
      </c>
      <c r="AF73" s="239">
        <v>1572756</v>
      </c>
      <c r="AG73" s="239">
        <v>888547</v>
      </c>
      <c r="AH73" s="239">
        <v>710838</v>
      </c>
      <c r="AI73" s="239">
        <v>177709</v>
      </c>
      <c r="AJ73" s="239">
        <v>0</v>
      </c>
      <c r="AK73" s="239">
        <v>1777094</v>
      </c>
      <c r="AL73" s="239">
        <v>-1652691</v>
      </c>
      <c r="AM73" s="239">
        <v>-1322152</v>
      </c>
      <c r="AN73" s="239">
        <v>-330538</v>
      </c>
      <c r="AO73" s="239">
        <v>0</v>
      </c>
      <c r="AP73" s="239">
        <v>-3305381</v>
      </c>
      <c r="AQ73" s="239">
        <v>-779590</v>
      </c>
      <c r="AR73" s="239">
        <v>-623672</v>
      </c>
      <c r="AS73" s="239">
        <v>-155918</v>
      </c>
      <c r="AT73" s="239">
        <v>0</v>
      </c>
      <c r="AU73" s="239">
        <v>-1559180</v>
      </c>
      <c r="AV73" s="239">
        <v>184752</v>
      </c>
      <c r="AW73" s="239">
        <v>147801</v>
      </c>
      <c r="AX73" s="239">
        <v>36950</v>
      </c>
      <c r="AY73" s="239">
        <v>0</v>
      </c>
      <c r="AZ73" s="239">
        <v>369503</v>
      </c>
      <c r="BA73" s="239">
        <v>112039</v>
      </c>
      <c r="BB73" s="239">
        <v>89631</v>
      </c>
      <c r="BC73" s="239">
        <v>22408</v>
      </c>
      <c r="BD73" s="239">
        <v>0</v>
      </c>
      <c r="BE73" s="239">
        <v>224078</v>
      </c>
      <c r="BF73" s="239">
        <v>-482799</v>
      </c>
      <c r="BG73" s="239">
        <v>-386240</v>
      </c>
      <c r="BH73" s="239">
        <v>-96560</v>
      </c>
      <c r="BI73" s="239">
        <v>0</v>
      </c>
      <c r="BJ73" s="239">
        <v>-965599</v>
      </c>
      <c r="BK73" s="239">
        <v>-2689797</v>
      </c>
      <c r="BL73" s="239">
        <v>-2151838</v>
      </c>
      <c r="BM73" s="239">
        <v>-537959</v>
      </c>
      <c r="BN73" s="239">
        <v>0</v>
      </c>
      <c r="BO73" s="239">
        <v>-5379594</v>
      </c>
      <c r="BP73" s="239">
        <v>1613301</v>
      </c>
      <c r="BQ73" s="239">
        <v>1290640</v>
      </c>
      <c r="BR73" s="239">
        <v>322660</v>
      </c>
      <c r="BS73" s="239">
        <v>0</v>
      </c>
      <c r="BT73" s="239">
        <v>3226601</v>
      </c>
      <c r="BU73" s="239">
        <v>-2234167</v>
      </c>
      <c r="BV73" s="239">
        <v>-1787334</v>
      </c>
      <c r="BW73" s="239">
        <v>-446834</v>
      </c>
      <c r="BX73" s="239">
        <v>0</v>
      </c>
      <c r="BY73" s="239">
        <v>-4468335</v>
      </c>
      <c r="BZ73" s="239">
        <v>-3310663</v>
      </c>
      <c r="CA73" s="239">
        <v>-2648532</v>
      </c>
      <c r="CB73" s="239">
        <v>-662133</v>
      </c>
      <c r="CC73" s="239">
        <v>0</v>
      </c>
      <c r="CD73" s="239">
        <v>-6621328</v>
      </c>
      <c r="CE73" s="239">
        <v>-1295136</v>
      </c>
      <c r="CF73" s="239">
        <v>-1036109</v>
      </c>
      <c r="CG73" s="239">
        <v>-259027</v>
      </c>
      <c r="CH73" s="239">
        <v>0</v>
      </c>
      <c r="CI73" s="239">
        <v>-2590272</v>
      </c>
      <c r="CJ73" s="239">
        <v>-2953452</v>
      </c>
      <c r="CK73" s="239">
        <v>-2362762</v>
      </c>
      <c r="CL73" s="239">
        <v>-590690</v>
      </c>
      <c r="CM73" s="239">
        <v>0</v>
      </c>
      <c r="CN73" s="239">
        <v>-5906904</v>
      </c>
      <c r="CO73" s="239">
        <v>1658316</v>
      </c>
      <c r="CP73" s="239">
        <v>1326653</v>
      </c>
      <c r="CQ73" s="239">
        <v>331663</v>
      </c>
      <c r="CR73" s="239">
        <v>0</v>
      </c>
      <c r="CS73" s="239">
        <v>3316632</v>
      </c>
      <c r="CT73" s="239">
        <v>58218121</v>
      </c>
      <c r="CU73" s="239">
        <v>46574497</v>
      </c>
      <c r="CV73" s="239">
        <v>11643624</v>
      </c>
      <c r="CW73" s="239">
        <v>0</v>
      </c>
      <c r="CX73" s="239">
        <v>116436242</v>
      </c>
      <c r="CY73" s="239">
        <v>56997122</v>
      </c>
      <c r="CZ73" s="239">
        <v>45597697</v>
      </c>
      <c r="DA73" s="239">
        <v>11399424</v>
      </c>
      <c r="DB73" s="239">
        <v>0</v>
      </c>
      <c r="DC73" s="239">
        <v>113994243</v>
      </c>
      <c r="DD73" s="239">
        <v>-1220999</v>
      </c>
      <c r="DE73" s="239">
        <v>-976800</v>
      </c>
      <c r="DF73" s="239">
        <v>-244200</v>
      </c>
      <c r="DG73" s="239">
        <v>0</v>
      </c>
      <c r="DH73" s="239">
        <v>-2441999</v>
      </c>
      <c r="DI73" s="239">
        <v>437317</v>
      </c>
      <c r="DJ73" s="239">
        <v>349853</v>
      </c>
      <c r="DK73" s="239">
        <v>87463</v>
      </c>
      <c r="DL73" s="239">
        <v>0</v>
      </c>
      <c r="DM73" s="239">
        <v>874633</v>
      </c>
      <c r="DN73" s="835">
        <v>0.5</v>
      </c>
      <c r="DO73" s="835">
        <v>0.4</v>
      </c>
      <c r="DP73" s="835">
        <v>0.1</v>
      </c>
      <c r="DQ73" s="835">
        <v>0</v>
      </c>
      <c r="DR73" s="835">
        <v>1</v>
      </c>
      <c r="DS73" s="214" t="s">
        <v>1158</v>
      </c>
      <c r="DU73" s="214">
        <v>0</v>
      </c>
    </row>
    <row r="74" spans="1:125" s="214" customFormat="1" x14ac:dyDescent="0.2">
      <c r="A74" s="215"/>
      <c r="B74" s="602" t="s">
        <v>231</v>
      </c>
      <c r="C74" s="602" t="s">
        <v>230</v>
      </c>
      <c r="D74" s="239">
        <v>36700083</v>
      </c>
      <c r="E74" s="239">
        <v>33363712</v>
      </c>
      <c r="F74" s="239">
        <v>41148578</v>
      </c>
      <c r="G74" s="239">
        <v>0</v>
      </c>
      <c r="H74" s="239">
        <v>111212373</v>
      </c>
      <c r="I74" s="239">
        <v>0</v>
      </c>
      <c r="J74" s="239">
        <v>0</v>
      </c>
      <c r="K74" s="239">
        <v>36700083</v>
      </c>
      <c r="L74" s="239">
        <v>429856</v>
      </c>
      <c r="M74" s="239">
        <v>429856</v>
      </c>
      <c r="N74" s="239">
        <v>0</v>
      </c>
      <c r="O74" s="239">
        <v>0</v>
      </c>
      <c r="P74" s="239">
        <v>0</v>
      </c>
      <c r="Q74" s="239">
        <v>0</v>
      </c>
      <c r="R74" s="239">
        <v>0</v>
      </c>
      <c r="S74" s="239">
        <v>0</v>
      </c>
      <c r="T74" s="239">
        <v>0</v>
      </c>
      <c r="U74" s="239">
        <v>0</v>
      </c>
      <c r="V74" s="239">
        <v>0</v>
      </c>
      <c r="W74" s="239">
        <v>0</v>
      </c>
      <c r="X74" s="239">
        <v>0</v>
      </c>
      <c r="Y74" s="239">
        <v>0</v>
      </c>
      <c r="Z74" s="239">
        <v>0</v>
      </c>
      <c r="AA74" s="239">
        <v>0</v>
      </c>
      <c r="AB74" s="239">
        <v>0</v>
      </c>
      <c r="AC74" s="239">
        <v>2812842</v>
      </c>
      <c r="AD74" s="239">
        <v>3469172</v>
      </c>
      <c r="AE74" s="239">
        <v>0</v>
      </c>
      <c r="AF74" s="239">
        <v>6282014</v>
      </c>
      <c r="AG74" s="239">
        <v>2578670</v>
      </c>
      <c r="AH74" s="239">
        <v>2344246</v>
      </c>
      <c r="AI74" s="239">
        <v>2891236</v>
      </c>
      <c r="AJ74" s="239">
        <v>0</v>
      </c>
      <c r="AK74" s="239">
        <v>7814152</v>
      </c>
      <c r="AL74" s="239">
        <v>-1902202</v>
      </c>
      <c r="AM74" s="239">
        <v>-1729275</v>
      </c>
      <c r="AN74" s="239">
        <v>-2132772</v>
      </c>
      <c r="AO74" s="239">
        <v>0</v>
      </c>
      <c r="AP74" s="239">
        <v>-5764249</v>
      </c>
      <c r="AQ74" s="239">
        <v>-3701130</v>
      </c>
      <c r="AR74" s="239">
        <v>-3364663</v>
      </c>
      <c r="AS74" s="239">
        <v>-4149751</v>
      </c>
      <c r="AT74" s="239">
        <v>0</v>
      </c>
      <c r="AU74" s="239">
        <v>-11215544</v>
      </c>
      <c r="AV74" s="239">
        <v>1646702</v>
      </c>
      <c r="AW74" s="239">
        <v>1497002</v>
      </c>
      <c r="AX74" s="239">
        <v>1846303</v>
      </c>
      <c r="AY74" s="239">
        <v>0</v>
      </c>
      <c r="AZ74" s="239">
        <v>4990007</v>
      </c>
      <c r="BA74" s="239">
        <v>-364948</v>
      </c>
      <c r="BB74" s="239">
        <v>-331770</v>
      </c>
      <c r="BC74" s="239">
        <v>-409183</v>
      </c>
      <c r="BD74" s="239">
        <v>0</v>
      </c>
      <c r="BE74" s="239">
        <v>-1105901</v>
      </c>
      <c r="BF74" s="239">
        <v>-2419376</v>
      </c>
      <c r="BG74" s="239">
        <v>-2199431</v>
      </c>
      <c r="BH74" s="239">
        <v>-2712631</v>
      </c>
      <c r="BI74" s="239">
        <v>0</v>
      </c>
      <c r="BJ74" s="239">
        <v>-7331438</v>
      </c>
      <c r="BK74" s="239">
        <v>-3795000</v>
      </c>
      <c r="BL74" s="239">
        <v>-3450000</v>
      </c>
      <c r="BM74" s="239">
        <v>-4255000</v>
      </c>
      <c r="BN74" s="239">
        <v>0</v>
      </c>
      <c r="BO74" s="239">
        <v>-11500000</v>
      </c>
      <c r="BP74" s="239">
        <v>0</v>
      </c>
      <c r="BQ74" s="239">
        <v>0</v>
      </c>
      <c r="BR74" s="239">
        <v>0</v>
      </c>
      <c r="BS74" s="239">
        <v>0</v>
      </c>
      <c r="BT74" s="239">
        <v>0</v>
      </c>
      <c r="BU74" s="239">
        <v>-1815000</v>
      </c>
      <c r="BV74" s="239">
        <v>-1650000</v>
      </c>
      <c r="BW74" s="239">
        <v>-2035000</v>
      </c>
      <c r="BX74" s="239">
        <v>0</v>
      </c>
      <c r="BY74" s="239">
        <v>-5500000</v>
      </c>
      <c r="BZ74" s="239">
        <v>-5610000</v>
      </c>
      <c r="CA74" s="239">
        <v>-5100000</v>
      </c>
      <c r="CB74" s="239">
        <v>-6290000</v>
      </c>
      <c r="CC74" s="239">
        <v>0</v>
      </c>
      <c r="CD74" s="239">
        <v>-17000000</v>
      </c>
      <c r="CE74" s="239">
        <v>2509076</v>
      </c>
      <c r="CF74" s="239">
        <v>1505447</v>
      </c>
      <c r="CG74" s="239">
        <v>1003631</v>
      </c>
      <c r="CH74" s="239">
        <v>0</v>
      </c>
      <c r="CI74" s="239">
        <v>5018154</v>
      </c>
      <c r="CJ74" s="239">
        <v>-3629867</v>
      </c>
      <c r="CK74" s="239">
        <v>-2177920</v>
      </c>
      <c r="CL74" s="239">
        <v>-1451947</v>
      </c>
      <c r="CM74" s="239">
        <v>0</v>
      </c>
      <c r="CN74" s="239">
        <v>-7259734</v>
      </c>
      <c r="CO74" s="239">
        <v>6138943</v>
      </c>
      <c r="CP74" s="239">
        <v>3683367</v>
      </c>
      <c r="CQ74" s="239">
        <v>2455578</v>
      </c>
      <c r="CR74" s="239">
        <v>0</v>
      </c>
      <c r="CS74" s="239">
        <v>12277888</v>
      </c>
      <c r="CT74" s="239">
        <v>38836196</v>
      </c>
      <c r="CU74" s="239">
        <v>35305632</v>
      </c>
      <c r="CV74" s="239">
        <v>43543613</v>
      </c>
      <c r="CW74" s="239">
        <v>0</v>
      </c>
      <c r="CX74" s="239">
        <v>117685441</v>
      </c>
      <c r="CY74" s="239">
        <v>36700083</v>
      </c>
      <c r="CZ74" s="239">
        <v>33363712</v>
      </c>
      <c r="DA74" s="239">
        <v>41148578</v>
      </c>
      <c r="DB74" s="239">
        <v>0</v>
      </c>
      <c r="DC74" s="239">
        <v>111212373</v>
      </c>
      <c r="DD74" s="239">
        <v>-2136113</v>
      </c>
      <c r="DE74" s="239">
        <v>-1941920</v>
      </c>
      <c r="DF74" s="239">
        <v>-2395035</v>
      </c>
      <c r="DG74" s="239">
        <v>0</v>
      </c>
      <c r="DH74" s="239">
        <v>-6473068</v>
      </c>
      <c r="DI74" s="239">
        <v>4002830</v>
      </c>
      <c r="DJ74" s="239">
        <v>1741447</v>
      </c>
      <c r="DK74" s="239">
        <v>60543</v>
      </c>
      <c r="DL74" s="239">
        <v>0</v>
      </c>
      <c r="DM74" s="239">
        <v>5804820</v>
      </c>
      <c r="DN74" s="835">
        <v>0.33</v>
      </c>
      <c r="DO74" s="835">
        <v>0.3</v>
      </c>
      <c r="DP74" s="835">
        <v>0.37</v>
      </c>
      <c r="DQ74" s="835">
        <v>0</v>
      </c>
      <c r="DR74" s="835">
        <v>1</v>
      </c>
      <c r="DS74" s="214" t="s">
        <v>1159</v>
      </c>
      <c r="DU74" s="214">
        <v>0</v>
      </c>
    </row>
    <row r="75" spans="1:125" s="214" customFormat="1" x14ac:dyDescent="0.2">
      <c r="B75" s="602" t="s">
        <v>233</v>
      </c>
      <c r="C75" s="602" t="s">
        <v>232</v>
      </c>
      <c r="D75" s="239">
        <v>29830879</v>
      </c>
      <c r="E75" s="239">
        <v>23864704</v>
      </c>
      <c r="F75" s="239">
        <v>5966176</v>
      </c>
      <c r="G75" s="239">
        <v>0</v>
      </c>
      <c r="H75" s="239">
        <v>59661759</v>
      </c>
      <c r="I75" s="239">
        <v>0</v>
      </c>
      <c r="J75" s="239">
        <v>0</v>
      </c>
      <c r="K75" s="239">
        <v>29830879</v>
      </c>
      <c r="L75" s="239">
        <v>207475</v>
      </c>
      <c r="M75" s="239">
        <v>207475</v>
      </c>
      <c r="N75" s="239">
        <v>28100</v>
      </c>
      <c r="O75" s="239">
        <v>28100</v>
      </c>
      <c r="P75" s="239">
        <v>0</v>
      </c>
      <c r="Q75" s="239">
        <v>0</v>
      </c>
      <c r="R75" s="239">
        <v>0</v>
      </c>
      <c r="S75" s="239">
        <v>0</v>
      </c>
      <c r="T75" s="239">
        <v>0</v>
      </c>
      <c r="U75" s="239">
        <v>0</v>
      </c>
      <c r="V75" s="239">
        <v>0</v>
      </c>
      <c r="W75" s="239">
        <v>0</v>
      </c>
      <c r="X75" s="239">
        <v>0</v>
      </c>
      <c r="Y75" s="239">
        <v>0</v>
      </c>
      <c r="Z75" s="239">
        <v>0</v>
      </c>
      <c r="AA75" s="239">
        <v>0</v>
      </c>
      <c r="AB75" s="239">
        <v>0</v>
      </c>
      <c r="AC75" s="239">
        <v>1642380</v>
      </c>
      <c r="AD75" s="239">
        <v>410489</v>
      </c>
      <c r="AE75" s="239">
        <v>0</v>
      </c>
      <c r="AF75" s="239">
        <v>2052869</v>
      </c>
      <c r="AG75" s="239">
        <v>987649</v>
      </c>
      <c r="AH75" s="239">
        <v>790120</v>
      </c>
      <c r="AI75" s="239">
        <v>197530</v>
      </c>
      <c r="AJ75" s="239">
        <v>0</v>
      </c>
      <c r="AK75" s="239">
        <v>1975299</v>
      </c>
      <c r="AL75" s="239">
        <v>-737352</v>
      </c>
      <c r="AM75" s="239">
        <v>-589881</v>
      </c>
      <c r="AN75" s="239">
        <v>-147470</v>
      </c>
      <c r="AO75" s="239">
        <v>0</v>
      </c>
      <c r="AP75" s="239">
        <v>-1474703</v>
      </c>
      <c r="AQ75" s="239">
        <v>-363510</v>
      </c>
      <c r="AR75" s="239">
        <v>-290808</v>
      </c>
      <c r="AS75" s="239">
        <v>-72702</v>
      </c>
      <c r="AT75" s="239">
        <v>0</v>
      </c>
      <c r="AU75" s="239">
        <v>-727020</v>
      </c>
      <c r="AV75" s="239">
        <v>178173</v>
      </c>
      <c r="AW75" s="239">
        <v>142538</v>
      </c>
      <c r="AX75" s="239">
        <v>35635</v>
      </c>
      <c r="AY75" s="239">
        <v>0</v>
      </c>
      <c r="AZ75" s="239">
        <v>356346</v>
      </c>
      <c r="BA75" s="239">
        <v>-143517</v>
      </c>
      <c r="BB75" s="239">
        <v>-114814</v>
      </c>
      <c r="BC75" s="239">
        <v>-28703</v>
      </c>
      <c r="BD75" s="239">
        <v>0</v>
      </c>
      <c r="BE75" s="239">
        <v>-287034</v>
      </c>
      <c r="BF75" s="239">
        <v>-328854</v>
      </c>
      <c r="BG75" s="239">
        <v>-263084</v>
      </c>
      <c r="BH75" s="239">
        <v>-65770</v>
      </c>
      <c r="BI75" s="239">
        <v>0</v>
      </c>
      <c r="BJ75" s="239">
        <v>-657708</v>
      </c>
      <c r="BK75" s="239">
        <v>-4551157</v>
      </c>
      <c r="BL75" s="239">
        <v>-3640926</v>
      </c>
      <c r="BM75" s="239">
        <v>-910232</v>
      </c>
      <c r="BN75" s="239">
        <v>0</v>
      </c>
      <c r="BO75" s="239">
        <v>-9102315</v>
      </c>
      <c r="BP75" s="239">
        <v>756452</v>
      </c>
      <c r="BQ75" s="239">
        <v>605162</v>
      </c>
      <c r="BR75" s="239">
        <v>151291</v>
      </c>
      <c r="BS75" s="239">
        <v>0</v>
      </c>
      <c r="BT75" s="239">
        <v>1512905</v>
      </c>
      <c r="BU75" s="239">
        <v>-1433144</v>
      </c>
      <c r="BV75" s="239">
        <v>-1146515</v>
      </c>
      <c r="BW75" s="239">
        <v>-286629</v>
      </c>
      <c r="BX75" s="239">
        <v>0</v>
      </c>
      <c r="BY75" s="239">
        <v>-2866288</v>
      </c>
      <c r="BZ75" s="239">
        <v>-5227849</v>
      </c>
      <c r="CA75" s="239">
        <v>-4182279</v>
      </c>
      <c r="CB75" s="239">
        <v>-1045570</v>
      </c>
      <c r="CC75" s="239">
        <v>0</v>
      </c>
      <c r="CD75" s="239">
        <v>-10455698</v>
      </c>
      <c r="CE75" s="239">
        <v>-826324</v>
      </c>
      <c r="CF75" s="239">
        <v>-661059</v>
      </c>
      <c r="CG75" s="239">
        <v>-165265</v>
      </c>
      <c r="CH75" s="239">
        <v>0</v>
      </c>
      <c r="CI75" s="239">
        <v>-1652648</v>
      </c>
      <c r="CJ75" s="239">
        <v>-260659</v>
      </c>
      <c r="CK75" s="239">
        <v>-208527</v>
      </c>
      <c r="CL75" s="239">
        <v>-52132</v>
      </c>
      <c r="CM75" s="239">
        <v>0</v>
      </c>
      <c r="CN75" s="239">
        <v>-521318</v>
      </c>
      <c r="CO75" s="239">
        <v>-565665</v>
      </c>
      <c r="CP75" s="239">
        <v>-452532</v>
      </c>
      <c r="CQ75" s="239">
        <v>-113133</v>
      </c>
      <c r="CR75" s="239">
        <v>0</v>
      </c>
      <c r="CS75" s="239">
        <v>-1131330</v>
      </c>
      <c r="CT75" s="239">
        <v>28975019</v>
      </c>
      <c r="CU75" s="239">
        <v>23180015</v>
      </c>
      <c r="CV75" s="239">
        <v>5795004</v>
      </c>
      <c r="CW75" s="239">
        <v>0</v>
      </c>
      <c r="CX75" s="239">
        <v>57950038</v>
      </c>
      <c r="CY75" s="239">
        <v>29830879</v>
      </c>
      <c r="CZ75" s="239">
        <v>23864704</v>
      </c>
      <c r="DA75" s="239">
        <v>5966176</v>
      </c>
      <c r="DB75" s="239">
        <v>0</v>
      </c>
      <c r="DC75" s="239">
        <v>59661759</v>
      </c>
      <c r="DD75" s="239">
        <v>855860</v>
      </c>
      <c r="DE75" s="239">
        <v>684689</v>
      </c>
      <c r="DF75" s="239">
        <v>171172</v>
      </c>
      <c r="DG75" s="239">
        <v>0</v>
      </c>
      <c r="DH75" s="239">
        <v>1711721</v>
      </c>
      <c r="DI75" s="239">
        <v>290195</v>
      </c>
      <c r="DJ75" s="239">
        <v>232157</v>
      </c>
      <c r="DK75" s="239">
        <v>58039</v>
      </c>
      <c r="DL75" s="239">
        <v>0</v>
      </c>
      <c r="DM75" s="239">
        <v>580391</v>
      </c>
      <c r="DN75" s="835">
        <v>0.5</v>
      </c>
      <c r="DO75" s="835">
        <v>0.4</v>
      </c>
      <c r="DP75" s="835">
        <v>0.1</v>
      </c>
      <c r="DQ75" s="835">
        <v>0</v>
      </c>
      <c r="DR75" s="835">
        <v>1</v>
      </c>
      <c r="DS75" s="214" t="s">
        <v>1158</v>
      </c>
      <c r="DU75" s="214">
        <v>0</v>
      </c>
    </row>
    <row r="76" spans="1:125" s="214" customFormat="1" x14ac:dyDescent="0.2">
      <c r="B76" s="602" t="s">
        <v>235</v>
      </c>
      <c r="C76" s="602" t="s">
        <v>234</v>
      </c>
      <c r="D76" s="239">
        <v>14408195</v>
      </c>
      <c r="E76" s="239">
        <v>14120032</v>
      </c>
      <c r="F76" s="239">
        <v>0</v>
      </c>
      <c r="G76" s="239">
        <v>288164</v>
      </c>
      <c r="H76" s="239">
        <v>28816391</v>
      </c>
      <c r="I76" s="239">
        <v>20164</v>
      </c>
      <c r="J76" s="239">
        <v>20164</v>
      </c>
      <c r="K76" s="239">
        <v>14388031</v>
      </c>
      <c r="L76" s="239">
        <v>143297</v>
      </c>
      <c r="M76" s="239">
        <v>143297</v>
      </c>
      <c r="N76" s="239">
        <v>168953</v>
      </c>
      <c r="O76" s="239">
        <v>168953</v>
      </c>
      <c r="P76" s="239">
        <v>0</v>
      </c>
      <c r="Q76" s="239">
        <v>0</v>
      </c>
      <c r="R76" s="239">
        <v>0</v>
      </c>
      <c r="S76" s="239">
        <v>20164.416309012875</v>
      </c>
      <c r="T76" s="239">
        <v>0</v>
      </c>
      <c r="U76" s="239">
        <v>0</v>
      </c>
      <c r="V76" s="239">
        <v>20164.416309012875</v>
      </c>
      <c r="W76" s="239">
        <v>0</v>
      </c>
      <c r="X76" s="239">
        <v>0</v>
      </c>
      <c r="Y76" s="239">
        <v>0</v>
      </c>
      <c r="Z76" s="239">
        <v>0</v>
      </c>
      <c r="AA76" s="239">
        <v>0</v>
      </c>
      <c r="AB76" s="239">
        <v>0</v>
      </c>
      <c r="AC76" s="239">
        <v>1883128</v>
      </c>
      <c r="AD76" s="239">
        <v>0</v>
      </c>
      <c r="AE76" s="239">
        <v>32905</v>
      </c>
      <c r="AF76" s="239">
        <v>1916033</v>
      </c>
      <c r="AG76" s="239">
        <v>792711</v>
      </c>
      <c r="AH76" s="239">
        <v>776857</v>
      </c>
      <c r="AI76" s="239">
        <v>0</v>
      </c>
      <c r="AJ76" s="239">
        <v>15854</v>
      </c>
      <c r="AK76" s="239">
        <v>1585422</v>
      </c>
      <c r="AL76" s="239">
        <v>-316524</v>
      </c>
      <c r="AM76" s="239">
        <v>-310195</v>
      </c>
      <c r="AN76" s="239">
        <v>0</v>
      </c>
      <c r="AO76" s="239">
        <v>-6331</v>
      </c>
      <c r="AP76" s="239">
        <v>-633050</v>
      </c>
      <c r="AQ76" s="239">
        <v>-181220</v>
      </c>
      <c r="AR76" s="239">
        <v>-177596</v>
      </c>
      <c r="AS76" s="239">
        <v>0</v>
      </c>
      <c r="AT76" s="239">
        <v>-3624</v>
      </c>
      <c r="AU76" s="239">
        <v>-362440</v>
      </c>
      <c r="AV76" s="239">
        <v>168845</v>
      </c>
      <c r="AW76" s="239">
        <v>165468</v>
      </c>
      <c r="AX76" s="239">
        <v>0</v>
      </c>
      <c r="AY76" s="239">
        <v>3377</v>
      </c>
      <c r="AZ76" s="239">
        <v>337690</v>
      </c>
      <c r="BA76" s="239">
        <v>-186000</v>
      </c>
      <c r="BB76" s="239">
        <v>-182280</v>
      </c>
      <c r="BC76" s="239">
        <v>0</v>
      </c>
      <c r="BD76" s="239">
        <v>-3720</v>
      </c>
      <c r="BE76" s="239">
        <v>-372000</v>
      </c>
      <c r="BF76" s="239">
        <v>-198375</v>
      </c>
      <c r="BG76" s="239">
        <v>-194408</v>
      </c>
      <c r="BH76" s="239">
        <v>0</v>
      </c>
      <c r="BI76" s="239">
        <v>-3967</v>
      </c>
      <c r="BJ76" s="239">
        <v>-396750</v>
      </c>
      <c r="BK76" s="239">
        <v>-529889</v>
      </c>
      <c r="BL76" s="239">
        <v>-519291</v>
      </c>
      <c r="BM76" s="239">
        <v>0</v>
      </c>
      <c r="BN76" s="239">
        <v>-10598</v>
      </c>
      <c r="BO76" s="239">
        <v>-1059778</v>
      </c>
      <c r="BP76" s="239">
        <v>184160</v>
      </c>
      <c r="BQ76" s="239">
        <v>180477</v>
      </c>
      <c r="BR76" s="239">
        <v>0</v>
      </c>
      <c r="BS76" s="239">
        <v>3683</v>
      </c>
      <c r="BT76" s="239">
        <v>368320</v>
      </c>
      <c r="BU76" s="239">
        <v>-729848</v>
      </c>
      <c r="BV76" s="239">
        <v>-715251</v>
      </c>
      <c r="BW76" s="239">
        <v>0</v>
      </c>
      <c r="BX76" s="239">
        <v>-14597</v>
      </c>
      <c r="BY76" s="239">
        <v>-1459696</v>
      </c>
      <c r="BZ76" s="239">
        <v>-1075577</v>
      </c>
      <c r="CA76" s="239">
        <v>-1054065</v>
      </c>
      <c r="CB76" s="239">
        <v>0</v>
      </c>
      <c r="CC76" s="239">
        <v>-21512</v>
      </c>
      <c r="CD76" s="239">
        <v>-2151154</v>
      </c>
      <c r="CE76" s="239">
        <v>-1241441</v>
      </c>
      <c r="CF76" s="239">
        <v>-1216611</v>
      </c>
      <c r="CG76" s="239">
        <v>0</v>
      </c>
      <c r="CH76" s="239">
        <v>-24828</v>
      </c>
      <c r="CI76" s="239">
        <v>-2482880</v>
      </c>
      <c r="CJ76" s="239">
        <v>-1181787</v>
      </c>
      <c r="CK76" s="239">
        <v>-1158151</v>
      </c>
      <c r="CL76" s="239">
        <v>0</v>
      </c>
      <c r="CM76" s="239">
        <v>-23636</v>
      </c>
      <c r="CN76" s="239">
        <v>-2363574</v>
      </c>
      <c r="CO76" s="239">
        <v>-59654</v>
      </c>
      <c r="CP76" s="239">
        <v>-58460</v>
      </c>
      <c r="CQ76" s="239">
        <v>0</v>
      </c>
      <c r="CR76" s="239">
        <v>-1192</v>
      </c>
      <c r="CS76" s="239">
        <v>-119306</v>
      </c>
      <c r="CT76" s="239">
        <v>14794666</v>
      </c>
      <c r="CU76" s="239">
        <v>14498773</v>
      </c>
      <c r="CV76" s="239">
        <v>0</v>
      </c>
      <c r="CW76" s="239">
        <v>295893</v>
      </c>
      <c r="CX76" s="239">
        <v>29589332</v>
      </c>
      <c r="CY76" s="239">
        <v>14408195</v>
      </c>
      <c r="CZ76" s="239">
        <v>14120032</v>
      </c>
      <c r="DA76" s="239">
        <v>0</v>
      </c>
      <c r="DB76" s="239">
        <v>288164</v>
      </c>
      <c r="DC76" s="239">
        <v>28816391</v>
      </c>
      <c r="DD76" s="239">
        <v>-386471</v>
      </c>
      <c r="DE76" s="239">
        <v>-378741</v>
      </c>
      <c r="DF76" s="239">
        <v>0</v>
      </c>
      <c r="DG76" s="239">
        <v>-7729</v>
      </c>
      <c r="DH76" s="239">
        <v>-772941</v>
      </c>
      <c r="DI76" s="239">
        <v>-446125</v>
      </c>
      <c r="DJ76" s="239">
        <v>-437201</v>
      </c>
      <c r="DK76" s="239">
        <v>0</v>
      </c>
      <c r="DL76" s="239">
        <v>-8921</v>
      </c>
      <c r="DM76" s="239">
        <v>-892247</v>
      </c>
      <c r="DN76" s="835">
        <v>0.5</v>
      </c>
      <c r="DO76" s="835">
        <v>0.49</v>
      </c>
      <c r="DP76" s="835">
        <v>0</v>
      </c>
      <c r="DQ76" s="835">
        <v>0.01</v>
      </c>
      <c r="DR76" s="835">
        <v>1</v>
      </c>
      <c r="DS76" s="214" t="s">
        <v>746</v>
      </c>
      <c r="DU76" s="214">
        <v>0</v>
      </c>
    </row>
    <row r="77" spans="1:125" s="214" customFormat="1" x14ac:dyDescent="0.2">
      <c r="B77" s="602" t="s">
        <v>237</v>
      </c>
      <c r="C77" s="602" t="s">
        <v>236</v>
      </c>
      <c r="D77" s="239">
        <v>39457921</v>
      </c>
      <c r="E77" s="239">
        <v>31566337</v>
      </c>
      <c r="F77" s="239">
        <v>7102426</v>
      </c>
      <c r="G77" s="239">
        <v>789158</v>
      </c>
      <c r="H77" s="239">
        <v>78915842</v>
      </c>
      <c r="I77" s="239">
        <v>0</v>
      </c>
      <c r="J77" s="239">
        <v>0</v>
      </c>
      <c r="K77" s="239">
        <v>39457921</v>
      </c>
      <c r="L77" s="239">
        <v>168218</v>
      </c>
      <c r="M77" s="239">
        <v>168218</v>
      </c>
      <c r="N77" s="239">
        <v>0</v>
      </c>
      <c r="O77" s="239">
        <v>0</v>
      </c>
      <c r="P77" s="239">
        <v>0</v>
      </c>
      <c r="Q77" s="239">
        <v>0</v>
      </c>
      <c r="R77" s="239">
        <v>0</v>
      </c>
      <c r="S77" s="239">
        <v>0</v>
      </c>
      <c r="T77" s="239">
        <v>0</v>
      </c>
      <c r="U77" s="239">
        <v>0</v>
      </c>
      <c r="V77" s="239">
        <v>0</v>
      </c>
      <c r="W77" s="239">
        <v>0</v>
      </c>
      <c r="X77" s="239">
        <v>0</v>
      </c>
      <c r="Y77" s="239">
        <v>0</v>
      </c>
      <c r="Z77" s="239">
        <v>0</v>
      </c>
      <c r="AA77" s="239">
        <v>0</v>
      </c>
      <c r="AB77" s="239">
        <v>0</v>
      </c>
      <c r="AC77" s="239">
        <v>1259985</v>
      </c>
      <c r="AD77" s="239">
        <v>283498</v>
      </c>
      <c r="AE77" s="239">
        <v>31500</v>
      </c>
      <c r="AF77" s="239">
        <v>1574983</v>
      </c>
      <c r="AG77" s="239">
        <v>825534</v>
      </c>
      <c r="AH77" s="239">
        <v>660428</v>
      </c>
      <c r="AI77" s="239">
        <v>148596</v>
      </c>
      <c r="AJ77" s="239">
        <v>16511</v>
      </c>
      <c r="AK77" s="239">
        <v>1651069</v>
      </c>
      <c r="AL77" s="239">
        <v>-1648182</v>
      </c>
      <c r="AM77" s="239">
        <v>-1318546</v>
      </c>
      <c r="AN77" s="239">
        <v>-296673</v>
      </c>
      <c r="AO77" s="239">
        <v>-32964</v>
      </c>
      <c r="AP77" s="239">
        <v>-3296365</v>
      </c>
      <c r="AQ77" s="239">
        <v>-671888</v>
      </c>
      <c r="AR77" s="239">
        <v>-537511</v>
      </c>
      <c r="AS77" s="239">
        <v>-120940</v>
      </c>
      <c r="AT77" s="239">
        <v>-13438</v>
      </c>
      <c r="AU77" s="239">
        <v>-1343777</v>
      </c>
      <c r="AV77" s="239">
        <v>95738</v>
      </c>
      <c r="AW77" s="239">
        <v>76590</v>
      </c>
      <c r="AX77" s="239">
        <v>17233</v>
      </c>
      <c r="AY77" s="239">
        <v>1915</v>
      </c>
      <c r="AZ77" s="239">
        <v>191476</v>
      </c>
      <c r="BA77" s="239">
        <v>-92914</v>
      </c>
      <c r="BB77" s="239">
        <v>-74332</v>
      </c>
      <c r="BC77" s="239">
        <v>-16725</v>
      </c>
      <c r="BD77" s="239">
        <v>-1858</v>
      </c>
      <c r="BE77" s="239">
        <v>-185829</v>
      </c>
      <c r="BF77" s="239">
        <v>-669064</v>
      </c>
      <c r="BG77" s="239">
        <v>-535253</v>
      </c>
      <c r="BH77" s="239">
        <v>-120432</v>
      </c>
      <c r="BI77" s="239">
        <v>-13381</v>
      </c>
      <c r="BJ77" s="239">
        <v>-1338130</v>
      </c>
      <c r="BK77" s="239">
        <v>-6186874</v>
      </c>
      <c r="BL77" s="239">
        <v>-4949498</v>
      </c>
      <c r="BM77" s="239">
        <v>-1113637</v>
      </c>
      <c r="BN77" s="239">
        <v>-123737</v>
      </c>
      <c r="BO77" s="239">
        <v>-12373746</v>
      </c>
      <c r="BP77" s="239">
        <v>752686</v>
      </c>
      <c r="BQ77" s="239">
        <v>602150</v>
      </c>
      <c r="BR77" s="239">
        <v>135484</v>
      </c>
      <c r="BS77" s="239">
        <v>15054</v>
      </c>
      <c r="BT77" s="239">
        <v>1505374</v>
      </c>
      <c r="BU77" s="239">
        <v>-2940920</v>
      </c>
      <c r="BV77" s="239">
        <v>-2352735</v>
      </c>
      <c r="BW77" s="239">
        <v>-529365</v>
      </c>
      <c r="BX77" s="239">
        <v>-58818</v>
      </c>
      <c r="BY77" s="239">
        <v>-5881838</v>
      </c>
      <c r="BZ77" s="239">
        <v>-8375108</v>
      </c>
      <c r="CA77" s="239">
        <v>-6700083</v>
      </c>
      <c r="CB77" s="239">
        <v>-1507518</v>
      </c>
      <c r="CC77" s="239">
        <v>-167501</v>
      </c>
      <c r="CD77" s="239">
        <v>-16750210</v>
      </c>
      <c r="CE77" s="239">
        <v>970142</v>
      </c>
      <c r="CF77" s="239">
        <v>776115</v>
      </c>
      <c r="CG77" s="239">
        <v>174626</v>
      </c>
      <c r="CH77" s="239">
        <v>19403</v>
      </c>
      <c r="CI77" s="239">
        <v>1940286</v>
      </c>
      <c r="CJ77" s="239">
        <v>589001</v>
      </c>
      <c r="CK77" s="239">
        <v>471201</v>
      </c>
      <c r="CL77" s="239">
        <v>106020</v>
      </c>
      <c r="CM77" s="239">
        <v>11780</v>
      </c>
      <c r="CN77" s="239">
        <v>1178002</v>
      </c>
      <c r="CO77" s="239">
        <v>381141</v>
      </c>
      <c r="CP77" s="239">
        <v>304914</v>
      </c>
      <c r="CQ77" s="239">
        <v>68606</v>
      </c>
      <c r="CR77" s="239">
        <v>7623</v>
      </c>
      <c r="CS77" s="239">
        <v>762284</v>
      </c>
      <c r="CT77" s="239">
        <v>39602794</v>
      </c>
      <c r="CU77" s="239">
        <v>31682235</v>
      </c>
      <c r="CV77" s="239">
        <v>7128503</v>
      </c>
      <c r="CW77" s="239">
        <v>792056</v>
      </c>
      <c r="CX77" s="239">
        <v>79205588</v>
      </c>
      <c r="CY77" s="239">
        <v>39457921</v>
      </c>
      <c r="CZ77" s="239">
        <v>31566337</v>
      </c>
      <c r="DA77" s="239">
        <v>7102426</v>
      </c>
      <c r="DB77" s="239">
        <v>789158</v>
      </c>
      <c r="DC77" s="239">
        <v>78915842</v>
      </c>
      <c r="DD77" s="239">
        <v>-144873</v>
      </c>
      <c r="DE77" s="239">
        <v>-115898</v>
      </c>
      <c r="DF77" s="239">
        <v>-26077</v>
      </c>
      <c r="DG77" s="239">
        <v>-2898</v>
      </c>
      <c r="DH77" s="239">
        <v>-289746</v>
      </c>
      <c r="DI77" s="239">
        <v>236268</v>
      </c>
      <c r="DJ77" s="239">
        <v>189016</v>
      </c>
      <c r="DK77" s="239">
        <v>42529</v>
      </c>
      <c r="DL77" s="239">
        <v>4725</v>
      </c>
      <c r="DM77" s="239">
        <v>472538</v>
      </c>
      <c r="DN77" s="835">
        <v>0.5</v>
      </c>
      <c r="DO77" s="835">
        <v>0.4</v>
      </c>
      <c r="DP77" s="835">
        <v>0.09</v>
      </c>
      <c r="DQ77" s="835">
        <v>0.01</v>
      </c>
      <c r="DR77" s="835">
        <v>1</v>
      </c>
      <c r="DS77" s="214" t="s">
        <v>1158</v>
      </c>
      <c r="DU77" s="214">
        <v>0</v>
      </c>
    </row>
    <row r="78" spans="1:125" s="214" customFormat="1" x14ac:dyDescent="0.2">
      <c r="B78" s="602" t="s">
        <v>239</v>
      </c>
      <c r="C78" s="602" t="s">
        <v>238</v>
      </c>
      <c r="D78" s="239">
        <v>21980644</v>
      </c>
      <c r="E78" s="239">
        <v>17584516</v>
      </c>
      <c r="F78" s="239">
        <v>4396129</v>
      </c>
      <c r="G78" s="239">
        <v>0</v>
      </c>
      <c r="H78" s="239">
        <v>43961289</v>
      </c>
      <c r="I78" s="239">
        <v>0</v>
      </c>
      <c r="J78" s="239">
        <v>0</v>
      </c>
      <c r="K78" s="239">
        <v>21980644</v>
      </c>
      <c r="L78" s="239">
        <v>119376</v>
      </c>
      <c r="M78" s="239">
        <v>119376</v>
      </c>
      <c r="N78" s="239">
        <v>0</v>
      </c>
      <c r="O78" s="239">
        <v>0</v>
      </c>
      <c r="P78" s="239">
        <v>797074</v>
      </c>
      <c r="Q78" s="239">
        <v>0</v>
      </c>
      <c r="R78" s="239">
        <v>797074</v>
      </c>
      <c r="S78" s="239">
        <v>0</v>
      </c>
      <c r="T78" s="239">
        <v>0</v>
      </c>
      <c r="U78" s="239">
        <v>0</v>
      </c>
      <c r="V78" s="239">
        <v>0</v>
      </c>
      <c r="W78" s="239">
        <v>0</v>
      </c>
      <c r="X78" s="239">
        <v>0</v>
      </c>
      <c r="Y78" s="239">
        <v>0</v>
      </c>
      <c r="Z78" s="239">
        <v>0</v>
      </c>
      <c r="AA78" s="239">
        <v>0</v>
      </c>
      <c r="AB78" s="239">
        <v>0</v>
      </c>
      <c r="AC78" s="239">
        <v>1185109</v>
      </c>
      <c r="AD78" s="239">
        <v>293284</v>
      </c>
      <c r="AE78" s="239">
        <v>0</v>
      </c>
      <c r="AF78" s="239">
        <v>1478393</v>
      </c>
      <c r="AG78" s="239">
        <v>128852</v>
      </c>
      <c r="AH78" s="239">
        <v>103082</v>
      </c>
      <c r="AI78" s="239">
        <v>25770</v>
      </c>
      <c r="AJ78" s="239">
        <v>0</v>
      </c>
      <c r="AK78" s="239">
        <v>257704</v>
      </c>
      <c r="AL78" s="239">
        <v>-153061</v>
      </c>
      <c r="AM78" s="239">
        <v>-122449</v>
      </c>
      <c r="AN78" s="239">
        <v>-30612</v>
      </c>
      <c r="AO78" s="239">
        <v>0</v>
      </c>
      <c r="AP78" s="239">
        <v>-306122</v>
      </c>
      <c r="AQ78" s="239">
        <v>-104598</v>
      </c>
      <c r="AR78" s="239">
        <v>-83678</v>
      </c>
      <c r="AS78" s="239">
        <v>-20920</v>
      </c>
      <c r="AT78" s="239">
        <v>0</v>
      </c>
      <c r="AU78" s="239">
        <v>-209196</v>
      </c>
      <c r="AV78" s="239">
        <v>24042</v>
      </c>
      <c r="AW78" s="239">
        <v>19234</v>
      </c>
      <c r="AX78" s="239">
        <v>4808</v>
      </c>
      <c r="AY78" s="239">
        <v>0</v>
      </c>
      <c r="AZ78" s="239">
        <v>48084</v>
      </c>
      <c r="BA78" s="239">
        <v>-1806</v>
      </c>
      <c r="BB78" s="239">
        <v>-1445</v>
      </c>
      <c r="BC78" s="239">
        <v>-361</v>
      </c>
      <c r="BD78" s="239">
        <v>0</v>
      </c>
      <c r="BE78" s="239">
        <v>-3612</v>
      </c>
      <c r="BF78" s="239">
        <v>-82362</v>
      </c>
      <c r="BG78" s="239">
        <v>-65889</v>
      </c>
      <c r="BH78" s="239">
        <v>-16473</v>
      </c>
      <c r="BI78" s="239">
        <v>0</v>
      </c>
      <c r="BJ78" s="239">
        <v>-164724</v>
      </c>
      <c r="BK78" s="239">
        <v>-1201506</v>
      </c>
      <c r="BL78" s="239">
        <v>-961204</v>
      </c>
      <c r="BM78" s="239">
        <v>-240301</v>
      </c>
      <c r="BN78" s="239">
        <v>0</v>
      </c>
      <c r="BO78" s="239">
        <v>-2403011</v>
      </c>
      <c r="BP78" s="239">
        <v>341544</v>
      </c>
      <c r="BQ78" s="239">
        <v>273236</v>
      </c>
      <c r="BR78" s="239">
        <v>68309</v>
      </c>
      <c r="BS78" s="239">
        <v>0</v>
      </c>
      <c r="BT78" s="239">
        <v>683089</v>
      </c>
      <c r="BU78" s="239">
        <v>-738433</v>
      </c>
      <c r="BV78" s="239">
        <v>-590746</v>
      </c>
      <c r="BW78" s="239">
        <v>-147687</v>
      </c>
      <c r="BX78" s="239">
        <v>0</v>
      </c>
      <c r="BY78" s="239">
        <v>-1476866</v>
      </c>
      <c r="BZ78" s="239">
        <v>-1598395</v>
      </c>
      <c r="CA78" s="239">
        <v>-1278714</v>
      </c>
      <c r="CB78" s="239">
        <v>-319679</v>
      </c>
      <c r="CC78" s="239">
        <v>0</v>
      </c>
      <c r="CD78" s="239">
        <v>-3196788</v>
      </c>
      <c r="CE78" s="239">
        <v>1359300</v>
      </c>
      <c r="CF78" s="239">
        <v>1087440</v>
      </c>
      <c r="CG78" s="239">
        <v>271860</v>
      </c>
      <c r="CH78" s="239">
        <v>0</v>
      </c>
      <c r="CI78" s="239">
        <v>2718600</v>
      </c>
      <c r="CJ78" s="239">
        <v>1251287</v>
      </c>
      <c r="CK78" s="239">
        <v>1001029</v>
      </c>
      <c r="CL78" s="239">
        <v>250257</v>
      </c>
      <c r="CM78" s="239">
        <v>0</v>
      </c>
      <c r="CN78" s="239">
        <v>2502573</v>
      </c>
      <c r="CO78" s="239">
        <v>108013</v>
      </c>
      <c r="CP78" s="239">
        <v>86411</v>
      </c>
      <c r="CQ78" s="239">
        <v>21603</v>
      </c>
      <c r="CR78" s="239">
        <v>0</v>
      </c>
      <c r="CS78" s="239">
        <v>216027</v>
      </c>
      <c r="CT78" s="239">
        <v>22141089</v>
      </c>
      <c r="CU78" s="239">
        <v>17712872</v>
      </c>
      <c r="CV78" s="239">
        <v>4428218</v>
      </c>
      <c r="CW78" s="239">
        <v>0</v>
      </c>
      <c r="CX78" s="239">
        <v>44282179</v>
      </c>
      <c r="CY78" s="239">
        <v>21980644</v>
      </c>
      <c r="CZ78" s="239">
        <v>17584516</v>
      </c>
      <c r="DA78" s="239">
        <v>4396129</v>
      </c>
      <c r="DB78" s="239">
        <v>0</v>
      </c>
      <c r="DC78" s="239">
        <v>43961289</v>
      </c>
      <c r="DD78" s="239">
        <v>-160445</v>
      </c>
      <c r="DE78" s="239">
        <v>-128356</v>
      </c>
      <c r="DF78" s="239">
        <v>-32089</v>
      </c>
      <c r="DG78" s="239">
        <v>0</v>
      </c>
      <c r="DH78" s="239">
        <v>-320890</v>
      </c>
      <c r="DI78" s="239">
        <v>-52432</v>
      </c>
      <c r="DJ78" s="239">
        <v>-41945</v>
      </c>
      <c r="DK78" s="239">
        <v>-10486</v>
      </c>
      <c r="DL78" s="239">
        <v>0</v>
      </c>
      <c r="DM78" s="239">
        <v>-104863</v>
      </c>
      <c r="DN78" s="835">
        <v>0.5</v>
      </c>
      <c r="DO78" s="835">
        <v>0.4</v>
      </c>
      <c r="DP78" s="835">
        <v>0.1</v>
      </c>
      <c r="DQ78" s="835">
        <v>0</v>
      </c>
      <c r="DR78" s="835">
        <v>1</v>
      </c>
      <c r="DS78" s="214" t="s">
        <v>1158</v>
      </c>
      <c r="DU78" s="214">
        <v>0</v>
      </c>
    </row>
    <row r="79" spans="1:125" s="214" customFormat="1" x14ac:dyDescent="0.2">
      <c r="B79" s="602" t="s">
        <v>241</v>
      </c>
      <c r="C79" s="602" t="s">
        <v>240</v>
      </c>
      <c r="D79" s="239">
        <v>45127880</v>
      </c>
      <c r="E79" s="239">
        <v>44225322</v>
      </c>
      <c r="F79" s="239">
        <v>0</v>
      </c>
      <c r="G79" s="239">
        <v>902558</v>
      </c>
      <c r="H79" s="239">
        <v>90255760</v>
      </c>
      <c r="I79" s="239">
        <v>36402</v>
      </c>
      <c r="J79" s="239">
        <v>36402</v>
      </c>
      <c r="K79" s="239">
        <v>45091478</v>
      </c>
      <c r="L79" s="239">
        <v>314953</v>
      </c>
      <c r="M79" s="239">
        <v>314953</v>
      </c>
      <c r="N79" s="239">
        <v>87559</v>
      </c>
      <c r="O79" s="239">
        <v>87559</v>
      </c>
      <c r="P79" s="239">
        <v>743634</v>
      </c>
      <c r="Q79" s="239">
        <v>0</v>
      </c>
      <c r="R79" s="239">
        <v>743634</v>
      </c>
      <c r="S79" s="239">
        <v>36401.714592274679</v>
      </c>
      <c r="T79" s="239">
        <v>0</v>
      </c>
      <c r="U79" s="239">
        <v>0</v>
      </c>
      <c r="V79" s="239">
        <v>36401.714592274679</v>
      </c>
      <c r="W79" s="239">
        <v>0</v>
      </c>
      <c r="X79" s="239">
        <v>0</v>
      </c>
      <c r="Y79" s="239">
        <v>0</v>
      </c>
      <c r="Z79" s="239">
        <v>0</v>
      </c>
      <c r="AA79" s="239">
        <v>0</v>
      </c>
      <c r="AB79" s="239">
        <v>0</v>
      </c>
      <c r="AC79" s="239">
        <v>3093046</v>
      </c>
      <c r="AD79" s="239">
        <v>0</v>
      </c>
      <c r="AE79" s="239">
        <v>62706</v>
      </c>
      <c r="AF79" s="239">
        <v>3155752</v>
      </c>
      <c r="AG79" s="239">
        <v>2814714</v>
      </c>
      <c r="AH79" s="239">
        <v>2758420</v>
      </c>
      <c r="AI79" s="239">
        <v>0</v>
      </c>
      <c r="AJ79" s="239">
        <v>56294</v>
      </c>
      <c r="AK79" s="239">
        <v>5629428</v>
      </c>
      <c r="AL79" s="239">
        <v>-298365</v>
      </c>
      <c r="AM79" s="239">
        <v>-292397</v>
      </c>
      <c r="AN79" s="239">
        <v>0</v>
      </c>
      <c r="AO79" s="239">
        <v>-5967</v>
      </c>
      <c r="AP79" s="239">
        <v>-596729</v>
      </c>
      <c r="AQ79" s="239">
        <v>-2181474</v>
      </c>
      <c r="AR79" s="239">
        <v>-2137846</v>
      </c>
      <c r="AS79" s="239">
        <v>0</v>
      </c>
      <c r="AT79" s="239">
        <v>-43630</v>
      </c>
      <c r="AU79" s="239">
        <v>-4362950</v>
      </c>
      <c r="AV79" s="239">
        <v>1051078</v>
      </c>
      <c r="AW79" s="239">
        <v>1030056</v>
      </c>
      <c r="AX79" s="239">
        <v>0</v>
      </c>
      <c r="AY79" s="239">
        <v>21022</v>
      </c>
      <c r="AZ79" s="239">
        <v>2102156</v>
      </c>
      <c r="BA79" s="239">
        <v>-287408</v>
      </c>
      <c r="BB79" s="239">
        <v>-281659</v>
      </c>
      <c r="BC79" s="239">
        <v>0</v>
      </c>
      <c r="BD79" s="239">
        <v>-5748</v>
      </c>
      <c r="BE79" s="239">
        <v>-574815</v>
      </c>
      <c r="BF79" s="239">
        <v>-1417804</v>
      </c>
      <c r="BG79" s="239">
        <v>-1389449</v>
      </c>
      <c r="BH79" s="239">
        <v>0</v>
      </c>
      <c r="BI79" s="239">
        <v>-28356</v>
      </c>
      <c r="BJ79" s="239">
        <v>-2835609</v>
      </c>
      <c r="BK79" s="239">
        <v>-4036602</v>
      </c>
      <c r="BL79" s="239">
        <v>-3955869</v>
      </c>
      <c r="BM79" s="239">
        <v>0</v>
      </c>
      <c r="BN79" s="239">
        <v>-80732</v>
      </c>
      <c r="BO79" s="239">
        <v>-8073203</v>
      </c>
      <c r="BP79" s="239">
        <v>2596051</v>
      </c>
      <c r="BQ79" s="239">
        <v>2544129</v>
      </c>
      <c r="BR79" s="239">
        <v>0</v>
      </c>
      <c r="BS79" s="239">
        <v>51921</v>
      </c>
      <c r="BT79" s="239">
        <v>5192101</v>
      </c>
      <c r="BU79" s="239">
        <v>-852131</v>
      </c>
      <c r="BV79" s="239">
        <v>-835088</v>
      </c>
      <c r="BW79" s="239">
        <v>0</v>
      </c>
      <c r="BX79" s="239">
        <v>-17043</v>
      </c>
      <c r="BY79" s="239">
        <v>-1704262</v>
      </c>
      <c r="BZ79" s="239">
        <v>-2292682</v>
      </c>
      <c r="CA79" s="239">
        <v>-2246828</v>
      </c>
      <c r="CB79" s="239">
        <v>0</v>
      </c>
      <c r="CC79" s="239">
        <v>-45854</v>
      </c>
      <c r="CD79" s="239">
        <v>-4585364</v>
      </c>
      <c r="CE79" s="239">
        <v>-2687297.5</v>
      </c>
      <c r="CF79" s="239">
        <v>-2633551.4500000002</v>
      </c>
      <c r="CG79" s="239">
        <v>0</v>
      </c>
      <c r="CH79" s="239">
        <v>-53747.05</v>
      </c>
      <c r="CI79" s="239">
        <v>-5374596</v>
      </c>
      <c r="CJ79" s="239">
        <v>-604041</v>
      </c>
      <c r="CK79" s="239">
        <v>-591961</v>
      </c>
      <c r="CL79" s="239">
        <v>0</v>
      </c>
      <c r="CM79" s="239">
        <v>-12081</v>
      </c>
      <c r="CN79" s="239">
        <v>-1208083</v>
      </c>
      <c r="CO79" s="239">
        <v>-2083256.5</v>
      </c>
      <c r="CP79" s="239">
        <v>-2041590.4500000002</v>
      </c>
      <c r="CQ79" s="239">
        <v>0</v>
      </c>
      <c r="CR79" s="239">
        <v>-41666.050000000003</v>
      </c>
      <c r="CS79" s="239">
        <v>-4166513</v>
      </c>
      <c r="CT79" s="239">
        <v>44746531</v>
      </c>
      <c r="CU79" s="239">
        <v>43851600</v>
      </c>
      <c r="CV79" s="239">
        <v>0</v>
      </c>
      <c r="CW79" s="239">
        <v>894931</v>
      </c>
      <c r="CX79" s="239">
        <v>89493062</v>
      </c>
      <c r="CY79" s="239">
        <v>45127880</v>
      </c>
      <c r="CZ79" s="239">
        <v>44225322</v>
      </c>
      <c r="DA79" s="239">
        <v>0</v>
      </c>
      <c r="DB79" s="239">
        <v>902558</v>
      </c>
      <c r="DC79" s="239">
        <v>90255760</v>
      </c>
      <c r="DD79" s="239">
        <v>381349</v>
      </c>
      <c r="DE79" s="239">
        <v>373722</v>
      </c>
      <c r="DF79" s="239">
        <v>0</v>
      </c>
      <c r="DG79" s="239">
        <v>7627</v>
      </c>
      <c r="DH79" s="239">
        <v>762698</v>
      </c>
      <c r="DI79" s="239">
        <v>-1701907.5</v>
      </c>
      <c r="DJ79" s="239">
        <v>-1667868.4500000002</v>
      </c>
      <c r="DK79" s="239">
        <v>0</v>
      </c>
      <c r="DL79" s="239">
        <v>-34039.050000000003</v>
      </c>
      <c r="DM79" s="239">
        <v>-3403815</v>
      </c>
      <c r="DN79" s="835">
        <v>0.5</v>
      </c>
      <c r="DO79" s="835">
        <v>0.49</v>
      </c>
      <c r="DP79" s="835">
        <v>0</v>
      </c>
      <c r="DQ79" s="835">
        <v>0.01</v>
      </c>
      <c r="DR79" s="835">
        <v>1</v>
      </c>
      <c r="DS79" s="214" t="s">
        <v>746</v>
      </c>
      <c r="DU79" s="214">
        <v>0</v>
      </c>
    </row>
    <row r="80" spans="1:125" s="214" customFormat="1" x14ac:dyDescent="0.2">
      <c r="B80" s="602" t="s">
        <v>243</v>
      </c>
      <c r="C80" s="602" t="s">
        <v>242</v>
      </c>
      <c r="D80" s="239">
        <v>9447041</v>
      </c>
      <c r="E80" s="239">
        <v>7557633</v>
      </c>
      <c r="F80" s="239">
        <v>1700467</v>
      </c>
      <c r="G80" s="239">
        <v>188941</v>
      </c>
      <c r="H80" s="239">
        <v>18894082</v>
      </c>
      <c r="I80" s="239">
        <v>0</v>
      </c>
      <c r="J80" s="239">
        <v>0</v>
      </c>
      <c r="K80" s="239">
        <v>9447041</v>
      </c>
      <c r="L80" s="239">
        <v>147507</v>
      </c>
      <c r="M80" s="239">
        <v>147507</v>
      </c>
      <c r="N80" s="239">
        <v>0</v>
      </c>
      <c r="O80" s="239">
        <v>0</v>
      </c>
      <c r="P80" s="239">
        <v>154866</v>
      </c>
      <c r="Q80" s="239">
        <v>0</v>
      </c>
      <c r="R80" s="239">
        <v>154866</v>
      </c>
      <c r="S80" s="239">
        <v>0</v>
      </c>
      <c r="T80" s="239">
        <v>0</v>
      </c>
      <c r="U80" s="239">
        <v>0</v>
      </c>
      <c r="V80" s="239">
        <v>0</v>
      </c>
      <c r="W80" s="239">
        <v>0</v>
      </c>
      <c r="X80" s="239">
        <v>0</v>
      </c>
      <c r="Y80" s="239">
        <v>0</v>
      </c>
      <c r="Z80" s="239">
        <v>0</v>
      </c>
      <c r="AA80" s="239">
        <v>0</v>
      </c>
      <c r="AB80" s="239">
        <v>0</v>
      </c>
      <c r="AC80" s="239">
        <v>1419493</v>
      </c>
      <c r="AD80" s="239">
        <v>318863</v>
      </c>
      <c r="AE80" s="239">
        <v>35429</v>
      </c>
      <c r="AF80" s="239">
        <v>1773785</v>
      </c>
      <c r="AG80" s="239">
        <v>364860</v>
      </c>
      <c r="AH80" s="239">
        <v>291888</v>
      </c>
      <c r="AI80" s="239">
        <v>65675</v>
      </c>
      <c r="AJ80" s="239">
        <v>7297</v>
      </c>
      <c r="AK80" s="239">
        <v>729720</v>
      </c>
      <c r="AL80" s="239">
        <v>-137786</v>
      </c>
      <c r="AM80" s="239">
        <v>-110230</v>
      </c>
      <c r="AN80" s="239">
        <v>-24802</v>
      </c>
      <c r="AO80" s="239">
        <v>-2756</v>
      </c>
      <c r="AP80" s="239">
        <v>-275574</v>
      </c>
      <c r="AQ80" s="239">
        <v>-82500</v>
      </c>
      <c r="AR80" s="239">
        <v>-66000</v>
      </c>
      <c r="AS80" s="239">
        <v>-14850</v>
      </c>
      <c r="AT80" s="239">
        <v>-1650</v>
      </c>
      <c r="AU80" s="239">
        <v>-165000</v>
      </c>
      <c r="AV80" s="239">
        <v>77379</v>
      </c>
      <c r="AW80" s="239">
        <v>61903</v>
      </c>
      <c r="AX80" s="239">
        <v>13928</v>
      </c>
      <c r="AY80" s="239">
        <v>1548</v>
      </c>
      <c r="AZ80" s="239">
        <v>154758</v>
      </c>
      <c r="BA80" s="239">
        <v>-64789</v>
      </c>
      <c r="BB80" s="239">
        <v>-51831</v>
      </c>
      <c r="BC80" s="239">
        <v>-11662</v>
      </c>
      <c r="BD80" s="239">
        <v>-1296</v>
      </c>
      <c r="BE80" s="239">
        <v>-129578</v>
      </c>
      <c r="BF80" s="239">
        <v>-69910</v>
      </c>
      <c r="BG80" s="239">
        <v>-55928</v>
      </c>
      <c r="BH80" s="239">
        <v>-12584</v>
      </c>
      <c r="BI80" s="239">
        <v>-1398</v>
      </c>
      <c r="BJ80" s="239">
        <v>-139820</v>
      </c>
      <c r="BK80" s="239">
        <v>-318000</v>
      </c>
      <c r="BL80" s="239">
        <v>-254400</v>
      </c>
      <c r="BM80" s="239">
        <v>-57240</v>
      </c>
      <c r="BN80" s="239">
        <v>-6360</v>
      </c>
      <c r="BO80" s="239">
        <v>-636000</v>
      </c>
      <c r="BP80" s="239">
        <v>453139</v>
      </c>
      <c r="BQ80" s="239">
        <v>362512</v>
      </c>
      <c r="BR80" s="239">
        <v>81565</v>
      </c>
      <c r="BS80" s="239">
        <v>9063</v>
      </c>
      <c r="BT80" s="239">
        <v>906279</v>
      </c>
      <c r="BU80" s="239">
        <v>-410924</v>
      </c>
      <c r="BV80" s="239">
        <v>-328738</v>
      </c>
      <c r="BW80" s="239">
        <v>-73966</v>
      </c>
      <c r="BX80" s="239">
        <v>-8218</v>
      </c>
      <c r="BY80" s="239">
        <v>-821846</v>
      </c>
      <c r="BZ80" s="239">
        <v>-275785</v>
      </c>
      <c r="CA80" s="239">
        <v>-220626</v>
      </c>
      <c r="CB80" s="239">
        <v>-49641</v>
      </c>
      <c r="CC80" s="239">
        <v>-5515</v>
      </c>
      <c r="CD80" s="239">
        <v>-551567</v>
      </c>
      <c r="CE80" s="239">
        <v>-751633</v>
      </c>
      <c r="CF80" s="239">
        <v>-601309</v>
      </c>
      <c r="CG80" s="239">
        <v>-135295</v>
      </c>
      <c r="CH80" s="239">
        <v>-15033</v>
      </c>
      <c r="CI80" s="239">
        <v>-1503270</v>
      </c>
      <c r="CJ80" s="239">
        <v>-78372</v>
      </c>
      <c r="CK80" s="239">
        <v>-62697</v>
      </c>
      <c r="CL80" s="239">
        <v>-14107</v>
      </c>
      <c r="CM80" s="239">
        <v>-1567</v>
      </c>
      <c r="CN80" s="239">
        <v>-156743</v>
      </c>
      <c r="CO80" s="239">
        <v>-673261</v>
      </c>
      <c r="CP80" s="239">
        <v>-538612</v>
      </c>
      <c r="CQ80" s="239">
        <v>-121188</v>
      </c>
      <c r="CR80" s="239">
        <v>-13466</v>
      </c>
      <c r="CS80" s="239">
        <v>-1346527</v>
      </c>
      <c r="CT80" s="239">
        <v>9756425</v>
      </c>
      <c r="CU80" s="239">
        <v>7805139</v>
      </c>
      <c r="CV80" s="239">
        <v>1756156</v>
      </c>
      <c r="CW80" s="239">
        <v>195128</v>
      </c>
      <c r="CX80" s="239">
        <v>19512848</v>
      </c>
      <c r="CY80" s="239">
        <v>9447041</v>
      </c>
      <c r="CZ80" s="239">
        <v>7557633</v>
      </c>
      <c r="DA80" s="239">
        <v>1700467</v>
      </c>
      <c r="DB80" s="239">
        <v>188941</v>
      </c>
      <c r="DC80" s="239">
        <v>18894082</v>
      </c>
      <c r="DD80" s="239">
        <v>-309384</v>
      </c>
      <c r="DE80" s="239">
        <v>-247506</v>
      </c>
      <c r="DF80" s="239">
        <v>-55689</v>
      </c>
      <c r="DG80" s="239">
        <v>-6187</v>
      </c>
      <c r="DH80" s="239">
        <v>-618766</v>
      </c>
      <c r="DI80" s="239">
        <v>-982645</v>
      </c>
      <c r="DJ80" s="239">
        <v>-786118</v>
      </c>
      <c r="DK80" s="239">
        <v>-176877</v>
      </c>
      <c r="DL80" s="239">
        <v>-19653</v>
      </c>
      <c r="DM80" s="239">
        <v>-1965293</v>
      </c>
      <c r="DN80" s="835">
        <v>0.5</v>
      </c>
      <c r="DO80" s="835">
        <v>0.4</v>
      </c>
      <c r="DP80" s="835">
        <v>0.09</v>
      </c>
      <c r="DQ80" s="835">
        <v>0.01</v>
      </c>
      <c r="DR80" s="835">
        <v>1</v>
      </c>
      <c r="DS80" s="214" t="s">
        <v>1158</v>
      </c>
      <c r="DU80" s="214">
        <v>0</v>
      </c>
    </row>
    <row r="81" spans="1:125" s="214" customFormat="1" x14ac:dyDescent="0.2">
      <c r="B81" s="602" t="s">
        <v>245</v>
      </c>
      <c r="C81" s="602" t="s">
        <v>244</v>
      </c>
      <c r="D81" s="239">
        <v>45215957</v>
      </c>
      <c r="E81" s="239">
        <v>44311638</v>
      </c>
      <c r="F81" s="239">
        <v>0</v>
      </c>
      <c r="G81" s="239">
        <v>904319</v>
      </c>
      <c r="H81" s="239">
        <v>90431914</v>
      </c>
      <c r="I81" s="239">
        <v>0</v>
      </c>
      <c r="J81" s="239">
        <v>0</v>
      </c>
      <c r="K81" s="239">
        <v>45215957</v>
      </c>
      <c r="L81" s="239">
        <v>371344</v>
      </c>
      <c r="M81" s="239">
        <v>371344</v>
      </c>
      <c r="N81" s="239">
        <v>0</v>
      </c>
      <c r="O81" s="239">
        <v>0</v>
      </c>
      <c r="P81" s="239">
        <v>196728</v>
      </c>
      <c r="Q81" s="239">
        <v>0</v>
      </c>
      <c r="R81" s="239">
        <v>196728</v>
      </c>
      <c r="S81" s="239">
        <v>0</v>
      </c>
      <c r="T81" s="239">
        <v>0</v>
      </c>
      <c r="U81" s="239">
        <v>0</v>
      </c>
      <c r="V81" s="239">
        <v>0</v>
      </c>
      <c r="W81" s="239">
        <v>0</v>
      </c>
      <c r="X81" s="239">
        <v>0</v>
      </c>
      <c r="Y81" s="239">
        <v>0</v>
      </c>
      <c r="Z81" s="239">
        <v>0</v>
      </c>
      <c r="AA81" s="239">
        <v>0</v>
      </c>
      <c r="AB81" s="239">
        <v>0</v>
      </c>
      <c r="AC81" s="239">
        <v>3951899</v>
      </c>
      <c r="AD81" s="239">
        <v>0</v>
      </c>
      <c r="AE81" s="239">
        <v>80590</v>
      </c>
      <c r="AF81" s="239">
        <v>4032489</v>
      </c>
      <c r="AG81" s="239">
        <v>2995174</v>
      </c>
      <c r="AH81" s="239">
        <v>2935271</v>
      </c>
      <c r="AI81" s="239">
        <v>0</v>
      </c>
      <c r="AJ81" s="239">
        <v>59903</v>
      </c>
      <c r="AK81" s="239">
        <v>5990348</v>
      </c>
      <c r="AL81" s="239">
        <v>-635655</v>
      </c>
      <c r="AM81" s="239">
        <v>-622941</v>
      </c>
      <c r="AN81" s="239">
        <v>0</v>
      </c>
      <c r="AO81" s="239">
        <v>-12713</v>
      </c>
      <c r="AP81" s="239">
        <v>-1271309</v>
      </c>
      <c r="AQ81" s="239">
        <v>-1687563</v>
      </c>
      <c r="AR81" s="239">
        <v>-1653811</v>
      </c>
      <c r="AS81" s="239">
        <v>0</v>
      </c>
      <c r="AT81" s="239">
        <v>-33751</v>
      </c>
      <c r="AU81" s="239">
        <v>-3375125</v>
      </c>
      <c r="AV81" s="239">
        <v>1042033</v>
      </c>
      <c r="AW81" s="239">
        <v>1021193</v>
      </c>
      <c r="AX81" s="239">
        <v>0</v>
      </c>
      <c r="AY81" s="239">
        <v>20841</v>
      </c>
      <c r="AZ81" s="239">
        <v>2084067</v>
      </c>
      <c r="BA81" s="239">
        <v>-704601</v>
      </c>
      <c r="BB81" s="239">
        <v>-690508</v>
      </c>
      <c r="BC81" s="239">
        <v>0</v>
      </c>
      <c r="BD81" s="239">
        <v>-14092</v>
      </c>
      <c r="BE81" s="239">
        <v>-1409201</v>
      </c>
      <c r="BF81" s="239">
        <v>-1350131</v>
      </c>
      <c r="BG81" s="239">
        <v>-1323126</v>
      </c>
      <c r="BH81" s="239">
        <v>0</v>
      </c>
      <c r="BI81" s="239">
        <v>-27002</v>
      </c>
      <c r="BJ81" s="239">
        <v>-2700259</v>
      </c>
      <c r="BK81" s="239">
        <v>-3396398</v>
      </c>
      <c r="BL81" s="239">
        <v>-3328471</v>
      </c>
      <c r="BM81" s="239">
        <v>0</v>
      </c>
      <c r="BN81" s="239">
        <v>-67928</v>
      </c>
      <c r="BO81" s="239">
        <v>-6792797</v>
      </c>
      <c r="BP81" s="239">
        <v>1253957</v>
      </c>
      <c r="BQ81" s="239">
        <v>1228877</v>
      </c>
      <c r="BR81" s="239">
        <v>0</v>
      </c>
      <c r="BS81" s="239">
        <v>25079</v>
      </c>
      <c r="BT81" s="239">
        <v>2507913</v>
      </c>
      <c r="BU81" s="239">
        <v>-2150872</v>
      </c>
      <c r="BV81" s="239">
        <v>-2107855</v>
      </c>
      <c r="BW81" s="239">
        <v>0</v>
      </c>
      <c r="BX81" s="239">
        <v>-43017</v>
      </c>
      <c r="BY81" s="239">
        <v>-4301744</v>
      </c>
      <c r="BZ81" s="239">
        <v>-4293313</v>
      </c>
      <c r="CA81" s="239">
        <v>-4207449</v>
      </c>
      <c r="CB81" s="239">
        <v>0</v>
      </c>
      <c r="CC81" s="239">
        <v>-85866</v>
      </c>
      <c r="CD81" s="239">
        <v>-8586628</v>
      </c>
      <c r="CE81" s="239">
        <v>-1170198</v>
      </c>
      <c r="CF81" s="239">
        <v>-1146793</v>
      </c>
      <c r="CG81" s="239">
        <v>0</v>
      </c>
      <c r="CH81" s="239">
        <v>-23403</v>
      </c>
      <c r="CI81" s="239">
        <v>-2340394</v>
      </c>
      <c r="CJ81" s="239">
        <v>-497840</v>
      </c>
      <c r="CK81" s="239">
        <v>-487883</v>
      </c>
      <c r="CL81" s="239">
        <v>0</v>
      </c>
      <c r="CM81" s="239">
        <v>-9957</v>
      </c>
      <c r="CN81" s="239">
        <v>-995680</v>
      </c>
      <c r="CO81" s="239">
        <v>-672358</v>
      </c>
      <c r="CP81" s="239">
        <v>-658910</v>
      </c>
      <c r="CQ81" s="239">
        <v>0</v>
      </c>
      <c r="CR81" s="239">
        <v>-13446</v>
      </c>
      <c r="CS81" s="239">
        <v>-1344714</v>
      </c>
      <c r="CT81" s="239">
        <v>45284617</v>
      </c>
      <c r="CU81" s="239">
        <v>44378924</v>
      </c>
      <c r="CV81" s="239">
        <v>0</v>
      </c>
      <c r="CW81" s="239">
        <v>905692</v>
      </c>
      <c r="CX81" s="239">
        <v>90569233</v>
      </c>
      <c r="CY81" s="239">
        <v>45215957</v>
      </c>
      <c r="CZ81" s="239">
        <v>44311638</v>
      </c>
      <c r="DA81" s="239">
        <v>0</v>
      </c>
      <c r="DB81" s="239">
        <v>904319</v>
      </c>
      <c r="DC81" s="239">
        <v>90431914</v>
      </c>
      <c r="DD81" s="239">
        <v>-68660</v>
      </c>
      <c r="DE81" s="239">
        <v>-67286</v>
      </c>
      <c r="DF81" s="239">
        <v>0</v>
      </c>
      <c r="DG81" s="239">
        <v>-1373</v>
      </c>
      <c r="DH81" s="239">
        <v>-137319</v>
      </c>
      <c r="DI81" s="239">
        <v>-741018</v>
      </c>
      <c r="DJ81" s="239">
        <v>-726196</v>
      </c>
      <c r="DK81" s="239">
        <v>0</v>
      </c>
      <c r="DL81" s="239">
        <v>-14819</v>
      </c>
      <c r="DM81" s="239">
        <v>-1482033</v>
      </c>
      <c r="DN81" s="835">
        <v>0.5</v>
      </c>
      <c r="DO81" s="835">
        <v>0.49</v>
      </c>
      <c r="DP81" s="835">
        <v>0</v>
      </c>
      <c r="DQ81" s="835">
        <v>0.01</v>
      </c>
      <c r="DR81" s="835">
        <v>1</v>
      </c>
      <c r="DS81" s="214" t="s">
        <v>1160</v>
      </c>
      <c r="DU81" s="214">
        <v>0</v>
      </c>
    </row>
    <row r="82" spans="1:125" s="214" customFormat="1" x14ac:dyDescent="0.2">
      <c r="B82" s="602" t="s">
        <v>247</v>
      </c>
      <c r="C82" s="602" t="s">
        <v>246</v>
      </c>
      <c r="D82" s="239">
        <v>17908520</v>
      </c>
      <c r="E82" s="239">
        <v>14326815</v>
      </c>
      <c r="F82" s="239">
        <v>3223533</v>
      </c>
      <c r="G82" s="239">
        <v>358170</v>
      </c>
      <c r="H82" s="239">
        <v>35817038</v>
      </c>
      <c r="I82" s="239">
        <v>1470205</v>
      </c>
      <c r="J82" s="239">
        <v>1470205</v>
      </c>
      <c r="K82" s="239">
        <v>16438315</v>
      </c>
      <c r="L82" s="239">
        <v>164215</v>
      </c>
      <c r="M82" s="239">
        <v>164215</v>
      </c>
      <c r="N82" s="239">
        <v>0</v>
      </c>
      <c r="O82" s="239">
        <v>0</v>
      </c>
      <c r="P82" s="239">
        <v>61103</v>
      </c>
      <c r="Q82" s="239">
        <v>0</v>
      </c>
      <c r="R82" s="239">
        <v>61103</v>
      </c>
      <c r="S82" s="239">
        <v>1176163.8300429184</v>
      </c>
      <c r="T82" s="239">
        <v>264636.86175965663</v>
      </c>
      <c r="U82" s="239">
        <v>29404.095751072964</v>
      </c>
      <c r="V82" s="239">
        <v>1470204.787553648</v>
      </c>
      <c r="W82" s="239">
        <v>0</v>
      </c>
      <c r="X82" s="239">
        <v>0</v>
      </c>
      <c r="Y82" s="239">
        <v>0</v>
      </c>
      <c r="Z82" s="239">
        <v>0</v>
      </c>
      <c r="AA82" s="239">
        <v>0</v>
      </c>
      <c r="AB82" s="239">
        <v>0</v>
      </c>
      <c r="AC82" s="239">
        <v>1300232</v>
      </c>
      <c r="AD82" s="239">
        <v>292346</v>
      </c>
      <c r="AE82" s="239">
        <v>32482</v>
      </c>
      <c r="AF82" s="239">
        <v>1625060</v>
      </c>
      <c r="AG82" s="239">
        <v>1086835</v>
      </c>
      <c r="AH82" s="239">
        <v>869468</v>
      </c>
      <c r="AI82" s="239">
        <v>195630</v>
      </c>
      <c r="AJ82" s="239">
        <v>21737</v>
      </c>
      <c r="AK82" s="239">
        <v>2173670</v>
      </c>
      <c r="AL82" s="239">
        <v>-480197</v>
      </c>
      <c r="AM82" s="239">
        <v>-384158</v>
      </c>
      <c r="AN82" s="239">
        <v>-86435</v>
      </c>
      <c r="AO82" s="239">
        <v>-9604</v>
      </c>
      <c r="AP82" s="239">
        <v>-960394</v>
      </c>
      <c r="AQ82" s="239">
        <v>-880770</v>
      </c>
      <c r="AR82" s="239">
        <v>-704616</v>
      </c>
      <c r="AS82" s="239">
        <v>-158539</v>
      </c>
      <c r="AT82" s="239">
        <v>-17615</v>
      </c>
      <c r="AU82" s="239">
        <v>-1761540</v>
      </c>
      <c r="AV82" s="239">
        <v>19657</v>
      </c>
      <c r="AW82" s="239">
        <v>15725</v>
      </c>
      <c r="AX82" s="239">
        <v>3538</v>
      </c>
      <c r="AY82" s="239">
        <v>393</v>
      </c>
      <c r="AZ82" s="239">
        <v>39313</v>
      </c>
      <c r="BA82" s="239">
        <v>-16351</v>
      </c>
      <c r="BB82" s="239">
        <v>-13080</v>
      </c>
      <c r="BC82" s="239">
        <v>-2943</v>
      </c>
      <c r="BD82" s="239">
        <v>-327</v>
      </c>
      <c r="BE82" s="239">
        <v>-32701</v>
      </c>
      <c r="BF82" s="239">
        <v>-877464</v>
      </c>
      <c r="BG82" s="239">
        <v>-701971</v>
      </c>
      <c r="BH82" s="239">
        <v>-157944</v>
      </c>
      <c r="BI82" s="239">
        <v>-17549</v>
      </c>
      <c r="BJ82" s="239">
        <v>-1754928</v>
      </c>
      <c r="BK82" s="239">
        <v>-1203000</v>
      </c>
      <c r="BL82" s="239">
        <v>-962400</v>
      </c>
      <c r="BM82" s="239">
        <v>-216540</v>
      </c>
      <c r="BN82" s="239">
        <v>-24060</v>
      </c>
      <c r="BO82" s="239">
        <v>-2406000</v>
      </c>
      <c r="BP82" s="239">
        <v>138500</v>
      </c>
      <c r="BQ82" s="239">
        <v>110800</v>
      </c>
      <c r="BR82" s="239">
        <v>24930</v>
      </c>
      <c r="BS82" s="239">
        <v>2770</v>
      </c>
      <c r="BT82" s="239">
        <v>277000</v>
      </c>
      <c r="BU82" s="239">
        <v>-1423500</v>
      </c>
      <c r="BV82" s="239">
        <v>-1138800</v>
      </c>
      <c r="BW82" s="239">
        <v>-256230</v>
      </c>
      <c r="BX82" s="239">
        <v>-28470</v>
      </c>
      <c r="BY82" s="239">
        <v>-2847000</v>
      </c>
      <c r="BZ82" s="239">
        <v>-2488000</v>
      </c>
      <c r="CA82" s="239">
        <v>-1990400</v>
      </c>
      <c r="CB82" s="239">
        <v>-447840</v>
      </c>
      <c r="CC82" s="239">
        <v>-49760</v>
      </c>
      <c r="CD82" s="239">
        <v>-4976000</v>
      </c>
      <c r="CE82" s="239">
        <v>-649241</v>
      </c>
      <c r="CF82" s="239">
        <v>-519394</v>
      </c>
      <c r="CG82" s="239">
        <v>-116864</v>
      </c>
      <c r="CH82" s="239">
        <v>-12985</v>
      </c>
      <c r="CI82" s="239">
        <v>-1298484</v>
      </c>
      <c r="CJ82" s="239">
        <v>-910009</v>
      </c>
      <c r="CK82" s="239">
        <v>-728007</v>
      </c>
      <c r="CL82" s="239">
        <v>-163802</v>
      </c>
      <c r="CM82" s="239">
        <v>-18200</v>
      </c>
      <c r="CN82" s="239">
        <v>-1820018</v>
      </c>
      <c r="CO82" s="239">
        <v>260768</v>
      </c>
      <c r="CP82" s="239">
        <v>208613</v>
      </c>
      <c r="CQ82" s="239">
        <v>46938</v>
      </c>
      <c r="CR82" s="239">
        <v>5215</v>
      </c>
      <c r="CS82" s="239">
        <v>521534</v>
      </c>
      <c r="CT82" s="239">
        <v>19136000</v>
      </c>
      <c r="CU82" s="239">
        <v>15308800</v>
      </c>
      <c r="CV82" s="239">
        <v>3444480</v>
      </c>
      <c r="CW82" s="239">
        <v>382720</v>
      </c>
      <c r="CX82" s="239">
        <v>38272000</v>
      </c>
      <c r="CY82" s="239">
        <v>17908520</v>
      </c>
      <c r="CZ82" s="239">
        <v>14326815</v>
      </c>
      <c r="DA82" s="239">
        <v>3223533</v>
      </c>
      <c r="DB82" s="239">
        <v>358170</v>
      </c>
      <c r="DC82" s="239">
        <v>35817038</v>
      </c>
      <c r="DD82" s="239">
        <v>-1227480</v>
      </c>
      <c r="DE82" s="239">
        <v>-981985</v>
      </c>
      <c r="DF82" s="239">
        <v>-220947</v>
      </c>
      <c r="DG82" s="239">
        <v>-24550</v>
      </c>
      <c r="DH82" s="239">
        <v>-2454962</v>
      </c>
      <c r="DI82" s="239">
        <v>-966712</v>
      </c>
      <c r="DJ82" s="239">
        <v>-773372</v>
      </c>
      <c r="DK82" s="239">
        <v>-174009</v>
      </c>
      <c r="DL82" s="239">
        <v>-19335</v>
      </c>
      <c r="DM82" s="239">
        <v>-1933428</v>
      </c>
      <c r="DN82" s="835">
        <v>0.5</v>
      </c>
      <c r="DO82" s="835">
        <v>0.4</v>
      </c>
      <c r="DP82" s="835">
        <v>0.09</v>
      </c>
      <c r="DQ82" s="835">
        <v>0.01</v>
      </c>
      <c r="DR82" s="835">
        <v>1</v>
      </c>
      <c r="DS82" s="214" t="s">
        <v>1158</v>
      </c>
      <c r="DU82" s="214">
        <v>0</v>
      </c>
    </row>
    <row r="83" spans="1:125" s="214" customFormat="1" x14ac:dyDescent="0.2">
      <c r="B83" s="602" t="s">
        <v>249</v>
      </c>
      <c r="C83" s="602" t="s">
        <v>248</v>
      </c>
      <c r="D83" s="239">
        <v>0</v>
      </c>
      <c r="E83" s="239">
        <v>81872060</v>
      </c>
      <c r="F83" s="239">
        <v>0</v>
      </c>
      <c r="G83" s="239">
        <v>826991</v>
      </c>
      <c r="H83" s="239">
        <v>82699051</v>
      </c>
      <c r="I83" s="239">
        <v>0</v>
      </c>
      <c r="J83" s="239">
        <v>0</v>
      </c>
      <c r="K83" s="239">
        <v>0</v>
      </c>
      <c r="L83" s="239">
        <v>417732</v>
      </c>
      <c r="M83" s="239">
        <v>417732</v>
      </c>
      <c r="N83" s="239">
        <v>0</v>
      </c>
      <c r="O83" s="239">
        <v>0</v>
      </c>
      <c r="P83" s="239">
        <v>0</v>
      </c>
      <c r="Q83" s="239">
        <v>0</v>
      </c>
      <c r="R83" s="239">
        <v>0</v>
      </c>
      <c r="S83" s="239">
        <v>0</v>
      </c>
      <c r="T83" s="239">
        <v>0</v>
      </c>
      <c r="U83" s="239">
        <v>0</v>
      </c>
      <c r="V83" s="239">
        <v>0</v>
      </c>
      <c r="W83" s="239">
        <v>0</v>
      </c>
      <c r="X83" s="239">
        <v>0</v>
      </c>
      <c r="Y83" s="239">
        <v>0</v>
      </c>
      <c r="Z83" s="239">
        <v>0</v>
      </c>
      <c r="AA83" s="239">
        <v>0</v>
      </c>
      <c r="AB83" s="239">
        <v>0</v>
      </c>
      <c r="AC83" s="239">
        <v>9156443</v>
      </c>
      <c r="AD83" s="239">
        <v>0</v>
      </c>
      <c r="AE83" s="239">
        <v>92457</v>
      </c>
      <c r="AF83" s="239">
        <v>9248900</v>
      </c>
      <c r="AG83" s="239">
        <v>0</v>
      </c>
      <c r="AH83" s="239">
        <v>7733675</v>
      </c>
      <c r="AI83" s="239">
        <v>0</v>
      </c>
      <c r="AJ83" s="239">
        <v>78118</v>
      </c>
      <c r="AK83" s="239">
        <v>7811793</v>
      </c>
      <c r="AL83" s="239">
        <v>0</v>
      </c>
      <c r="AM83" s="239">
        <v>-951025</v>
      </c>
      <c r="AN83" s="239">
        <v>0</v>
      </c>
      <c r="AO83" s="239">
        <v>-9606</v>
      </c>
      <c r="AP83" s="239">
        <v>-960631</v>
      </c>
      <c r="AQ83" s="239">
        <v>0</v>
      </c>
      <c r="AR83" s="239">
        <v>-4761900</v>
      </c>
      <c r="AS83" s="239">
        <v>0</v>
      </c>
      <c r="AT83" s="239">
        <v>-48100</v>
      </c>
      <c r="AU83" s="239">
        <v>-4810000</v>
      </c>
      <c r="AV83" s="239">
        <v>0</v>
      </c>
      <c r="AW83" s="239">
        <v>725395</v>
      </c>
      <c r="AX83" s="239">
        <v>0</v>
      </c>
      <c r="AY83" s="239">
        <v>7327</v>
      </c>
      <c r="AZ83" s="239">
        <v>732722</v>
      </c>
      <c r="BA83" s="239">
        <v>0</v>
      </c>
      <c r="BB83" s="239">
        <v>-992695</v>
      </c>
      <c r="BC83" s="239">
        <v>0</v>
      </c>
      <c r="BD83" s="239">
        <v>-10027</v>
      </c>
      <c r="BE83" s="239">
        <v>-1002722</v>
      </c>
      <c r="BF83" s="239">
        <v>0</v>
      </c>
      <c r="BG83" s="239">
        <v>-5029200</v>
      </c>
      <c r="BH83" s="239">
        <v>0</v>
      </c>
      <c r="BI83" s="239">
        <v>-50800</v>
      </c>
      <c r="BJ83" s="239">
        <v>-5080000</v>
      </c>
      <c r="BK83" s="239">
        <v>0</v>
      </c>
      <c r="BL83" s="239">
        <v>-14355000</v>
      </c>
      <c r="BM83" s="239">
        <v>0</v>
      </c>
      <c r="BN83" s="239">
        <v>-145000</v>
      </c>
      <c r="BO83" s="239">
        <v>-14500000</v>
      </c>
      <c r="BP83" s="239">
        <v>0</v>
      </c>
      <c r="BQ83" s="239">
        <v>3465000</v>
      </c>
      <c r="BR83" s="239">
        <v>0</v>
      </c>
      <c r="BS83" s="239">
        <v>35000</v>
      </c>
      <c r="BT83" s="239">
        <v>3500000</v>
      </c>
      <c r="BU83" s="239">
        <v>0</v>
      </c>
      <c r="BV83" s="239">
        <v>-4257000</v>
      </c>
      <c r="BW83" s="239">
        <v>0</v>
      </c>
      <c r="BX83" s="239">
        <v>-43000</v>
      </c>
      <c r="BY83" s="239">
        <v>-4300000</v>
      </c>
      <c r="BZ83" s="239">
        <v>0</v>
      </c>
      <c r="CA83" s="239">
        <v>-15147000</v>
      </c>
      <c r="CB83" s="239">
        <v>0</v>
      </c>
      <c r="CC83" s="239">
        <v>-153000</v>
      </c>
      <c r="CD83" s="239">
        <v>-15300000</v>
      </c>
      <c r="CE83" s="239">
        <v>-598051</v>
      </c>
      <c r="CF83" s="239">
        <v>-586090</v>
      </c>
      <c r="CG83" s="239">
        <v>0</v>
      </c>
      <c r="CH83" s="239">
        <v>-11961</v>
      </c>
      <c r="CI83" s="239">
        <v>-1196102</v>
      </c>
      <c r="CJ83" s="239">
        <v>-686714</v>
      </c>
      <c r="CK83" s="239">
        <v>-672980</v>
      </c>
      <c r="CL83" s="239">
        <v>0</v>
      </c>
      <c r="CM83" s="239">
        <v>-13734</v>
      </c>
      <c r="CN83" s="239">
        <v>-1373428</v>
      </c>
      <c r="CO83" s="239">
        <v>88663</v>
      </c>
      <c r="CP83" s="239">
        <v>86890</v>
      </c>
      <c r="CQ83" s="239">
        <v>0</v>
      </c>
      <c r="CR83" s="239">
        <v>1773</v>
      </c>
      <c r="CS83" s="239">
        <v>177326</v>
      </c>
      <c r="CT83" s="239">
        <v>0</v>
      </c>
      <c r="CU83" s="239">
        <v>83600339</v>
      </c>
      <c r="CV83" s="239">
        <v>0</v>
      </c>
      <c r="CW83" s="239">
        <v>844448</v>
      </c>
      <c r="CX83" s="239">
        <v>84444787</v>
      </c>
      <c r="CY83" s="239">
        <v>0</v>
      </c>
      <c r="CZ83" s="239">
        <v>81872060</v>
      </c>
      <c r="DA83" s="239">
        <v>0</v>
      </c>
      <c r="DB83" s="239">
        <v>826991</v>
      </c>
      <c r="DC83" s="239">
        <v>82699051</v>
      </c>
      <c r="DD83" s="239">
        <v>0</v>
      </c>
      <c r="DE83" s="239">
        <v>-1728279</v>
      </c>
      <c r="DF83" s="239">
        <v>0</v>
      </c>
      <c r="DG83" s="239">
        <v>-17457</v>
      </c>
      <c r="DH83" s="239">
        <v>-1745736</v>
      </c>
      <c r="DI83" s="239">
        <v>88663</v>
      </c>
      <c r="DJ83" s="239">
        <v>-1641389</v>
      </c>
      <c r="DK83" s="239">
        <v>0</v>
      </c>
      <c r="DL83" s="239">
        <v>-15684</v>
      </c>
      <c r="DM83" s="239">
        <v>-1568410</v>
      </c>
      <c r="DN83" s="835">
        <v>0</v>
      </c>
      <c r="DO83" s="835">
        <v>0.99</v>
      </c>
      <c r="DP83" s="835">
        <v>0</v>
      </c>
      <c r="DQ83" s="835">
        <v>0.01</v>
      </c>
      <c r="DR83" s="835">
        <v>1</v>
      </c>
      <c r="DS83" s="214" t="s">
        <v>1160</v>
      </c>
      <c r="DU83" s="214">
        <v>0</v>
      </c>
    </row>
    <row r="84" spans="1:125" s="214" customFormat="1" x14ac:dyDescent="0.2">
      <c r="B84" s="602" t="s">
        <v>251</v>
      </c>
      <c r="C84" s="602" t="s">
        <v>250</v>
      </c>
      <c r="D84" s="239">
        <v>50716844</v>
      </c>
      <c r="E84" s="239">
        <v>49702508</v>
      </c>
      <c r="F84" s="239">
        <v>0</v>
      </c>
      <c r="G84" s="239">
        <v>1014337</v>
      </c>
      <c r="H84" s="239">
        <v>101433689</v>
      </c>
      <c r="I84" s="239">
        <v>0</v>
      </c>
      <c r="J84" s="239">
        <v>0</v>
      </c>
      <c r="K84" s="239">
        <v>50716844</v>
      </c>
      <c r="L84" s="239">
        <v>589560</v>
      </c>
      <c r="M84" s="239">
        <v>589560</v>
      </c>
      <c r="N84" s="239">
        <v>0</v>
      </c>
      <c r="O84" s="239">
        <v>0</v>
      </c>
      <c r="P84" s="239">
        <v>100387</v>
      </c>
      <c r="Q84" s="239">
        <v>0</v>
      </c>
      <c r="R84" s="239">
        <v>100387</v>
      </c>
      <c r="S84" s="239">
        <v>0</v>
      </c>
      <c r="T84" s="239">
        <v>0</v>
      </c>
      <c r="U84" s="239">
        <v>0</v>
      </c>
      <c r="V84" s="239">
        <v>0</v>
      </c>
      <c r="W84" s="239">
        <v>0</v>
      </c>
      <c r="X84" s="239">
        <v>0</v>
      </c>
      <c r="Y84" s="239">
        <v>0</v>
      </c>
      <c r="Z84" s="239">
        <v>0</v>
      </c>
      <c r="AA84" s="239">
        <v>0</v>
      </c>
      <c r="AB84" s="239">
        <v>0</v>
      </c>
      <c r="AC84" s="239">
        <v>5929199</v>
      </c>
      <c r="AD84" s="239">
        <v>0</v>
      </c>
      <c r="AE84" s="239">
        <v>120973</v>
      </c>
      <c r="AF84" s="239">
        <v>6050172</v>
      </c>
      <c r="AG84" s="239">
        <v>2092982</v>
      </c>
      <c r="AH84" s="239">
        <v>2051122</v>
      </c>
      <c r="AI84" s="239">
        <v>0</v>
      </c>
      <c r="AJ84" s="239">
        <v>41860</v>
      </c>
      <c r="AK84" s="239">
        <v>4185964</v>
      </c>
      <c r="AL84" s="239">
        <v>-1711871</v>
      </c>
      <c r="AM84" s="239">
        <v>-1677633</v>
      </c>
      <c r="AN84" s="239">
        <v>0</v>
      </c>
      <c r="AO84" s="239">
        <v>-34237</v>
      </c>
      <c r="AP84" s="239">
        <v>-3423741</v>
      </c>
      <c r="AQ84" s="239">
        <v>-2079462</v>
      </c>
      <c r="AR84" s="239">
        <v>-2037872</v>
      </c>
      <c r="AS84" s="239">
        <v>0</v>
      </c>
      <c r="AT84" s="239">
        <v>-41589</v>
      </c>
      <c r="AU84" s="239">
        <v>-4158923</v>
      </c>
      <c r="AV84" s="239">
        <v>1213645</v>
      </c>
      <c r="AW84" s="239">
        <v>1189372</v>
      </c>
      <c r="AX84" s="239">
        <v>0</v>
      </c>
      <c r="AY84" s="239">
        <v>24273</v>
      </c>
      <c r="AZ84" s="239">
        <v>2427290</v>
      </c>
      <c r="BA84" s="239">
        <v>-637297</v>
      </c>
      <c r="BB84" s="239">
        <v>-624551</v>
      </c>
      <c r="BC84" s="239">
        <v>0</v>
      </c>
      <c r="BD84" s="239">
        <v>-12746</v>
      </c>
      <c r="BE84" s="239">
        <v>-1274594</v>
      </c>
      <c r="BF84" s="239">
        <v>-1503114</v>
      </c>
      <c r="BG84" s="239">
        <v>-1473051</v>
      </c>
      <c r="BH84" s="239">
        <v>0</v>
      </c>
      <c r="BI84" s="239">
        <v>-30062</v>
      </c>
      <c r="BJ84" s="239">
        <v>-3006227</v>
      </c>
      <c r="BK84" s="239">
        <v>-9100723</v>
      </c>
      <c r="BL84" s="239">
        <v>-8918708</v>
      </c>
      <c r="BM84" s="239">
        <v>0</v>
      </c>
      <c r="BN84" s="239">
        <v>-182014</v>
      </c>
      <c r="BO84" s="239">
        <v>-18201445</v>
      </c>
      <c r="BP84" s="239">
        <v>211334</v>
      </c>
      <c r="BQ84" s="239">
        <v>207108</v>
      </c>
      <c r="BR84" s="239">
        <v>0</v>
      </c>
      <c r="BS84" s="239">
        <v>4227</v>
      </c>
      <c r="BT84" s="239">
        <v>422669</v>
      </c>
      <c r="BU84" s="239">
        <v>-3245233</v>
      </c>
      <c r="BV84" s="239">
        <v>-3180328</v>
      </c>
      <c r="BW84" s="239">
        <v>0</v>
      </c>
      <c r="BX84" s="239">
        <v>-64905</v>
      </c>
      <c r="BY84" s="239">
        <v>-6490466</v>
      </c>
      <c r="BZ84" s="239">
        <v>-12134622</v>
      </c>
      <c r="CA84" s="239">
        <v>-11891928</v>
      </c>
      <c r="CB84" s="239">
        <v>0</v>
      </c>
      <c r="CC84" s="239">
        <v>-242692</v>
      </c>
      <c r="CD84" s="239">
        <v>-24269242</v>
      </c>
      <c r="CE84" s="239">
        <v>1853181</v>
      </c>
      <c r="CF84" s="239">
        <v>1816116</v>
      </c>
      <c r="CG84" s="239">
        <v>0</v>
      </c>
      <c r="CH84" s="239">
        <v>37064</v>
      </c>
      <c r="CI84" s="239">
        <v>3706361</v>
      </c>
      <c r="CJ84" s="239">
        <v>847959</v>
      </c>
      <c r="CK84" s="239">
        <v>831000</v>
      </c>
      <c r="CL84" s="239">
        <v>0</v>
      </c>
      <c r="CM84" s="239">
        <v>16959</v>
      </c>
      <c r="CN84" s="239">
        <v>1695918</v>
      </c>
      <c r="CO84" s="239">
        <v>1005222</v>
      </c>
      <c r="CP84" s="239">
        <v>985116</v>
      </c>
      <c r="CQ84" s="239">
        <v>0</v>
      </c>
      <c r="CR84" s="239">
        <v>20105</v>
      </c>
      <c r="CS84" s="239">
        <v>2010443</v>
      </c>
      <c r="CT84" s="239">
        <v>49646024</v>
      </c>
      <c r="CU84" s="239">
        <v>48653103</v>
      </c>
      <c r="CV84" s="239">
        <v>0</v>
      </c>
      <c r="CW84" s="239">
        <v>992920</v>
      </c>
      <c r="CX84" s="239">
        <v>99292047</v>
      </c>
      <c r="CY84" s="239">
        <v>50716844</v>
      </c>
      <c r="CZ84" s="239">
        <v>49702508</v>
      </c>
      <c r="DA84" s="239">
        <v>0</v>
      </c>
      <c r="DB84" s="239">
        <v>1014337</v>
      </c>
      <c r="DC84" s="239">
        <v>101433689</v>
      </c>
      <c r="DD84" s="239">
        <v>1070820</v>
      </c>
      <c r="DE84" s="239">
        <v>1049405</v>
      </c>
      <c r="DF84" s="239">
        <v>0</v>
      </c>
      <c r="DG84" s="239">
        <v>21417</v>
      </c>
      <c r="DH84" s="239">
        <v>2141642</v>
      </c>
      <c r="DI84" s="239">
        <v>2076042</v>
      </c>
      <c r="DJ84" s="239">
        <v>2034521</v>
      </c>
      <c r="DK84" s="239">
        <v>0</v>
      </c>
      <c r="DL84" s="239">
        <v>41522</v>
      </c>
      <c r="DM84" s="239">
        <v>4152085</v>
      </c>
      <c r="DN84" s="835">
        <v>0.5</v>
      </c>
      <c r="DO84" s="835">
        <v>0.49</v>
      </c>
      <c r="DP84" s="835">
        <v>0</v>
      </c>
      <c r="DQ84" s="835">
        <v>0.01</v>
      </c>
      <c r="DR84" s="835">
        <v>1</v>
      </c>
      <c r="DS84" s="214" t="s">
        <v>746</v>
      </c>
      <c r="DU84" s="214">
        <v>0</v>
      </c>
    </row>
    <row r="85" spans="1:125" s="214" customFormat="1" x14ac:dyDescent="0.2">
      <c r="B85" s="602" t="s">
        <v>253</v>
      </c>
      <c r="C85" s="602" t="s">
        <v>252</v>
      </c>
      <c r="D85" s="239">
        <v>51143112</v>
      </c>
      <c r="E85" s="239">
        <v>46493738</v>
      </c>
      <c r="F85" s="239">
        <v>57342277</v>
      </c>
      <c r="G85" s="239">
        <v>0</v>
      </c>
      <c r="H85" s="239">
        <v>154979127</v>
      </c>
      <c r="I85" s="239">
        <v>0</v>
      </c>
      <c r="J85" s="239">
        <v>0</v>
      </c>
      <c r="K85" s="239">
        <v>51143112</v>
      </c>
      <c r="L85" s="239">
        <v>495725</v>
      </c>
      <c r="M85" s="239">
        <v>495725</v>
      </c>
      <c r="N85" s="239">
        <v>0</v>
      </c>
      <c r="O85" s="239">
        <v>0</v>
      </c>
      <c r="P85" s="239">
        <v>0</v>
      </c>
      <c r="Q85" s="239">
        <v>0</v>
      </c>
      <c r="R85" s="239">
        <v>0</v>
      </c>
      <c r="S85" s="239">
        <v>0</v>
      </c>
      <c r="T85" s="239">
        <v>0</v>
      </c>
      <c r="U85" s="239">
        <v>0</v>
      </c>
      <c r="V85" s="239">
        <v>0</v>
      </c>
      <c r="W85" s="239">
        <v>0</v>
      </c>
      <c r="X85" s="239">
        <v>0</v>
      </c>
      <c r="Y85" s="239">
        <v>0</v>
      </c>
      <c r="Z85" s="239">
        <v>0</v>
      </c>
      <c r="AA85" s="239">
        <v>0</v>
      </c>
      <c r="AB85" s="239">
        <v>0</v>
      </c>
      <c r="AC85" s="239">
        <v>3200414</v>
      </c>
      <c r="AD85" s="239">
        <v>3947180</v>
      </c>
      <c r="AE85" s="239">
        <v>0</v>
      </c>
      <c r="AF85" s="239">
        <v>7147594</v>
      </c>
      <c r="AG85" s="239">
        <v>4741307</v>
      </c>
      <c r="AH85" s="239">
        <v>4310280</v>
      </c>
      <c r="AI85" s="239">
        <v>5316012</v>
      </c>
      <c r="AJ85" s="239">
        <v>0</v>
      </c>
      <c r="AK85" s="239">
        <v>14367599</v>
      </c>
      <c r="AL85" s="239">
        <v>-3513575</v>
      </c>
      <c r="AM85" s="239">
        <v>-3194160</v>
      </c>
      <c r="AN85" s="239">
        <v>-3939464</v>
      </c>
      <c r="AO85" s="239">
        <v>0</v>
      </c>
      <c r="AP85" s="239">
        <v>-10647199</v>
      </c>
      <c r="AQ85" s="239">
        <v>-3196129.0600000005</v>
      </c>
      <c r="AR85" s="239">
        <v>-2905571</v>
      </c>
      <c r="AS85" s="239">
        <v>-3583538</v>
      </c>
      <c r="AT85" s="239">
        <v>0</v>
      </c>
      <c r="AU85" s="239">
        <v>-9685238.0600000005</v>
      </c>
      <c r="AV85" s="239">
        <v>1290267</v>
      </c>
      <c r="AW85" s="239">
        <v>1172970</v>
      </c>
      <c r="AX85" s="239">
        <v>1446663</v>
      </c>
      <c r="AY85" s="239">
        <v>0</v>
      </c>
      <c r="AZ85" s="239">
        <v>3909900</v>
      </c>
      <c r="BA85" s="239">
        <v>-392443</v>
      </c>
      <c r="BB85" s="239">
        <v>-356767</v>
      </c>
      <c r="BC85" s="239">
        <v>-440012</v>
      </c>
      <c r="BD85" s="239">
        <v>0</v>
      </c>
      <c r="BE85" s="239">
        <v>-1189222</v>
      </c>
      <c r="BF85" s="239">
        <v>-2298305.0600000005</v>
      </c>
      <c r="BG85" s="239">
        <v>-2089368</v>
      </c>
      <c r="BH85" s="239">
        <v>-2576887</v>
      </c>
      <c r="BI85" s="239">
        <v>0</v>
      </c>
      <c r="BJ85" s="239">
        <v>-6964560.0600000005</v>
      </c>
      <c r="BK85" s="239">
        <v>-5641093</v>
      </c>
      <c r="BL85" s="239">
        <v>-5128267</v>
      </c>
      <c r="BM85" s="239">
        <v>-6324863</v>
      </c>
      <c r="BN85" s="239">
        <v>0</v>
      </c>
      <c r="BO85" s="239">
        <v>-17094223</v>
      </c>
      <c r="BP85" s="239">
        <v>1371078</v>
      </c>
      <c r="BQ85" s="239">
        <v>1246434</v>
      </c>
      <c r="BR85" s="239">
        <v>1537269</v>
      </c>
      <c r="BS85" s="239">
        <v>0</v>
      </c>
      <c r="BT85" s="239">
        <v>4154781</v>
      </c>
      <c r="BU85" s="239">
        <v>-1288909</v>
      </c>
      <c r="BV85" s="239">
        <v>-1171736</v>
      </c>
      <c r="BW85" s="239">
        <v>-1445140</v>
      </c>
      <c r="BX85" s="239">
        <v>0</v>
      </c>
      <c r="BY85" s="239">
        <v>-3905785</v>
      </c>
      <c r="BZ85" s="239">
        <v>-5558924</v>
      </c>
      <c r="CA85" s="239">
        <v>-5053569</v>
      </c>
      <c r="CB85" s="239">
        <v>-6232734</v>
      </c>
      <c r="CC85" s="239">
        <v>0</v>
      </c>
      <c r="CD85" s="239">
        <v>-16845227</v>
      </c>
      <c r="CE85" s="239">
        <v>3278517</v>
      </c>
      <c r="CF85" s="239">
        <v>1967110</v>
      </c>
      <c r="CG85" s="239">
        <v>1311407</v>
      </c>
      <c r="CH85" s="239">
        <v>0</v>
      </c>
      <c r="CI85" s="239">
        <v>6557034</v>
      </c>
      <c r="CJ85" s="239">
        <v>2738500</v>
      </c>
      <c r="CK85" s="239">
        <v>1643100</v>
      </c>
      <c r="CL85" s="239">
        <v>1095400</v>
      </c>
      <c r="CM85" s="239">
        <v>0</v>
      </c>
      <c r="CN85" s="239">
        <v>5477000</v>
      </c>
      <c r="CO85" s="239">
        <v>540017</v>
      </c>
      <c r="CP85" s="239">
        <v>324010</v>
      </c>
      <c r="CQ85" s="239">
        <v>216007</v>
      </c>
      <c r="CR85" s="239">
        <v>0</v>
      </c>
      <c r="CS85" s="239">
        <v>1080034</v>
      </c>
      <c r="CT85" s="239">
        <v>49593331</v>
      </c>
      <c r="CU85" s="239">
        <v>45084846</v>
      </c>
      <c r="CV85" s="239">
        <v>55604644</v>
      </c>
      <c r="CW85" s="239">
        <v>0</v>
      </c>
      <c r="CX85" s="239">
        <v>150282821</v>
      </c>
      <c r="CY85" s="239">
        <v>51143112</v>
      </c>
      <c r="CZ85" s="239">
        <v>46493738</v>
      </c>
      <c r="DA85" s="239">
        <v>57342277</v>
      </c>
      <c r="DB85" s="239">
        <v>0</v>
      </c>
      <c r="DC85" s="239">
        <v>154979127</v>
      </c>
      <c r="DD85" s="239">
        <v>1549781</v>
      </c>
      <c r="DE85" s="239">
        <v>1408892</v>
      </c>
      <c r="DF85" s="239">
        <v>1737633</v>
      </c>
      <c r="DG85" s="239">
        <v>0</v>
      </c>
      <c r="DH85" s="239">
        <v>4696306</v>
      </c>
      <c r="DI85" s="239">
        <v>2089798</v>
      </c>
      <c r="DJ85" s="239">
        <v>1732902</v>
      </c>
      <c r="DK85" s="239">
        <v>1953640</v>
      </c>
      <c r="DL85" s="239">
        <v>0</v>
      </c>
      <c r="DM85" s="239">
        <v>5776340</v>
      </c>
      <c r="DN85" s="835">
        <v>0.33</v>
      </c>
      <c r="DO85" s="835">
        <v>0.3</v>
      </c>
      <c r="DP85" s="835">
        <v>0.37</v>
      </c>
      <c r="DQ85" s="835">
        <v>0</v>
      </c>
      <c r="DR85" s="835">
        <v>1</v>
      </c>
      <c r="DS85" s="214" t="s">
        <v>1159</v>
      </c>
      <c r="DU85" s="214">
        <v>0</v>
      </c>
    </row>
    <row r="86" spans="1:125" s="214" customFormat="1" x14ac:dyDescent="0.2">
      <c r="B86" s="602" t="s">
        <v>255</v>
      </c>
      <c r="C86" s="602" t="s">
        <v>254</v>
      </c>
      <c r="D86" s="239">
        <v>10304773</v>
      </c>
      <c r="E86" s="239">
        <v>8243818</v>
      </c>
      <c r="F86" s="239">
        <v>1854859</v>
      </c>
      <c r="G86" s="239">
        <v>206095</v>
      </c>
      <c r="H86" s="239">
        <v>20609545</v>
      </c>
      <c r="I86" s="239">
        <v>982968</v>
      </c>
      <c r="J86" s="239">
        <v>982968</v>
      </c>
      <c r="K86" s="239">
        <v>9321805</v>
      </c>
      <c r="L86" s="239">
        <v>94945</v>
      </c>
      <c r="M86" s="239">
        <v>94945</v>
      </c>
      <c r="N86" s="239">
        <v>0</v>
      </c>
      <c r="O86" s="239">
        <v>0</v>
      </c>
      <c r="P86" s="239">
        <v>366656</v>
      </c>
      <c r="Q86" s="239">
        <v>0</v>
      </c>
      <c r="R86" s="239">
        <v>366656</v>
      </c>
      <c r="S86" s="239">
        <v>42036.09871244635</v>
      </c>
      <c r="T86" s="239">
        <v>0</v>
      </c>
      <c r="U86" s="239">
        <v>0</v>
      </c>
      <c r="V86" s="239">
        <v>42036.09871244635</v>
      </c>
      <c r="W86" s="239">
        <v>752745.60000000009</v>
      </c>
      <c r="X86" s="239">
        <v>169367.75999999998</v>
      </c>
      <c r="Y86" s="239">
        <v>18818.64</v>
      </c>
      <c r="Z86" s="239">
        <v>940932.00000000012</v>
      </c>
      <c r="AA86" s="239">
        <v>0</v>
      </c>
      <c r="AB86" s="239">
        <v>0</v>
      </c>
      <c r="AC86" s="239">
        <v>906584</v>
      </c>
      <c r="AD86" s="239">
        <v>202743</v>
      </c>
      <c r="AE86" s="239">
        <v>22527</v>
      </c>
      <c r="AF86" s="239">
        <v>1131854</v>
      </c>
      <c r="AG86" s="239">
        <v>573941</v>
      </c>
      <c r="AH86" s="239">
        <v>459153</v>
      </c>
      <c r="AI86" s="239">
        <v>103309</v>
      </c>
      <c r="AJ86" s="239">
        <v>11479</v>
      </c>
      <c r="AK86" s="239">
        <v>1147882</v>
      </c>
      <c r="AL86" s="239">
        <v>-197057</v>
      </c>
      <c r="AM86" s="239">
        <v>-157646</v>
      </c>
      <c r="AN86" s="239">
        <v>-35470</v>
      </c>
      <c r="AO86" s="239">
        <v>-3941</v>
      </c>
      <c r="AP86" s="239">
        <v>-394114</v>
      </c>
      <c r="AQ86" s="239">
        <v>-113322.47</v>
      </c>
      <c r="AR86" s="239">
        <v>-90658</v>
      </c>
      <c r="AS86" s="239">
        <v>-20398</v>
      </c>
      <c r="AT86" s="239">
        <v>-2266</v>
      </c>
      <c r="AU86" s="239">
        <v>-226644.47</v>
      </c>
      <c r="AV86" s="239">
        <v>88321</v>
      </c>
      <c r="AW86" s="239">
        <v>70656</v>
      </c>
      <c r="AX86" s="239">
        <v>15898</v>
      </c>
      <c r="AY86" s="239">
        <v>1766</v>
      </c>
      <c r="AZ86" s="239">
        <v>176641</v>
      </c>
      <c r="BA86" s="239">
        <v>-139920</v>
      </c>
      <c r="BB86" s="239">
        <v>-111936</v>
      </c>
      <c r="BC86" s="239">
        <v>-25186</v>
      </c>
      <c r="BD86" s="239">
        <v>-2798</v>
      </c>
      <c r="BE86" s="239">
        <v>-279840</v>
      </c>
      <c r="BF86" s="239">
        <v>-164921.47</v>
      </c>
      <c r="BG86" s="239">
        <v>-131938</v>
      </c>
      <c r="BH86" s="239">
        <v>-29686</v>
      </c>
      <c r="BI86" s="239">
        <v>-3298</v>
      </c>
      <c r="BJ86" s="239">
        <v>-329843.46999999997</v>
      </c>
      <c r="BK86" s="239">
        <v>-458981</v>
      </c>
      <c r="BL86" s="239">
        <v>-367184</v>
      </c>
      <c r="BM86" s="239">
        <v>-82616</v>
      </c>
      <c r="BN86" s="239">
        <v>-9180</v>
      </c>
      <c r="BO86" s="239">
        <v>-917961</v>
      </c>
      <c r="BP86" s="239">
        <v>221419</v>
      </c>
      <c r="BQ86" s="239">
        <v>177135</v>
      </c>
      <c r="BR86" s="239">
        <v>39855</v>
      </c>
      <c r="BS86" s="239">
        <v>4428</v>
      </c>
      <c r="BT86" s="239">
        <v>442837</v>
      </c>
      <c r="BU86" s="239">
        <v>-514529</v>
      </c>
      <c r="BV86" s="239">
        <v>-411624</v>
      </c>
      <c r="BW86" s="239">
        <v>-92615</v>
      </c>
      <c r="BX86" s="239">
        <v>-10291</v>
      </c>
      <c r="BY86" s="239">
        <v>-1029059</v>
      </c>
      <c r="BZ86" s="239">
        <v>-752091</v>
      </c>
      <c r="CA86" s="239">
        <v>-601673</v>
      </c>
      <c r="CB86" s="239">
        <v>-135376</v>
      </c>
      <c r="CC86" s="239">
        <v>-15043</v>
      </c>
      <c r="CD86" s="239">
        <v>-1504183</v>
      </c>
      <c r="CE86" s="239">
        <v>215218</v>
      </c>
      <c r="CF86" s="239">
        <v>172174</v>
      </c>
      <c r="CG86" s="239">
        <v>38739</v>
      </c>
      <c r="CH86" s="239">
        <v>4305</v>
      </c>
      <c r="CI86" s="239">
        <v>430436</v>
      </c>
      <c r="CJ86" s="239">
        <v>313338</v>
      </c>
      <c r="CK86" s="239">
        <v>250671</v>
      </c>
      <c r="CL86" s="239">
        <v>56401</v>
      </c>
      <c r="CM86" s="239">
        <v>6267</v>
      </c>
      <c r="CN86" s="239">
        <v>626677</v>
      </c>
      <c r="CO86" s="239">
        <v>-98120</v>
      </c>
      <c r="CP86" s="239">
        <v>-78497</v>
      </c>
      <c r="CQ86" s="239">
        <v>-17662</v>
      </c>
      <c r="CR86" s="239">
        <v>-1962</v>
      </c>
      <c r="CS86" s="239">
        <v>-196241</v>
      </c>
      <c r="CT86" s="239">
        <v>9798150</v>
      </c>
      <c r="CU86" s="239">
        <v>7838520</v>
      </c>
      <c r="CV86" s="239">
        <v>1763667</v>
      </c>
      <c r="CW86" s="239">
        <v>195963</v>
      </c>
      <c r="CX86" s="239">
        <v>19596300</v>
      </c>
      <c r="CY86" s="239">
        <v>10304773</v>
      </c>
      <c r="CZ86" s="239">
        <v>8243818</v>
      </c>
      <c r="DA86" s="239">
        <v>1854859</v>
      </c>
      <c r="DB86" s="239">
        <v>206095</v>
      </c>
      <c r="DC86" s="239">
        <v>20609545</v>
      </c>
      <c r="DD86" s="239">
        <v>506623</v>
      </c>
      <c r="DE86" s="239">
        <v>405298</v>
      </c>
      <c r="DF86" s="239">
        <v>91192</v>
      </c>
      <c r="DG86" s="239">
        <v>10132</v>
      </c>
      <c r="DH86" s="239">
        <v>1013245</v>
      </c>
      <c r="DI86" s="239">
        <v>408503</v>
      </c>
      <c r="DJ86" s="239">
        <v>326801</v>
      </c>
      <c r="DK86" s="239">
        <v>73530</v>
      </c>
      <c r="DL86" s="239">
        <v>8170</v>
      </c>
      <c r="DM86" s="239">
        <v>817004</v>
      </c>
      <c r="DN86" s="835">
        <v>0.5</v>
      </c>
      <c r="DO86" s="835">
        <v>0.4</v>
      </c>
      <c r="DP86" s="835">
        <v>0.09</v>
      </c>
      <c r="DQ86" s="835">
        <v>0.01</v>
      </c>
      <c r="DR86" s="835">
        <v>1</v>
      </c>
      <c r="DS86" s="214" t="s">
        <v>1158</v>
      </c>
      <c r="DU86" s="214">
        <v>0</v>
      </c>
    </row>
    <row r="87" spans="1:125" s="214" customFormat="1" x14ac:dyDescent="0.2">
      <c r="B87" s="602" t="s">
        <v>257</v>
      </c>
      <c r="C87" s="602" t="s">
        <v>256</v>
      </c>
      <c r="D87" s="239">
        <v>15861399</v>
      </c>
      <c r="E87" s="239">
        <v>12689119</v>
      </c>
      <c r="F87" s="239">
        <v>2855052</v>
      </c>
      <c r="G87" s="239">
        <v>317228</v>
      </c>
      <c r="H87" s="239">
        <v>31722798</v>
      </c>
      <c r="I87" s="239">
        <v>42353</v>
      </c>
      <c r="J87" s="239">
        <v>42353</v>
      </c>
      <c r="K87" s="239">
        <v>15819046</v>
      </c>
      <c r="L87" s="239">
        <v>228268</v>
      </c>
      <c r="M87" s="239">
        <v>228268</v>
      </c>
      <c r="N87" s="239">
        <v>4320</v>
      </c>
      <c r="O87" s="239">
        <v>4320</v>
      </c>
      <c r="P87" s="239">
        <v>292194</v>
      </c>
      <c r="Q87" s="239">
        <v>0</v>
      </c>
      <c r="R87" s="239">
        <v>292194</v>
      </c>
      <c r="S87" s="239">
        <v>42352.785407725321</v>
      </c>
      <c r="T87" s="239">
        <v>0</v>
      </c>
      <c r="U87" s="239">
        <v>0</v>
      </c>
      <c r="V87" s="239">
        <v>42352.785407725321</v>
      </c>
      <c r="W87" s="239">
        <v>0</v>
      </c>
      <c r="X87" s="239">
        <v>0</v>
      </c>
      <c r="Y87" s="239">
        <v>0</v>
      </c>
      <c r="Z87" s="239">
        <v>0</v>
      </c>
      <c r="AA87" s="239">
        <v>0</v>
      </c>
      <c r="AB87" s="239">
        <v>0</v>
      </c>
      <c r="AC87" s="239">
        <v>2231868</v>
      </c>
      <c r="AD87" s="239">
        <v>495724</v>
      </c>
      <c r="AE87" s="239">
        <v>55081</v>
      </c>
      <c r="AF87" s="239">
        <v>2782673</v>
      </c>
      <c r="AG87" s="239">
        <v>397197</v>
      </c>
      <c r="AH87" s="239">
        <v>317758</v>
      </c>
      <c r="AI87" s="239">
        <v>71496</v>
      </c>
      <c r="AJ87" s="239">
        <v>7944</v>
      </c>
      <c r="AK87" s="239">
        <v>794395</v>
      </c>
      <c r="AL87" s="239">
        <v>-475544</v>
      </c>
      <c r="AM87" s="239">
        <v>-380435</v>
      </c>
      <c r="AN87" s="239">
        <v>-85598</v>
      </c>
      <c r="AO87" s="239">
        <v>-9511</v>
      </c>
      <c r="AP87" s="239">
        <v>-951088</v>
      </c>
      <c r="AQ87" s="239">
        <v>-154037</v>
      </c>
      <c r="AR87" s="239">
        <v>-123230</v>
      </c>
      <c r="AS87" s="239">
        <v>-27727</v>
      </c>
      <c r="AT87" s="239">
        <v>-3081</v>
      </c>
      <c r="AU87" s="239">
        <v>-308075</v>
      </c>
      <c r="AV87" s="239">
        <v>186886</v>
      </c>
      <c r="AW87" s="239">
        <v>149510</v>
      </c>
      <c r="AX87" s="239">
        <v>33640</v>
      </c>
      <c r="AY87" s="239">
        <v>3738</v>
      </c>
      <c r="AZ87" s="239">
        <v>373774</v>
      </c>
      <c r="BA87" s="239">
        <v>-98175</v>
      </c>
      <c r="BB87" s="239">
        <v>-78541</v>
      </c>
      <c r="BC87" s="239">
        <v>-17672</v>
      </c>
      <c r="BD87" s="239">
        <v>-1964</v>
      </c>
      <c r="BE87" s="239">
        <v>-196352</v>
      </c>
      <c r="BF87" s="239">
        <v>-65326</v>
      </c>
      <c r="BG87" s="239">
        <v>-52261</v>
      </c>
      <c r="BH87" s="239">
        <v>-11759</v>
      </c>
      <c r="BI87" s="239">
        <v>-1307</v>
      </c>
      <c r="BJ87" s="239">
        <v>-130653</v>
      </c>
      <c r="BK87" s="239">
        <v>-776377</v>
      </c>
      <c r="BL87" s="239">
        <v>-621102</v>
      </c>
      <c r="BM87" s="239">
        <v>-139748</v>
      </c>
      <c r="BN87" s="239">
        <v>-15528</v>
      </c>
      <c r="BO87" s="239">
        <v>-1552755</v>
      </c>
      <c r="BP87" s="239">
        <v>63134</v>
      </c>
      <c r="BQ87" s="239">
        <v>50508</v>
      </c>
      <c r="BR87" s="239">
        <v>11364</v>
      </c>
      <c r="BS87" s="239">
        <v>1263</v>
      </c>
      <c r="BT87" s="239">
        <v>126269</v>
      </c>
      <c r="BU87" s="239">
        <v>-283651</v>
      </c>
      <c r="BV87" s="239">
        <v>-226921</v>
      </c>
      <c r="BW87" s="239">
        <v>-51057</v>
      </c>
      <c r="BX87" s="239">
        <v>-5673</v>
      </c>
      <c r="BY87" s="239">
        <v>-567302</v>
      </c>
      <c r="BZ87" s="239">
        <v>-996894</v>
      </c>
      <c r="CA87" s="239">
        <v>-797515</v>
      </c>
      <c r="CB87" s="239">
        <v>-179441</v>
      </c>
      <c r="CC87" s="239">
        <v>-19938</v>
      </c>
      <c r="CD87" s="239">
        <v>-1993788</v>
      </c>
      <c r="CE87" s="239">
        <v>375402</v>
      </c>
      <c r="CF87" s="239">
        <v>300323</v>
      </c>
      <c r="CG87" s="239">
        <v>67572</v>
      </c>
      <c r="CH87" s="239">
        <v>7508</v>
      </c>
      <c r="CI87" s="239">
        <v>750805</v>
      </c>
      <c r="CJ87" s="239">
        <v>36735</v>
      </c>
      <c r="CK87" s="239">
        <v>29388</v>
      </c>
      <c r="CL87" s="239">
        <v>6612</v>
      </c>
      <c r="CM87" s="239">
        <v>735</v>
      </c>
      <c r="CN87" s="239">
        <v>73470</v>
      </c>
      <c r="CO87" s="239">
        <v>338667</v>
      </c>
      <c r="CP87" s="239">
        <v>270935</v>
      </c>
      <c r="CQ87" s="239">
        <v>60960</v>
      </c>
      <c r="CR87" s="239">
        <v>6773</v>
      </c>
      <c r="CS87" s="239">
        <v>677335</v>
      </c>
      <c r="CT87" s="239">
        <v>17058403</v>
      </c>
      <c r="CU87" s="239">
        <v>13646722</v>
      </c>
      <c r="CV87" s="239">
        <v>3070512</v>
      </c>
      <c r="CW87" s="239">
        <v>341168</v>
      </c>
      <c r="CX87" s="239">
        <v>34116805</v>
      </c>
      <c r="CY87" s="239">
        <v>15861399</v>
      </c>
      <c r="CZ87" s="239">
        <v>12689119</v>
      </c>
      <c r="DA87" s="239">
        <v>2855052</v>
      </c>
      <c r="DB87" s="239">
        <v>317228</v>
      </c>
      <c r="DC87" s="239">
        <v>31722798</v>
      </c>
      <c r="DD87" s="239">
        <v>-1197004</v>
      </c>
      <c r="DE87" s="239">
        <v>-957603</v>
      </c>
      <c r="DF87" s="239">
        <v>-215460</v>
      </c>
      <c r="DG87" s="239">
        <v>-23940</v>
      </c>
      <c r="DH87" s="239">
        <v>-2394007</v>
      </c>
      <c r="DI87" s="239">
        <v>-858337</v>
      </c>
      <c r="DJ87" s="239">
        <v>-686668</v>
      </c>
      <c r="DK87" s="239">
        <v>-154500</v>
      </c>
      <c r="DL87" s="239">
        <v>-17167</v>
      </c>
      <c r="DM87" s="239">
        <v>-1716672</v>
      </c>
      <c r="DN87" s="835">
        <v>0.5</v>
      </c>
      <c r="DO87" s="835">
        <v>0.4</v>
      </c>
      <c r="DP87" s="835">
        <v>0.09</v>
      </c>
      <c r="DQ87" s="835">
        <v>0.01</v>
      </c>
      <c r="DR87" s="835">
        <v>1</v>
      </c>
      <c r="DS87" s="214" t="s">
        <v>1158</v>
      </c>
      <c r="DU87" s="214">
        <v>0</v>
      </c>
    </row>
    <row r="88" spans="1:125" s="214" customFormat="1" x14ac:dyDescent="0.2">
      <c r="B88" s="602" t="s">
        <v>259</v>
      </c>
      <c r="C88" s="602" t="s">
        <v>258</v>
      </c>
      <c r="D88" s="239">
        <v>10822116</v>
      </c>
      <c r="E88" s="239">
        <v>8657692</v>
      </c>
      <c r="F88" s="239">
        <v>1947981</v>
      </c>
      <c r="G88" s="239">
        <v>216442</v>
      </c>
      <c r="H88" s="239">
        <v>21644231</v>
      </c>
      <c r="I88" s="239">
        <v>0</v>
      </c>
      <c r="J88" s="239">
        <v>0</v>
      </c>
      <c r="K88" s="239">
        <v>10822116</v>
      </c>
      <c r="L88" s="239">
        <v>108647</v>
      </c>
      <c r="M88" s="239">
        <v>108647</v>
      </c>
      <c r="N88" s="239">
        <v>0</v>
      </c>
      <c r="O88" s="239">
        <v>0</v>
      </c>
      <c r="P88" s="239">
        <v>229407</v>
      </c>
      <c r="Q88" s="239">
        <v>0</v>
      </c>
      <c r="R88" s="239">
        <v>229407</v>
      </c>
      <c r="S88" s="239">
        <v>0</v>
      </c>
      <c r="T88" s="239">
        <v>0</v>
      </c>
      <c r="U88" s="239">
        <v>0</v>
      </c>
      <c r="V88" s="239">
        <v>0</v>
      </c>
      <c r="W88" s="239">
        <v>0</v>
      </c>
      <c r="X88" s="239">
        <v>0</v>
      </c>
      <c r="Y88" s="239">
        <v>0</v>
      </c>
      <c r="Z88" s="239">
        <v>0</v>
      </c>
      <c r="AA88" s="239">
        <v>0</v>
      </c>
      <c r="AB88" s="239">
        <v>0</v>
      </c>
      <c r="AC88" s="239">
        <v>1207310</v>
      </c>
      <c r="AD88" s="239">
        <v>270870</v>
      </c>
      <c r="AE88" s="239">
        <v>30096</v>
      </c>
      <c r="AF88" s="239">
        <v>1508276</v>
      </c>
      <c r="AG88" s="239">
        <v>224420</v>
      </c>
      <c r="AH88" s="239">
        <v>179535</v>
      </c>
      <c r="AI88" s="239">
        <v>40395</v>
      </c>
      <c r="AJ88" s="239">
        <v>4488</v>
      </c>
      <c r="AK88" s="239">
        <v>448838</v>
      </c>
      <c r="AL88" s="239">
        <v>-99176</v>
      </c>
      <c r="AM88" s="239">
        <v>-79342</v>
      </c>
      <c r="AN88" s="239">
        <v>-17852</v>
      </c>
      <c r="AO88" s="239">
        <v>-1984</v>
      </c>
      <c r="AP88" s="239">
        <v>-198354</v>
      </c>
      <c r="AQ88" s="239">
        <v>-156876</v>
      </c>
      <c r="AR88" s="239">
        <v>-125502</v>
      </c>
      <c r="AS88" s="239">
        <v>-28238</v>
      </c>
      <c r="AT88" s="239">
        <v>-3138</v>
      </c>
      <c r="AU88" s="239">
        <v>-313754</v>
      </c>
      <c r="AV88" s="239">
        <v>38413</v>
      </c>
      <c r="AW88" s="239">
        <v>30730</v>
      </c>
      <c r="AX88" s="239">
        <v>6914</v>
      </c>
      <c r="AY88" s="239">
        <v>768</v>
      </c>
      <c r="AZ88" s="239">
        <v>76825</v>
      </c>
      <c r="BA88" s="239">
        <v>-31224</v>
      </c>
      <c r="BB88" s="239">
        <v>-24979</v>
      </c>
      <c r="BC88" s="239">
        <v>-5620</v>
      </c>
      <c r="BD88" s="239">
        <v>-624</v>
      </c>
      <c r="BE88" s="239">
        <v>-62447</v>
      </c>
      <c r="BF88" s="239">
        <v>-149687</v>
      </c>
      <c r="BG88" s="239">
        <v>-119751</v>
      </c>
      <c r="BH88" s="239">
        <v>-26944</v>
      </c>
      <c r="BI88" s="239">
        <v>-2994</v>
      </c>
      <c r="BJ88" s="239">
        <v>-299376</v>
      </c>
      <c r="BK88" s="239">
        <v>-490904.39999999991</v>
      </c>
      <c r="BL88" s="239">
        <v>-392724</v>
      </c>
      <c r="BM88" s="239">
        <v>-88363</v>
      </c>
      <c r="BN88" s="239">
        <v>-9818</v>
      </c>
      <c r="BO88" s="239">
        <v>-981809.39999999991</v>
      </c>
      <c r="BP88" s="239">
        <v>192414</v>
      </c>
      <c r="BQ88" s="239">
        <v>153931</v>
      </c>
      <c r="BR88" s="239">
        <v>34634</v>
      </c>
      <c r="BS88" s="239">
        <v>3848</v>
      </c>
      <c r="BT88" s="239">
        <v>384827</v>
      </c>
      <c r="BU88" s="239">
        <v>-192414</v>
      </c>
      <c r="BV88" s="239">
        <v>-153931</v>
      </c>
      <c r="BW88" s="239">
        <v>-34634</v>
      </c>
      <c r="BX88" s="239">
        <v>-3848</v>
      </c>
      <c r="BY88" s="239">
        <v>-384827</v>
      </c>
      <c r="BZ88" s="239">
        <v>-490904.39999999991</v>
      </c>
      <c r="CA88" s="239">
        <v>-392724</v>
      </c>
      <c r="CB88" s="239">
        <v>-88363</v>
      </c>
      <c r="CC88" s="239">
        <v>-9818</v>
      </c>
      <c r="CD88" s="239">
        <v>-981809.39999999991</v>
      </c>
      <c r="CE88" s="239">
        <v>-36998.730000000447</v>
      </c>
      <c r="CF88" s="239">
        <v>-29598</v>
      </c>
      <c r="CG88" s="239">
        <v>-6659</v>
      </c>
      <c r="CH88" s="239">
        <v>-740</v>
      </c>
      <c r="CI88" s="239">
        <v>-73995.730000000447</v>
      </c>
      <c r="CJ88" s="239">
        <v>-53363</v>
      </c>
      <c r="CK88" s="239">
        <v>-42690</v>
      </c>
      <c r="CL88" s="239">
        <v>-9605</v>
      </c>
      <c r="CM88" s="239">
        <v>-1067</v>
      </c>
      <c r="CN88" s="239">
        <v>-106725</v>
      </c>
      <c r="CO88" s="239">
        <v>16364.269999999553</v>
      </c>
      <c r="CP88" s="239">
        <v>13092</v>
      </c>
      <c r="CQ88" s="239">
        <v>2946</v>
      </c>
      <c r="CR88" s="239">
        <v>327</v>
      </c>
      <c r="CS88" s="239">
        <v>32729.269999999553</v>
      </c>
      <c r="CT88" s="239">
        <v>11263876</v>
      </c>
      <c r="CU88" s="239">
        <v>9011102</v>
      </c>
      <c r="CV88" s="239">
        <v>2027498</v>
      </c>
      <c r="CW88" s="239">
        <v>225278</v>
      </c>
      <c r="CX88" s="239">
        <v>22527754</v>
      </c>
      <c r="CY88" s="239">
        <v>10822116</v>
      </c>
      <c r="CZ88" s="239">
        <v>8657692</v>
      </c>
      <c r="DA88" s="239">
        <v>1947981</v>
      </c>
      <c r="DB88" s="239">
        <v>216442</v>
      </c>
      <c r="DC88" s="239">
        <v>21644231</v>
      </c>
      <c r="DD88" s="239">
        <v>-441760</v>
      </c>
      <c r="DE88" s="239">
        <v>-353410</v>
      </c>
      <c r="DF88" s="239">
        <v>-79517</v>
      </c>
      <c r="DG88" s="239">
        <v>-8836</v>
      </c>
      <c r="DH88" s="239">
        <v>-883523</v>
      </c>
      <c r="DI88" s="239">
        <v>-425395.73000000045</v>
      </c>
      <c r="DJ88" s="239">
        <v>-340318</v>
      </c>
      <c r="DK88" s="239">
        <v>-76571</v>
      </c>
      <c r="DL88" s="239">
        <v>-8509</v>
      </c>
      <c r="DM88" s="239">
        <v>-850793.73000000045</v>
      </c>
      <c r="DN88" s="835">
        <v>0.5</v>
      </c>
      <c r="DO88" s="835">
        <v>0.4</v>
      </c>
      <c r="DP88" s="835">
        <v>0.09</v>
      </c>
      <c r="DQ88" s="835">
        <v>0.01</v>
      </c>
      <c r="DR88" s="835">
        <v>1</v>
      </c>
      <c r="DS88" s="214" t="s">
        <v>1158</v>
      </c>
      <c r="DU88" s="214">
        <v>0</v>
      </c>
    </row>
    <row r="89" spans="1:125" s="214" customFormat="1" x14ac:dyDescent="0.2">
      <c r="B89" s="602" t="s">
        <v>261</v>
      </c>
      <c r="C89" s="602" t="s">
        <v>260</v>
      </c>
      <c r="D89" s="239">
        <v>15237701.199999999</v>
      </c>
      <c r="E89" s="239">
        <v>12190160</v>
      </c>
      <c r="F89" s="239">
        <v>2742786</v>
      </c>
      <c r="G89" s="239">
        <v>304754</v>
      </c>
      <c r="H89" s="239">
        <v>30475401.199999999</v>
      </c>
      <c r="I89" s="239">
        <v>0</v>
      </c>
      <c r="J89" s="239">
        <v>0</v>
      </c>
      <c r="K89" s="239">
        <v>15237701.199999999</v>
      </c>
      <c r="L89" s="239">
        <v>155157</v>
      </c>
      <c r="M89" s="239">
        <v>155157</v>
      </c>
      <c r="N89" s="239">
        <v>3870</v>
      </c>
      <c r="O89" s="239">
        <v>3870</v>
      </c>
      <c r="P89" s="239">
        <v>0</v>
      </c>
      <c r="Q89" s="239">
        <v>0</v>
      </c>
      <c r="R89" s="239">
        <v>0</v>
      </c>
      <c r="S89" s="239">
        <v>0</v>
      </c>
      <c r="T89" s="239">
        <v>0</v>
      </c>
      <c r="U89" s="239">
        <v>0</v>
      </c>
      <c r="V89" s="239">
        <v>0</v>
      </c>
      <c r="W89" s="239">
        <v>0</v>
      </c>
      <c r="X89" s="239">
        <v>0</v>
      </c>
      <c r="Y89" s="239">
        <v>0</v>
      </c>
      <c r="Z89" s="239">
        <v>0</v>
      </c>
      <c r="AA89" s="239">
        <v>0</v>
      </c>
      <c r="AB89" s="239">
        <v>0</v>
      </c>
      <c r="AC89" s="239">
        <v>1523117</v>
      </c>
      <c r="AD89" s="239">
        <v>342689</v>
      </c>
      <c r="AE89" s="239">
        <v>38076</v>
      </c>
      <c r="AF89" s="239">
        <v>1903882</v>
      </c>
      <c r="AG89" s="239">
        <v>662319</v>
      </c>
      <c r="AH89" s="239">
        <v>529855</v>
      </c>
      <c r="AI89" s="239">
        <v>119217</v>
      </c>
      <c r="AJ89" s="239">
        <v>13246</v>
      </c>
      <c r="AK89" s="239">
        <v>1324637</v>
      </c>
      <c r="AL89" s="239">
        <v>-217086</v>
      </c>
      <c r="AM89" s="239">
        <v>-173668</v>
      </c>
      <c r="AN89" s="239">
        <v>-39075</v>
      </c>
      <c r="AO89" s="239">
        <v>-4342</v>
      </c>
      <c r="AP89" s="239">
        <v>-434171</v>
      </c>
      <c r="AQ89" s="239">
        <v>-216093</v>
      </c>
      <c r="AR89" s="239">
        <v>-172874</v>
      </c>
      <c r="AS89" s="239">
        <v>-38897</v>
      </c>
      <c r="AT89" s="239">
        <v>-4322</v>
      </c>
      <c r="AU89" s="239">
        <v>-432186</v>
      </c>
      <c r="AV89" s="239">
        <v>148828</v>
      </c>
      <c r="AW89" s="239">
        <v>119063</v>
      </c>
      <c r="AX89" s="239">
        <v>26789</v>
      </c>
      <c r="AY89" s="239">
        <v>2977</v>
      </c>
      <c r="AZ89" s="239">
        <v>297657</v>
      </c>
      <c r="BA89" s="239">
        <v>-129200</v>
      </c>
      <c r="BB89" s="239">
        <v>-103360</v>
      </c>
      <c r="BC89" s="239">
        <v>-23256</v>
      </c>
      <c r="BD89" s="239">
        <v>-2584</v>
      </c>
      <c r="BE89" s="239">
        <v>-258400</v>
      </c>
      <c r="BF89" s="239">
        <v>-196465</v>
      </c>
      <c r="BG89" s="239">
        <v>-157171</v>
      </c>
      <c r="BH89" s="239">
        <v>-35364</v>
      </c>
      <c r="BI89" s="239">
        <v>-3929</v>
      </c>
      <c r="BJ89" s="239">
        <v>-392929</v>
      </c>
      <c r="BK89" s="239">
        <v>-1227730</v>
      </c>
      <c r="BL89" s="239">
        <v>-982185</v>
      </c>
      <c r="BM89" s="239">
        <v>-220992</v>
      </c>
      <c r="BN89" s="239">
        <v>-24555</v>
      </c>
      <c r="BO89" s="239">
        <v>-2455462</v>
      </c>
      <c r="BP89" s="239">
        <v>101532</v>
      </c>
      <c r="BQ89" s="239">
        <v>81226</v>
      </c>
      <c r="BR89" s="239">
        <v>18276</v>
      </c>
      <c r="BS89" s="239">
        <v>2031</v>
      </c>
      <c r="BT89" s="239">
        <v>203065</v>
      </c>
      <c r="BU89" s="239">
        <v>-779855.8</v>
      </c>
      <c r="BV89" s="239">
        <v>-623884</v>
      </c>
      <c r="BW89" s="239">
        <v>-140374</v>
      </c>
      <c r="BX89" s="239">
        <v>-15597</v>
      </c>
      <c r="BY89" s="239">
        <v>-1559710.8</v>
      </c>
      <c r="BZ89" s="239">
        <v>-1906053.8</v>
      </c>
      <c r="CA89" s="239">
        <v>-1524843</v>
      </c>
      <c r="CB89" s="239">
        <v>-343090</v>
      </c>
      <c r="CC89" s="239">
        <v>-38121</v>
      </c>
      <c r="CD89" s="239">
        <v>-3812107.8</v>
      </c>
      <c r="CE89" s="239">
        <v>-1016180</v>
      </c>
      <c r="CF89" s="239">
        <v>-812944</v>
      </c>
      <c r="CG89" s="239">
        <v>-182913</v>
      </c>
      <c r="CH89" s="239">
        <v>-20323</v>
      </c>
      <c r="CI89" s="239">
        <v>-2032360</v>
      </c>
      <c r="CJ89" s="239">
        <v>-55116</v>
      </c>
      <c r="CK89" s="239">
        <v>-44093</v>
      </c>
      <c r="CL89" s="239">
        <v>-9921</v>
      </c>
      <c r="CM89" s="239">
        <v>-1102</v>
      </c>
      <c r="CN89" s="239">
        <v>-110232</v>
      </c>
      <c r="CO89" s="239">
        <v>-961064</v>
      </c>
      <c r="CP89" s="239">
        <v>-768851</v>
      </c>
      <c r="CQ89" s="239">
        <v>-172992</v>
      </c>
      <c r="CR89" s="239">
        <v>-19221</v>
      </c>
      <c r="CS89" s="239">
        <v>-1922128</v>
      </c>
      <c r="CT89" s="239">
        <v>16401504</v>
      </c>
      <c r="CU89" s="239">
        <v>13121203</v>
      </c>
      <c r="CV89" s="239">
        <v>2952271</v>
      </c>
      <c r="CW89" s="239">
        <v>328030</v>
      </c>
      <c r="CX89" s="239">
        <v>32803008</v>
      </c>
      <c r="CY89" s="239">
        <v>15237701.199999999</v>
      </c>
      <c r="CZ89" s="239">
        <v>12190160</v>
      </c>
      <c r="DA89" s="239">
        <v>2742786</v>
      </c>
      <c r="DB89" s="239">
        <v>304754</v>
      </c>
      <c r="DC89" s="239">
        <v>30475401.199999999</v>
      </c>
      <c r="DD89" s="239">
        <v>-1163802.8000000007</v>
      </c>
      <c r="DE89" s="239">
        <v>-931043</v>
      </c>
      <c r="DF89" s="239">
        <v>-209485</v>
      </c>
      <c r="DG89" s="239">
        <v>-23276</v>
      </c>
      <c r="DH89" s="239">
        <v>-2327606.8000000007</v>
      </c>
      <c r="DI89" s="239">
        <v>-2124866.8000000007</v>
      </c>
      <c r="DJ89" s="239">
        <v>-1699894</v>
      </c>
      <c r="DK89" s="239">
        <v>-382477</v>
      </c>
      <c r="DL89" s="239">
        <v>-42497</v>
      </c>
      <c r="DM89" s="239">
        <v>-4249734.8000000007</v>
      </c>
      <c r="DN89" s="835">
        <v>0.5</v>
      </c>
      <c r="DO89" s="835">
        <v>0.4</v>
      </c>
      <c r="DP89" s="835">
        <v>0.09</v>
      </c>
      <c r="DQ89" s="835">
        <v>0.01</v>
      </c>
      <c r="DR89" s="835">
        <v>1</v>
      </c>
      <c r="DS89" s="214" t="s">
        <v>1158</v>
      </c>
      <c r="DU89" s="214">
        <v>0</v>
      </c>
    </row>
    <row r="90" spans="1:125" s="214" customFormat="1" x14ac:dyDescent="0.2">
      <c r="B90" s="602" t="s">
        <v>263</v>
      </c>
      <c r="C90" s="602" t="s">
        <v>262</v>
      </c>
      <c r="D90" s="239">
        <v>20670607</v>
      </c>
      <c r="E90" s="239">
        <v>16536486</v>
      </c>
      <c r="F90" s="239">
        <v>4134121</v>
      </c>
      <c r="G90" s="239">
        <v>0</v>
      </c>
      <c r="H90" s="239">
        <v>41341214</v>
      </c>
      <c r="I90" s="239">
        <v>0</v>
      </c>
      <c r="J90" s="239">
        <v>0</v>
      </c>
      <c r="K90" s="239">
        <v>20670607</v>
      </c>
      <c r="L90" s="239">
        <v>193979</v>
      </c>
      <c r="M90" s="239">
        <v>193979</v>
      </c>
      <c r="N90" s="239">
        <v>0</v>
      </c>
      <c r="O90" s="239">
        <v>0</v>
      </c>
      <c r="P90" s="239">
        <v>0</v>
      </c>
      <c r="Q90" s="239">
        <v>0</v>
      </c>
      <c r="R90" s="239">
        <v>0</v>
      </c>
      <c r="S90" s="239">
        <v>0</v>
      </c>
      <c r="T90" s="239">
        <v>0</v>
      </c>
      <c r="U90" s="239">
        <v>0</v>
      </c>
      <c r="V90" s="239">
        <v>0</v>
      </c>
      <c r="W90" s="239">
        <v>0</v>
      </c>
      <c r="X90" s="239">
        <v>0</v>
      </c>
      <c r="Y90" s="239">
        <v>0</v>
      </c>
      <c r="Z90" s="239">
        <v>0</v>
      </c>
      <c r="AA90" s="239">
        <v>0</v>
      </c>
      <c r="AB90" s="239">
        <v>0</v>
      </c>
      <c r="AC90" s="239">
        <v>1777372</v>
      </c>
      <c r="AD90" s="239">
        <v>444342</v>
      </c>
      <c r="AE90" s="239">
        <v>0</v>
      </c>
      <c r="AF90" s="239">
        <v>2221714</v>
      </c>
      <c r="AG90" s="239">
        <v>680299</v>
      </c>
      <c r="AH90" s="239">
        <v>544240</v>
      </c>
      <c r="AI90" s="239">
        <v>136060</v>
      </c>
      <c r="AJ90" s="239">
        <v>0</v>
      </c>
      <c r="AK90" s="239">
        <v>1360599</v>
      </c>
      <c r="AL90" s="239">
        <v>-228032</v>
      </c>
      <c r="AM90" s="239">
        <v>-182425</v>
      </c>
      <c r="AN90" s="239">
        <v>-45606</v>
      </c>
      <c r="AO90" s="239">
        <v>0</v>
      </c>
      <c r="AP90" s="239">
        <v>-456063</v>
      </c>
      <c r="AQ90" s="239">
        <v>-502238</v>
      </c>
      <c r="AR90" s="239">
        <v>-401791</v>
      </c>
      <c r="AS90" s="239">
        <v>-100448</v>
      </c>
      <c r="AT90" s="239">
        <v>0</v>
      </c>
      <c r="AU90" s="239">
        <v>-1004477</v>
      </c>
      <c r="AV90" s="239">
        <v>175186</v>
      </c>
      <c r="AW90" s="239">
        <v>140148</v>
      </c>
      <c r="AX90" s="239">
        <v>35037</v>
      </c>
      <c r="AY90" s="239">
        <v>0</v>
      </c>
      <c r="AZ90" s="239">
        <v>350371</v>
      </c>
      <c r="BA90" s="239">
        <v>-223102</v>
      </c>
      <c r="BB90" s="239">
        <v>-178482</v>
      </c>
      <c r="BC90" s="239">
        <v>-44620</v>
      </c>
      <c r="BD90" s="239">
        <v>0</v>
      </c>
      <c r="BE90" s="239">
        <v>-446204</v>
      </c>
      <c r="BF90" s="239">
        <v>-550154</v>
      </c>
      <c r="BG90" s="239">
        <v>-440125</v>
      </c>
      <c r="BH90" s="239">
        <v>-110031</v>
      </c>
      <c r="BI90" s="239">
        <v>0</v>
      </c>
      <c r="BJ90" s="239">
        <v>-1100310</v>
      </c>
      <c r="BK90" s="239">
        <v>-3395443</v>
      </c>
      <c r="BL90" s="239">
        <v>-2716355</v>
      </c>
      <c r="BM90" s="239">
        <v>-679089</v>
      </c>
      <c r="BN90" s="239">
        <v>0</v>
      </c>
      <c r="BO90" s="239">
        <v>-6790887</v>
      </c>
      <c r="BP90" s="239">
        <v>269121</v>
      </c>
      <c r="BQ90" s="239">
        <v>215297</v>
      </c>
      <c r="BR90" s="239">
        <v>53824</v>
      </c>
      <c r="BS90" s="239">
        <v>0</v>
      </c>
      <c r="BT90" s="239">
        <v>538242</v>
      </c>
      <c r="BU90" s="239">
        <v>-1287996</v>
      </c>
      <c r="BV90" s="239">
        <v>-1030396</v>
      </c>
      <c r="BW90" s="239">
        <v>-257599</v>
      </c>
      <c r="BX90" s="239">
        <v>0</v>
      </c>
      <c r="BY90" s="239">
        <v>-2575991</v>
      </c>
      <c r="BZ90" s="239">
        <v>-4414318</v>
      </c>
      <c r="CA90" s="239">
        <v>-3531454</v>
      </c>
      <c r="CB90" s="239">
        <v>-882864</v>
      </c>
      <c r="CC90" s="239">
        <v>0</v>
      </c>
      <c r="CD90" s="239">
        <v>-8828636</v>
      </c>
      <c r="CE90" s="239">
        <v>-250559</v>
      </c>
      <c r="CF90" s="239">
        <v>-200448</v>
      </c>
      <c r="CG90" s="239">
        <v>-50113</v>
      </c>
      <c r="CH90" s="239">
        <v>0</v>
      </c>
      <c r="CI90" s="239">
        <v>-501120</v>
      </c>
      <c r="CJ90" s="239">
        <v>-574712</v>
      </c>
      <c r="CK90" s="239">
        <v>-459770</v>
      </c>
      <c r="CL90" s="239">
        <v>-114942</v>
      </c>
      <c r="CM90" s="239">
        <v>0</v>
      </c>
      <c r="CN90" s="239">
        <v>-1149424</v>
      </c>
      <c r="CO90" s="239">
        <v>324153</v>
      </c>
      <c r="CP90" s="239">
        <v>259322</v>
      </c>
      <c r="CQ90" s="239">
        <v>64829</v>
      </c>
      <c r="CR90" s="239">
        <v>0</v>
      </c>
      <c r="CS90" s="239">
        <v>648304</v>
      </c>
      <c r="CT90" s="239">
        <v>20566242</v>
      </c>
      <c r="CU90" s="239">
        <v>16452994</v>
      </c>
      <c r="CV90" s="239">
        <v>4113248</v>
      </c>
      <c r="CW90" s="239">
        <v>0</v>
      </c>
      <c r="CX90" s="239">
        <v>41132484</v>
      </c>
      <c r="CY90" s="239">
        <v>20670607</v>
      </c>
      <c r="CZ90" s="239">
        <v>16536486</v>
      </c>
      <c r="DA90" s="239">
        <v>4134121</v>
      </c>
      <c r="DB90" s="239">
        <v>0</v>
      </c>
      <c r="DC90" s="239">
        <v>41341214</v>
      </c>
      <c r="DD90" s="239">
        <v>104365</v>
      </c>
      <c r="DE90" s="239">
        <v>83492</v>
      </c>
      <c r="DF90" s="239">
        <v>20873</v>
      </c>
      <c r="DG90" s="239">
        <v>0</v>
      </c>
      <c r="DH90" s="239">
        <v>208730</v>
      </c>
      <c r="DI90" s="239">
        <v>428518</v>
      </c>
      <c r="DJ90" s="239">
        <v>342814</v>
      </c>
      <c r="DK90" s="239">
        <v>85702</v>
      </c>
      <c r="DL90" s="239">
        <v>0</v>
      </c>
      <c r="DM90" s="239">
        <v>857034</v>
      </c>
      <c r="DN90" s="835">
        <v>0.5</v>
      </c>
      <c r="DO90" s="835">
        <v>0.4</v>
      </c>
      <c r="DP90" s="835">
        <v>0.1</v>
      </c>
      <c r="DQ90" s="835">
        <v>0</v>
      </c>
      <c r="DR90" s="835">
        <v>1</v>
      </c>
      <c r="DS90" s="214" t="s">
        <v>1158</v>
      </c>
      <c r="DU90" s="214">
        <v>0</v>
      </c>
    </row>
    <row r="91" spans="1:125" s="214" customFormat="1" x14ac:dyDescent="0.2">
      <c r="B91" s="602" t="s">
        <v>265</v>
      </c>
      <c r="C91" s="602" t="s">
        <v>264</v>
      </c>
      <c r="D91" s="239">
        <v>16636886</v>
      </c>
      <c r="E91" s="239">
        <v>13309508</v>
      </c>
      <c r="F91" s="239">
        <v>3327377</v>
      </c>
      <c r="G91" s="239">
        <v>0</v>
      </c>
      <c r="H91" s="239">
        <v>33273771</v>
      </c>
      <c r="I91" s="239">
        <v>0</v>
      </c>
      <c r="J91" s="239">
        <v>0</v>
      </c>
      <c r="K91" s="239">
        <v>16636886</v>
      </c>
      <c r="L91" s="239">
        <v>267225</v>
      </c>
      <c r="M91" s="239">
        <v>267225</v>
      </c>
      <c r="N91" s="239">
        <v>0</v>
      </c>
      <c r="O91" s="239">
        <v>0</v>
      </c>
      <c r="P91" s="239">
        <v>675727</v>
      </c>
      <c r="Q91" s="239">
        <v>63442</v>
      </c>
      <c r="R91" s="239">
        <v>739169</v>
      </c>
      <c r="S91" s="239">
        <v>0</v>
      </c>
      <c r="T91" s="239">
        <v>0</v>
      </c>
      <c r="U91" s="239">
        <v>0</v>
      </c>
      <c r="V91" s="239">
        <v>0</v>
      </c>
      <c r="W91" s="239">
        <v>0</v>
      </c>
      <c r="X91" s="239">
        <v>0</v>
      </c>
      <c r="Y91" s="239">
        <v>0</v>
      </c>
      <c r="Z91" s="239">
        <v>0</v>
      </c>
      <c r="AA91" s="239">
        <v>0</v>
      </c>
      <c r="AB91" s="239">
        <v>0</v>
      </c>
      <c r="AC91" s="239">
        <v>2186551</v>
      </c>
      <c r="AD91" s="239">
        <v>545052</v>
      </c>
      <c r="AE91" s="239">
        <v>0</v>
      </c>
      <c r="AF91" s="239">
        <v>2731603</v>
      </c>
      <c r="AG91" s="239">
        <v>1591318</v>
      </c>
      <c r="AH91" s="239">
        <v>1273055</v>
      </c>
      <c r="AI91" s="239">
        <v>318264</v>
      </c>
      <c r="AJ91" s="239">
        <v>0</v>
      </c>
      <c r="AK91" s="239">
        <v>3182637</v>
      </c>
      <c r="AL91" s="239">
        <v>-515960</v>
      </c>
      <c r="AM91" s="239">
        <v>-412768</v>
      </c>
      <c r="AN91" s="239">
        <v>-103192</v>
      </c>
      <c r="AO91" s="239">
        <v>0</v>
      </c>
      <c r="AP91" s="239">
        <v>-1031920</v>
      </c>
      <c r="AQ91" s="239">
        <v>-607499</v>
      </c>
      <c r="AR91" s="239">
        <v>-485999</v>
      </c>
      <c r="AS91" s="239">
        <v>-121500</v>
      </c>
      <c r="AT91" s="239">
        <v>0</v>
      </c>
      <c r="AU91" s="239">
        <v>-1214998</v>
      </c>
      <c r="AV91" s="239">
        <v>155311</v>
      </c>
      <c r="AW91" s="239">
        <v>124249</v>
      </c>
      <c r="AX91" s="239">
        <v>31062</v>
      </c>
      <c r="AY91" s="239">
        <v>0</v>
      </c>
      <c r="AZ91" s="239">
        <v>310622</v>
      </c>
      <c r="BA91" s="239">
        <v>-214312</v>
      </c>
      <c r="BB91" s="239">
        <v>-171450</v>
      </c>
      <c r="BC91" s="239">
        <v>-42862</v>
      </c>
      <c r="BD91" s="239">
        <v>0</v>
      </c>
      <c r="BE91" s="239">
        <v>-428624</v>
      </c>
      <c r="BF91" s="239">
        <v>-666500</v>
      </c>
      <c r="BG91" s="239">
        <v>-533200</v>
      </c>
      <c r="BH91" s="239">
        <v>-133300</v>
      </c>
      <c r="BI91" s="239">
        <v>0</v>
      </c>
      <c r="BJ91" s="239">
        <v>-1333000</v>
      </c>
      <c r="BK91" s="239">
        <v>-1450432</v>
      </c>
      <c r="BL91" s="239">
        <v>-1160346</v>
      </c>
      <c r="BM91" s="239">
        <v>-290087</v>
      </c>
      <c r="BN91" s="239">
        <v>0</v>
      </c>
      <c r="BO91" s="239">
        <v>-2900865</v>
      </c>
      <c r="BP91" s="239">
        <v>150611</v>
      </c>
      <c r="BQ91" s="239">
        <v>120489</v>
      </c>
      <c r="BR91" s="239">
        <v>30122</v>
      </c>
      <c r="BS91" s="239">
        <v>0</v>
      </c>
      <c r="BT91" s="239">
        <v>301222</v>
      </c>
      <c r="BU91" s="239">
        <v>-653678</v>
      </c>
      <c r="BV91" s="239">
        <v>-522943</v>
      </c>
      <c r="BW91" s="239">
        <v>-130736</v>
      </c>
      <c r="BX91" s="239">
        <v>0</v>
      </c>
      <c r="BY91" s="239">
        <v>-1307357</v>
      </c>
      <c r="BZ91" s="239">
        <v>-1953499</v>
      </c>
      <c r="CA91" s="239">
        <v>-1562800</v>
      </c>
      <c r="CB91" s="239">
        <v>-390701</v>
      </c>
      <c r="CC91" s="239">
        <v>0</v>
      </c>
      <c r="CD91" s="239">
        <v>-3907000</v>
      </c>
      <c r="CE91" s="239">
        <v>671486</v>
      </c>
      <c r="CF91" s="239">
        <v>537189</v>
      </c>
      <c r="CG91" s="239">
        <v>134298</v>
      </c>
      <c r="CH91" s="239">
        <v>0</v>
      </c>
      <c r="CI91" s="239">
        <v>1342973</v>
      </c>
      <c r="CJ91" s="239">
        <v>1102292</v>
      </c>
      <c r="CK91" s="239">
        <v>881834</v>
      </c>
      <c r="CL91" s="239">
        <v>220459</v>
      </c>
      <c r="CM91" s="239">
        <v>0</v>
      </c>
      <c r="CN91" s="239">
        <v>2204585</v>
      </c>
      <c r="CO91" s="239">
        <v>-430806</v>
      </c>
      <c r="CP91" s="239">
        <v>-344645</v>
      </c>
      <c r="CQ91" s="239">
        <v>-86161</v>
      </c>
      <c r="CR91" s="239">
        <v>0</v>
      </c>
      <c r="CS91" s="239">
        <v>-861612</v>
      </c>
      <c r="CT91" s="239">
        <v>17240434</v>
      </c>
      <c r="CU91" s="239">
        <v>13792348</v>
      </c>
      <c r="CV91" s="239">
        <v>3448087</v>
      </c>
      <c r="CW91" s="239">
        <v>0</v>
      </c>
      <c r="CX91" s="239">
        <v>34480869</v>
      </c>
      <c r="CY91" s="239">
        <v>16636886</v>
      </c>
      <c r="CZ91" s="239">
        <v>13309508</v>
      </c>
      <c r="DA91" s="239">
        <v>3327377</v>
      </c>
      <c r="DB91" s="239">
        <v>0</v>
      </c>
      <c r="DC91" s="239">
        <v>33273771</v>
      </c>
      <c r="DD91" s="239">
        <v>-603548</v>
      </c>
      <c r="DE91" s="239">
        <v>-482840</v>
      </c>
      <c r="DF91" s="239">
        <v>-120710</v>
      </c>
      <c r="DG91" s="239">
        <v>0</v>
      </c>
      <c r="DH91" s="239">
        <v>-1207098</v>
      </c>
      <c r="DI91" s="239">
        <v>-1034354</v>
      </c>
      <c r="DJ91" s="239">
        <v>-827485</v>
      </c>
      <c r="DK91" s="239">
        <v>-206871</v>
      </c>
      <c r="DL91" s="239">
        <v>0</v>
      </c>
      <c r="DM91" s="239">
        <v>-2068710</v>
      </c>
      <c r="DN91" s="835">
        <v>0.5</v>
      </c>
      <c r="DO91" s="835">
        <v>0.4</v>
      </c>
      <c r="DP91" s="835">
        <v>0.1</v>
      </c>
      <c r="DQ91" s="835">
        <v>0</v>
      </c>
      <c r="DR91" s="835">
        <v>1</v>
      </c>
      <c r="DS91" s="214" t="s">
        <v>1158</v>
      </c>
      <c r="DU91" s="214">
        <v>0</v>
      </c>
    </row>
    <row r="92" spans="1:125" s="214" customFormat="1" x14ac:dyDescent="0.2">
      <c r="B92" s="602" t="s">
        <v>267</v>
      </c>
      <c r="C92" s="602" t="s">
        <v>266</v>
      </c>
      <c r="D92" s="239">
        <v>14012989</v>
      </c>
      <c r="E92" s="239">
        <v>11210391</v>
      </c>
      <c r="F92" s="239">
        <v>2802598</v>
      </c>
      <c r="G92" s="239">
        <v>0</v>
      </c>
      <c r="H92" s="239">
        <v>28025978</v>
      </c>
      <c r="I92" s="239">
        <v>0</v>
      </c>
      <c r="J92" s="239">
        <v>0</v>
      </c>
      <c r="K92" s="239">
        <v>14012989</v>
      </c>
      <c r="L92" s="239">
        <v>99517</v>
      </c>
      <c r="M92" s="239">
        <v>99517</v>
      </c>
      <c r="N92" s="239">
        <v>0</v>
      </c>
      <c r="O92" s="239">
        <v>0</v>
      </c>
      <c r="P92" s="239">
        <v>453535</v>
      </c>
      <c r="Q92" s="239">
        <v>0</v>
      </c>
      <c r="R92" s="239">
        <v>453535</v>
      </c>
      <c r="S92" s="239">
        <v>0</v>
      </c>
      <c r="T92" s="239">
        <v>0</v>
      </c>
      <c r="U92" s="239">
        <v>0</v>
      </c>
      <c r="V92" s="239">
        <v>0</v>
      </c>
      <c r="W92" s="239">
        <v>0</v>
      </c>
      <c r="X92" s="239">
        <v>0</v>
      </c>
      <c r="Y92" s="239">
        <v>0</v>
      </c>
      <c r="Z92" s="239">
        <v>0</v>
      </c>
      <c r="AA92" s="239">
        <v>0</v>
      </c>
      <c r="AB92" s="239">
        <v>0</v>
      </c>
      <c r="AC92" s="239">
        <v>1011347</v>
      </c>
      <c r="AD92" s="239">
        <v>251134</v>
      </c>
      <c r="AE92" s="239">
        <v>0</v>
      </c>
      <c r="AF92" s="239">
        <v>1262481</v>
      </c>
      <c r="AG92" s="239">
        <v>438302</v>
      </c>
      <c r="AH92" s="239">
        <v>350642</v>
      </c>
      <c r="AI92" s="239">
        <v>87661</v>
      </c>
      <c r="AJ92" s="239">
        <v>0</v>
      </c>
      <c r="AK92" s="239">
        <v>876605</v>
      </c>
      <c r="AL92" s="239">
        <v>-169062</v>
      </c>
      <c r="AM92" s="239">
        <v>-135250</v>
      </c>
      <c r="AN92" s="239">
        <v>-33812</v>
      </c>
      <c r="AO92" s="239">
        <v>0</v>
      </c>
      <c r="AP92" s="239">
        <v>-338124</v>
      </c>
      <c r="AQ92" s="239">
        <v>-66377</v>
      </c>
      <c r="AR92" s="239">
        <v>-53102</v>
      </c>
      <c r="AS92" s="239">
        <v>-13275</v>
      </c>
      <c r="AT92" s="239">
        <v>0</v>
      </c>
      <c r="AU92" s="239">
        <v>-132754</v>
      </c>
      <c r="AV92" s="239">
        <v>29616</v>
      </c>
      <c r="AW92" s="239">
        <v>23693</v>
      </c>
      <c r="AX92" s="239">
        <v>5923</v>
      </c>
      <c r="AY92" s="239">
        <v>0</v>
      </c>
      <c r="AZ92" s="239">
        <v>59232</v>
      </c>
      <c r="BA92" s="239">
        <v>-185069</v>
      </c>
      <c r="BB92" s="239">
        <v>-148056</v>
      </c>
      <c r="BC92" s="239">
        <v>-37014</v>
      </c>
      <c r="BD92" s="239">
        <v>0</v>
      </c>
      <c r="BE92" s="239">
        <v>-370139</v>
      </c>
      <c r="BF92" s="239">
        <v>-221830</v>
      </c>
      <c r="BG92" s="239">
        <v>-177465</v>
      </c>
      <c r="BH92" s="239">
        <v>-44366</v>
      </c>
      <c r="BI92" s="239">
        <v>0</v>
      </c>
      <c r="BJ92" s="239">
        <v>-443661</v>
      </c>
      <c r="BK92" s="239">
        <v>-1325881</v>
      </c>
      <c r="BL92" s="239">
        <v>-1060704</v>
      </c>
      <c r="BM92" s="239">
        <v>-265176</v>
      </c>
      <c r="BN92" s="239">
        <v>0</v>
      </c>
      <c r="BO92" s="239">
        <v>-2651761</v>
      </c>
      <c r="BP92" s="239">
        <v>32691</v>
      </c>
      <c r="BQ92" s="239">
        <v>26153</v>
      </c>
      <c r="BR92" s="239">
        <v>6538</v>
      </c>
      <c r="BS92" s="239">
        <v>0</v>
      </c>
      <c r="BT92" s="239">
        <v>65382</v>
      </c>
      <c r="BU92" s="239">
        <v>-406941</v>
      </c>
      <c r="BV92" s="239">
        <v>-325552</v>
      </c>
      <c r="BW92" s="239">
        <v>-81388</v>
      </c>
      <c r="BX92" s="239">
        <v>0</v>
      </c>
      <c r="BY92" s="239">
        <v>-813881</v>
      </c>
      <c r="BZ92" s="239">
        <v>-1700131</v>
      </c>
      <c r="CA92" s="239">
        <v>-1360103</v>
      </c>
      <c r="CB92" s="239">
        <v>-340026</v>
      </c>
      <c r="CC92" s="239">
        <v>0</v>
      </c>
      <c r="CD92" s="239">
        <v>-3400260</v>
      </c>
      <c r="CE92" s="239">
        <v>-144462</v>
      </c>
      <c r="CF92" s="239">
        <v>-115569</v>
      </c>
      <c r="CG92" s="239">
        <v>-28892</v>
      </c>
      <c r="CH92" s="239">
        <v>0</v>
      </c>
      <c r="CI92" s="239">
        <v>-288923</v>
      </c>
      <c r="CJ92" s="239">
        <v>-26937</v>
      </c>
      <c r="CK92" s="239">
        <v>-21549</v>
      </c>
      <c r="CL92" s="239">
        <v>-5387</v>
      </c>
      <c r="CM92" s="239">
        <v>0</v>
      </c>
      <c r="CN92" s="239">
        <v>-53873</v>
      </c>
      <c r="CO92" s="239">
        <v>-117525</v>
      </c>
      <c r="CP92" s="239">
        <v>-94020</v>
      </c>
      <c r="CQ92" s="239">
        <v>-23505</v>
      </c>
      <c r="CR92" s="239">
        <v>0</v>
      </c>
      <c r="CS92" s="239">
        <v>-235050</v>
      </c>
      <c r="CT92" s="239">
        <v>12883203</v>
      </c>
      <c r="CU92" s="239">
        <v>10306562</v>
      </c>
      <c r="CV92" s="239">
        <v>2576641</v>
      </c>
      <c r="CW92" s="239">
        <v>0</v>
      </c>
      <c r="CX92" s="239">
        <v>25766406</v>
      </c>
      <c r="CY92" s="239">
        <v>14012989</v>
      </c>
      <c r="CZ92" s="239">
        <v>11210391</v>
      </c>
      <c r="DA92" s="239">
        <v>2802598</v>
      </c>
      <c r="DB92" s="239">
        <v>0</v>
      </c>
      <c r="DC92" s="239">
        <v>28025978</v>
      </c>
      <c r="DD92" s="239">
        <v>1129786</v>
      </c>
      <c r="DE92" s="239">
        <v>903829</v>
      </c>
      <c r="DF92" s="239">
        <v>225957</v>
      </c>
      <c r="DG92" s="239">
        <v>0</v>
      </c>
      <c r="DH92" s="239">
        <v>2259572</v>
      </c>
      <c r="DI92" s="239">
        <v>1012261</v>
      </c>
      <c r="DJ92" s="239">
        <v>809809</v>
      </c>
      <c r="DK92" s="239">
        <v>202452</v>
      </c>
      <c r="DL92" s="239">
        <v>0</v>
      </c>
      <c r="DM92" s="239">
        <v>2024522</v>
      </c>
      <c r="DN92" s="835">
        <v>0.5</v>
      </c>
      <c r="DO92" s="835">
        <v>0.4</v>
      </c>
      <c r="DP92" s="835">
        <v>0.1</v>
      </c>
      <c r="DQ92" s="835">
        <v>0</v>
      </c>
      <c r="DR92" s="835">
        <v>1</v>
      </c>
      <c r="DS92" s="214" t="s">
        <v>1158</v>
      </c>
      <c r="DU92" s="214">
        <v>0</v>
      </c>
    </row>
    <row r="93" spans="1:125" s="214" customFormat="1" x14ac:dyDescent="0.2">
      <c r="B93" s="602" t="s">
        <v>269</v>
      </c>
      <c r="C93" s="602" t="s">
        <v>268</v>
      </c>
      <c r="D93" s="239">
        <v>43745756</v>
      </c>
      <c r="E93" s="239">
        <v>42870841</v>
      </c>
      <c r="F93" s="239">
        <v>0</v>
      </c>
      <c r="G93" s="239">
        <v>874915</v>
      </c>
      <c r="H93" s="239">
        <v>87491512</v>
      </c>
      <c r="I93" s="239">
        <v>116971</v>
      </c>
      <c r="J93" s="239">
        <v>116971</v>
      </c>
      <c r="K93" s="239">
        <v>43628785</v>
      </c>
      <c r="L93" s="239">
        <v>431637</v>
      </c>
      <c r="M93" s="239">
        <v>431637</v>
      </c>
      <c r="N93" s="239">
        <v>0</v>
      </c>
      <c r="O93" s="239">
        <v>0</v>
      </c>
      <c r="P93" s="239">
        <v>4384052</v>
      </c>
      <c r="Q93" s="239">
        <v>0</v>
      </c>
      <c r="R93" s="239">
        <v>4384052</v>
      </c>
      <c r="S93" s="239">
        <v>114631.15414163089</v>
      </c>
      <c r="T93" s="239">
        <v>0</v>
      </c>
      <c r="U93" s="239">
        <v>2339.4113090128753</v>
      </c>
      <c r="V93" s="239">
        <v>116970.56545064377</v>
      </c>
      <c r="W93" s="239">
        <v>0</v>
      </c>
      <c r="X93" s="239">
        <v>0</v>
      </c>
      <c r="Y93" s="239">
        <v>0</v>
      </c>
      <c r="Z93" s="239">
        <v>0</v>
      </c>
      <c r="AA93" s="239">
        <v>0</v>
      </c>
      <c r="AB93" s="239">
        <v>0</v>
      </c>
      <c r="AC93" s="239">
        <v>5221629</v>
      </c>
      <c r="AD93" s="239">
        <v>0</v>
      </c>
      <c r="AE93" s="239">
        <v>105222</v>
      </c>
      <c r="AF93" s="239">
        <v>5326851</v>
      </c>
      <c r="AG93" s="239">
        <v>1617870</v>
      </c>
      <c r="AH93" s="239">
        <v>1585513</v>
      </c>
      <c r="AI93" s="239">
        <v>0</v>
      </c>
      <c r="AJ93" s="239">
        <v>32357</v>
      </c>
      <c r="AK93" s="239">
        <v>3235740</v>
      </c>
      <c r="AL93" s="239">
        <v>-927286</v>
      </c>
      <c r="AM93" s="239">
        <v>-908741</v>
      </c>
      <c r="AN93" s="239">
        <v>0</v>
      </c>
      <c r="AO93" s="239">
        <v>-18546</v>
      </c>
      <c r="AP93" s="239">
        <v>-1854573</v>
      </c>
      <c r="AQ93" s="239">
        <v>-954148</v>
      </c>
      <c r="AR93" s="239">
        <v>-935066</v>
      </c>
      <c r="AS93" s="239">
        <v>0</v>
      </c>
      <c r="AT93" s="239">
        <v>-19083</v>
      </c>
      <c r="AU93" s="239">
        <v>-1908297</v>
      </c>
      <c r="AV93" s="239">
        <v>361767</v>
      </c>
      <c r="AW93" s="239">
        <v>354532</v>
      </c>
      <c r="AX93" s="239">
        <v>0</v>
      </c>
      <c r="AY93" s="239">
        <v>7235</v>
      </c>
      <c r="AZ93" s="239">
        <v>723534</v>
      </c>
      <c r="BA93" s="239">
        <v>-324987</v>
      </c>
      <c r="BB93" s="239">
        <v>-318487</v>
      </c>
      <c r="BC93" s="239">
        <v>0</v>
      </c>
      <c r="BD93" s="239">
        <v>-6500</v>
      </c>
      <c r="BE93" s="239">
        <v>-649974</v>
      </c>
      <c r="BF93" s="239">
        <v>-917368</v>
      </c>
      <c r="BG93" s="239">
        <v>-899021</v>
      </c>
      <c r="BH93" s="239">
        <v>0</v>
      </c>
      <c r="BI93" s="239">
        <v>-18348</v>
      </c>
      <c r="BJ93" s="239">
        <v>-1834737</v>
      </c>
      <c r="BK93" s="239">
        <v>-2136845</v>
      </c>
      <c r="BL93" s="239">
        <v>-2094108</v>
      </c>
      <c r="BM93" s="239">
        <v>0</v>
      </c>
      <c r="BN93" s="239">
        <v>-42737</v>
      </c>
      <c r="BO93" s="239">
        <v>-4273690</v>
      </c>
      <c r="BP93" s="239">
        <v>1641256</v>
      </c>
      <c r="BQ93" s="239">
        <v>1608430</v>
      </c>
      <c r="BR93" s="239">
        <v>0</v>
      </c>
      <c r="BS93" s="239">
        <v>32825</v>
      </c>
      <c r="BT93" s="239">
        <v>3282511</v>
      </c>
      <c r="BU93" s="239">
        <v>-2788264</v>
      </c>
      <c r="BV93" s="239">
        <v>-2732499</v>
      </c>
      <c r="BW93" s="239">
        <v>0</v>
      </c>
      <c r="BX93" s="239">
        <v>-55765</v>
      </c>
      <c r="BY93" s="239">
        <v>-5576528</v>
      </c>
      <c r="BZ93" s="239">
        <v>-3283853</v>
      </c>
      <c r="CA93" s="239">
        <v>-3218177</v>
      </c>
      <c r="CB93" s="239">
        <v>0</v>
      </c>
      <c r="CC93" s="239">
        <v>-65677</v>
      </c>
      <c r="CD93" s="239">
        <v>-6567707</v>
      </c>
      <c r="CE93" s="239">
        <v>-674745</v>
      </c>
      <c r="CF93" s="239">
        <v>-661252</v>
      </c>
      <c r="CG93" s="239">
        <v>0</v>
      </c>
      <c r="CH93" s="239">
        <v>-13495</v>
      </c>
      <c r="CI93" s="239">
        <v>-1349492</v>
      </c>
      <c r="CJ93" s="239">
        <v>-835509</v>
      </c>
      <c r="CK93" s="239">
        <v>-818799</v>
      </c>
      <c r="CL93" s="239">
        <v>0</v>
      </c>
      <c r="CM93" s="239">
        <v>-16710</v>
      </c>
      <c r="CN93" s="239">
        <v>-1671018</v>
      </c>
      <c r="CO93" s="239">
        <v>160764</v>
      </c>
      <c r="CP93" s="239">
        <v>157547</v>
      </c>
      <c r="CQ93" s="239">
        <v>0</v>
      </c>
      <c r="CR93" s="239">
        <v>3215</v>
      </c>
      <c r="CS93" s="239">
        <v>321526</v>
      </c>
      <c r="CT93" s="239">
        <v>45456894</v>
      </c>
      <c r="CU93" s="239">
        <v>44547757</v>
      </c>
      <c r="CV93" s="239">
        <v>0</v>
      </c>
      <c r="CW93" s="239">
        <v>909138</v>
      </c>
      <c r="CX93" s="239">
        <v>90913789</v>
      </c>
      <c r="CY93" s="239">
        <v>43745756</v>
      </c>
      <c r="CZ93" s="239">
        <v>42870841</v>
      </c>
      <c r="DA93" s="239">
        <v>0</v>
      </c>
      <c r="DB93" s="239">
        <v>874915</v>
      </c>
      <c r="DC93" s="239">
        <v>87491512</v>
      </c>
      <c r="DD93" s="239">
        <v>-1711138</v>
      </c>
      <c r="DE93" s="239">
        <v>-1676916</v>
      </c>
      <c r="DF93" s="239">
        <v>0</v>
      </c>
      <c r="DG93" s="239">
        <v>-34223</v>
      </c>
      <c r="DH93" s="239">
        <v>-3422277</v>
      </c>
      <c r="DI93" s="239">
        <v>-1550374</v>
      </c>
      <c r="DJ93" s="239">
        <v>-1519369</v>
      </c>
      <c r="DK93" s="239">
        <v>0</v>
      </c>
      <c r="DL93" s="239">
        <v>-31008</v>
      </c>
      <c r="DM93" s="239">
        <v>-3100751</v>
      </c>
      <c r="DN93" s="835">
        <v>0.5</v>
      </c>
      <c r="DO93" s="835">
        <v>0.49</v>
      </c>
      <c r="DP93" s="835">
        <v>0</v>
      </c>
      <c r="DQ93" s="835">
        <v>0.01</v>
      </c>
      <c r="DR93" s="835">
        <v>1</v>
      </c>
      <c r="DS93" s="214" t="s">
        <v>746</v>
      </c>
      <c r="DU93" s="214">
        <v>0</v>
      </c>
    </row>
    <row r="94" spans="1:125" s="214" customFormat="1" x14ac:dyDescent="0.2">
      <c r="B94" s="602" t="s">
        <v>271</v>
      </c>
      <c r="C94" s="602" t="s">
        <v>270</v>
      </c>
      <c r="D94" s="239">
        <v>27072458</v>
      </c>
      <c r="E94" s="239">
        <v>21657967</v>
      </c>
      <c r="F94" s="239">
        <v>4873043</v>
      </c>
      <c r="G94" s="239">
        <v>541449</v>
      </c>
      <c r="H94" s="239">
        <v>54144917</v>
      </c>
      <c r="I94" s="239">
        <v>0</v>
      </c>
      <c r="J94" s="239">
        <v>0</v>
      </c>
      <c r="K94" s="239">
        <v>27072458</v>
      </c>
      <c r="L94" s="239">
        <v>175258</v>
      </c>
      <c r="M94" s="239">
        <v>175258</v>
      </c>
      <c r="N94" s="239">
        <v>0</v>
      </c>
      <c r="O94" s="239">
        <v>0</v>
      </c>
      <c r="P94" s="239">
        <v>0</v>
      </c>
      <c r="Q94" s="239">
        <v>0</v>
      </c>
      <c r="R94" s="239">
        <v>0</v>
      </c>
      <c r="S94" s="239">
        <v>0</v>
      </c>
      <c r="T94" s="239">
        <v>0</v>
      </c>
      <c r="U94" s="239">
        <v>0</v>
      </c>
      <c r="V94" s="239">
        <v>0</v>
      </c>
      <c r="W94" s="239">
        <v>0</v>
      </c>
      <c r="X94" s="239">
        <v>0</v>
      </c>
      <c r="Y94" s="239">
        <v>0</v>
      </c>
      <c r="Z94" s="239">
        <v>0</v>
      </c>
      <c r="AA94" s="239">
        <v>0</v>
      </c>
      <c r="AB94" s="239">
        <v>0</v>
      </c>
      <c r="AC94" s="239">
        <v>1625545</v>
      </c>
      <c r="AD94" s="239">
        <v>365747</v>
      </c>
      <c r="AE94" s="239">
        <v>40638</v>
      </c>
      <c r="AF94" s="239">
        <v>2031930</v>
      </c>
      <c r="AG94" s="239">
        <v>1356458</v>
      </c>
      <c r="AH94" s="239">
        <v>1085166</v>
      </c>
      <c r="AI94" s="239">
        <v>244162</v>
      </c>
      <c r="AJ94" s="239">
        <v>27129</v>
      </c>
      <c r="AK94" s="239">
        <v>2712915</v>
      </c>
      <c r="AL94" s="239">
        <v>-896930</v>
      </c>
      <c r="AM94" s="239">
        <v>-717544</v>
      </c>
      <c r="AN94" s="239">
        <v>-161447</v>
      </c>
      <c r="AO94" s="239">
        <v>-17939</v>
      </c>
      <c r="AP94" s="239">
        <v>-1793860</v>
      </c>
      <c r="AQ94" s="239">
        <v>-295789</v>
      </c>
      <c r="AR94" s="239">
        <v>-236631</v>
      </c>
      <c r="AS94" s="239">
        <v>-53242</v>
      </c>
      <c r="AT94" s="239">
        <v>-5916</v>
      </c>
      <c r="AU94" s="239">
        <v>-591578</v>
      </c>
      <c r="AV94" s="239">
        <v>336442</v>
      </c>
      <c r="AW94" s="239">
        <v>269153</v>
      </c>
      <c r="AX94" s="239">
        <v>60559</v>
      </c>
      <c r="AY94" s="239">
        <v>6729</v>
      </c>
      <c r="AZ94" s="239">
        <v>672883</v>
      </c>
      <c r="BA94" s="239">
        <v>-363013</v>
      </c>
      <c r="BB94" s="239">
        <v>-290410</v>
      </c>
      <c r="BC94" s="239">
        <v>-65342</v>
      </c>
      <c r="BD94" s="239">
        <v>-7260</v>
      </c>
      <c r="BE94" s="239">
        <v>-726025</v>
      </c>
      <c r="BF94" s="239">
        <v>-322360</v>
      </c>
      <c r="BG94" s="239">
        <v>-257888</v>
      </c>
      <c r="BH94" s="239">
        <v>-58025</v>
      </c>
      <c r="BI94" s="239">
        <v>-6447</v>
      </c>
      <c r="BJ94" s="239">
        <v>-644720</v>
      </c>
      <c r="BK94" s="239">
        <v>-2699504</v>
      </c>
      <c r="BL94" s="239">
        <v>-2159604</v>
      </c>
      <c r="BM94" s="239">
        <v>-485911</v>
      </c>
      <c r="BN94" s="239">
        <v>-53990</v>
      </c>
      <c r="BO94" s="239">
        <v>-5399009</v>
      </c>
      <c r="BP94" s="239">
        <v>0</v>
      </c>
      <c r="BQ94" s="239">
        <v>0</v>
      </c>
      <c r="BR94" s="239">
        <v>0</v>
      </c>
      <c r="BS94" s="239">
        <v>0</v>
      </c>
      <c r="BT94" s="239">
        <v>0</v>
      </c>
      <c r="BU94" s="239">
        <v>-15290</v>
      </c>
      <c r="BV94" s="239">
        <v>-12232</v>
      </c>
      <c r="BW94" s="239">
        <v>-2752</v>
      </c>
      <c r="BX94" s="239">
        <v>-306</v>
      </c>
      <c r="BY94" s="239">
        <v>-30580</v>
      </c>
      <c r="BZ94" s="239">
        <v>-2714794</v>
      </c>
      <c r="CA94" s="239">
        <v>-2171836</v>
      </c>
      <c r="CB94" s="239">
        <v>-488663</v>
      </c>
      <c r="CC94" s="239">
        <v>-54296</v>
      </c>
      <c r="CD94" s="239">
        <v>-5429589</v>
      </c>
      <c r="CE94" s="239">
        <v>1546343</v>
      </c>
      <c r="CF94" s="239">
        <v>1237073</v>
      </c>
      <c r="CG94" s="239">
        <v>278341</v>
      </c>
      <c r="CH94" s="239">
        <v>30927</v>
      </c>
      <c r="CI94" s="239">
        <v>3092684</v>
      </c>
      <c r="CJ94" s="239">
        <v>438336</v>
      </c>
      <c r="CK94" s="239">
        <v>350668</v>
      </c>
      <c r="CL94" s="239">
        <v>78900</v>
      </c>
      <c r="CM94" s="239">
        <v>8767</v>
      </c>
      <c r="CN94" s="239">
        <v>876671</v>
      </c>
      <c r="CO94" s="239">
        <v>1108007</v>
      </c>
      <c r="CP94" s="239">
        <v>886405</v>
      </c>
      <c r="CQ94" s="239">
        <v>199441</v>
      </c>
      <c r="CR94" s="239">
        <v>22160</v>
      </c>
      <c r="CS94" s="239">
        <v>2216013</v>
      </c>
      <c r="CT94" s="239">
        <v>26088500</v>
      </c>
      <c r="CU94" s="239">
        <v>20870800</v>
      </c>
      <c r="CV94" s="239">
        <v>4695930</v>
      </c>
      <c r="CW94" s="239">
        <v>521770</v>
      </c>
      <c r="CX94" s="239">
        <v>52177000</v>
      </c>
      <c r="CY94" s="239">
        <v>27072458</v>
      </c>
      <c r="CZ94" s="239">
        <v>21657967</v>
      </c>
      <c r="DA94" s="239">
        <v>4873043</v>
      </c>
      <c r="DB94" s="239">
        <v>541449</v>
      </c>
      <c r="DC94" s="239">
        <v>54144917</v>
      </c>
      <c r="DD94" s="239">
        <v>983958</v>
      </c>
      <c r="DE94" s="239">
        <v>787167</v>
      </c>
      <c r="DF94" s="239">
        <v>177113</v>
      </c>
      <c r="DG94" s="239">
        <v>19679</v>
      </c>
      <c r="DH94" s="239">
        <v>1967917</v>
      </c>
      <c r="DI94" s="239">
        <v>2091965</v>
      </c>
      <c r="DJ94" s="239">
        <v>1673572</v>
      </c>
      <c r="DK94" s="239">
        <v>376554</v>
      </c>
      <c r="DL94" s="239">
        <v>41839</v>
      </c>
      <c r="DM94" s="239">
        <v>4183930</v>
      </c>
      <c r="DN94" s="835">
        <v>0.5</v>
      </c>
      <c r="DO94" s="835">
        <v>0.4</v>
      </c>
      <c r="DP94" s="835">
        <v>0.09</v>
      </c>
      <c r="DQ94" s="835">
        <v>0.01</v>
      </c>
      <c r="DR94" s="835">
        <v>1</v>
      </c>
      <c r="DS94" s="214" t="s">
        <v>1158</v>
      </c>
      <c r="DU94" s="214">
        <v>0</v>
      </c>
    </row>
    <row r="95" spans="1:125" s="214" customFormat="1" x14ac:dyDescent="0.2">
      <c r="B95" s="602" t="s">
        <v>273</v>
      </c>
      <c r="C95" s="602" t="s">
        <v>272</v>
      </c>
      <c r="D95" s="239">
        <v>16866130</v>
      </c>
      <c r="E95" s="239">
        <v>13492905</v>
      </c>
      <c r="F95" s="239">
        <v>3035904</v>
      </c>
      <c r="G95" s="239">
        <v>337323</v>
      </c>
      <c r="H95" s="239">
        <v>33732262</v>
      </c>
      <c r="I95" s="239">
        <v>0</v>
      </c>
      <c r="J95" s="239">
        <v>0</v>
      </c>
      <c r="K95" s="239">
        <v>16866130</v>
      </c>
      <c r="L95" s="239">
        <v>125525</v>
      </c>
      <c r="M95" s="239">
        <v>125525</v>
      </c>
      <c r="N95" s="239">
        <v>0</v>
      </c>
      <c r="O95" s="239">
        <v>0</v>
      </c>
      <c r="P95" s="239">
        <v>0</v>
      </c>
      <c r="Q95" s="239">
        <v>0</v>
      </c>
      <c r="R95" s="239">
        <v>0</v>
      </c>
      <c r="S95" s="239">
        <v>0</v>
      </c>
      <c r="T95" s="239">
        <v>0</v>
      </c>
      <c r="U95" s="239">
        <v>0</v>
      </c>
      <c r="V95" s="239">
        <v>0</v>
      </c>
      <c r="W95" s="239">
        <v>0</v>
      </c>
      <c r="X95" s="239">
        <v>0</v>
      </c>
      <c r="Y95" s="239">
        <v>0</v>
      </c>
      <c r="Z95" s="239">
        <v>0</v>
      </c>
      <c r="AA95" s="239">
        <v>0</v>
      </c>
      <c r="AB95" s="239">
        <v>0</v>
      </c>
      <c r="AC95" s="239">
        <v>1226465</v>
      </c>
      <c r="AD95" s="239">
        <v>275957</v>
      </c>
      <c r="AE95" s="239">
        <v>30662</v>
      </c>
      <c r="AF95" s="239">
        <v>1533084</v>
      </c>
      <c r="AG95" s="239">
        <v>1150069</v>
      </c>
      <c r="AH95" s="239">
        <v>920056</v>
      </c>
      <c r="AI95" s="239">
        <v>207013</v>
      </c>
      <c r="AJ95" s="239">
        <v>23001</v>
      </c>
      <c r="AK95" s="239">
        <v>2300139</v>
      </c>
      <c r="AL95" s="239">
        <v>-1063848</v>
      </c>
      <c r="AM95" s="239">
        <v>-851079</v>
      </c>
      <c r="AN95" s="239">
        <v>-191493</v>
      </c>
      <c r="AO95" s="239">
        <v>-21277</v>
      </c>
      <c r="AP95" s="239">
        <v>-2127697</v>
      </c>
      <c r="AQ95" s="239">
        <v>-244644</v>
      </c>
      <c r="AR95" s="239">
        <v>-195715</v>
      </c>
      <c r="AS95" s="239">
        <v>-44036</v>
      </c>
      <c r="AT95" s="239">
        <v>-4893</v>
      </c>
      <c r="AU95" s="239">
        <v>-489288</v>
      </c>
      <c r="AV95" s="239">
        <v>138624</v>
      </c>
      <c r="AW95" s="239">
        <v>110898</v>
      </c>
      <c r="AX95" s="239">
        <v>24952</v>
      </c>
      <c r="AY95" s="239">
        <v>2772</v>
      </c>
      <c r="AZ95" s="239">
        <v>277246</v>
      </c>
      <c r="BA95" s="239">
        <v>-101639</v>
      </c>
      <c r="BB95" s="239">
        <v>-81312</v>
      </c>
      <c r="BC95" s="239">
        <v>-18295</v>
      </c>
      <c r="BD95" s="239">
        <v>-2033</v>
      </c>
      <c r="BE95" s="239">
        <v>-203279</v>
      </c>
      <c r="BF95" s="239">
        <v>-207659</v>
      </c>
      <c r="BG95" s="239">
        <v>-166129</v>
      </c>
      <c r="BH95" s="239">
        <v>-37379</v>
      </c>
      <c r="BI95" s="239">
        <v>-4154</v>
      </c>
      <c r="BJ95" s="239">
        <v>-415321</v>
      </c>
      <c r="BK95" s="239">
        <v>-702683</v>
      </c>
      <c r="BL95" s="239">
        <v>-562147</v>
      </c>
      <c r="BM95" s="239">
        <v>-126483</v>
      </c>
      <c r="BN95" s="239">
        <v>-14054</v>
      </c>
      <c r="BO95" s="239">
        <v>-1405367</v>
      </c>
      <c r="BP95" s="239">
        <v>1403541</v>
      </c>
      <c r="BQ95" s="239">
        <v>1122832</v>
      </c>
      <c r="BR95" s="239">
        <v>252637</v>
      </c>
      <c r="BS95" s="239">
        <v>28071</v>
      </c>
      <c r="BT95" s="239">
        <v>2807081</v>
      </c>
      <c r="BU95" s="239">
        <v>-1311711</v>
      </c>
      <c r="BV95" s="239">
        <v>-1049369</v>
      </c>
      <c r="BW95" s="239">
        <v>-236108</v>
      </c>
      <c r="BX95" s="239">
        <v>-26234</v>
      </c>
      <c r="BY95" s="239">
        <v>-2623422</v>
      </c>
      <c r="BZ95" s="239">
        <v>-610853</v>
      </c>
      <c r="CA95" s="239">
        <v>-488684</v>
      </c>
      <c r="CB95" s="239">
        <v>-109954</v>
      </c>
      <c r="CC95" s="239">
        <v>-12217</v>
      </c>
      <c r="CD95" s="239">
        <v>-1221708</v>
      </c>
      <c r="CE95" s="239">
        <v>-1188522</v>
      </c>
      <c r="CF95" s="239">
        <v>-950819</v>
      </c>
      <c r="CG95" s="239">
        <v>-213934</v>
      </c>
      <c r="CH95" s="239">
        <v>-23770</v>
      </c>
      <c r="CI95" s="239">
        <v>-2377045</v>
      </c>
      <c r="CJ95" s="239">
        <v>-426833</v>
      </c>
      <c r="CK95" s="239">
        <v>-341466</v>
      </c>
      <c r="CL95" s="239">
        <v>-76830</v>
      </c>
      <c r="CM95" s="239">
        <v>-8537</v>
      </c>
      <c r="CN95" s="239">
        <v>-853666</v>
      </c>
      <c r="CO95" s="239">
        <v>-761689</v>
      </c>
      <c r="CP95" s="239">
        <v>-609353</v>
      </c>
      <c r="CQ95" s="239">
        <v>-137104</v>
      </c>
      <c r="CR95" s="239">
        <v>-15233</v>
      </c>
      <c r="CS95" s="239">
        <v>-1523379</v>
      </c>
      <c r="CT95" s="239">
        <v>17865333</v>
      </c>
      <c r="CU95" s="239">
        <v>14292266</v>
      </c>
      <c r="CV95" s="239">
        <v>3215760</v>
      </c>
      <c r="CW95" s="239">
        <v>357307</v>
      </c>
      <c r="CX95" s="239">
        <v>35730666</v>
      </c>
      <c r="CY95" s="239">
        <v>16866130</v>
      </c>
      <c r="CZ95" s="239">
        <v>13492905</v>
      </c>
      <c r="DA95" s="239">
        <v>3035904</v>
      </c>
      <c r="DB95" s="239">
        <v>337323</v>
      </c>
      <c r="DC95" s="239">
        <v>33732262</v>
      </c>
      <c r="DD95" s="239">
        <v>-999203</v>
      </c>
      <c r="DE95" s="239">
        <v>-799361</v>
      </c>
      <c r="DF95" s="239">
        <v>-179856</v>
      </c>
      <c r="DG95" s="239">
        <v>-19984</v>
      </c>
      <c r="DH95" s="239">
        <v>-1998404</v>
      </c>
      <c r="DI95" s="239">
        <v>-1760892</v>
      </c>
      <c r="DJ95" s="239">
        <v>-1408714</v>
      </c>
      <c r="DK95" s="239">
        <v>-316960</v>
      </c>
      <c r="DL95" s="239">
        <v>-35217</v>
      </c>
      <c r="DM95" s="239">
        <v>-3521783</v>
      </c>
      <c r="DN95" s="835">
        <v>0.5</v>
      </c>
      <c r="DO95" s="835">
        <v>0.4</v>
      </c>
      <c r="DP95" s="835">
        <v>0.09</v>
      </c>
      <c r="DQ95" s="835">
        <v>0.01</v>
      </c>
      <c r="DR95" s="835">
        <v>1</v>
      </c>
      <c r="DS95" s="214" t="s">
        <v>1158</v>
      </c>
      <c r="DU95" s="214">
        <v>0</v>
      </c>
    </row>
    <row r="96" spans="1:125" s="214" customFormat="1" x14ac:dyDescent="0.2">
      <c r="A96" s="215"/>
      <c r="B96" s="602" t="s">
        <v>275</v>
      </c>
      <c r="C96" s="602" t="s">
        <v>274</v>
      </c>
      <c r="D96" s="239">
        <v>29109524</v>
      </c>
      <c r="E96" s="239">
        <v>23287619</v>
      </c>
      <c r="F96" s="239">
        <v>5239714</v>
      </c>
      <c r="G96" s="239">
        <v>582190</v>
      </c>
      <c r="H96" s="239">
        <v>58219047</v>
      </c>
      <c r="I96" s="239">
        <v>0</v>
      </c>
      <c r="J96" s="239">
        <v>0</v>
      </c>
      <c r="K96" s="239">
        <v>29109524</v>
      </c>
      <c r="L96" s="239">
        <v>145309</v>
      </c>
      <c r="M96" s="239">
        <v>145309</v>
      </c>
      <c r="N96" s="239">
        <v>0</v>
      </c>
      <c r="O96" s="239">
        <v>0</v>
      </c>
      <c r="P96" s="239">
        <v>0</v>
      </c>
      <c r="Q96" s="239">
        <v>0</v>
      </c>
      <c r="R96" s="239">
        <v>0</v>
      </c>
      <c r="S96" s="239">
        <v>0</v>
      </c>
      <c r="T96" s="239">
        <v>0</v>
      </c>
      <c r="U96" s="239">
        <v>0</v>
      </c>
      <c r="V96" s="239">
        <v>0</v>
      </c>
      <c r="W96" s="239">
        <v>0</v>
      </c>
      <c r="X96" s="239">
        <v>0</v>
      </c>
      <c r="Y96" s="239">
        <v>0</v>
      </c>
      <c r="Z96" s="239">
        <v>0</v>
      </c>
      <c r="AA96" s="239">
        <v>0</v>
      </c>
      <c r="AB96" s="239">
        <v>0</v>
      </c>
      <c r="AC96" s="239">
        <v>1234302</v>
      </c>
      <c r="AD96" s="239">
        <v>277718</v>
      </c>
      <c r="AE96" s="239">
        <v>30857</v>
      </c>
      <c r="AF96" s="239">
        <v>1542877</v>
      </c>
      <c r="AG96" s="239">
        <v>542082</v>
      </c>
      <c r="AH96" s="239">
        <v>433666</v>
      </c>
      <c r="AI96" s="239">
        <v>97575</v>
      </c>
      <c r="AJ96" s="239">
        <v>10842</v>
      </c>
      <c r="AK96" s="239">
        <v>1084165</v>
      </c>
      <c r="AL96" s="239">
        <v>-278707</v>
      </c>
      <c r="AM96" s="239">
        <v>-222966</v>
      </c>
      <c r="AN96" s="239">
        <v>-50167</v>
      </c>
      <c r="AO96" s="239">
        <v>-5574</v>
      </c>
      <c r="AP96" s="239">
        <v>-557414</v>
      </c>
      <c r="AQ96" s="239">
        <v>-237074</v>
      </c>
      <c r="AR96" s="239">
        <v>-189658</v>
      </c>
      <c r="AS96" s="239">
        <v>-42673</v>
      </c>
      <c r="AT96" s="239">
        <v>-4741</v>
      </c>
      <c r="AU96" s="239">
        <v>-474146</v>
      </c>
      <c r="AV96" s="239">
        <v>68783</v>
      </c>
      <c r="AW96" s="239">
        <v>55027</v>
      </c>
      <c r="AX96" s="239">
        <v>12381</v>
      </c>
      <c r="AY96" s="239">
        <v>1376</v>
      </c>
      <c r="AZ96" s="239">
        <v>137567</v>
      </c>
      <c r="BA96" s="239">
        <v>-116376</v>
      </c>
      <c r="BB96" s="239">
        <v>-93101</v>
      </c>
      <c r="BC96" s="239">
        <v>-20948</v>
      </c>
      <c r="BD96" s="239">
        <v>-2328</v>
      </c>
      <c r="BE96" s="239">
        <v>-232753</v>
      </c>
      <c r="BF96" s="239">
        <v>-284667</v>
      </c>
      <c r="BG96" s="239">
        <v>-227732</v>
      </c>
      <c r="BH96" s="239">
        <v>-51240</v>
      </c>
      <c r="BI96" s="239">
        <v>-5693</v>
      </c>
      <c r="BJ96" s="239">
        <v>-569332</v>
      </c>
      <c r="BK96" s="239">
        <v>-2834232</v>
      </c>
      <c r="BL96" s="239">
        <v>-2267386</v>
      </c>
      <c r="BM96" s="239">
        <v>-510162</v>
      </c>
      <c r="BN96" s="239">
        <v>-56685</v>
      </c>
      <c r="BO96" s="239">
        <v>-5668465</v>
      </c>
      <c r="BP96" s="239">
        <v>549609</v>
      </c>
      <c r="BQ96" s="239">
        <v>439688</v>
      </c>
      <c r="BR96" s="239">
        <v>98930</v>
      </c>
      <c r="BS96" s="239">
        <v>10992</v>
      </c>
      <c r="BT96" s="239">
        <v>1099219</v>
      </c>
      <c r="BU96" s="239">
        <v>-213642</v>
      </c>
      <c r="BV96" s="239">
        <v>-170913</v>
      </c>
      <c r="BW96" s="239">
        <v>-38455</v>
      </c>
      <c r="BX96" s="239">
        <v>-4273</v>
      </c>
      <c r="BY96" s="239">
        <v>-427283</v>
      </c>
      <c r="BZ96" s="239">
        <v>-2498265</v>
      </c>
      <c r="CA96" s="239">
        <v>-1998611</v>
      </c>
      <c r="CB96" s="239">
        <v>-449687</v>
      </c>
      <c r="CC96" s="239">
        <v>-49966</v>
      </c>
      <c r="CD96" s="239">
        <v>-4996529</v>
      </c>
      <c r="CE96" s="239">
        <v>-804871</v>
      </c>
      <c r="CF96" s="239">
        <v>-643895</v>
      </c>
      <c r="CG96" s="239">
        <v>-144875</v>
      </c>
      <c r="CH96" s="239">
        <v>-16097</v>
      </c>
      <c r="CI96" s="239">
        <v>-1609738</v>
      </c>
      <c r="CJ96" s="239">
        <v>-1036879</v>
      </c>
      <c r="CK96" s="239">
        <v>-829504</v>
      </c>
      <c r="CL96" s="239">
        <v>-186638</v>
      </c>
      <c r="CM96" s="239">
        <v>-20738</v>
      </c>
      <c r="CN96" s="239">
        <v>-2073759</v>
      </c>
      <c r="CO96" s="239">
        <v>232008</v>
      </c>
      <c r="CP96" s="239">
        <v>185609</v>
      </c>
      <c r="CQ96" s="239">
        <v>41763</v>
      </c>
      <c r="CR96" s="239">
        <v>4641</v>
      </c>
      <c r="CS96" s="239">
        <v>464021</v>
      </c>
      <c r="CT96" s="239">
        <v>27972124</v>
      </c>
      <c r="CU96" s="239">
        <v>22377700</v>
      </c>
      <c r="CV96" s="239">
        <v>5034983</v>
      </c>
      <c r="CW96" s="239">
        <v>559443</v>
      </c>
      <c r="CX96" s="239">
        <v>55944250</v>
      </c>
      <c r="CY96" s="239">
        <v>29109524</v>
      </c>
      <c r="CZ96" s="239">
        <v>23287619</v>
      </c>
      <c r="DA96" s="239">
        <v>5239714</v>
      </c>
      <c r="DB96" s="239">
        <v>582190</v>
      </c>
      <c r="DC96" s="239">
        <v>58219047</v>
      </c>
      <c r="DD96" s="239">
        <v>1137400</v>
      </c>
      <c r="DE96" s="239">
        <v>909919</v>
      </c>
      <c r="DF96" s="239">
        <v>204731</v>
      </c>
      <c r="DG96" s="239">
        <v>22747</v>
      </c>
      <c r="DH96" s="239">
        <v>2274797</v>
      </c>
      <c r="DI96" s="239">
        <v>1369408</v>
      </c>
      <c r="DJ96" s="239">
        <v>1095528</v>
      </c>
      <c r="DK96" s="239">
        <v>246494</v>
      </c>
      <c r="DL96" s="239">
        <v>27388</v>
      </c>
      <c r="DM96" s="239">
        <v>2738818</v>
      </c>
      <c r="DN96" s="835">
        <v>0.5</v>
      </c>
      <c r="DO96" s="835">
        <v>0.4</v>
      </c>
      <c r="DP96" s="835">
        <v>0.09</v>
      </c>
      <c r="DQ96" s="835">
        <v>0.01</v>
      </c>
      <c r="DR96" s="835">
        <v>1</v>
      </c>
      <c r="DS96" s="214" t="s">
        <v>1158</v>
      </c>
      <c r="DU96" s="214">
        <v>0</v>
      </c>
    </row>
    <row r="97" spans="2:125" s="214" customFormat="1" x14ac:dyDescent="0.2">
      <c r="B97" s="602" t="s">
        <v>277</v>
      </c>
      <c r="C97" s="602" t="s">
        <v>276</v>
      </c>
      <c r="D97" s="239">
        <v>9965550</v>
      </c>
      <c r="E97" s="239">
        <v>7972440</v>
      </c>
      <c r="F97" s="239">
        <v>1993110</v>
      </c>
      <c r="G97" s="239">
        <v>0</v>
      </c>
      <c r="H97" s="239">
        <v>19931100</v>
      </c>
      <c r="I97" s="239">
        <v>0</v>
      </c>
      <c r="J97" s="239">
        <v>0</v>
      </c>
      <c r="K97" s="239">
        <v>9965550</v>
      </c>
      <c r="L97" s="239">
        <v>125987</v>
      </c>
      <c r="M97" s="239">
        <v>125987</v>
      </c>
      <c r="N97" s="239">
        <v>0</v>
      </c>
      <c r="O97" s="239">
        <v>0</v>
      </c>
      <c r="P97" s="239">
        <v>0</v>
      </c>
      <c r="Q97" s="239">
        <v>0</v>
      </c>
      <c r="R97" s="239">
        <v>0</v>
      </c>
      <c r="S97" s="239">
        <v>0</v>
      </c>
      <c r="T97" s="239">
        <v>0</v>
      </c>
      <c r="U97" s="239">
        <v>0</v>
      </c>
      <c r="V97" s="239">
        <v>0</v>
      </c>
      <c r="W97" s="239">
        <v>0</v>
      </c>
      <c r="X97" s="239">
        <v>0</v>
      </c>
      <c r="Y97" s="239">
        <v>0</v>
      </c>
      <c r="Z97" s="239">
        <v>0</v>
      </c>
      <c r="AA97" s="239">
        <v>0</v>
      </c>
      <c r="AB97" s="239">
        <v>0</v>
      </c>
      <c r="AC97" s="239">
        <v>1060863</v>
      </c>
      <c r="AD97" s="239">
        <v>265215</v>
      </c>
      <c r="AE97" s="239">
        <v>0</v>
      </c>
      <c r="AF97" s="239">
        <v>1326078</v>
      </c>
      <c r="AG97" s="239">
        <v>403027</v>
      </c>
      <c r="AH97" s="239">
        <v>322421</v>
      </c>
      <c r="AI97" s="239">
        <v>80605</v>
      </c>
      <c r="AJ97" s="239">
        <v>0</v>
      </c>
      <c r="AK97" s="239">
        <v>806053</v>
      </c>
      <c r="AL97" s="239">
        <v>-48564</v>
      </c>
      <c r="AM97" s="239">
        <v>-38852</v>
      </c>
      <c r="AN97" s="239">
        <v>-9713</v>
      </c>
      <c r="AO97" s="239">
        <v>0</v>
      </c>
      <c r="AP97" s="239">
        <v>-97129</v>
      </c>
      <c r="AQ97" s="239">
        <v>-77787</v>
      </c>
      <c r="AR97" s="239">
        <v>-62229</v>
      </c>
      <c r="AS97" s="239">
        <v>-15557</v>
      </c>
      <c r="AT97" s="239">
        <v>0</v>
      </c>
      <c r="AU97" s="239">
        <v>-155573</v>
      </c>
      <c r="AV97" s="239">
        <v>99973</v>
      </c>
      <c r="AW97" s="239">
        <v>79979</v>
      </c>
      <c r="AX97" s="239">
        <v>19995</v>
      </c>
      <c r="AY97" s="239">
        <v>0</v>
      </c>
      <c r="AZ97" s="239">
        <v>199947</v>
      </c>
      <c r="BA97" s="239">
        <v>-46275</v>
      </c>
      <c r="BB97" s="239">
        <v>-37020</v>
      </c>
      <c r="BC97" s="239">
        <v>-9255</v>
      </c>
      <c r="BD97" s="239">
        <v>0</v>
      </c>
      <c r="BE97" s="239">
        <v>-92550</v>
      </c>
      <c r="BF97" s="239">
        <v>-24089</v>
      </c>
      <c r="BG97" s="239">
        <v>-19270</v>
      </c>
      <c r="BH97" s="239">
        <v>-4817</v>
      </c>
      <c r="BI97" s="239">
        <v>0</v>
      </c>
      <c r="BJ97" s="239">
        <v>-48176</v>
      </c>
      <c r="BK97" s="239">
        <v>-155044</v>
      </c>
      <c r="BL97" s="239">
        <v>-124036</v>
      </c>
      <c r="BM97" s="239">
        <v>-31009</v>
      </c>
      <c r="BN97" s="239">
        <v>0</v>
      </c>
      <c r="BO97" s="239">
        <v>-310089</v>
      </c>
      <c r="BP97" s="239">
        <v>58799</v>
      </c>
      <c r="BQ97" s="239">
        <v>47039</v>
      </c>
      <c r="BR97" s="239">
        <v>11760</v>
      </c>
      <c r="BS97" s="239">
        <v>0</v>
      </c>
      <c r="BT97" s="239">
        <v>117598</v>
      </c>
      <c r="BU97" s="239">
        <v>-390747</v>
      </c>
      <c r="BV97" s="239">
        <v>-312598</v>
      </c>
      <c r="BW97" s="239">
        <v>-78149</v>
      </c>
      <c r="BX97" s="239">
        <v>0</v>
      </c>
      <c r="BY97" s="239">
        <v>-781494</v>
      </c>
      <c r="BZ97" s="239">
        <v>-486992</v>
      </c>
      <c r="CA97" s="239">
        <v>-389595</v>
      </c>
      <c r="CB97" s="239">
        <v>-97398</v>
      </c>
      <c r="CC97" s="239">
        <v>0</v>
      </c>
      <c r="CD97" s="239">
        <v>-973985</v>
      </c>
      <c r="CE97" s="239">
        <v>-1466338</v>
      </c>
      <c r="CF97" s="239">
        <v>-1173070</v>
      </c>
      <c r="CG97" s="239">
        <v>-293268</v>
      </c>
      <c r="CH97" s="239">
        <v>0</v>
      </c>
      <c r="CI97" s="239">
        <v>-2932676</v>
      </c>
      <c r="CJ97" s="239">
        <v>-1513732</v>
      </c>
      <c r="CK97" s="239">
        <v>-1210985</v>
      </c>
      <c r="CL97" s="239">
        <v>-302746</v>
      </c>
      <c r="CM97" s="239">
        <v>0</v>
      </c>
      <c r="CN97" s="239">
        <v>-3027463</v>
      </c>
      <c r="CO97" s="239">
        <v>47394</v>
      </c>
      <c r="CP97" s="239">
        <v>37915</v>
      </c>
      <c r="CQ97" s="239">
        <v>9478</v>
      </c>
      <c r="CR97" s="239">
        <v>0</v>
      </c>
      <c r="CS97" s="239">
        <v>94787</v>
      </c>
      <c r="CT97" s="239">
        <v>10436365</v>
      </c>
      <c r="CU97" s="239">
        <v>8349092</v>
      </c>
      <c r="CV97" s="239">
        <v>2087273</v>
      </c>
      <c r="CW97" s="239">
        <v>0</v>
      </c>
      <c r="CX97" s="239">
        <v>20872730</v>
      </c>
      <c r="CY97" s="239">
        <v>9965550</v>
      </c>
      <c r="CZ97" s="239">
        <v>7972440</v>
      </c>
      <c r="DA97" s="239">
        <v>1993110</v>
      </c>
      <c r="DB97" s="239">
        <v>0</v>
      </c>
      <c r="DC97" s="239">
        <v>19931100</v>
      </c>
      <c r="DD97" s="239">
        <v>-470815</v>
      </c>
      <c r="DE97" s="239">
        <v>-376652</v>
      </c>
      <c r="DF97" s="239">
        <v>-94163</v>
      </c>
      <c r="DG97" s="239">
        <v>0</v>
      </c>
      <c r="DH97" s="239">
        <v>-941630</v>
      </c>
      <c r="DI97" s="239">
        <v>-423421</v>
      </c>
      <c r="DJ97" s="239">
        <v>-338737</v>
      </c>
      <c r="DK97" s="239">
        <v>-84685</v>
      </c>
      <c r="DL97" s="239">
        <v>0</v>
      </c>
      <c r="DM97" s="239">
        <v>-846843</v>
      </c>
      <c r="DN97" s="835">
        <v>0.5</v>
      </c>
      <c r="DO97" s="835">
        <v>0.4</v>
      </c>
      <c r="DP97" s="835">
        <v>0.1</v>
      </c>
      <c r="DQ97" s="835">
        <v>0</v>
      </c>
      <c r="DR97" s="835">
        <v>1</v>
      </c>
      <c r="DS97" s="214" t="s">
        <v>1158</v>
      </c>
      <c r="DU97" s="214">
        <v>0</v>
      </c>
    </row>
    <row r="98" spans="2:125" s="214" customFormat="1" x14ac:dyDescent="0.2">
      <c r="B98" s="602" t="s">
        <v>279</v>
      </c>
      <c r="C98" s="602" t="s">
        <v>278</v>
      </c>
      <c r="D98" s="239">
        <v>30888271</v>
      </c>
      <c r="E98" s="239">
        <v>24710617</v>
      </c>
      <c r="F98" s="239">
        <v>6177654</v>
      </c>
      <c r="G98" s="239">
        <v>0</v>
      </c>
      <c r="H98" s="239">
        <v>61776542</v>
      </c>
      <c r="I98" s="239">
        <v>0</v>
      </c>
      <c r="J98" s="239">
        <v>0</v>
      </c>
      <c r="K98" s="239">
        <v>30888271</v>
      </c>
      <c r="L98" s="239">
        <v>183674</v>
      </c>
      <c r="M98" s="239">
        <v>183674</v>
      </c>
      <c r="N98" s="239">
        <v>0</v>
      </c>
      <c r="O98" s="239">
        <v>0</v>
      </c>
      <c r="P98" s="239">
        <v>22549</v>
      </c>
      <c r="Q98" s="239">
        <v>0</v>
      </c>
      <c r="R98" s="239">
        <v>22549</v>
      </c>
      <c r="S98" s="239">
        <v>0</v>
      </c>
      <c r="T98" s="239">
        <v>0</v>
      </c>
      <c r="U98" s="239">
        <v>0</v>
      </c>
      <c r="V98" s="239">
        <v>0</v>
      </c>
      <c r="W98" s="239">
        <v>0</v>
      </c>
      <c r="X98" s="239">
        <v>0</v>
      </c>
      <c r="Y98" s="239">
        <v>0</v>
      </c>
      <c r="Z98" s="239">
        <v>0</v>
      </c>
      <c r="AA98" s="239">
        <v>0</v>
      </c>
      <c r="AB98" s="239">
        <v>0</v>
      </c>
      <c r="AC98" s="239">
        <v>1648250</v>
      </c>
      <c r="AD98" s="239">
        <v>411977</v>
      </c>
      <c r="AE98" s="239">
        <v>0</v>
      </c>
      <c r="AF98" s="239">
        <v>2060227</v>
      </c>
      <c r="AG98" s="239">
        <v>270272</v>
      </c>
      <c r="AH98" s="239">
        <v>216218</v>
      </c>
      <c r="AI98" s="239">
        <v>54054</v>
      </c>
      <c r="AJ98" s="239">
        <v>0</v>
      </c>
      <c r="AK98" s="239">
        <v>540544</v>
      </c>
      <c r="AL98" s="239">
        <v>-913259</v>
      </c>
      <c r="AM98" s="239">
        <v>-730608</v>
      </c>
      <c r="AN98" s="239">
        <v>-182652</v>
      </c>
      <c r="AO98" s="239">
        <v>0</v>
      </c>
      <c r="AP98" s="239">
        <v>-1826519</v>
      </c>
      <c r="AQ98" s="239">
        <v>-167500</v>
      </c>
      <c r="AR98" s="239">
        <v>-134000</v>
      </c>
      <c r="AS98" s="239">
        <v>-33500</v>
      </c>
      <c r="AT98" s="239">
        <v>0</v>
      </c>
      <c r="AU98" s="239">
        <v>-335000</v>
      </c>
      <c r="AV98" s="239">
        <v>72789</v>
      </c>
      <c r="AW98" s="239">
        <v>58231</v>
      </c>
      <c r="AX98" s="239">
        <v>14558</v>
      </c>
      <c r="AY98" s="239">
        <v>0</v>
      </c>
      <c r="AZ98" s="239">
        <v>145578</v>
      </c>
      <c r="BA98" s="239">
        <v>-31366</v>
      </c>
      <c r="BB98" s="239">
        <v>-25093</v>
      </c>
      <c r="BC98" s="239">
        <v>-6273</v>
      </c>
      <c r="BD98" s="239">
        <v>0</v>
      </c>
      <c r="BE98" s="239">
        <v>-62732</v>
      </c>
      <c r="BF98" s="239">
        <v>-126077</v>
      </c>
      <c r="BG98" s="239">
        <v>-100862</v>
      </c>
      <c r="BH98" s="239">
        <v>-25215</v>
      </c>
      <c r="BI98" s="239">
        <v>0</v>
      </c>
      <c r="BJ98" s="239">
        <v>-252154</v>
      </c>
      <c r="BK98" s="239">
        <v>-2828412</v>
      </c>
      <c r="BL98" s="239">
        <v>-2262730</v>
      </c>
      <c r="BM98" s="239">
        <v>-565682</v>
      </c>
      <c r="BN98" s="239">
        <v>0</v>
      </c>
      <c r="BO98" s="239">
        <v>-5656824</v>
      </c>
      <c r="BP98" s="239">
        <v>749501</v>
      </c>
      <c r="BQ98" s="239">
        <v>599600</v>
      </c>
      <c r="BR98" s="239">
        <v>149900</v>
      </c>
      <c r="BS98" s="239">
        <v>0</v>
      </c>
      <c r="BT98" s="239">
        <v>1499001</v>
      </c>
      <c r="BU98" s="239">
        <v>-1978402</v>
      </c>
      <c r="BV98" s="239">
        <v>-1582722</v>
      </c>
      <c r="BW98" s="239">
        <v>-395680</v>
      </c>
      <c r="BX98" s="239">
        <v>0</v>
      </c>
      <c r="BY98" s="239">
        <v>-3956804</v>
      </c>
      <c r="BZ98" s="239">
        <v>-4057313</v>
      </c>
      <c r="CA98" s="239">
        <v>-3245852</v>
      </c>
      <c r="CB98" s="239">
        <v>-811462</v>
      </c>
      <c r="CC98" s="239">
        <v>0</v>
      </c>
      <c r="CD98" s="239">
        <v>-8114627</v>
      </c>
      <c r="CE98" s="239">
        <v>134291</v>
      </c>
      <c r="CF98" s="239">
        <v>107432</v>
      </c>
      <c r="CG98" s="239">
        <v>26859</v>
      </c>
      <c r="CH98" s="239">
        <v>0</v>
      </c>
      <c r="CI98" s="239">
        <v>268582</v>
      </c>
      <c r="CJ98" s="239">
        <v>166748</v>
      </c>
      <c r="CK98" s="239">
        <v>133398</v>
      </c>
      <c r="CL98" s="239">
        <v>33350</v>
      </c>
      <c r="CM98" s="239">
        <v>0</v>
      </c>
      <c r="CN98" s="239">
        <v>333496</v>
      </c>
      <c r="CO98" s="239">
        <v>-32457</v>
      </c>
      <c r="CP98" s="239">
        <v>-25966</v>
      </c>
      <c r="CQ98" s="239">
        <v>-6491</v>
      </c>
      <c r="CR98" s="239">
        <v>0</v>
      </c>
      <c r="CS98" s="239">
        <v>-64914</v>
      </c>
      <c r="CT98" s="239">
        <v>31768070</v>
      </c>
      <c r="CU98" s="239">
        <v>25414456</v>
      </c>
      <c r="CV98" s="239">
        <v>6353614</v>
      </c>
      <c r="CW98" s="239">
        <v>0</v>
      </c>
      <c r="CX98" s="239">
        <v>63536140</v>
      </c>
      <c r="CY98" s="239">
        <v>30888271</v>
      </c>
      <c r="CZ98" s="239">
        <v>24710617</v>
      </c>
      <c r="DA98" s="239">
        <v>6177654</v>
      </c>
      <c r="DB98" s="239">
        <v>0</v>
      </c>
      <c r="DC98" s="239">
        <v>61776542</v>
      </c>
      <c r="DD98" s="239">
        <v>-879799</v>
      </c>
      <c r="DE98" s="239">
        <v>-703839</v>
      </c>
      <c r="DF98" s="239">
        <v>-175960</v>
      </c>
      <c r="DG98" s="239">
        <v>0</v>
      </c>
      <c r="DH98" s="239">
        <v>-1759598</v>
      </c>
      <c r="DI98" s="239">
        <v>-912256</v>
      </c>
      <c r="DJ98" s="239">
        <v>-729805</v>
      </c>
      <c r="DK98" s="239">
        <v>-182451</v>
      </c>
      <c r="DL98" s="239">
        <v>0</v>
      </c>
      <c r="DM98" s="239">
        <v>-1824512</v>
      </c>
      <c r="DN98" s="835">
        <v>0.5</v>
      </c>
      <c r="DO98" s="835">
        <v>0.4</v>
      </c>
      <c r="DP98" s="835">
        <v>0.1</v>
      </c>
      <c r="DQ98" s="835">
        <v>0</v>
      </c>
      <c r="DR98" s="835">
        <v>1</v>
      </c>
      <c r="DS98" s="214" t="s">
        <v>1158</v>
      </c>
      <c r="DU98" s="214">
        <v>0</v>
      </c>
    </row>
    <row r="99" spans="2:125" s="214" customFormat="1" x14ac:dyDescent="0.2">
      <c r="B99" s="602" t="s">
        <v>281</v>
      </c>
      <c r="C99" s="602" t="s">
        <v>280</v>
      </c>
      <c r="D99" s="239">
        <v>34381260</v>
      </c>
      <c r="E99" s="239">
        <v>31255691</v>
      </c>
      <c r="F99" s="239">
        <v>38548685</v>
      </c>
      <c r="G99" s="239">
        <v>0</v>
      </c>
      <c r="H99" s="239">
        <v>104185636</v>
      </c>
      <c r="I99" s="239">
        <v>0</v>
      </c>
      <c r="J99" s="239">
        <v>0</v>
      </c>
      <c r="K99" s="239">
        <v>34381260</v>
      </c>
      <c r="L99" s="239">
        <v>339782</v>
      </c>
      <c r="M99" s="239">
        <v>339782</v>
      </c>
      <c r="N99" s="239">
        <v>0</v>
      </c>
      <c r="O99" s="239">
        <v>0</v>
      </c>
      <c r="P99" s="239">
        <v>0</v>
      </c>
      <c r="Q99" s="239">
        <v>0</v>
      </c>
      <c r="R99" s="239">
        <v>0</v>
      </c>
      <c r="S99" s="239">
        <v>0</v>
      </c>
      <c r="T99" s="239">
        <v>0</v>
      </c>
      <c r="U99" s="239">
        <v>0</v>
      </c>
      <c r="V99" s="239">
        <v>0</v>
      </c>
      <c r="W99" s="239">
        <v>0</v>
      </c>
      <c r="X99" s="239">
        <v>0</v>
      </c>
      <c r="Y99" s="239">
        <v>0</v>
      </c>
      <c r="Z99" s="239">
        <v>0</v>
      </c>
      <c r="AA99" s="239">
        <v>0</v>
      </c>
      <c r="AB99" s="239">
        <v>0</v>
      </c>
      <c r="AC99" s="239">
        <v>2283544</v>
      </c>
      <c r="AD99" s="239">
        <v>2816374</v>
      </c>
      <c r="AE99" s="239">
        <v>0</v>
      </c>
      <c r="AF99" s="239">
        <v>5099918</v>
      </c>
      <c r="AG99" s="239">
        <v>2181241</v>
      </c>
      <c r="AH99" s="239">
        <v>1982947</v>
      </c>
      <c r="AI99" s="239">
        <v>2445635</v>
      </c>
      <c r="AJ99" s="239">
        <v>0</v>
      </c>
      <c r="AK99" s="239">
        <v>6609823</v>
      </c>
      <c r="AL99" s="239">
        <v>-1706820</v>
      </c>
      <c r="AM99" s="239">
        <v>-1551655</v>
      </c>
      <c r="AN99" s="239">
        <v>-1913707</v>
      </c>
      <c r="AO99" s="239">
        <v>0</v>
      </c>
      <c r="AP99" s="239">
        <v>-5172182</v>
      </c>
      <c r="AQ99" s="239">
        <v>-1290806</v>
      </c>
      <c r="AR99" s="239">
        <v>-1173460</v>
      </c>
      <c r="AS99" s="239">
        <v>-1447268</v>
      </c>
      <c r="AT99" s="239">
        <v>0</v>
      </c>
      <c r="AU99" s="239">
        <v>-3911534</v>
      </c>
      <c r="AV99" s="239">
        <v>304390</v>
      </c>
      <c r="AW99" s="239">
        <v>276719</v>
      </c>
      <c r="AX99" s="239">
        <v>341286</v>
      </c>
      <c r="AY99" s="239">
        <v>0</v>
      </c>
      <c r="AZ99" s="239">
        <v>922395</v>
      </c>
      <c r="BA99" s="239">
        <v>-402151</v>
      </c>
      <c r="BB99" s="239">
        <v>-365592</v>
      </c>
      <c r="BC99" s="239">
        <v>-450896</v>
      </c>
      <c r="BD99" s="239">
        <v>0</v>
      </c>
      <c r="BE99" s="239">
        <v>-1218639</v>
      </c>
      <c r="BF99" s="239">
        <v>-1388567</v>
      </c>
      <c r="BG99" s="239">
        <v>-1262333</v>
      </c>
      <c r="BH99" s="239">
        <v>-1556878</v>
      </c>
      <c r="BI99" s="239">
        <v>0</v>
      </c>
      <c r="BJ99" s="239">
        <v>-4207778</v>
      </c>
      <c r="BK99" s="239">
        <v>-2665079.5</v>
      </c>
      <c r="BL99" s="239">
        <v>-2422800</v>
      </c>
      <c r="BM99" s="239">
        <v>-2988120</v>
      </c>
      <c r="BN99" s="239">
        <v>0</v>
      </c>
      <c r="BO99" s="239">
        <v>-8075999.5</v>
      </c>
      <c r="BP99" s="239">
        <v>1434719</v>
      </c>
      <c r="BQ99" s="239">
        <v>1304289</v>
      </c>
      <c r="BR99" s="239">
        <v>1608623</v>
      </c>
      <c r="BS99" s="239">
        <v>0</v>
      </c>
      <c r="BT99" s="239">
        <v>4347631</v>
      </c>
      <c r="BU99" s="239">
        <v>-2418103</v>
      </c>
      <c r="BV99" s="239">
        <v>-2198276</v>
      </c>
      <c r="BW99" s="239">
        <v>-2711207</v>
      </c>
      <c r="BX99" s="239">
        <v>0</v>
      </c>
      <c r="BY99" s="239">
        <v>-7327586</v>
      </c>
      <c r="BZ99" s="239">
        <v>-3648463.5</v>
      </c>
      <c r="CA99" s="239">
        <v>-3316787</v>
      </c>
      <c r="CB99" s="239">
        <v>-4090704</v>
      </c>
      <c r="CC99" s="239">
        <v>0</v>
      </c>
      <c r="CD99" s="239">
        <v>-11055954.5</v>
      </c>
      <c r="CE99" s="239">
        <v>1068457</v>
      </c>
      <c r="CF99" s="239">
        <v>641074</v>
      </c>
      <c r="CG99" s="239">
        <v>427382</v>
      </c>
      <c r="CH99" s="239">
        <v>0</v>
      </c>
      <c r="CI99" s="239">
        <v>2136913</v>
      </c>
      <c r="CJ99" s="239">
        <v>-1271429</v>
      </c>
      <c r="CK99" s="239">
        <v>-762857</v>
      </c>
      <c r="CL99" s="239">
        <v>-508572</v>
      </c>
      <c r="CM99" s="239">
        <v>0</v>
      </c>
      <c r="CN99" s="239">
        <v>-2542858</v>
      </c>
      <c r="CO99" s="239">
        <v>2339886</v>
      </c>
      <c r="CP99" s="239">
        <v>1403931</v>
      </c>
      <c r="CQ99" s="239">
        <v>935954</v>
      </c>
      <c r="CR99" s="239">
        <v>0</v>
      </c>
      <c r="CS99" s="239">
        <v>4679771</v>
      </c>
      <c r="CT99" s="239">
        <v>37674861</v>
      </c>
      <c r="CU99" s="239">
        <v>34249874</v>
      </c>
      <c r="CV99" s="239">
        <v>42241511</v>
      </c>
      <c r="CW99" s="239">
        <v>0</v>
      </c>
      <c r="CX99" s="239">
        <v>114166246</v>
      </c>
      <c r="CY99" s="239">
        <v>34381260</v>
      </c>
      <c r="CZ99" s="239">
        <v>31255691</v>
      </c>
      <c r="DA99" s="239">
        <v>38548685</v>
      </c>
      <c r="DB99" s="239">
        <v>0</v>
      </c>
      <c r="DC99" s="239">
        <v>104185636</v>
      </c>
      <c r="DD99" s="239">
        <v>-3293601</v>
      </c>
      <c r="DE99" s="239">
        <v>-2994183</v>
      </c>
      <c r="DF99" s="239">
        <v>-3692826</v>
      </c>
      <c r="DG99" s="239">
        <v>0</v>
      </c>
      <c r="DH99" s="239">
        <v>-9980610</v>
      </c>
      <c r="DI99" s="239">
        <v>-953715</v>
      </c>
      <c r="DJ99" s="239">
        <v>-1590252</v>
      </c>
      <c r="DK99" s="239">
        <v>-2756872</v>
      </c>
      <c r="DL99" s="239">
        <v>0</v>
      </c>
      <c r="DM99" s="239">
        <v>-5300839</v>
      </c>
      <c r="DN99" s="835">
        <v>0.33</v>
      </c>
      <c r="DO99" s="835">
        <v>0.3</v>
      </c>
      <c r="DP99" s="835">
        <v>0.37</v>
      </c>
      <c r="DQ99" s="835">
        <v>0</v>
      </c>
      <c r="DR99" s="835">
        <v>1</v>
      </c>
      <c r="DS99" s="214" t="s">
        <v>1159</v>
      </c>
      <c r="DU99" s="214">
        <v>0</v>
      </c>
    </row>
    <row r="100" spans="2:125" s="214" customFormat="1" x14ac:dyDescent="0.2">
      <c r="B100" s="602" t="s">
        <v>283</v>
      </c>
      <c r="C100" s="602" t="s">
        <v>282</v>
      </c>
      <c r="D100" s="239">
        <v>17663384</v>
      </c>
      <c r="E100" s="239">
        <v>14130708</v>
      </c>
      <c r="F100" s="239">
        <v>3179409</v>
      </c>
      <c r="G100" s="239">
        <v>353268</v>
      </c>
      <c r="H100" s="239">
        <v>35326769</v>
      </c>
      <c r="I100" s="239">
        <v>0</v>
      </c>
      <c r="J100" s="239">
        <v>0</v>
      </c>
      <c r="K100" s="239">
        <v>17663384</v>
      </c>
      <c r="L100" s="239">
        <v>172654</v>
      </c>
      <c r="M100" s="239">
        <v>172654</v>
      </c>
      <c r="N100" s="239">
        <v>0</v>
      </c>
      <c r="O100" s="239">
        <v>0</v>
      </c>
      <c r="P100" s="239">
        <v>0</v>
      </c>
      <c r="Q100" s="239">
        <v>0</v>
      </c>
      <c r="R100" s="239">
        <v>0</v>
      </c>
      <c r="S100" s="239">
        <v>0</v>
      </c>
      <c r="T100" s="239">
        <v>0</v>
      </c>
      <c r="U100" s="239">
        <v>0</v>
      </c>
      <c r="V100" s="239">
        <v>0</v>
      </c>
      <c r="W100" s="239">
        <v>0</v>
      </c>
      <c r="X100" s="239">
        <v>0</v>
      </c>
      <c r="Y100" s="239">
        <v>0</v>
      </c>
      <c r="Z100" s="239">
        <v>0</v>
      </c>
      <c r="AA100" s="239">
        <v>0</v>
      </c>
      <c r="AB100" s="239">
        <v>0</v>
      </c>
      <c r="AC100" s="239">
        <v>1657593</v>
      </c>
      <c r="AD100" s="239">
        <v>372956</v>
      </c>
      <c r="AE100" s="239">
        <v>41439</v>
      </c>
      <c r="AF100" s="239">
        <v>2071988</v>
      </c>
      <c r="AG100" s="239">
        <v>664374</v>
      </c>
      <c r="AH100" s="239">
        <v>531498</v>
      </c>
      <c r="AI100" s="239">
        <v>119587</v>
      </c>
      <c r="AJ100" s="239">
        <v>13287</v>
      </c>
      <c r="AK100" s="239">
        <v>1328746</v>
      </c>
      <c r="AL100" s="239">
        <v>-659403</v>
      </c>
      <c r="AM100" s="239">
        <v>-527523</v>
      </c>
      <c r="AN100" s="239">
        <v>-118693</v>
      </c>
      <c r="AO100" s="239">
        <v>-13188</v>
      </c>
      <c r="AP100" s="239">
        <v>-1318807</v>
      </c>
      <c r="AQ100" s="239">
        <v>-135475</v>
      </c>
      <c r="AR100" s="239">
        <v>-108379</v>
      </c>
      <c r="AS100" s="239">
        <v>-24385</v>
      </c>
      <c r="AT100" s="239">
        <v>-2709</v>
      </c>
      <c r="AU100" s="239">
        <v>-270948</v>
      </c>
      <c r="AV100" s="239">
        <v>118671</v>
      </c>
      <c r="AW100" s="239">
        <v>94937</v>
      </c>
      <c r="AX100" s="239">
        <v>21361</v>
      </c>
      <c r="AY100" s="239">
        <v>2373</v>
      </c>
      <c r="AZ100" s="239">
        <v>237342</v>
      </c>
      <c r="BA100" s="239">
        <v>-163536</v>
      </c>
      <c r="BB100" s="239">
        <v>-130829</v>
      </c>
      <c r="BC100" s="239">
        <v>-29436</v>
      </c>
      <c r="BD100" s="239">
        <v>-3271</v>
      </c>
      <c r="BE100" s="239">
        <v>-327072</v>
      </c>
      <c r="BF100" s="239">
        <v>-180340</v>
      </c>
      <c r="BG100" s="239">
        <v>-144271</v>
      </c>
      <c r="BH100" s="239">
        <v>-32460</v>
      </c>
      <c r="BI100" s="239">
        <v>-3607</v>
      </c>
      <c r="BJ100" s="239">
        <v>-360678</v>
      </c>
      <c r="BK100" s="239">
        <v>-1754508</v>
      </c>
      <c r="BL100" s="239">
        <v>-1403606</v>
      </c>
      <c r="BM100" s="239">
        <v>-315811</v>
      </c>
      <c r="BN100" s="239">
        <v>-35090</v>
      </c>
      <c r="BO100" s="239">
        <v>-3509015</v>
      </c>
      <c r="BP100" s="239">
        <v>649438</v>
      </c>
      <c r="BQ100" s="239">
        <v>519550</v>
      </c>
      <c r="BR100" s="239">
        <v>116899</v>
      </c>
      <c r="BS100" s="239">
        <v>12989</v>
      </c>
      <c r="BT100" s="239">
        <v>1298876</v>
      </c>
      <c r="BU100" s="239">
        <v>-589912</v>
      </c>
      <c r="BV100" s="239">
        <v>-471930</v>
      </c>
      <c r="BW100" s="239">
        <v>-106184</v>
      </c>
      <c r="BX100" s="239">
        <v>-11798</v>
      </c>
      <c r="BY100" s="239">
        <v>-1179824</v>
      </c>
      <c r="BZ100" s="239">
        <v>-1694982</v>
      </c>
      <c r="CA100" s="239">
        <v>-1355986</v>
      </c>
      <c r="CB100" s="239">
        <v>-305096</v>
      </c>
      <c r="CC100" s="239">
        <v>-33899</v>
      </c>
      <c r="CD100" s="239">
        <v>-3389963</v>
      </c>
      <c r="CE100" s="239">
        <v>-43498</v>
      </c>
      <c r="CF100" s="239">
        <v>-34797</v>
      </c>
      <c r="CG100" s="239">
        <v>-7829</v>
      </c>
      <c r="CH100" s="239">
        <v>-870</v>
      </c>
      <c r="CI100" s="239">
        <v>-86994</v>
      </c>
      <c r="CJ100" s="239">
        <v>-250171</v>
      </c>
      <c r="CK100" s="239">
        <v>-200136</v>
      </c>
      <c r="CL100" s="239">
        <v>-45031</v>
      </c>
      <c r="CM100" s="239">
        <v>-5003</v>
      </c>
      <c r="CN100" s="239">
        <v>-500341</v>
      </c>
      <c r="CO100" s="239">
        <v>206673</v>
      </c>
      <c r="CP100" s="239">
        <v>165339</v>
      </c>
      <c r="CQ100" s="239">
        <v>37202</v>
      </c>
      <c r="CR100" s="239">
        <v>4133</v>
      </c>
      <c r="CS100" s="239">
        <v>413347</v>
      </c>
      <c r="CT100" s="239">
        <v>17355847</v>
      </c>
      <c r="CU100" s="239">
        <v>13884678</v>
      </c>
      <c r="CV100" s="239">
        <v>3124052</v>
      </c>
      <c r="CW100" s="239">
        <v>347117</v>
      </c>
      <c r="CX100" s="239">
        <v>34711694</v>
      </c>
      <c r="CY100" s="239">
        <v>17663384</v>
      </c>
      <c r="CZ100" s="239">
        <v>14130708</v>
      </c>
      <c r="DA100" s="239">
        <v>3179409</v>
      </c>
      <c r="DB100" s="239">
        <v>353268</v>
      </c>
      <c r="DC100" s="239">
        <v>35326769</v>
      </c>
      <c r="DD100" s="239">
        <v>307537</v>
      </c>
      <c r="DE100" s="239">
        <v>246030</v>
      </c>
      <c r="DF100" s="239">
        <v>55357</v>
      </c>
      <c r="DG100" s="239">
        <v>6151</v>
      </c>
      <c r="DH100" s="239">
        <v>615075</v>
      </c>
      <c r="DI100" s="239">
        <v>514210</v>
      </c>
      <c r="DJ100" s="239">
        <v>411369</v>
      </c>
      <c r="DK100" s="239">
        <v>92559</v>
      </c>
      <c r="DL100" s="239">
        <v>10284</v>
      </c>
      <c r="DM100" s="239">
        <v>1028422</v>
      </c>
      <c r="DN100" s="835">
        <v>0.5</v>
      </c>
      <c r="DO100" s="835">
        <v>0.4</v>
      </c>
      <c r="DP100" s="835">
        <v>0.09</v>
      </c>
      <c r="DQ100" s="835">
        <v>0.01</v>
      </c>
      <c r="DR100" s="835">
        <v>1</v>
      </c>
      <c r="DS100" s="214" t="s">
        <v>1158</v>
      </c>
      <c r="DU100" s="214">
        <v>0</v>
      </c>
    </row>
    <row r="101" spans="2:125" s="214" customFormat="1" x14ac:dyDescent="0.2">
      <c r="B101" s="602" t="s">
        <v>285</v>
      </c>
      <c r="C101" s="602" t="s">
        <v>284</v>
      </c>
      <c r="D101" s="239">
        <v>10189037</v>
      </c>
      <c r="E101" s="239">
        <v>8151230</v>
      </c>
      <c r="F101" s="239">
        <v>2037807</v>
      </c>
      <c r="G101" s="239">
        <v>0</v>
      </c>
      <c r="H101" s="239">
        <v>20378074</v>
      </c>
      <c r="I101" s="239">
        <v>0</v>
      </c>
      <c r="J101" s="239">
        <v>0</v>
      </c>
      <c r="K101" s="239">
        <v>10189037</v>
      </c>
      <c r="L101" s="239">
        <v>83437</v>
      </c>
      <c r="M101" s="239">
        <v>83437</v>
      </c>
      <c r="N101" s="239">
        <v>0</v>
      </c>
      <c r="O101" s="239">
        <v>0</v>
      </c>
      <c r="P101" s="239">
        <v>0</v>
      </c>
      <c r="Q101" s="239">
        <v>0</v>
      </c>
      <c r="R101" s="239">
        <v>0</v>
      </c>
      <c r="S101" s="239">
        <v>0</v>
      </c>
      <c r="T101" s="239">
        <v>0</v>
      </c>
      <c r="U101" s="239">
        <v>0</v>
      </c>
      <c r="V101" s="239">
        <v>0</v>
      </c>
      <c r="W101" s="239">
        <v>0</v>
      </c>
      <c r="X101" s="239">
        <v>0</v>
      </c>
      <c r="Y101" s="239">
        <v>0</v>
      </c>
      <c r="Z101" s="239">
        <v>0</v>
      </c>
      <c r="AA101" s="239">
        <v>0</v>
      </c>
      <c r="AB101" s="239">
        <v>0</v>
      </c>
      <c r="AC101" s="239">
        <v>714874</v>
      </c>
      <c r="AD101" s="239">
        <v>178719</v>
      </c>
      <c r="AE101" s="239">
        <v>0</v>
      </c>
      <c r="AF101" s="239">
        <v>893593</v>
      </c>
      <c r="AG101" s="239">
        <v>128159</v>
      </c>
      <c r="AH101" s="239">
        <v>102527</v>
      </c>
      <c r="AI101" s="239">
        <v>25632</v>
      </c>
      <c r="AJ101" s="239">
        <v>0</v>
      </c>
      <c r="AK101" s="239">
        <v>256318</v>
      </c>
      <c r="AL101" s="239">
        <v>-84784</v>
      </c>
      <c r="AM101" s="239">
        <v>-67828</v>
      </c>
      <c r="AN101" s="239">
        <v>-16957</v>
      </c>
      <c r="AO101" s="239">
        <v>0</v>
      </c>
      <c r="AP101" s="239">
        <v>-169569</v>
      </c>
      <c r="AQ101" s="239">
        <v>-45510</v>
      </c>
      <c r="AR101" s="239">
        <v>-36408</v>
      </c>
      <c r="AS101" s="239">
        <v>-9102</v>
      </c>
      <c r="AT101" s="239">
        <v>0</v>
      </c>
      <c r="AU101" s="239">
        <v>-91020</v>
      </c>
      <c r="AV101" s="239">
        <v>52987</v>
      </c>
      <c r="AW101" s="239">
        <v>42389</v>
      </c>
      <c r="AX101" s="239">
        <v>10597</v>
      </c>
      <c r="AY101" s="239">
        <v>0</v>
      </c>
      <c r="AZ101" s="239">
        <v>105973</v>
      </c>
      <c r="BA101" s="239">
        <v>-72190</v>
      </c>
      <c r="BB101" s="239">
        <v>-57752</v>
      </c>
      <c r="BC101" s="239">
        <v>-14438</v>
      </c>
      <c r="BD101" s="239">
        <v>0</v>
      </c>
      <c r="BE101" s="239">
        <v>-144380</v>
      </c>
      <c r="BF101" s="239">
        <v>-64713</v>
      </c>
      <c r="BG101" s="239">
        <v>-51771</v>
      </c>
      <c r="BH101" s="239">
        <v>-12943</v>
      </c>
      <c r="BI101" s="239">
        <v>0</v>
      </c>
      <c r="BJ101" s="239">
        <v>-129427</v>
      </c>
      <c r="BK101" s="239">
        <v>-1062818</v>
      </c>
      <c r="BL101" s="239">
        <v>-850255</v>
      </c>
      <c r="BM101" s="239">
        <v>-212564</v>
      </c>
      <c r="BN101" s="239">
        <v>0</v>
      </c>
      <c r="BO101" s="239">
        <v>-2125637</v>
      </c>
      <c r="BP101" s="239">
        <v>0</v>
      </c>
      <c r="BQ101" s="239">
        <v>0</v>
      </c>
      <c r="BR101" s="239">
        <v>0</v>
      </c>
      <c r="BS101" s="239">
        <v>0</v>
      </c>
      <c r="BT101" s="239">
        <v>0</v>
      </c>
      <c r="BU101" s="239">
        <v>-1787274</v>
      </c>
      <c r="BV101" s="239">
        <v>-1429820</v>
      </c>
      <c r="BW101" s="239">
        <v>-357455</v>
      </c>
      <c r="BX101" s="239">
        <v>0</v>
      </c>
      <c r="BY101" s="239">
        <v>-3574549</v>
      </c>
      <c r="BZ101" s="239">
        <v>-2850092</v>
      </c>
      <c r="CA101" s="239">
        <v>-2280075</v>
      </c>
      <c r="CB101" s="239">
        <v>-570019</v>
      </c>
      <c r="CC101" s="239">
        <v>0</v>
      </c>
      <c r="CD101" s="239">
        <v>-5700186</v>
      </c>
      <c r="CE101" s="239">
        <v>-516019</v>
      </c>
      <c r="CF101" s="239">
        <v>-412814</v>
      </c>
      <c r="CG101" s="239">
        <v>-103203</v>
      </c>
      <c r="CH101" s="239">
        <v>0</v>
      </c>
      <c r="CI101" s="239">
        <v>-1032036</v>
      </c>
      <c r="CJ101" s="239">
        <v>-170887</v>
      </c>
      <c r="CK101" s="239">
        <v>-136709</v>
      </c>
      <c r="CL101" s="239">
        <v>-34177</v>
      </c>
      <c r="CM101" s="239">
        <v>0</v>
      </c>
      <c r="CN101" s="239">
        <v>-341773</v>
      </c>
      <c r="CO101" s="239">
        <v>-345132</v>
      </c>
      <c r="CP101" s="239">
        <v>-276105</v>
      </c>
      <c r="CQ101" s="239">
        <v>-69026</v>
      </c>
      <c r="CR101" s="239">
        <v>0</v>
      </c>
      <c r="CS101" s="239">
        <v>-690263</v>
      </c>
      <c r="CT101" s="239">
        <v>12337506</v>
      </c>
      <c r="CU101" s="239">
        <v>9870005</v>
      </c>
      <c r="CV101" s="239">
        <v>2467501</v>
      </c>
      <c r="CW101" s="239">
        <v>0</v>
      </c>
      <c r="CX101" s="239">
        <v>24675012</v>
      </c>
      <c r="CY101" s="239">
        <v>10189037</v>
      </c>
      <c r="CZ101" s="239">
        <v>8151230</v>
      </c>
      <c r="DA101" s="239">
        <v>2037807</v>
      </c>
      <c r="DB101" s="239">
        <v>0</v>
      </c>
      <c r="DC101" s="239">
        <v>20378074</v>
      </c>
      <c r="DD101" s="239">
        <v>-2148469</v>
      </c>
      <c r="DE101" s="239">
        <v>-1718775</v>
      </c>
      <c r="DF101" s="239">
        <v>-429694</v>
      </c>
      <c r="DG101" s="239">
        <v>0</v>
      </c>
      <c r="DH101" s="239">
        <v>-4296938</v>
      </c>
      <c r="DI101" s="239">
        <v>-2493601</v>
      </c>
      <c r="DJ101" s="239">
        <v>-1994880</v>
      </c>
      <c r="DK101" s="239">
        <v>-498720</v>
      </c>
      <c r="DL101" s="239">
        <v>0</v>
      </c>
      <c r="DM101" s="239">
        <v>-4987201</v>
      </c>
      <c r="DN101" s="835">
        <v>0.5</v>
      </c>
      <c r="DO101" s="835">
        <v>0.4</v>
      </c>
      <c r="DP101" s="835">
        <v>0.1</v>
      </c>
      <c r="DQ101" s="835">
        <v>0</v>
      </c>
      <c r="DR101" s="835">
        <v>1</v>
      </c>
      <c r="DS101" s="214" t="s">
        <v>1158</v>
      </c>
      <c r="DU101" s="214">
        <v>0</v>
      </c>
    </row>
    <row r="102" spans="2:125" s="214" customFormat="1" x14ac:dyDescent="0.2">
      <c r="B102" s="602" t="s">
        <v>287</v>
      </c>
      <c r="C102" s="602" t="s">
        <v>286</v>
      </c>
      <c r="D102" s="239">
        <v>11070686</v>
      </c>
      <c r="E102" s="239">
        <v>8856548</v>
      </c>
      <c r="F102" s="239">
        <v>1992723</v>
      </c>
      <c r="G102" s="239">
        <v>221414</v>
      </c>
      <c r="H102" s="239">
        <v>22141371</v>
      </c>
      <c r="I102" s="239">
        <v>0</v>
      </c>
      <c r="J102" s="239">
        <v>0</v>
      </c>
      <c r="K102" s="239">
        <v>11070686</v>
      </c>
      <c r="L102" s="239">
        <v>134458</v>
      </c>
      <c r="M102" s="239">
        <v>134458</v>
      </c>
      <c r="N102" s="239">
        <v>0</v>
      </c>
      <c r="O102" s="239">
        <v>0</v>
      </c>
      <c r="P102" s="239">
        <v>0</v>
      </c>
      <c r="Q102" s="239">
        <v>0</v>
      </c>
      <c r="R102" s="239">
        <v>0</v>
      </c>
      <c r="S102" s="239">
        <v>0</v>
      </c>
      <c r="T102" s="239">
        <v>0</v>
      </c>
      <c r="U102" s="239">
        <v>0</v>
      </c>
      <c r="V102" s="239">
        <v>0</v>
      </c>
      <c r="W102" s="239">
        <v>0</v>
      </c>
      <c r="X102" s="239">
        <v>0</v>
      </c>
      <c r="Y102" s="239">
        <v>0</v>
      </c>
      <c r="Z102" s="239">
        <v>0</v>
      </c>
      <c r="AA102" s="239">
        <v>0</v>
      </c>
      <c r="AB102" s="239">
        <v>0</v>
      </c>
      <c r="AC102" s="239">
        <v>1304602</v>
      </c>
      <c r="AD102" s="239">
        <v>293535</v>
      </c>
      <c r="AE102" s="239">
        <v>32616</v>
      </c>
      <c r="AF102" s="239">
        <v>1630753</v>
      </c>
      <c r="AG102" s="239">
        <v>476628</v>
      </c>
      <c r="AH102" s="239">
        <v>381303</v>
      </c>
      <c r="AI102" s="239">
        <v>85793</v>
      </c>
      <c r="AJ102" s="239">
        <v>9533</v>
      </c>
      <c r="AK102" s="239">
        <v>953257</v>
      </c>
      <c r="AL102" s="239">
        <v>-456166</v>
      </c>
      <c r="AM102" s="239">
        <v>-364933</v>
      </c>
      <c r="AN102" s="239">
        <v>-82110</v>
      </c>
      <c r="AO102" s="239">
        <v>-9123</v>
      </c>
      <c r="AP102" s="239">
        <v>-912332</v>
      </c>
      <c r="AQ102" s="239">
        <v>-343250</v>
      </c>
      <c r="AR102" s="239">
        <v>-274600</v>
      </c>
      <c r="AS102" s="239">
        <v>-61785</v>
      </c>
      <c r="AT102" s="239">
        <v>-6865</v>
      </c>
      <c r="AU102" s="239">
        <v>-686500</v>
      </c>
      <c r="AV102" s="239">
        <v>130924</v>
      </c>
      <c r="AW102" s="239">
        <v>104738</v>
      </c>
      <c r="AX102" s="239">
        <v>23566</v>
      </c>
      <c r="AY102" s="239">
        <v>2618</v>
      </c>
      <c r="AZ102" s="239">
        <v>261846</v>
      </c>
      <c r="BA102" s="239">
        <v>-55289</v>
      </c>
      <c r="BB102" s="239">
        <v>-44232</v>
      </c>
      <c r="BC102" s="239">
        <v>-9952</v>
      </c>
      <c r="BD102" s="239">
        <v>-1106</v>
      </c>
      <c r="BE102" s="239">
        <v>-110579</v>
      </c>
      <c r="BF102" s="239">
        <v>-267615</v>
      </c>
      <c r="BG102" s="239">
        <v>-214094</v>
      </c>
      <c r="BH102" s="239">
        <v>-48171</v>
      </c>
      <c r="BI102" s="239">
        <v>-5353</v>
      </c>
      <c r="BJ102" s="239">
        <v>-535233</v>
      </c>
      <c r="BK102" s="239">
        <v>-508850</v>
      </c>
      <c r="BL102" s="239">
        <v>-407080</v>
      </c>
      <c r="BM102" s="239">
        <v>-91593</v>
      </c>
      <c r="BN102" s="239">
        <v>-10177</v>
      </c>
      <c r="BO102" s="239">
        <v>-1017700</v>
      </c>
      <c r="BP102" s="239">
        <v>508850</v>
      </c>
      <c r="BQ102" s="239">
        <v>407080</v>
      </c>
      <c r="BR102" s="239">
        <v>91593</v>
      </c>
      <c r="BS102" s="239">
        <v>10177</v>
      </c>
      <c r="BT102" s="239">
        <v>1017700</v>
      </c>
      <c r="BU102" s="239">
        <v>-1198000</v>
      </c>
      <c r="BV102" s="239">
        <v>-958400</v>
      </c>
      <c r="BW102" s="239">
        <v>-215640</v>
      </c>
      <c r="BX102" s="239">
        <v>-23960</v>
      </c>
      <c r="BY102" s="239">
        <v>-2396000</v>
      </c>
      <c r="BZ102" s="239">
        <v>-1198000</v>
      </c>
      <c r="CA102" s="239">
        <v>-958400</v>
      </c>
      <c r="CB102" s="239">
        <v>-215640</v>
      </c>
      <c r="CC102" s="239">
        <v>-23960</v>
      </c>
      <c r="CD102" s="239">
        <v>-2396000</v>
      </c>
      <c r="CE102" s="239">
        <v>-1648785</v>
      </c>
      <c r="CF102" s="239">
        <v>-1319029</v>
      </c>
      <c r="CG102" s="239">
        <v>-296781</v>
      </c>
      <c r="CH102" s="239">
        <v>-32975</v>
      </c>
      <c r="CI102" s="239">
        <v>-3297570</v>
      </c>
      <c r="CJ102" s="239">
        <v>-1071847</v>
      </c>
      <c r="CK102" s="239">
        <v>-857478</v>
      </c>
      <c r="CL102" s="239">
        <v>-192933</v>
      </c>
      <c r="CM102" s="239">
        <v>-21437</v>
      </c>
      <c r="CN102" s="239">
        <v>-2143695</v>
      </c>
      <c r="CO102" s="239">
        <v>-576938</v>
      </c>
      <c r="CP102" s="239">
        <v>-461551</v>
      </c>
      <c r="CQ102" s="239">
        <v>-103848</v>
      </c>
      <c r="CR102" s="239">
        <v>-11538</v>
      </c>
      <c r="CS102" s="239">
        <v>-1153875</v>
      </c>
      <c r="CT102" s="239">
        <v>12220137</v>
      </c>
      <c r="CU102" s="239">
        <v>9776110</v>
      </c>
      <c r="CV102" s="239">
        <v>2199625</v>
      </c>
      <c r="CW102" s="239">
        <v>244403</v>
      </c>
      <c r="CX102" s="239">
        <v>24440275</v>
      </c>
      <c r="CY102" s="239">
        <v>11070686</v>
      </c>
      <c r="CZ102" s="239">
        <v>8856548</v>
      </c>
      <c r="DA102" s="239">
        <v>1992723</v>
      </c>
      <c r="DB102" s="239">
        <v>221414</v>
      </c>
      <c r="DC102" s="239">
        <v>22141371</v>
      </c>
      <c r="DD102" s="239">
        <v>-1149451</v>
      </c>
      <c r="DE102" s="239">
        <v>-919562</v>
      </c>
      <c r="DF102" s="239">
        <v>-206902</v>
      </c>
      <c r="DG102" s="239">
        <v>-22989</v>
      </c>
      <c r="DH102" s="239">
        <v>-2298904</v>
      </c>
      <c r="DI102" s="239">
        <v>-1726389</v>
      </c>
      <c r="DJ102" s="239">
        <v>-1381113</v>
      </c>
      <c r="DK102" s="239">
        <v>-310750</v>
      </c>
      <c r="DL102" s="239">
        <v>-34527</v>
      </c>
      <c r="DM102" s="239">
        <v>-3452779</v>
      </c>
      <c r="DN102" s="835">
        <v>0.5</v>
      </c>
      <c r="DO102" s="835">
        <v>0.4</v>
      </c>
      <c r="DP102" s="835">
        <v>0.09</v>
      </c>
      <c r="DQ102" s="835">
        <v>0.01</v>
      </c>
      <c r="DR102" s="835">
        <v>1</v>
      </c>
      <c r="DS102" s="214" t="s">
        <v>1158</v>
      </c>
      <c r="DU102" s="214">
        <v>0</v>
      </c>
    </row>
    <row r="103" spans="2:125" s="214" customFormat="1" x14ac:dyDescent="0.2">
      <c r="B103" s="602" t="s">
        <v>289</v>
      </c>
      <c r="C103" s="602" t="s">
        <v>288</v>
      </c>
      <c r="D103" s="239">
        <v>34972343</v>
      </c>
      <c r="E103" s="239">
        <v>27977874</v>
      </c>
      <c r="F103" s="239">
        <v>6295022</v>
      </c>
      <c r="G103" s="239">
        <v>699447</v>
      </c>
      <c r="H103" s="239">
        <v>69944686</v>
      </c>
      <c r="I103" s="239">
        <v>0</v>
      </c>
      <c r="J103" s="239">
        <v>0</v>
      </c>
      <c r="K103" s="239">
        <v>34972343</v>
      </c>
      <c r="L103" s="239">
        <v>215774</v>
      </c>
      <c r="M103" s="239">
        <v>215774</v>
      </c>
      <c r="N103" s="239">
        <v>0</v>
      </c>
      <c r="O103" s="239">
        <v>0</v>
      </c>
      <c r="P103" s="239">
        <v>0</v>
      </c>
      <c r="Q103" s="239">
        <v>0</v>
      </c>
      <c r="R103" s="239">
        <v>0</v>
      </c>
      <c r="S103" s="239">
        <v>0</v>
      </c>
      <c r="T103" s="239">
        <v>0</v>
      </c>
      <c r="U103" s="239">
        <v>0</v>
      </c>
      <c r="V103" s="239">
        <v>0</v>
      </c>
      <c r="W103" s="239">
        <v>0</v>
      </c>
      <c r="X103" s="239">
        <v>0</v>
      </c>
      <c r="Y103" s="239">
        <v>0</v>
      </c>
      <c r="Z103" s="239">
        <v>0</v>
      </c>
      <c r="AA103" s="239">
        <v>0</v>
      </c>
      <c r="AB103" s="239">
        <v>0</v>
      </c>
      <c r="AC103" s="239">
        <v>1678174</v>
      </c>
      <c r="AD103" s="239">
        <v>377589</v>
      </c>
      <c r="AE103" s="239">
        <v>41954</v>
      </c>
      <c r="AF103" s="239">
        <v>2097717</v>
      </c>
      <c r="AG103" s="239">
        <v>1481181</v>
      </c>
      <c r="AH103" s="239">
        <v>1184944</v>
      </c>
      <c r="AI103" s="239">
        <v>266612</v>
      </c>
      <c r="AJ103" s="239">
        <v>29624</v>
      </c>
      <c r="AK103" s="239">
        <v>2962361</v>
      </c>
      <c r="AL103" s="239">
        <v>-831840</v>
      </c>
      <c r="AM103" s="239">
        <v>-665472</v>
      </c>
      <c r="AN103" s="239">
        <v>-149731</v>
      </c>
      <c r="AO103" s="239">
        <v>-16637</v>
      </c>
      <c r="AP103" s="239">
        <v>-1663680</v>
      </c>
      <c r="AQ103" s="239">
        <v>-105000</v>
      </c>
      <c r="AR103" s="239">
        <v>-84000</v>
      </c>
      <c r="AS103" s="239">
        <v>-18900</v>
      </c>
      <c r="AT103" s="239">
        <v>-2100</v>
      </c>
      <c r="AU103" s="239">
        <v>-210000</v>
      </c>
      <c r="AV103" s="239">
        <v>0</v>
      </c>
      <c r="AW103" s="239">
        <v>0</v>
      </c>
      <c r="AX103" s="239">
        <v>0</v>
      </c>
      <c r="AY103" s="239">
        <v>0</v>
      </c>
      <c r="AZ103" s="239">
        <v>0</v>
      </c>
      <c r="BA103" s="239">
        <v>-180000</v>
      </c>
      <c r="BB103" s="239">
        <v>-144000</v>
      </c>
      <c r="BC103" s="239">
        <v>-32400</v>
      </c>
      <c r="BD103" s="239">
        <v>-3600</v>
      </c>
      <c r="BE103" s="239">
        <v>-360000</v>
      </c>
      <c r="BF103" s="239">
        <v>-285000</v>
      </c>
      <c r="BG103" s="239">
        <v>-228000</v>
      </c>
      <c r="BH103" s="239">
        <v>-51300</v>
      </c>
      <c r="BI103" s="239">
        <v>-5700</v>
      </c>
      <c r="BJ103" s="239">
        <v>-570000</v>
      </c>
      <c r="BK103" s="239">
        <v>-573624</v>
      </c>
      <c r="BL103" s="239">
        <v>-458898</v>
      </c>
      <c r="BM103" s="239">
        <v>-103252</v>
      </c>
      <c r="BN103" s="239">
        <v>-11472</v>
      </c>
      <c r="BO103" s="239">
        <v>-1147246</v>
      </c>
      <c r="BP103" s="239">
        <v>38826</v>
      </c>
      <c r="BQ103" s="239">
        <v>31062</v>
      </c>
      <c r="BR103" s="239">
        <v>6989</v>
      </c>
      <c r="BS103" s="239">
        <v>777</v>
      </c>
      <c r="BT103" s="239">
        <v>77654</v>
      </c>
      <c r="BU103" s="239">
        <v>-1832013</v>
      </c>
      <c r="BV103" s="239">
        <v>-1465610</v>
      </c>
      <c r="BW103" s="239">
        <v>-329762</v>
      </c>
      <c r="BX103" s="239">
        <v>-36640</v>
      </c>
      <c r="BY103" s="239">
        <v>-3664025</v>
      </c>
      <c r="BZ103" s="239">
        <v>-2366811</v>
      </c>
      <c r="CA103" s="239">
        <v>-1893446</v>
      </c>
      <c r="CB103" s="239">
        <v>-426025</v>
      </c>
      <c r="CC103" s="239">
        <v>-47335</v>
      </c>
      <c r="CD103" s="239">
        <v>-4733617</v>
      </c>
      <c r="CE103" s="239">
        <v>-416927</v>
      </c>
      <c r="CF103" s="239">
        <v>-333540</v>
      </c>
      <c r="CG103" s="239">
        <v>-75046</v>
      </c>
      <c r="CH103" s="239">
        <v>-8338</v>
      </c>
      <c r="CI103" s="239">
        <v>-833851</v>
      </c>
      <c r="CJ103" s="239">
        <v>39938</v>
      </c>
      <c r="CK103" s="239">
        <v>31951</v>
      </c>
      <c r="CL103" s="239">
        <v>7189</v>
      </c>
      <c r="CM103" s="239">
        <v>799</v>
      </c>
      <c r="CN103" s="239">
        <v>79877</v>
      </c>
      <c r="CO103" s="239">
        <v>-456865</v>
      </c>
      <c r="CP103" s="239">
        <v>-365491</v>
      </c>
      <c r="CQ103" s="239">
        <v>-82235</v>
      </c>
      <c r="CR103" s="239">
        <v>-9137</v>
      </c>
      <c r="CS103" s="239">
        <v>-913728</v>
      </c>
      <c r="CT103" s="239">
        <v>36619037</v>
      </c>
      <c r="CU103" s="239">
        <v>29295230</v>
      </c>
      <c r="CV103" s="239">
        <v>6591427</v>
      </c>
      <c r="CW103" s="239">
        <v>732381</v>
      </c>
      <c r="CX103" s="239">
        <v>73238075</v>
      </c>
      <c r="CY103" s="239">
        <v>34972343</v>
      </c>
      <c r="CZ103" s="239">
        <v>27977874</v>
      </c>
      <c r="DA103" s="239">
        <v>6295022</v>
      </c>
      <c r="DB103" s="239">
        <v>699447</v>
      </c>
      <c r="DC103" s="239">
        <v>69944686</v>
      </c>
      <c r="DD103" s="239">
        <v>-1646694</v>
      </c>
      <c r="DE103" s="239">
        <v>-1317356</v>
      </c>
      <c r="DF103" s="239">
        <v>-296405</v>
      </c>
      <c r="DG103" s="239">
        <v>-32934</v>
      </c>
      <c r="DH103" s="239">
        <v>-3293389</v>
      </c>
      <c r="DI103" s="239">
        <v>-2103559</v>
      </c>
      <c r="DJ103" s="239">
        <v>-1682847</v>
      </c>
      <c r="DK103" s="239">
        <v>-378640</v>
      </c>
      <c r="DL103" s="239">
        <v>-42071</v>
      </c>
      <c r="DM103" s="239">
        <v>-4207117</v>
      </c>
      <c r="DN103" s="835">
        <v>0.5</v>
      </c>
      <c r="DO103" s="835">
        <v>0.4</v>
      </c>
      <c r="DP103" s="835">
        <v>0.09</v>
      </c>
      <c r="DQ103" s="835">
        <v>0.01</v>
      </c>
      <c r="DR103" s="835">
        <v>1</v>
      </c>
      <c r="DS103" s="214" t="s">
        <v>1158</v>
      </c>
      <c r="DU103" s="214">
        <v>0</v>
      </c>
    </row>
    <row r="104" spans="2:125" s="214" customFormat="1" x14ac:dyDescent="0.2">
      <c r="B104" s="602" t="s">
        <v>291</v>
      </c>
      <c r="C104" s="602" t="s">
        <v>290</v>
      </c>
      <c r="D104" s="239">
        <v>19879422</v>
      </c>
      <c r="E104" s="239">
        <v>15903538</v>
      </c>
      <c r="F104" s="239">
        <v>3578296</v>
      </c>
      <c r="G104" s="239">
        <v>397588</v>
      </c>
      <c r="H104" s="239">
        <v>39758844</v>
      </c>
      <c r="I104" s="239">
        <v>110671</v>
      </c>
      <c r="J104" s="239">
        <v>110671</v>
      </c>
      <c r="K104" s="239">
        <v>19768751</v>
      </c>
      <c r="L104" s="239">
        <v>138082</v>
      </c>
      <c r="M104" s="239">
        <v>138082</v>
      </c>
      <c r="N104" s="239">
        <v>41572</v>
      </c>
      <c r="O104" s="239">
        <v>41572</v>
      </c>
      <c r="P104" s="239">
        <v>79829</v>
      </c>
      <c r="Q104" s="239">
        <v>0</v>
      </c>
      <c r="R104" s="239">
        <v>79829</v>
      </c>
      <c r="S104" s="239">
        <v>110670.8347639485</v>
      </c>
      <c r="T104" s="239">
        <v>0</v>
      </c>
      <c r="U104" s="239">
        <v>0</v>
      </c>
      <c r="V104" s="239">
        <v>110670.8347639485</v>
      </c>
      <c r="W104" s="239">
        <v>0</v>
      </c>
      <c r="X104" s="239">
        <v>0</v>
      </c>
      <c r="Y104" s="239">
        <v>0</v>
      </c>
      <c r="Z104" s="239">
        <v>0</v>
      </c>
      <c r="AA104" s="239">
        <v>0</v>
      </c>
      <c r="AB104" s="239">
        <v>0</v>
      </c>
      <c r="AC104" s="239">
        <v>1223050</v>
      </c>
      <c r="AD104" s="239">
        <v>272769</v>
      </c>
      <c r="AE104" s="239">
        <v>30307</v>
      </c>
      <c r="AF104" s="239">
        <v>1526126</v>
      </c>
      <c r="AG104" s="239">
        <v>428115</v>
      </c>
      <c r="AH104" s="239">
        <v>342492</v>
      </c>
      <c r="AI104" s="239">
        <v>77061</v>
      </c>
      <c r="AJ104" s="239">
        <v>8562</v>
      </c>
      <c r="AK104" s="239">
        <v>856230</v>
      </c>
      <c r="AL104" s="239">
        <v>-791614</v>
      </c>
      <c r="AM104" s="239">
        <v>-633291</v>
      </c>
      <c r="AN104" s="239">
        <v>-142491</v>
      </c>
      <c r="AO104" s="239">
        <v>-15832</v>
      </c>
      <c r="AP104" s="239">
        <v>-1583228</v>
      </c>
      <c r="AQ104" s="239">
        <v>-192929.49</v>
      </c>
      <c r="AR104" s="239">
        <v>-154345</v>
      </c>
      <c r="AS104" s="239">
        <v>-34728</v>
      </c>
      <c r="AT104" s="239">
        <v>-3859</v>
      </c>
      <c r="AU104" s="239">
        <v>-385861.49</v>
      </c>
      <c r="AV104" s="239">
        <v>253052</v>
      </c>
      <c r="AW104" s="239">
        <v>202442</v>
      </c>
      <c r="AX104" s="239">
        <v>45549</v>
      </c>
      <c r="AY104" s="239">
        <v>5061</v>
      </c>
      <c r="AZ104" s="239">
        <v>506104</v>
      </c>
      <c r="BA104" s="239">
        <v>-367537</v>
      </c>
      <c r="BB104" s="239">
        <v>-294030</v>
      </c>
      <c r="BC104" s="239">
        <v>-66157</v>
      </c>
      <c r="BD104" s="239">
        <v>-7351</v>
      </c>
      <c r="BE104" s="239">
        <v>-735075</v>
      </c>
      <c r="BF104" s="239">
        <v>-307414.49</v>
      </c>
      <c r="BG104" s="239">
        <v>-245933</v>
      </c>
      <c r="BH104" s="239">
        <v>-55336</v>
      </c>
      <c r="BI104" s="239">
        <v>-6149</v>
      </c>
      <c r="BJ104" s="239">
        <v>-614832.49</v>
      </c>
      <c r="BK104" s="239">
        <v>-3390584</v>
      </c>
      <c r="BL104" s="239">
        <v>-2712468</v>
      </c>
      <c r="BM104" s="239">
        <v>-610305</v>
      </c>
      <c r="BN104" s="239">
        <v>-67812</v>
      </c>
      <c r="BO104" s="239">
        <v>-6781169</v>
      </c>
      <c r="BP104" s="239">
        <v>1412049</v>
      </c>
      <c r="BQ104" s="239">
        <v>1129639</v>
      </c>
      <c r="BR104" s="239">
        <v>254169</v>
      </c>
      <c r="BS104" s="239">
        <v>28241</v>
      </c>
      <c r="BT104" s="239">
        <v>2824098</v>
      </c>
      <c r="BU104" s="239">
        <v>-39657</v>
      </c>
      <c r="BV104" s="239">
        <v>-31726</v>
      </c>
      <c r="BW104" s="239">
        <v>-7138</v>
      </c>
      <c r="BX104" s="239">
        <v>-793</v>
      </c>
      <c r="BY104" s="239">
        <v>-79314</v>
      </c>
      <c r="BZ104" s="239">
        <v>-2018192</v>
      </c>
      <c r="CA104" s="239">
        <v>-1614555</v>
      </c>
      <c r="CB104" s="239">
        <v>-363274</v>
      </c>
      <c r="CC104" s="239">
        <v>-40364</v>
      </c>
      <c r="CD104" s="239">
        <v>-4036385</v>
      </c>
      <c r="CE104" s="239">
        <v>-529110</v>
      </c>
      <c r="CF104" s="239">
        <v>-423287</v>
      </c>
      <c r="CG104" s="239">
        <v>-95238</v>
      </c>
      <c r="CH104" s="239">
        <v>-10582</v>
      </c>
      <c r="CI104" s="239">
        <v>-1058217</v>
      </c>
      <c r="CJ104" s="239">
        <v>-921156</v>
      </c>
      <c r="CK104" s="239">
        <v>-736924</v>
      </c>
      <c r="CL104" s="239">
        <v>-165808</v>
      </c>
      <c r="CM104" s="239">
        <v>-18423</v>
      </c>
      <c r="CN104" s="239">
        <v>-1842311</v>
      </c>
      <c r="CO104" s="239">
        <v>392046</v>
      </c>
      <c r="CP104" s="239">
        <v>313637</v>
      </c>
      <c r="CQ104" s="239">
        <v>70570</v>
      </c>
      <c r="CR104" s="239">
        <v>7841</v>
      </c>
      <c r="CS104" s="239">
        <v>784094</v>
      </c>
      <c r="CT104" s="239">
        <v>18591536</v>
      </c>
      <c r="CU104" s="239">
        <v>14873229</v>
      </c>
      <c r="CV104" s="239">
        <v>3346476</v>
      </c>
      <c r="CW104" s="239">
        <v>371831</v>
      </c>
      <c r="CX104" s="239">
        <v>37183072</v>
      </c>
      <c r="CY104" s="239">
        <v>19879422</v>
      </c>
      <c r="CZ104" s="239">
        <v>15903538</v>
      </c>
      <c r="DA104" s="239">
        <v>3578296</v>
      </c>
      <c r="DB104" s="239">
        <v>397588</v>
      </c>
      <c r="DC104" s="239">
        <v>39758844</v>
      </c>
      <c r="DD104" s="239">
        <v>1287886</v>
      </c>
      <c r="DE104" s="239">
        <v>1030309</v>
      </c>
      <c r="DF104" s="239">
        <v>231820</v>
      </c>
      <c r="DG104" s="239">
        <v>25757</v>
      </c>
      <c r="DH104" s="239">
        <v>2575772</v>
      </c>
      <c r="DI104" s="239">
        <v>1679932</v>
      </c>
      <c r="DJ104" s="239">
        <v>1343946</v>
      </c>
      <c r="DK104" s="239">
        <v>302390</v>
      </c>
      <c r="DL104" s="239">
        <v>33598</v>
      </c>
      <c r="DM104" s="239">
        <v>3359866</v>
      </c>
      <c r="DN104" s="835">
        <v>0.5</v>
      </c>
      <c r="DO104" s="835">
        <v>0.4</v>
      </c>
      <c r="DP104" s="835">
        <v>0.09</v>
      </c>
      <c r="DQ104" s="835">
        <v>0.01</v>
      </c>
      <c r="DR104" s="835">
        <v>1</v>
      </c>
      <c r="DS104" s="214" t="s">
        <v>1158</v>
      </c>
      <c r="DU104" s="214">
        <v>0</v>
      </c>
    </row>
    <row r="105" spans="2:125" s="214" customFormat="1" x14ac:dyDescent="0.2">
      <c r="B105" s="602" t="s">
        <v>293</v>
      </c>
      <c r="C105" s="602" t="s">
        <v>292</v>
      </c>
      <c r="D105" s="239">
        <v>12441775</v>
      </c>
      <c r="E105" s="239">
        <v>9953421</v>
      </c>
      <c r="F105" s="239">
        <v>2239520</v>
      </c>
      <c r="G105" s="239">
        <v>248836</v>
      </c>
      <c r="H105" s="239">
        <v>24883552</v>
      </c>
      <c r="I105" s="239">
        <v>0</v>
      </c>
      <c r="J105" s="239">
        <v>0</v>
      </c>
      <c r="K105" s="239">
        <v>12441775</v>
      </c>
      <c r="L105" s="239">
        <v>124366</v>
      </c>
      <c r="M105" s="239">
        <v>124366</v>
      </c>
      <c r="N105" s="239">
        <v>0</v>
      </c>
      <c r="O105" s="239">
        <v>0</v>
      </c>
      <c r="P105" s="239">
        <v>222929</v>
      </c>
      <c r="Q105" s="239">
        <v>0</v>
      </c>
      <c r="R105" s="239">
        <v>222929</v>
      </c>
      <c r="S105" s="239">
        <v>0</v>
      </c>
      <c r="T105" s="239">
        <v>0</v>
      </c>
      <c r="U105" s="239">
        <v>0</v>
      </c>
      <c r="V105" s="239">
        <v>0</v>
      </c>
      <c r="W105" s="239">
        <v>0</v>
      </c>
      <c r="X105" s="239">
        <v>0</v>
      </c>
      <c r="Y105" s="239">
        <v>0</v>
      </c>
      <c r="Z105" s="239">
        <v>0</v>
      </c>
      <c r="AA105" s="239">
        <v>0</v>
      </c>
      <c r="AB105" s="239">
        <v>0</v>
      </c>
      <c r="AC105" s="239">
        <v>1155206</v>
      </c>
      <c r="AD105" s="239">
        <v>259168</v>
      </c>
      <c r="AE105" s="239">
        <v>28797</v>
      </c>
      <c r="AF105" s="239">
        <v>1443171</v>
      </c>
      <c r="AG105" s="239">
        <v>898011</v>
      </c>
      <c r="AH105" s="239">
        <v>718409</v>
      </c>
      <c r="AI105" s="239">
        <v>161642</v>
      </c>
      <c r="AJ105" s="239">
        <v>17960</v>
      </c>
      <c r="AK105" s="239">
        <v>1796022</v>
      </c>
      <c r="AL105" s="239">
        <v>-242014</v>
      </c>
      <c r="AM105" s="239">
        <v>-193611</v>
      </c>
      <c r="AN105" s="239">
        <v>-43562</v>
      </c>
      <c r="AO105" s="239">
        <v>-4840</v>
      </c>
      <c r="AP105" s="239">
        <v>-484027</v>
      </c>
      <c r="AQ105" s="239">
        <v>-362897.53</v>
      </c>
      <c r="AR105" s="239">
        <v>-290317</v>
      </c>
      <c r="AS105" s="239">
        <v>-65321</v>
      </c>
      <c r="AT105" s="239">
        <v>-7258</v>
      </c>
      <c r="AU105" s="239">
        <v>-725793.53</v>
      </c>
      <c r="AV105" s="239">
        <v>84237</v>
      </c>
      <c r="AW105" s="239">
        <v>67390</v>
      </c>
      <c r="AX105" s="239">
        <v>15163</v>
      </c>
      <c r="AY105" s="239">
        <v>1685</v>
      </c>
      <c r="AZ105" s="239">
        <v>168475</v>
      </c>
      <c r="BA105" s="239">
        <v>-203821</v>
      </c>
      <c r="BB105" s="239">
        <v>-163056</v>
      </c>
      <c r="BC105" s="239">
        <v>-36688</v>
      </c>
      <c r="BD105" s="239">
        <v>-4076</v>
      </c>
      <c r="BE105" s="239">
        <v>-407641</v>
      </c>
      <c r="BF105" s="239">
        <v>-482481.53</v>
      </c>
      <c r="BG105" s="239">
        <v>-385983</v>
      </c>
      <c r="BH105" s="239">
        <v>-86846</v>
      </c>
      <c r="BI105" s="239">
        <v>-9649</v>
      </c>
      <c r="BJ105" s="239">
        <v>-964959.53</v>
      </c>
      <c r="BK105" s="239">
        <v>-1301575</v>
      </c>
      <c r="BL105" s="239">
        <v>-1041260</v>
      </c>
      <c r="BM105" s="239">
        <v>-234283</v>
      </c>
      <c r="BN105" s="239">
        <v>-26031</v>
      </c>
      <c r="BO105" s="239">
        <v>-2603149</v>
      </c>
      <c r="BP105" s="239">
        <v>285556</v>
      </c>
      <c r="BQ105" s="239">
        <v>228445</v>
      </c>
      <c r="BR105" s="239">
        <v>51400</v>
      </c>
      <c r="BS105" s="239">
        <v>5711</v>
      </c>
      <c r="BT105" s="239">
        <v>571112</v>
      </c>
      <c r="BU105" s="239">
        <v>150209</v>
      </c>
      <c r="BV105" s="239">
        <v>120168</v>
      </c>
      <c r="BW105" s="239">
        <v>27038</v>
      </c>
      <c r="BX105" s="239">
        <v>3004</v>
      </c>
      <c r="BY105" s="239">
        <v>300419</v>
      </c>
      <c r="BZ105" s="239">
        <v>-865810</v>
      </c>
      <c r="CA105" s="239">
        <v>-692647</v>
      </c>
      <c r="CB105" s="239">
        <v>-155845</v>
      </c>
      <c r="CC105" s="239">
        <v>-17316</v>
      </c>
      <c r="CD105" s="239">
        <v>-1731618</v>
      </c>
      <c r="CE105" s="239">
        <v>-192846</v>
      </c>
      <c r="CF105" s="239">
        <v>-154277</v>
      </c>
      <c r="CG105" s="239">
        <v>-34712</v>
      </c>
      <c r="CH105" s="239">
        <v>-3858</v>
      </c>
      <c r="CI105" s="239">
        <v>-385693</v>
      </c>
      <c r="CJ105" s="239">
        <v>-126314</v>
      </c>
      <c r="CK105" s="239">
        <v>-101052</v>
      </c>
      <c r="CL105" s="239">
        <v>-22737</v>
      </c>
      <c r="CM105" s="239">
        <v>-2526</v>
      </c>
      <c r="CN105" s="239">
        <v>-252629</v>
      </c>
      <c r="CO105" s="239">
        <v>-66532</v>
      </c>
      <c r="CP105" s="239">
        <v>-53225</v>
      </c>
      <c r="CQ105" s="239">
        <v>-11975</v>
      </c>
      <c r="CR105" s="239">
        <v>-1332</v>
      </c>
      <c r="CS105" s="239">
        <v>-133064</v>
      </c>
      <c r="CT105" s="239">
        <v>12043367</v>
      </c>
      <c r="CU105" s="239">
        <v>9634694</v>
      </c>
      <c r="CV105" s="239">
        <v>2167806</v>
      </c>
      <c r="CW105" s="239">
        <v>240867</v>
      </c>
      <c r="CX105" s="239">
        <v>24086734</v>
      </c>
      <c r="CY105" s="239">
        <v>12441775</v>
      </c>
      <c r="CZ105" s="239">
        <v>9953421</v>
      </c>
      <c r="DA105" s="239">
        <v>2239520</v>
      </c>
      <c r="DB105" s="239">
        <v>248836</v>
      </c>
      <c r="DC105" s="239">
        <v>24883552</v>
      </c>
      <c r="DD105" s="239">
        <v>398408</v>
      </c>
      <c r="DE105" s="239">
        <v>318727</v>
      </c>
      <c r="DF105" s="239">
        <v>71714</v>
      </c>
      <c r="DG105" s="239">
        <v>7969</v>
      </c>
      <c r="DH105" s="239">
        <v>796818</v>
      </c>
      <c r="DI105" s="239">
        <v>331876</v>
      </c>
      <c r="DJ105" s="239">
        <v>265502</v>
      </c>
      <c r="DK105" s="239">
        <v>59739</v>
      </c>
      <c r="DL105" s="239">
        <v>6637</v>
      </c>
      <c r="DM105" s="239">
        <v>663754</v>
      </c>
      <c r="DN105" s="835">
        <v>0.5</v>
      </c>
      <c r="DO105" s="835">
        <v>0.4</v>
      </c>
      <c r="DP105" s="835">
        <v>0.09</v>
      </c>
      <c r="DQ105" s="835">
        <v>0.01</v>
      </c>
      <c r="DR105" s="835">
        <v>1</v>
      </c>
      <c r="DS105" s="214" t="s">
        <v>1158</v>
      </c>
      <c r="DU105" s="214">
        <v>0</v>
      </c>
    </row>
    <row r="106" spans="2:125" s="214" customFormat="1" x14ac:dyDescent="0.2">
      <c r="B106" s="602" t="s">
        <v>295</v>
      </c>
      <c r="C106" s="602" t="s">
        <v>294</v>
      </c>
      <c r="D106" s="239">
        <v>11793197</v>
      </c>
      <c r="E106" s="239">
        <v>9434558</v>
      </c>
      <c r="F106" s="239">
        <v>2358639</v>
      </c>
      <c r="G106" s="239">
        <v>0</v>
      </c>
      <c r="H106" s="239">
        <v>23586394</v>
      </c>
      <c r="I106" s="239">
        <v>0</v>
      </c>
      <c r="J106" s="239">
        <v>0</v>
      </c>
      <c r="K106" s="239">
        <v>11793197</v>
      </c>
      <c r="L106" s="239">
        <v>90908</v>
      </c>
      <c r="M106" s="239">
        <v>90908</v>
      </c>
      <c r="N106" s="239">
        <v>0</v>
      </c>
      <c r="O106" s="239">
        <v>0</v>
      </c>
      <c r="P106" s="239">
        <v>90988</v>
      </c>
      <c r="Q106" s="239">
        <v>0</v>
      </c>
      <c r="R106" s="239">
        <v>90988</v>
      </c>
      <c r="S106" s="239">
        <v>0</v>
      </c>
      <c r="T106" s="239">
        <v>0</v>
      </c>
      <c r="U106" s="239">
        <v>0</v>
      </c>
      <c r="V106" s="239">
        <v>0</v>
      </c>
      <c r="W106" s="239">
        <v>0</v>
      </c>
      <c r="X106" s="239">
        <v>0</v>
      </c>
      <c r="Y106" s="239">
        <v>0</v>
      </c>
      <c r="Z106" s="239">
        <v>0</v>
      </c>
      <c r="AA106" s="239">
        <v>0</v>
      </c>
      <c r="AB106" s="239">
        <v>0</v>
      </c>
      <c r="AC106" s="239">
        <v>817518</v>
      </c>
      <c r="AD106" s="239">
        <v>204038</v>
      </c>
      <c r="AE106" s="239">
        <v>0</v>
      </c>
      <c r="AF106" s="239">
        <v>1021556</v>
      </c>
      <c r="AG106" s="239">
        <v>539084</v>
      </c>
      <c r="AH106" s="239">
        <v>431268</v>
      </c>
      <c r="AI106" s="239">
        <v>107817</v>
      </c>
      <c r="AJ106" s="239">
        <v>0</v>
      </c>
      <c r="AK106" s="239">
        <v>1078169</v>
      </c>
      <c r="AL106" s="239">
        <v>-238667</v>
      </c>
      <c r="AM106" s="239">
        <v>-190933</v>
      </c>
      <c r="AN106" s="239">
        <v>-47733</v>
      </c>
      <c r="AO106" s="239">
        <v>0</v>
      </c>
      <c r="AP106" s="239">
        <v>-477333</v>
      </c>
      <c r="AQ106" s="239">
        <v>-126107.59999999998</v>
      </c>
      <c r="AR106" s="239">
        <v>-100885</v>
      </c>
      <c r="AS106" s="239">
        <v>-25221</v>
      </c>
      <c r="AT106" s="239">
        <v>0</v>
      </c>
      <c r="AU106" s="239">
        <v>-252213.59999999998</v>
      </c>
      <c r="AV106" s="239">
        <v>32377</v>
      </c>
      <c r="AW106" s="239">
        <v>25901</v>
      </c>
      <c r="AX106" s="239">
        <v>6475</v>
      </c>
      <c r="AY106" s="239">
        <v>0</v>
      </c>
      <c r="AZ106" s="239">
        <v>64753</v>
      </c>
      <c r="BA106" s="239">
        <v>-66008</v>
      </c>
      <c r="BB106" s="239">
        <v>-52807</v>
      </c>
      <c r="BC106" s="239">
        <v>-13202</v>
      </c>
      <c r="BD106" s="239">
        <v>0</v>
      </c>
      <c r="BE106" s="239">
        <v>-132017</v>
      </c>
      <c r="BF106" s="239">
        <v>-159738.59999999998</v>
      </c>
      <c r="BG106" s="239">
        <v>-127791</v>
      </c>
      <c r="BH106" s="239">
        <v>-31948</v>
      </c>
      <c r="BI106" s="239">
        <v>0</v>
      </c>
      <c r="BJ106" s="239">
        <v>-319477.59999999998</v>
      </c>
      <c r="BK106" s="239">
        <v>-474369</v>
      </c>
      <c r="BL106" s="239">
        <v>-379496</v>
      </c>
      <c r="BM106" s="239">
        <v>-94874</v>
      </c>
      <c r="BN106" s="239">
        <v>0</v>
      </c>
      <c r="BO106" s="239">
        <v>-948739</v>
      </c>
      <c r="BP106" s="239">
        <v>786598</v>
      </c>
      <c r="BQ106" s="239">
        <v>629279</v>
      </c>
      <c r="BR106" s="239">
        <v>157320</v>
      </c>
      <c r="BS106" s="239">
        <v>0</v>
      </c>
      <c r="BT106" s="239">
        <v>1573197</v>
      </c>
      <c r="BU106" s="239">
        <v>-935984</v>
      </c>
      <c r="BV106" s="239">
        <v>-748787</v>
      </c>
      <c r="BW106" s="239">
        <v>-187197</v>
      </c>
      <c r="BX106" s="239">
        <v>0</v>
      </c>
      <c r="BY106" s="239">
        <v>-1871968</v>
      </c>
      <c r="BZ106" s="239">
        <v>-623755</v>
      </c>
      <c r="CA106" s="239">
        <v>-499004</v>
      </c>
      <c r="CB106" s="239">
        <v>-124751</v>
      </c>
      <c r="CC106" s="239">
        <v>0</v>
      </c>
      <c r="CD106" s="239">
        <v>-1247510</v>
      </c>
      <c r="CE106" s="239">
        <v>1174241</v>
      </c>
      <c r="CF106" s="239">
        <v>939391</v>
      </c>
      <c r="CG106" s="239">
        <v>234848</v>
      </c>
      <c r="CH106" s="239">
        <v>0</v>
      </c>
      <c r="CI106" s="239">
        <v>2348480</v>
      </c>
      <c r="CJ106" s="239">
        <v>921515</v>
      </c>
      <c r="CK106" s="239">
        <v>737212</v>
      </c>
      <c r="CL106" s="239">
        <v>184303</v>
      </c>
      <c r="CM106" s="239">
        <v>0</v>
      </c>
      <c r="CN106" s="239">
        <v>1843030</v>
      </c>
      <c r="CO106" s="239">
        <v>252726</v>
      </c>
      <c r="CP106" s="239">
        <v>202179</v>
      </c>
      <c r="CQ106" s="239">
        <v>50545</v>
      </c>
      <c r="CR106" s="239">
        <v>0</v>
      </c>
      <c r="CS106" s="239">
        <v>505450</v>
      </c>
      <c r="CT106" s="239">
        <v>12253533</v>
      </c>
      <c r="CU106" s="239">
        <v>9802827</v>
      </c>
      <c r="CV106" s="239">
        <v>2450707</v>
      </c>
      <c r="CW106" s="239">
        <v>0</v>
      </c>
      <c r="CX106" s="239">
        <v>24507067</v>
      </c>
      <c r="CY106" s="239">
        <v>11793197</v>
      </c>
      <c r="CZ106" s="239">
        <v>9434558</v>
      </c>
      <c r="DA106" s="239">
        <v>2358639</v>
      </c>
      <c r="DB106" s="239">
        <v>0</v>
      </c>
      <c r="DC106" s="239">
        <v>23586394</v>
      </c>
      <c r="DD106" s="239">
        <v>-460336</v>
      </c>
      <c r="DE106" s="239">
        <v>-368269</v>
      </c>
      <c r="DF106" s="239">
        <v>-92068</v>
      </c>
      <c r="DG106" s="239">
        <v>0</v>
      </c>
      <c r="DH106" s="239">
        <v>-920673</v>
      </c>
      <c r="DI106" s="239">
        <v>-207610</v>
      </c>
      <c r="DJ106" s="239">
        <v>-166090</v>
      </c>
      <c r="DK106" s="239">
        <v>-41523</v>
      </c>
      <c r="DL106" s="239">
        <v>0</v>
      </c>
      <c r="DM106" s="239">
        <v>-415223</v>
      </c>
      <c r="DN106" s="835">
        <v>0.5</v>
      </c>
      <c r="DO106" s="835">
        <v>0.4</v>
      </c>
      <c r="DP106" s="835">
        <v>0.1</v>
      </c>
      <c r="DQ106" s="835">
        <v>0</v>
      </c>
      <c r="DR106" s="835">
        <v>1</v>
      </c>
      <c r="DS106" s="214" t="s">
        <v>1158</v>
      </c>
      <c r="DU106" s="214">
        <v>0</v>
      </c>
    </row>
    <row r="107" spans="2:125" s="214" customFormat="1" x14ac:dyDescent="0.2">
      <c r="B107" s="602" t="s">
        <v>297</v>
      </c>
      <c r="C107" s="602" t="s">
        <v>296</v>
      </c>
      <c r="D107" s="239">
        <v>6123080</v>
      </c>
      <c r="E107" s="239">
        <v>4898464</v>
      </c>
      <c r="F107" s="239">
        <v>1224616</v>
      </c>
      <c r="G107" s="239">
        <v>0</v>
      </c>
      <c r="H107" s="239">
        <v>12246160</v>
      </c>
      <c r="I107" s="239">
        <v>0</v>
      </c>
      <c r="J107" s="239">
        <v>0</v>
      </c>
      <c r="K107" s="239">
        <v>6123080</v>
      </c>
      <c r="L107" s="239">
        <v>119111</v>
      </c>
      <c r="M107" s="239">
        <v>119111</v>
      </c>
      <c r="N107" s="239">
        <v>0</v>
      </c>
      <c r="O107" s="239">
        <v>0</v>
      </c>
      <c r="P107" s="239">
        <v>146405</v>
      </c>
      <c r="Q107" s="239">
        <v>0</v>
      </c>
      <c r="R107" s="239">
        <v>146405</v>
      </c>
      <c r="S107" s="239">
        <v>0</v>
      </c>
      <c r="T107" s="239">
        <v>0</v>
      </c>
      <c r="U107" s="239">
        <v>0</v>
      </c>
      <c r="V107" s="239">
        <v>0</v>
      </c>
      <c r="W107" s="239">
        <v>0</v>
      </c>
      <c r="X107" s="239">
        <v>0</v>
      </c>
      <c r="Y107" s="239">
        <v>0</v>
      </c>
      <c r="Z107" s="239">
        <v>0</v>
      </c>
      <c r="AA107" s="239">
        <v>0</v>
      </c>
      <c r="AB107" s="239">
        <v>0</v>
      </c>
      <c r="AC107" s="239">
        <v>1025462</v>
      </c>
      <c r="AD107" s="239">
        <v>255816</v>
      </c>
      <c r="AE107" s="239">
        <v>0</v>
      </c>
      <c r="AF107" s="239">
        <v>1281278</v>
      </c>
      <c r="AG107" s="239">
        <v>301291</v>
      </c>
      <c r="AH107" s="239">
        <v>241033</v>
      </c>
      <c r="AI107" s="239">
        <v>60258</v>
      </c>
      <c r="AJ107" s="239">
        <v>0</v>
      </c>
      <c r="AK107" s="239">
        <v>602582</v>
      </c>
      <c r="AL107" s="239">
        <v>-160986</v>
      </c>
      <c r="AM107" s="239">
        <v>-128789</v>
      </c>
      <c r="AN107" s="239">
        <v>-32197</v>
      </c>
      <c r="AO107" s="239">
        <v>0</v>
      </c>
      <c r="AP107" s="239">
        <v>-321972</v>
      </c>
      <c r="AQ107" s="239">
        <v>-135000</v>
      </c>
      <c r="AR107" s="239">
        <v>-108000</v>
      </c>
      <c r="AS107" s="239">
        <v>-27000</v>
      </c>
      <c r="AT107" s="239">
        <v>0</v>
      </c>
      <c r="AU107" s="239">
        <v>-270000</v>
      </c>
      <c r="AV107" s="239">
        <v>4811</v>
      </c>
      <c r="AW107" s="239">
        <v>3848</v>
      </c>
      <c r="AX107" s="239">
        <v>962</v>
      </c>
      <c r="AY107" s="239">
        <v>0</v>
      </c>
      <c r="AZ107" s="239">
        <v>9621</v>
      </c>
      <c r="BA107" s="239">
        <v>-8561</v>
      </c>
      <c r="BB107" s="239">
        <v>-6848</v>
      </c>
      <c r="BC107" s="239">
        <v>-1712</v>
      </c>
      <c r="BD107" s="239">
        <v>0</v>
      </c>
      <c r="BE107" s="239">
        <v>-17121</v>
      </c>
      <c r="BF107" s="239">
        <v>-138750</v>
      </c>
      <c r="BG107" s="239">
        <v>-111000</v>
      </c>
      <c r="BH107" s="239">
        <v>-27750</v>
      </c>
      <c r="BI107" s="239">
        <v>0</v>
      </c>
      <c r="BJ107" s="239">
        <v>-277500</v>
      </c>
      <c r="BK107" s="239">
        <v>-253555</v>
      </c>
      <c r="BL107" s="239">
        <v>-202844</v>
      </c>
      <c r="BM107" s="239">
        <v>-50711</v>
      </c>
      <c r="BN107" s="239">
        <v>0</v>
      </c>
      <c r="BO107" s="239">
        <v>-507110</v>
      </c>
      <c r="BP107" s="239">
        <v>201971</v>
      </c>
      <c r="BQ107" s="239">
        <v>161576</v>
      </c>
      <c r="BR107" s="239">
        <v>40394</v>
      </c>
      <c r="BS107" s="239">
        <v>0</v>
      </c>
      <c r="BT107" s="239">
        <v>403941</v>
      </c>
      <c r="BU107" s="239">
        <v>-218256</v>
      </c>
      <c r="BV107" s="239">
        <v>-174604</v>
      </c>
      <c r="BW107" s="239">
        <v>-43651</v>
      </c>
      <c r="BX107" s="239">
        <v>0</v>
      </c>
      <c r="BY107" s="239">
        <v>-436511</v>
      </c>
      <c r="BZ107" s="239">
        <v>-269840</v>
      </c>
      <c r="CA107" s="239">
        <v>-215872</v>
      </c>
      <c r="CB107" s="239">
        <v>-53968</v>
      </c>
      <c r="CC107" s="239">
        <v>0</v>
      </c>
      <c r="CD107" s="239">
        <v>-539680</v>
      </c>
      <c r="CE107" s="239">
        <v>-218688</v>
      </c>
      <c r="CF107" s="239">
        <v>-174949</v>
      </c>
      <c r="CG107" s="239">
        <v>-43737</v>
      </c>
      <c r="CH107" s="239">
        <v>0</v>
      </c>
      <c r="CI107" s="239">
        <v>-437374</v>
      </c>
      <c r="CJ107" s="239">
        <v>-143496</v>
      </c>
      <c r="CK107" s="239">
        <v>-114797</v>
      </c>
      <c r="CL107" s="239">
        <v>-28699</v>
      </c>
      <c r="CM107" s="239">
        <v>0</v>
      </c>
      <c r="CN107" s="239">
        <v>-286992</v>
      </c>
      <c r="CO107" s="239">
        <v>-75192</v>
      </c>
      <c r="CP107" s="239">
        <v>-60152</v>
      </c>
      <c r="CQ107" s="239">
        <v>-15038</v>
      </c>
      <c r="CR107" s="239">
        <v>0</v>
      </c>
      <c r="CS107" s="239">
        <v>-150382</v>
      </c>
      <c r="CT107" s="239">
        <v>6261337</v>
      </c>
      <c r="CU107" s="239">
        <v>5009070</v>
      </c>
      <c r="CV107" s="239">
        <v>1252268</v>
      </c>
      <c r="CW107" s="239">
        <v>0</v>
      </c>
      <c r="CX107" s="239">
        <v>12522675</v>
      </c>
      <c r="CY107" s="239">
        <v>6123080</v>
      </c>
      <c r="CZ107" s="239">
        <v>4898464</v>
      </c>
      <c r="DA107" s="239">
        <v>1224616</v>
      </c>
      <c r="DB107" s="239">
        <v>0</v>
      </c>
      <c r="DC107" s="239">
        <v>12246160</v>
      </c>
      <c r="DD107" s="239">
        <v>-138257</v>
      </c>
      <c r="DE107" s="239">
        <v>-110606</v>
      </c>
      <c r="DF107" s="239">
        <v>-27652</v>
      </c>
      <c r="DG107" s="239">
        <v>0</v>
      </c>
      <c r="DH107" s="239">
        <v>-276515</v>
      </c>
      <c r="DI107" s="239">
        <v>-213449</v>
      </c>
      <c r="DJ107" s="239">
        <v>-170758</v>
      </c>
      <c r="DK107" s="239">
        <v>-42690</v>
      </c>
      <c r="DL107" s="239">
        <v>0</v>
      </c>
      <c r="DM107" s="239">
        <v>-426897</v>
      </c>
      <c r="DN107" s="835">
        <v>0.5</v>
      </c>
      <c r="DO107" s="835">
        <v>0.4</v>
      </c>
      <c r="DP107" s="835">
        <v>0.1</v>
      </c>
      <c r="DQ107" s="835">
        <v>0</v>
      </c>
      <c r="DR107" s="835">
        <v>1</v>
      </c>
      <c r="DS107" s="214" t="s">
        <v>1158</v>
      </c>
      <c r="DU107" s="214">
        <v>0</v>
      </c>
    </row>
    <row r="108" spans="2:125" s="214" customFormat="1" x14ac:dyDescent="0.2">
      <c r="B108" s="602" t="s">
        <v>299</v>
      </c>
      <c r="C108" s="602" t="s">
        <v>298</v>
      </c>
      <c r="D108" s="239">
        <v>12118481</v>
      </c>
      <c r="E108" s="239">
        <v>9694785</v>
      </c>
      <c r="F108" s="239">
        <v>2181327</v>
      </c>
      <c r="G108" s="239">
        <v>242370</v>
      </c>
      <c r="H108" s="239">
        <v>24236963</v>
      </c>
      <c r="I108" s="239">
        <v>137330</v>
      </c>
      <c r="J108" s="239">
        <v>137330</v>
      </c>
      <c r="K108" s="239">
        <v>11981151</v>
      </c>
      <c r="L108" s="239">
        <v>112715</v>
      </c>
      <c r="M108" s="239">
        <v>112715</v>
      </c>
      <c r="N108" s="239">
        <v>40693</v>
      </c>
      <c r="O108" s="239">
        <v>40693</v>
      </c>
      <c r="P108" s="239">
        <v>93400</v>
      </c>
      <c r="Q108" s="239">
        <v>10056</v>
      </c>
      <c r="R108" s="239">
        <v>103456</v>
      </c>
      <c r="S108" s="239">
        <v>137330.37339055794</v>
      </c>
      <c r="T108" s="239">
        <v>0</v>
      </c>
      <c r="U108" s="239">
        <v>0</v>
      </c>
      <c r="V108" s="239">
        <v>137330.37339055794</v>
      </c>
      <c r="W108" s="239">
        <v>0</v>
      </c>
      <c r="X108" s="239">
        <v>0</v>
      </c>
      <c r="Y108" s="239">
        <v>0</v>
      </c>
      <c r="Z108" s="239">
        <v>0</v>
      </c>
      <c r="AA108" s="239">
        <v>0</v>
      </c>
      <c r="AB108" s="239">
        <v>0</v>
      </c>
      <c r="AC108" s="239">
        <v>1194381</v>
      </c>
      <c r="AD108" s="239">
        <v>263114</v>
      </c>
      <c r="AE108" s="239">
        <v>29219</v>
      </c>
      <c r="AF108" s="239">
        <v>1486714</v>
      </c>
      <c r="AG108" s="239">
        <v>808059</v>
      </c>
      <c r="AH108" s="239">
        <v>646448</v>
      </c>
      <c r="AI108" s="239">
        <v>145451</v>
      </c>
      <c r="AJ108" s="239">
        <v>16161</v>
      </c>
      <c r="AK108" s="239">
        <v>1616119</v>
      </c>
      <c r="AL108" s="239">
        <v>-919571</v>
      </c>
      <c r="AM108" s="239">
        <v>-735657</v>
      </c>
      <c r="AN108" s="239">
        <v>-165523</v>
      </c>
      <c r="AO108" s="239">
        <v>-18391</v>
      </c>
      <c r="AP108" s="239">
        <v>-1839142</v>
      </c>
      <c r="AQ108" s="239">
        <v>-437114</v>
      </c>
      <c r="AR108" s="239">
        <v>-349690</v>
      </c>
      <c r="AS108" s="239">
        <v>-78680</v>
      </c>
      <c r="AT108" s="239">
        <v>-8742</v>
      </c>
      <c r="AU108" s="239">
        <v>-874226</v>
      </c>
      <c r="AV108" s="239">
        <v>208519</v>
      </c>
      <c r="AW108" s="239">
        <v>166816</v>
      </c>
      <c r="AX108" s="239">
        <v>37534</v>
      </c>
      <c r="AY108" s="239">
        <v>4170</v>
      </c>
      <c r="AZ108" s="239">
        <v>417039</v>
      </c>
      <c r="BA108" s="239">
        <v>-364350</v>
      </c>
      <c r="BB108" s="239">
        <v>-291480</v>
      </c>
      <c r="BC108" s="239">
        <v>-65583</v>
      </c>
      <c r="BD108" s="239">
        <v>-7287</v>
      </c>
      <c r="BE108" s="239">
        <v>-728700</v>
      </c>
      <c r="BF108" s="239">
        <v>-592945</v>
      </c>
      <c r="BG108" s="239">
        <v>-474354</v>
      </c>
      <c r="BH108" s="239">
        <v>-106729</v>
      </c>
      <c r="BI108" s="239">
        <v>-11859</v>
      </c>
      <c r="BJ108" s="239">
        <v>-1185887</v>
      </c>
      <c r="BK108" s="239">
        <v>-2461081</v>
      </c>
      <c r="BL108" s="239">
        <v>-1968866</v>
      </c>
      <c r="BM108" s="239">
        <v>-442995</v>
      </c>
      <c r="BN108" s="239">
        <v>-49222</v>
      </c>
      <c r="BO108" s="239">
        <v>-4922164</v>
      </c>
      <c r="BP108" s="239">
        <v>0</v>
      </c>
      <c r="BQ108" s="239">
        <v>0</v>
      </c>
      <c r="BR108" s="239">
        <v>0</v>
      </c>
      <c r="BS108" s="239">
        <v>0</v>
      </c>
      <c r="BT108" s="239">
        <v>0</v>
      </c>
      <c r="BU108" s="239">
        <v>632939</v>
      </c>
      <c r="BV108" s="239">
        <v>506351</v>
      </c>
      <c r="BW108" s="239">
        <v>113929</v>
      </c>
      <c r="BX108" s="239">
        <v>12659</v>
      </c>
      <c r="BY108" s="239">
        <v>1265878</v>
      </c>
      <c r="BZ108" s="239">
        <v>-1828142</v>
      </c>
      <c r="CA108" s="239">
        <v>-1462515</v>
      </c>
      <c r="CB108" s="239">
        <v>-329066</v>
      </c>
      <c r="CC108" s="239">
        <v>-36563</v>
      </c>
      <c r="CD108" s="239">
        <v>-3656286</v>
      </c>
      <c r="CE108" s="239">
        <v>1752224</v>
      </c>
      <c r="CF108" s="239">
        <v>1401780</v>
      </c>
      <c r="CG108" s="239">
        <v>315401</v>
      </c>
      <c r="CH108" s="239">
        <v>35044</v>
      </c>
      <c r="CI108" s="239">
        <v>3504449</v>
      </c>
      <c r="CJ108" s="239">
        <v>1414092</v>
      </c>
      <c r="CK108" s="239">
        <v>1131274</v>
      </c>
      <c r="CL108" s="239">
        <v>254537</v>
      </c>
      <c r="CM108" s="239">
        <v>28282</v>
      </c>
      <c r="CN108" s="239">
        <v>2828185</v>
      </c>
      <c r="CO108" s="239">
        <v>338132</v>
      </c>
      <c r="CP108" s="239">
        <v>270506</v>
      </c>
      <c r="CQ108" s="239">
        <v>60864</v>
      </c>
      <c r="CR108" s="239">
        <v>6762</v>
      </c>
      <c r="CS108" s="239">
        <v>676264</v>
      </c>
      <c r="CT108" s="239">
        <v>12191231</v>
      </c>
      <c r="CU108" s="239">
        <v>9752985</v>
      </c>
      <c r="CV108" s="239">
        <v>2194422</v>
      </c>
      <c r="CW108" s="239">
        <v>243825</v>
      </c>
      <c r="CX108" s="239">
        <v>24382463</v>
      </c>
      <c r="CY108" s="239">
        <v>12118481</v>
      </c>
      <c r="CZ108" s="239">
        <v>9694785</v>
      </c>
      <c r="DA108" s="239">
        <v>2181327</v>
      </c>
      <c r="DB108" s="239">
        <v>242370</v>
      </c>
      <c r="DC108" s="239">
        <v>24236963</v>
      </c>
      <c r="DD108" s="239">
        <v>-72750</v>
      </c>
      <c r="DE108" s="239">
        <v>-58200</v>
      </c>
      <c r="DF108" s="239">
        <v>-13095</v>
      </c>
      <c r="DG108" s="239">
        <v>-1455</v>
      </c>
      <c r="DH108" s="239">
        <v>-145500</v>
      </c>
      <c r="DI108" s="239">
        <v>265382</v>
      </c>
      <c r="DJ108" s="239">
        <v>212306</v>
      </c>
      <c r="DK108" s="239">
        <v>47769</v>
      </c>
      <c r="DL108" s="239">
        <v>5307</v>
      </c>
      <c r="DM108" s="239">
        <v>530764</v>
      </c>
      <c r="DN108" s="835">
        <v>0.5</v>
      </c>
      <c r="DO108" s="835">
        <v>0.4</v>
      </c>
      <c r="DP108" s="835">
        <v>0.09</v>
      </c>
      <c r="DQ108" s="835">
        <v>0.01</v>
      </c>
      <c r="DR108" s="835">
        <v>1</v>
      </c>
      <c r="DS108" s="214" t="s">
        <v>1158</v>
      </c>
      <c r="DU108" s="214">
        <v>0</v>
      </c>
    </row>
    <row r="109" spans="2:125" s="214" customFormat="1" x14ac:dyDescent="0.2">
      <c r="B109" s="602" t="s">
        <v>301</v>
      </c>
      <c r="C109" s="602" t="s">
        <v>300</v>
      </c>
      <c r="D109" s="239">
        <v>40620447</v>
      </c>
      <c r="E109" s="239">
        <v>39808038</v>
      </c>
      <c r="F109" s="239">
        <v>0</v>
      </c>
      <c r="G109" s="239">
        <v>812409</v>
      </c>
      <c r="H109" s="239">
        <v>81240894</v>
      </c>
      <c r="I109" s="239">
        <v>0</v>
      </c>
      <c r="J109" s="239">
        <v>0</v>
      </c>
      <c r="K109" s="239">
        <v>40620447</v>
      </c>
      <c r="L109" s="239">
        <v>285107</v>
      </c>
      <c r="M109" s="239">
        <v>285107</v>
      </c>
      <c r="N109" s="239">
        <v>483062</v>
      </c>
      <c r="O109" s="239">
        <v>483062</v>
      </c>
      <c r="P109" s="239">
        <v>0</v>
      </c>
      <c r="Q109" s="239">
        <v>0</v>
      </c>
      <c r="R109" s="239">
        <v>0</v>
      </c>
      <c r="S109" s="239">
        <v>0</v>
      </c>
      <c r="T109" s="239">
        <v>0</v>
      </c>
      <c r="U109" s="239">
        <v>0</v>
      </c>
      <c r="V109" s="239">
        <v>0</v>
      </c>
      <c r="W109" s="239">
        <v>0</v>
      </c>
      <c r="X109" s="239">
        <v>0</v>
      </c>
      <c r="Y109" s="239">
        <v>0</v>
      </c>
      <c r="Z109" s="239">
        <v>0</v>
      </c>
      <c r="AA109" s="239">
        <v>0</v>
      </c>
      <c r="AB109" s="239">
        <v>0</v>
      </c>
      <c r="AC109" s="239">
        <v>2951652</v>
      </c>
      <c r="AD109" s="239">
        <v>0</v>
      </c>
      <c r="AE109" s="239">
        <v>58178</v>
      </c>
      <c r="AF109" s="239">
        <v>3009830</v>
      </c>
      <c r="AG109" s="239">
        <v>1443456</v>
      </c>
      <c r="AH109" s="239">
        <v>1414586</v>
      </c>
      <c r="AI109" s="239">
        <v>0</v>
      </c>
      <c r="AJ109" s="239">
        <v>28869</v>
      </c>
      <c r="AK109" s="239">
        <v>2886911</v>
      </c>
      <c r="AL109" s="239">
        <v>-680839</v>
      </c>
      <c r="AM109" s="239">
        <v>-667222</v>
      </c>
      <c r="AN109" s="239">
        <v>0</v>
      </c>
      <c r="AO109" s="239">
        <v>-13617</v>
      </c>
      <c r="AP109" s="239">
        <v>-1361678</v>
      </c>
      <c r="AQ109" s="239">
        <v>-1582500</v>
      </c>
      <c r="AR109" s="239">
        <v>-1550850</v>
      </c>
      <c r="AS109" s="239">
        <v>0</v>
      </c>
      <c r="AT109" s="239">
        <v>-31650</v>
      </c>
      <c r="AU109" s="239">
        <v>-3165000</v>
      </c>
      <c r="AV109" s="239">
        <v>586301</v>
      </c>
      <c r="AW109" s="239">
        <v>574575</v>
      </c>
      <c r="AX109" s="239">
        <v>0</v>
      </c>
      <c r="AY109" s="239">
        <v>11726</v>
      </c>
      <c r="AZ109" s="239">
        <v>1172602</v>
      </c>
      <c r="BA109" s="239">
        <v>246199</v>
      </c>
      <c r="BB109" s="239">
        <v>241275</v>
      </c>
      <c r="BC109" s="239">
        <v>0</v>
      </c>
      <c r="BD109" s="239">
        <v>4924</v>
      </c>
      <c r="BE109" s="239">
        <v>492398</v>
      </c>
      <c r="BF109" s="239">
        <v>-750000</v>
      </c>
      <c r="BG109" s="239">
        <v>-735000</v>
      </c>
      <c r="BH109" s="239">
        <v>0</v>
      </c>
      <c r="BI109" s="239">
        <v>-15000</v>
      </c>
      <c r="BJ109" s="239">
        <v>-1500000</v>
      </c>
      <c r="BK109" s="239">
        <v>-1689937</v>
      </c>
      <c r="BL109" s="239">
        <v>-1656139</v>
      </c>
      <c r="BM109" s="239">
        <v>0</v>
      </c>
      <c r="BN109" s="239">
        <v>-33799</v>
      </c>
      <c r="BO109" s="239">
        <v>-3379875</v>
      </c>
      <c r="BP109" s="239">
        <v>1689937</v>
      </c>
      <c r="BQ109" s="239">
        <v>1656139</v>
      </c>
      <c r="BR109" s="239">
        <v>0</v>
      </c>
      <c r="BS109" s="239">
        <v>33799</v>
      </c>
      <c r="BT109" s="239">
        <v>3379875</v>
      </c>
      <c r="BU109" s="239">
        <v>-2522437</v>
      </c>
      <c r="BV109" s="239">
        <v>-2471989</v>
      </c>
      <c r="BW109" s="239">
        <v>0</v>
      </c>
      <c r="BX109" s="239">
        <v>-50449</v>
      </c>
      <c r="BY109" s="239">
        <v>-5044875</v>
      </c>
      <c r="BZ109" s="239">
        <v>-2522437</v>
      </c>
      <c r="CA109" s="239">
        <v>-2471989</v>
      </c>
      <c r="CB109" s="239">
        <v>0</v>
      </c>
      <c r="CC109" s="239">
        <v>-50449</v>
      </c>
      <c r="CD109" s="239">
        <v>-5044875</v>
      </c>
      <c r="CE109" s="239">
        <v>-3998763</v>
      </c>
      <c r="CF109" s="239">
        <v>-3918788</v>
      </c>
      <c r="CG109" s="239">
        <v>0</v>
      </c>
      <c r="CH109" s="239">
        <v>-79975</v>
      </c>
      <c r="CI109" s="239">
        <v>-7997526</v>
      </c>
      <c r="CJ109" s="239">
        <v>-3558735</v>
      </c>
      <c r="CK109" s="239">
        <v>-3487561</v>
      </c>
      <c r="CL109" s="239">
        <v>0</v>
      </c>
      <c r="CM109" s="239">
        <v>-71175</v>
      </c>
      <c r="CN109" s="239">
        <v>-7117471</v>
      </c>
      <c r="CO109" s="239">
        <v>-440028</v>
      </c>
      <c r="CP109" s="239">
        <v>-431227</v>
      </c>
      <c r="CQ109" s="239">
        <v>0</v>
      </c>
      <c r="CR109" s="239">
        <v>-8800</v>
      </c>
      <c r="CS109" s="239">
        <v>-880055</v>
      </c>
      <c r="CT109" s="239">
        <v>44999185</v>
      </c>
      <c r="CU109" s="239">
        <v>44099201</v>
      </c>
      <c r="CV109" s="239">
        <v>0</v>
      </c>
      <c r="CW109" s="239">
        <v>899984</v>
      </c>
      <c r="CX109" s="239">
        <v>89998370</v>
      </c>
      <c r="CY109" s="239">
        <v>40620447</v>
      </c>
      <c r="CZ109" s="239">
        <v>39808038</v>
      </c>
      <c r="DA109" s="239">
        <v>0</v>
      </c>
      <c r="DB109" s="239">
        <v>812409</v>
      </c>
      <c r="DC109" s="239">
        <v>81240894</v>
      </c>
      <c r="DD109" s="239">
        <v>-4378738</v>
      </c>
      <c r="DE109" s="239">
        <v>-4291163</v>
      </c>
      <c r="DF109" s="239">
        <v>0</v>
      </c>
      <c r="DG109" s="239">
        <v>-87575</v>
      </c>
      <c r="DH109" s="239">
        <v>-8757476</v>
      </c>
      <c r="DI109" s="239">
        <v>-4818766</v>
      </c>
      <c r="DJ109" s="239">
        <v>-4722390</v>
      </c>
      <c r="DK109" s="239">
        <v>0</v>
      </c>
      <c r="DL109" s="239">
        <v>-96375</v>
      </c>
      <c r="DM109" s="239">
        <v>-9637531</v>
      </c>
      <c r="DN109" s="835">
        <v>0.5</v>
      </c>
      <c r="DO109" s="835">
        <v>0.49</v>
      </c>
      <c r="DP109" s="835">
        <v>0</v>
      </c>
      <c r="DQ109" s="835">
        <v>0.01</v>
      </c>
      <c r="DR109" s="835">
        <v>1</v>
      </c>
      <c r="DS109" s="214" t="s">
        <v>1160</v>
      </c>
      <c r="DU109" s="214">
        <v>0</v>
      </c>
    </row>
    <row r="110" spans="2:125" s="214" customFormat="1" x14ac:dyDescent="0.2">
      <c r="B110" s="602" t="s">
        <v>303</v>
      </c>
      <c r="C110" s="602" t="s">
        <v>302</v>
      </c>
      <c r="D110" s="239">
        <v>11116264.329999998</v>
      </c>
      <c r="E110" s="239">
        <v>8893011</v>
      </c>
      <c r="F110" s="239">
        <v>2000928</v>
      </c>
      <c r="G110" s="239">
        <v>222325</v>
      </c>
      <c r="H110" s="239">
        <v>22232528.329999998</v>
      </c>
      <c r="I110" s="239">
        <v>0</v>
      </c>
      <c r="J110" s="239">
        <v>0</v>
      </c>
      <c r="K110" s="239">
        <v>11116264.329999998</v>
      </c>
      <c r="L110" s="239">
        <v>100864</v>
      </c>
      <c r="M110" s="239">
        <v>100864</v>
      </c>
      <c r="N110" s="239">
        <v>0</v>
      </c>
      <c r="O110" s="239">
        <v>0</v>
      </c>
      <c r="P110" s="239">
        <v>122005</v>
      </c>
      <c r="Q110" s="239">
        <v>0</v>
      </c>
      <c r="R110" s="239">
        <v>122005</v>
      </c>
      <c r="S110" s="239">
        <v>0</v>
      </c>
      <c r="T110" s="239">
        <v>0</v>
      </c>
      <c r="U110" s="239">
        <v>0</v>
      </c>
      <c r="V110" s="239">
        <v>0</v>
      </c>
      <c r="W110" s="239">
        <v>0</v>
      </c>
      <c r="X110" s="239">
        <v>0</v>
      </c>
      <c r="Y110" s="239">
        <v>0</v>
      </c>
      <c r="Z110" s="239">
        <v>0</v>
      </c>
      <c r="AA110" s="239">
        <v>0</v>
      </c>
      <c r="AB110" s="239">
        <v>0</v>
      </c>
      <c r="AC110" s="239">
        <v>913805</v>
      </c>
      <c r="AD110" s="239">
        <v>205194</v>
      </c>
      <c r="AE110" s="239">
        <v>22799</v>
      </c>
      <c r="AF110" s="239">
        <v>1141798</v>
      </c>
      <c r="AG110" s="239">
        <v>230088</v>
      </c>
      <c r="AH110" s="239">
        <v>184070</v>
      </c>
      <c r="AI110" s="239">
        <v>41416</v>
      </c>
      <c r="AJ110" s="239">
        <v>4602</v>
      </c>
      <c r="AK110" s="239">
        <v>460176</v>
      </c>
      <c r="AL110" s="239">
        <v>-156497</v>
      </c>
      <c r="AM110" s="239">
        <v>-125197</v>
      </c>
      <c r="AN110" s="239">
        <v>-28169</v>
      </c>
      <c r="AO110" s="239">
        <v>-3130</v>
      </c>
      <c r="AP110" s="239">
        <v>-312993</v>
      </c>
      <c r="AQ110" s="239">
        <v>-95438</v>
      </c>
      <c r="AR110" s="239">
        <v>-76350</v>
      </c>
      <c r="AS110" s="239">
        <v>-17179</v>
      </c>
      <c r="AT110" s="239">
        <v>-1909</v>
      </c>
      <c r="AU110" s="239">
        <v>-190876</v>
      </c>
      <c r="AV110" s="239">
        <v>24574.67</v>
      </c>
      <c r="AW110" s="239">
        <v>19660</v>
      </c>
      <c r="AX110" s="239">
        <v>4424</v>
      </c>
      <c r="AY110" s="239">
        <v>492</v>
      </c>
      <c r="AZ110" s="239">
        <v>49150.67</v>
      </c>
      <c r="BA110" s="239">
        <v>-52986.67</v>
      </c>
      <c r="BB110" s="239">
        <v>-42390</v>
      </c>
      <c r="BC110" s="239">
        <v>-9538</v>
      </c>
      <c r="BD110" s="239">
        <v>-1060</v>
      </c>
      <c r="BE110" s="239">
        <v>-105974.67</v>
      </c>
      <c r="BF110" s="239">
        <v>-123850</v>
      </c>
      <c r="BG110" s="239">
        <v>-99080</v>
      </c>
      <c r="BH110" s="239">
        <v>-22293</v>
      </c>
      <c r="BI110" s="239">
        <v>-2477</v>
      </c>
      <c r="BJ110" s="239">
        <v>-247700</v>
      </c>
      <c r="BK110" s="239">
        <v>-1297587</v>
      </c>
      <c r="BL110" s="239">
        <v>-1038070</v>
      </c>
      <c r="BM110" s="239">
        <v>-233566</v>
      </c>
      <c r="BN110" s="239">
        <v>-25952</v>
      </c>
      <c r="BO110" s="239">
        <v>-2595175</v>
      </c>
      <c r="BP110" s="239">
        <v>513916</v>
      </c>
      <c r="BQ110" s="239">
        <v>411132</v>
      </c>
      <c r="BR110" s="239">
        <v>92505</v>
      </c>
      <c r="BS110" s="239">
        <v>10278</v>
      </c>
      <c r="BT110" s="239">
        <v>1027831</v>
      </c>
      <c r="BU110" s="239">
        <v>-250234</v>
      </c>
      <c r="BV110" s="239">
        <v>-200188</v>
      </c>
      <c r="BW110" s="239">
        <v>-45042</v>
      </c>
      <c r="BX110" s="239">
        <v>-5005</v>
      </c>
      <c r="BY110" s="239">
        <v>-500469</v>
      </c>
      <c r="BZ110" s="239">
        <v>-1033905</v>
      </c>
      <c r="CA110" s="239">
        <v>-827126</v>
      </c>
      <c r="CB110" s="239">
        <v>-186103</v>
      </c>
      <c r="CC110" s="239">
        <v>-20679</v>
      </c>
      <c r="CD110" s="239">
        <v>-2067813</v>
      </c>
      <c r="CE110" s="239">
        <v>193300</v>
      </c>
      <c r="CF110" s="239">
        <v>154640</v>
      </c>
      <c r="CG110" s="239">
        <v>34794</v>
      </c>
      <c r="CH110" s="239">
        <v>3866</v>
      </c>
      <c r="CI110" s="239">
        <v>386600</v>
      </c>
      <c r="CJ110" s="239">
        <v>291741</v>
      </c>
      <c r="CK110" s="239">
        <v>233393</v>
      </c>
      <c r="CL110" s="239">
        <v>52513</v>
      </c>
      <c r="CM110" s="239">
        <v>5835</v>
      </c>
      <c r="CN110" s="239">
        <v>583482</v>
      </c>
      <c r="CO110" s="239">
        <v>-98441</v>
      </c>
      <c r="CP110" s="239">
        <v>-78753</v>
      </c>
      <c r="CQ110" s="239">
        <v>-17719</v>
      </c>
      <c r="CR110" s="239">
        <v>-1969</v>
      </c>
      <c r="CS110" s="239">
        <v>-196882</v>
      </c>
      <c r="CT110" s="239">
        <v>11539252</v>
      </c>
      <c r="CU110" s="239">
        <v>9231401</v>
      </c>
      <c r="CV110" s="239">
        <v>2077065</v>
      </c>
      <c r="CW110" s="239">
        <v>230785</v>
      </c>
      <c r="CX110" s="239">
        <v>23078503</v>
      </c>
      <c r="CY110" s="239">
        <v>11116264.329999998</v>
      </c>
      <c r="CZ110" s="239">
        <v>8893011</v>
      </c>
      <c r="DA110" s="239">
        <v>2000928</v>
      </c>
      <c r="DB110" s="239">
        <v>222325</v>
      </c>
      <c r="DC110" s="239">
        <v>22232528.329999998</v>
      </c>
      <c r="DD110" s="239">
        <v>-422987.67000000179</v>
      </c>
      <c r="DE110" s="239">
        <v>-338390</v>
      </c>
      <c r="DF110" s="239">
        <v>-76137</v>
      </c>
      <c r="DG110" s="239">
        <v>-8460</v>
      </c>
      <c r="DH110" s="239">
        <v>-845974.67000000179</v>
      </c>
      <c r="DI110" s="239">
        <v>-521428.67000000179</v>
      </c>
      <c r="DJ110" s="239">
        <v>-417143</v>
      </c>
      <c r="DK110" s="239">
        <v>-93856</v>
      </c>
      <c r="DL110" s="239">
        <v>-10429</v>
      </c>
      <c r="DM110" s="239">
        <v>-1042856.6700000018</v>
      </c>
      <c r="DN110" s="835">
        <v>0.5</v>
      </c>
      <c r="DO110" s="835">
        <v>0.4</v>
      </c>
      <c r="DP110" s="835">
        <v>0.09</v>
      </c>
      <c r="DQ110" s="835">
        <v>0.01</v>
      </c>
      <c r="DR110" s="835">
        <v>1</v>
      </c>
      <c r="DS110" s="214" t="s">
        <v>1158</v>
      </c>
      <c r="DU110" s="214">
        <v>0</v>
      </c>
    </row>
    <row r="111" spans="2:125" s="214" customFormat="1" x14ac:dyDescent="0.2">
      <c r="B111" s="602" t="s">
        <v>305</v>
      </c>
      <c r="C111" s="602" t="s">
        <v>304</v>
      </c>
      <c r="D111" s="239">
        <v>25657151</v>
      </c>
      <c r="E111" s="239">
        <v>20525720</v>
      </c>
      <c r="F111" s="239">
        <v>5131430</v>
      </c>
      <c r="G111" s="239">
        <v>0</v>
      </c>
      <c r="H111" s="239">
        <v>51314301</v>
      </c>
      <c r="I111" s="239">
        <v>0</v>
      </c>
      <c r="J111" s="239">
        <v>0</v>
      </c>
      <c r="K111" s="239">
        <v>25657151</v>
      </c>
      <c r="L111" s="239">
        <v>174575</v>
      </c>
      <c r="M111" s="239">
        <v>174575</v>
      </c>
      <c r="N111" s="239">
        <v>0</v>
      </c>
      <c r="O111" s="239">
        <v>0</v>
      </c>
      <c r="P111" s="239">
        <v>0</v>
      </c>
      <c r="Q111" s="239">
        <v>0</v>
      </c>
      <c r="R111" s="239">
        <v>0</v>
      </c>
      <c r="S111" s="239">
        <v>0</v>
      </c>
      <c r="T111" s="239">
        <v>0</v>
      </c>
      <c r="U111" s="239">
        <v>0</v>
      </c>
      <c r="V111" s="239">
        <v>0</v>
      </c>
      <c r="W111" s="239">
        <v>0</v>
      </c>
      <c r="X111" s="239">
        <v>0</v>
      </c>
      <c r="Y111" s="239">
        <v>0</v>
      </c>
      <c r="Z111" s="239">
        <v>0</v>
      </c>
      <c r="AA111" s="239">
        <v>0</v>
      </c>
      <c r="AB111" s="239">
        <v>0</v>
      </c>
      <c r="AC111" s="239">
        <v>1221548</v>
      </c>
      <c r="AD111" s="239">
        <v>305388</v>
      </c>
      <c r="AE111" s="239">
        <v>0</v>
      </c>
      <c r="AF111" s="239">
        <v>1526936</v>
      </c>
      <c r="AG111" s="239">
        <v>968277</v>
      </c>
      <c r="AH111" s="239">
        <v>774622</v>
      </c>
      <c r="AI111" s="239">
        <v>193656</v>
      </c>
      <c r="AJ111" s="239">
        <v>0</v>
      </c>
      <c r="AK111" s="239">
        <v>1936555</v>
      </c>
      <c r="AL111" s="239">
        <v>-288043</v>
      </c>
      <c r="AM111" s="239">
        <v>-230435</v>
      </c>
      <c r="AN111" s="239">
        <v>-57609</v>
      </c>
      <c r="AO111" s="239">
        <v>0</v>
      </c>
      <c r="AP111" s="239">
        <v>-576087</v>
      </c>
      <c r="AQ111" s="239">
        <v>-845220</v>
      </c>
      <c r="AR111" s="239">
        <v>-676176</v>
      </c>
      <c r="AS111" s="239">
        <v>-169044</v>
      </c>
      <c r="AT111" s="239">
        <v>0</v>
      </c>
      <c r="AU111" s="239">
        <v>-1690440</v>
      </c>
      <c r="AV111" s="239">
        <v>398248</v>
      </c>
      <c r="AW111" s="239">
        <v>318598</v>
      </c>
      <c r="AX111" s="239">
        <v>79650</v>
      </c>
      <c r="AY111" s="239">
        <v>0</v>
      </c>
      <c r="AZ111" s="239">
        <v>796496</v>
      </c>
      <c r="BA111" s="239">
        <v>-193697</v>
      </c>
      <c r="BB111" s="239">
        <v>-154958</v>
      </c>
      <c r="BC111" s="239">
        <v>-38740</v>
      </c>
      <c r="BD111" s="239">
        <v>0</v>
      </c>
      <c r="BE111" s="239">
        <v>-387395</v>
      </c>
      <c r="BF111" s="239">
        <v>-640669</v>
      </c>
      <c r="BG111" s="239">
        <v>-512536</v>
      </c>
      <c r="BH111" s="239">
        <v>-128134</v>
      </c>
      <c r="BI111" s="239">
        <v>0</v>
      </c>
      <c r="BJ111" s="239">
        <v>-1281339</v>
      </c>
      <c r="BK111" s="239">
        <v>-1483123</v>
      </c>
      <c r="BL111" s="239">
        <v>-1186499</v>
      </c>
      <c r="BM111" s="239">
        <v>-296625</v>
      </c>
      <c r="BN111" s="239">
        <v>0</v>
      </c>
      <c r="BO111" s="239">
        <v>-2966247</v>
      </c>
      <c r="BP111" s="239">
        <v>357387</v>
      </c>
      <c r="BQ111" s="239">
        <v>285910</v>
      </c>
      <c r="BR111" s="239">
        <v>71477</v>
      </c>
      <c r="BS111" s="239">
        <v>0</v>
      </c>
      <c r="BT111" s="239">
        <v>714774</v>
      </c>
      <c r="BU111" s="239">
        <v>-750050</v>
      </c>
      <c r="BV111" s="239">
        <v>-600040</v>
      </c>
      <c r="BW111" s="239">
        <v>-150010</v>
      </c>
      <c r="BX111" s="239">
        <v>0</v>
      </c>
      <c r="BY111" s="239">
        <v>-1500100</v>
      </c>
      <c r="BZ111" s="239">
        <v>-1875786</v>
      </c>
      <c r="CA111" s="239">
        <v>-1500629</v>
      </c>
      <c r="CB111" s="239">
        <v>-375158</v>
      </c>
      <c r="CC111" s="239">
        <v>0</v>
      </c>
      <c r="CD111" s="239">
        <v>-3751573</v>
      </c>
      <c r="CE111" s="239">
        <v>-2153465</v>
      </c>
      <c r="CF111" s="239">
        <v>-1722772</v>
      </c>
      <c r="CG111" s="239">
        <v>-430693</v>
      </c>
      <c r="CH111" s="239">
        <v>0</v>
      </c>
      <c r="CI111" s="239">
        <v>-4306930</v>
      </c>
      <c r="CJ111" s="239">
        <v>-1506132</v>
      </c>
      <c r="CK111" s="239">
        <v>-1204906</v>
      </c>
      <c r="CL111" s="239">
        <v>-301227</v>
      </c>
      <c r="CM111" s="239">
        <v>0</v>
      </c>
      <c r="CN111" s="239">
        <v>-3012265</v>
      </c>
      <c r="CO111" s="239">
        <v>-647333</v>
      </c>
      <c r="CP111" s="239">
        <v>-517866</v>
      </c>
      <c r="CQ111" s="239">
        <v>-129466</v>
      </c>
      <c r="CR111" s="239">
        <v>0</v>
      </c>
      <c r="CS111" s="239">
        <v>-1294665</v>
      </c>
      <c r="CT111" s="239">
        <v>26136248</v>
      </c>
      <c r="CU111" s="239">
        <v>20908999</v>
      </c>
      <c r="CV111" s="239">
        <v>5227250</v>
      </c>
      <c r="CW111" s="239">
        <v>0</v>
      </c>
      <c r="CX111" s="239">
        <v>52272497</v>
      </c>
      <c r="CY111" s="239">
        <v>25657151</v>
      </c>
      <c r="CZ111" s="239">
        <v>20525720</v>
      </c>
      <c r="DA111" s="239">
        <v>5131430</v>
      </c>
      <c r="DB111" s="239">
        <v>0</v>
      </c>
      <c r="DC111" s="239">
        <v>51314301</v>
      </c>
      <c r="DD111" s="239">
        <v>-479097</v>
      </c>
      <c r="DE111" s="239">
        <v>-383279</v>
      </c>
      <c r="DF111" s="239">
        <v>-95820</v>
      </c>
      <c r="DG111" s="239">
        <v>0</v>
      </c>
      <c r="DH111" s="239">
        <v>-958196</v>
      </c>
      <c r="DI111" s="239">
        <v>-1126430</v>
      </c>
      <c r="DJ111" s="239">
        <v>-901145</v>
      </c>
      <c r="DK111" s="239">
        <v>-225286</v>
      </c>
      <c r="DL111" s="239">
        <v>0</v>
      </c>
      <c r="DM111" s="239">
        <v>-2252861</v>
      </c>
      <c r="DN111" s="835">
        <v>0.5</v>
      </c>
      <c r="DO111" s="835">
        <v>0.4</v>
      </c>
      <c r="DP111" s="835">
        <v>0.1</v>
      </c>
      <c r="DQ111" s="835">
        <v>0</v>
      </c>
      <c r="DR111" s="835">
        <v>1</v>
      </c>
      <c r="DS111" s="214" t="s">
        <v>1158</v>
      </c>
      <c r="DU111" s="214">
        <v>0</v>
      </c>
    </row>
    <row r="112" spans="2:125" s="214" customFormat="1" x14ac:dyDescent="0.2">
      <c r="B112" s="602" t="s">
        <v>307</v>
      </c>
      <c r="C112" s="602" t="s">
        <v>306</v>
      </c>
      <c r="D112" s="239">
        <v>7922386</v>
      </c>
      <c r="E112" s="239">
        <v>6337910</v>
      </c>
      <c r="F112" s="239">
        <v>1426030</v>
      </c>
      <c r="G112" s="239">
        <v>158448</v>
      </c>
      <c r="H112" s="239">
        <v>15844774</v>
      </c>
      <c r="I112" s="239">
        <v>280429</v>
      </c>
      <c r="J112" s="239">
        <v>280429</v>
      </c>
      <c r="K112" s="239">
        <v>7641957</v>
      </c>
      <c r="L112" s="239">
        <v>78069</v>
      </c>
      <c r="M112" s="239">
        <v>78069</v>
      </c>
      <c r="N112" s="239">
        <v>0</v>
      </c>
      <c r="O112" s="239">
        <v>0</v>
      </c>
      <c r="P112" s="239">
        <v>0</v>
      </c>
      <c r="Q112" s="239">
        <v>0</v>
      </c>
      <c r="R112" s="239">
        <v>0</v>
      </c>
      <c r="S112" s="239">
        <v>280429.11373390554</v>
      </c>
      <c r="T112" s="239">
        <v>0</v>
      </c>
      <c r="U112" s="239">
        <v>0</v>
      </c>
      <c r="V112" s="239">
        <v>280429.11373390554</v>
      </c>
      <c r="W112" s="239">
        <v>0</v>
      </c>
      <c r="X112" s="239">
        <v>0</v>
      </c>
      <c r="Y112" s="239">
        <v>0</v>
      </c>
      <c r="Z112" s="239">
        <v>0</v>
      </c>
      <c r="AA112" s="239">
        <v>0</v>
      </c>
      <c r="AB112" s="239">
        <v>0</v>
      </c>
      <c r="AC112" s="239">
        <v>711562</v>
      </c>
      <c r="AD112" s="239">
        <v>158364</v>
      </c>
      <c r="AE112" s="239">
        <v>17596</v>
      </c>
      <c r="AF112" s="239">
        <v>887522</v>
      </c>
      <c r="AG112" s="239">
        <v>464293</v>
      </c>
      <c r="AH112" s="239">
        <v>371435</v>
      </c>
      <c r="AI112" s="239">
        <v>83573</v>
      </c>
      <c r="AJ112" s="239">
        <v>9286</v>
      </c>
      <c r="AK112" s="239">
        <v>928587</v>
      </c>
      <c r="AL112" s="239">
        <v>-79838</v>
      </c>
      <c r="AM112" s="239">
        <v>-63871</v>
      </c>
      <c r="AN112" s="239">
        <v>-14371</v>
      </c>
      <c r="AO112" s="239">
        <v>-1597</v>
      </c>
      <c r="AP112" s="239">
        <v>-159677</v>
      </c>
      <c r="AQ112" s="239">
        <v>-467600</v>
      </c>
      <c r="AR112" s="239">
        <v>-374080</v>
      </c>
      <c r="AS112" s="239">
        <v>-84168</v>
      </c>
      <c r="AT112" s="239">
        <v>-9352</v>
      </c>
      <c r="AU112" s="239">
        <v>-935200</v>
      </c>
      <c r="AV112" s="239">
        <v>78446</v>
      </c>
      <c r="AW112" s="239">
        <v>62756</v>
      </c>
      <c r="AX112" s="239">
        <v>14120</v>
      </c>
      <c r="AY112" s="239">
        <v>1569</v>
      </c>
      <c r="AZ112" s="239">
        <v>156891</v>
      </c>
      <c r="BA112" s="239">
        <v>-9696</v>
      </c>
      <c r="BB112" s="239">
        <v>-7756</v>
      </c>
      <c r="BC112" s="239">
        <v>-1745</v>
      </c>
      <c r="BD112" s="239">
        <v>-194</v>
      </c>
      <c r="BE112" s="239">
        <v>-19391</v>
      </c>
      <c r="BF112" s="239">
        <v>-398850</v>
      </c>
      <c r="BG112" s="239">
        <v>-319080</v>
      </c>
      <c r="BH112" s="239">
        <v>-71793</v>
      </c>
      <c r="BI112" s="239">
        <v>-7977</v>
      </c>
      <c r="BJ112" s="239">
        <v>-797700</v>
      </c>
      <c r="BK112" s="239">
        <v>-1389652</v>
      </c>
      <c r="BL112" s="239">
        <v>-1111722</v>
      </c>
      <c r="BM112" s="239">
        <v>-250137</v>
      </c>
      <c r="BN112" s="239">
        <v>-27793</v>
      </c>
      <c r="BO112" s="239">
        <v>-2779304</v>
      </c>
      <c r="BP112" s="239">
        <v>326904</v>
      </c>
      <c r="BQ112" s="239">
        <v>261524</v>
      </c>
      <c r="BR112" s="239">
        <v>58843</v>
      </c>
      <c r="BS112" s="239">
        <v>6538</v>
      </c>
      <c r="BT112" s="239">
        <v>653809</v>
      </c>
      <c r="BU112" s="239">
        <v>68048</v>
      </c>
      <c r="BV112" s="239">
        <v>54438</v>
      </c>
      <c r="BW112" s="239">
        <v>12249</v>
      </c>
      <c r="BX112" s="239">
        <v>1361</v>
      </c>
      <c r="BY112" s="239">
        <v>136096</v>
      </c>
      <c r="BZ112" s="239">
        <v>-994700</v>
      </c>
      <c r="CA112" s="239">
        <v>-795760</v>
      </c>
      <c r="CB112" s="239">
        <v>-179045</v>
      </c>
      <c r="CC112" s="239">
        <v>-19894</v>
      </c>
      <c r="CD112" s="239">
        <v>-1989399</v>
      </c>
      <c r="CE112" s="239">
        <v>478142</v>
      </c>
      <c r="CF112" s="239">
        <v>382514</v>
      </c>
      <c r="CG112" s="239">
        <v>86065</v>
      </c>
      <c r="CH112" s="239">
        <v>9562</v>
      </c>
      <c r="CI112" s="239">
        <v>956283</v>
      </c>
      <c r="CJ112" s="239">
        <v>594975</v>
      </c>
      <c r="CK112" s="239">
        <v>475979</v>
      </c>
      <c r="CL112" s="239">
        <v>107095</v>
      </c>
      <c r="CM112" s="239">
        <v>11899</v>
      </c>
      <c r="CN112" s="239">
        <v>1189948</v>
      </c>
      <c r="CO112" s="239">
        <v>-116833</v>
      </c>
      <c r="CP112" s="239">
        <v>-93465</v>
      </c>
      <c r="CQ112" s="239">
        <v>-21030</v>
      </c>
      <c r="CR112" s="239">
        <v>-2337</v>
      </c>
      <c r="CS112" s="239">
        <v>-233665</v>
      </c>
      <c r="CT112" s="239">
        <v>7290847</v>
      </c>
      <c r="CU112" s="239">
        <v>5832678</v>
      </c>
      <c r="CV112" s="239">
        <v>1312352</v>
      </c>
      <c r="CW112" s="239">
        <v>145817</v>
      </c>
      <c r="CX112" s="239">
        <v>14581694</v>
      </c>
      <c r="CY112" s="239">
        <v>7922386</v>
      </c>
      <c r="CZ112" s="239">
        <v>6337910</v>
      </c>
      <c r="DA112" s="239">
        <v>1426030</v>
      </c>
      <c r="DB112" s="239">
        <v>158448</v>
      </c>
      <c r="DC112" s="239">
        <v>15844774</v>
      </c>
      <c r="DD112" s="239">
        <v>631539</v>
      </c>
      <c r="DE112" s="239">
        <v>505232</v>
      </c>
      <c r="DF112" s="239">
        <v>113678</v>
      </c>
      <c r="DG112" s="239">
        <v>12631</v>
      </c>
      <c r="DH112" s="239">
        <v>1263080</v>
      </c>
      <c r="DI112" s="239">
        <v>514706</v>
      </c>
      <c r="DJ112" s="239">
        <v>411767</v>
      </c>
      <c r="DK112" s="239">
        <v>92648</v>
      </c>
      <c r="DL112" s="239">
        <v>10294</v>
      </c>
      <c r="DM112" s="239">
        <v>1029415</v>
      </c>
      <c r="DN112" s="835">
        <v>0.5</v>
      </c>
      <c r="DO112" s="835">
        <v>0.4</v>
      </c>
      <c r="DP112" s="835">
        <v>0.09</v>
      </c>
      <c r="DQ112" s="835">
        <v>0.01</v>
      </c>
      <c r="DR112" s="835">
        <v>1</v>
      </c>
      <c r="DS112" s="214" t="s">
        <v>1158</v>
      </c>
      <c r="DU112" s="214">
        <v>0</v>
      </c>
    </row>
    <row r="113" spans="1:125" s="214" customFormat="1" x14ac:dyDescent="0.2">
      <c r="B113" s="602" t="s">
        <v>309</v>
      </c>
      <c r="C113" s="602" t="s">
        <v>308</v>
      </c>
      <c r="D113" s="239">
        <v>11713052</v>
      </c>
      <c r="E113" s="239">
        <v>9370442</v>
      </c>
      <c r="F113" s="239">
        <v>2108349</v>
      </c>
      <c r="G113" s="239">
        <v>234261</v>
      </c>
      <c r="H113" s="239">
        <v>23426104</v>
      </c>
      <c r="I113" s="239">
        <v>0</v>
      </c>
      <c r="J113" s="239">
        <v>0</v>
      </c>
      <c r="K113" s="239">
        <v>11713052</v>
      </c>
      <c r="L113" s="239">
        <v>94419</v>
      </c>
      <c r="M113" s="239">
        <v>94419</v>
      </c>
      <c r="N113" s="239">
        <v>0</v>
      </c>
      <c r="O113" s="239">
        <v>0</v>
      </c>
      <c r="P113" s="239">
        <v>0</v>
      </c>
      <c r="Q113" s="239">
        <v>0</v>
      </c>
      <c r="R113" s="239">
        <v>0</v>
      </c>
      <c r="S113" s="239">
        <v>0</v>
      </c>
      <c r="T113" s="239">
        <v>0</v>
      </c>
      <c r="U113" s="239">
        <v>0</v>
      </c>
      <c r="V113" s="239">
        <v>0</v>
      </c>
      <c r="W113" s="239">
        <v>0</v>
      </c>
      <c r="X113" s="239">
        <v>0</v>
      </c>
      <c r="Y113" s="239">
        <v>0</v>
      </c>
      <c r="Z113" s="239">
        <v>0</v>
      </c>
      <c r="AA113" s="239">
        <v>0</v>
      </c>
      <c r="AB113" s="239">
        <v>0</v>
      </c>
      <c r="AC113" s="239">
        <v>971264</v>
      </c>
      <c r="AD113" s="239">
        <v>218533</v>
      </c>
      <c r="AE113" s="239">
        <v>24280</v>
      </c>
      <c r="AF113" s="239">
        <v>1214077</v>
      </c>
      <c r="AG113" s="239">
        <v>733114</v>
      </c>
      <c r="AH113" s="239">
        <v>586490</v>
      </c>
      <c r="AI113" s="239">
        <v>131960</v>
      </c>
      <c r="AJ113" s="239">
        <v>14662</v>
      </c>
      <c r="AK113" s="239">
        <v>1466226</v>
      </c>
      <c r="AL113" s="239">
        <v>-131951</v>
      </c>
      <c r="AM113" s="239">
        <v>-105561</v>
      </c>
      <c r="AN113" s="239">
        <v>-23751</v>
      </c>
      <c r="AO113" s="239">
        <v>-2639</v>
      </c>
      <c r="AP113" s="239">
        <v>-263902</v>
      </c>
      <c r="AQ113" s="239">
        <v>-528719</v>
      </c>
      <c r="AR113" s="239">
        <v>-422976</v>
      </c>
      <c r="AS113" s="239">
        <v>-95170</v>
      </c>
      <c r="AT113" s="239">
        <v>-10574</v>
      </c>
      <c r="AU113" s="239">
        <v>-1057439</v>
      </c>
      <c r="AV113" s="239">
        <v>-17752</v>
      </c>
      <c r="AW113" s="239">
        <v>-14202</v>
      </c>
      <c r="AX113" s="239">
        <v>-3195</v>
      </c>
      <c r="AY113" s="239">
        <v>-355</v>
      </c>
      <c r="AZ113" s="239">
        <v>-35504</v>
      </c>
      <c r="BA113" s="239">
        <v>-161278</v>
      </c>
      <c r="BB113" s="239">
        <v>-129023</v>
      </c>
      <c r="BC113" s="239">
        <v>-29030</v>
      </c>
      <c r="BD113" s="239">
        <v>-3226</v>
      </c>
      <c r="BE113" s="239">
        <v>-322557</v>
      </c>
      <c r="BF113" s="239">
        <v>-707749</v>
      </c>
      <c r="BG113" s="239">
        <v>-566201</v>
      </c>
      <c r="BH113" s="239">
        <v>-127395</v>
      </c>
      <c r="BI113" s="239">
        <v>-14155</v>
      </c>
      <c r="BJ113" s="239">
        <v>-1415500</v>
      </c>
      <c r="BK113" s="239">
        <v>-2317000</v>
      </c>
      <c r="BL113" s="239">
        <v>-1853600</v>
      </c>
      <c r="BM113" s="239">
        <v>-417060</v>
      </c>
      <c r="BN113" s="239">
        <v>-46340</v>
      </c>
      <c r="BO113" s="239">
        <v>-4634000</v>
      </c>
      <c r="BP113" s="239">
        <v>541170</v>
      </c>
      <c r="BQ113" s="239">
        <v>432936</v>
      </c>
      <c r="BR113" s="239">
        <v>97411</v>
      </c>
      <c r="BS113" s="239">
        <v>10823</v>
      </c>
      <c r="BT113" s="239">
        <v>1082340</v>
      </c>
      <c r="BU113" s="239">
        <v>-59870</v>
      </c>
      <c r="BV113" s="239">
        <v>-47896</v>
      </c>
      <c r="BW113" s="239">
        <v>-10777</v>
      </c>
      <c r="BX113" s="239">
        <v>-1197</v>
      </c>
      <c r="BY113" s="239">
        <v>-119740</v>
      </c>
      <c r="BZ113" s="239">
        <v>-1835700</v>
      </c>
      <c r="CA113" s="239">
        <v>-1468560</v>
      </c>
      <c r="CB113" s="239">
        <v>-330426</v>
      </c>
      <c r="CC113" s="239">
        <v>-36714</v>
      </c>
      <c r="CD113" s="239">
        <v>-3671400</v>
      </c>
      <c r="CE113" s="239">
        <v>-195652</v>
      </c>
      <c r="CF113" s="239">
        <v>-156519</v>
      </c>
      <c r="CG113" s="239">
        <v>-35216</v>
      </c>
      <c r="CH113" s="239">
        <v>-3914</v>
      </c>
      <c r="CI113" s="239">
        <v>-391301</v>
      </c>
      <c r="CJ113" s="239">
        <v>0</v>
      </c>
      <c r="CK113" s="239">
        <v>0</v>
      </c>
      <c r="CL113" s="239">
        <v>0</v>
      </c>
      <c r="CM113" s="239">
        <v>0</v>
      </c>
      <c r="CN113" s="239">
        <v>0</v>
      </c>
      <c r="CO113" s="239">
        <v>-195652</v>
      </c>
      <c r="CP113" s="239">
        <v>-156519</v>
      </c>
      <c r="CQ113" s="239">
        <v>-35216</v>
      </c>
      <c r="CR113" s="239">
        <v>-3914</v>
      </c>
      <c r="CS113" s="239">
        <v>-391301</v>
      </c>
      <c r="CT113" s="239">
        <v>11607402</v>
      </c>
      <c r="CU113" s="239">
        <v>9285921</v>
      </c>
      <c r="CV113" s="239">
        <v>2089332</v>
      </c>
      <c r="CW113" s="239">
        <v>232148</v>
      </c>
      <c r="CX113" s="239">
        <v>23214803</v>
      </c>
      <c r="CY113" s="239">
        <v>11713052</v>
      </c>
      <c r="CZ113" s="239">
        <v>9370442</v>
      </c>
      <c r="DA113" s="239">
        <v>2108349</v>
      </c>
      <c r="DB113" s="239">
        <v>234261</v>
      </c>
      <c r="DC113" s="239">
        <v>23426104</v>
      </c>
      <c r="DD113" s="239">
        <v>105650</v>
      </c>
      <c r="DE113" s="239">
        <v>84521</v>
      </c>
      <c r="DF113" s="239">
        <v>19017</v>
      </c>
      <c r="DG113" s="239">
        <v>2113</v>
      </c>
      <c r="DH113" s="239">
        <v>211301</v>
      </c>
      <c r="DI113" s="239">
        <v>-90002</v>
      </c>
      <c r="DJ113" s="239">
        <v>-71998</v>
      </c>
      <c r="DK113" s="239">
        <v>-16199</v>
      </c>
      <c r="DL113" s="239">
        <v>-1801</v>
      </c>
      <c r="DM113" s="239">
        <v>-180000</v>
      </c>
      <c r="DN113" s="835">
        <v>0.5</v>
      </c>
      <c r="DO113" s="835">
        <v>0.4</v>
      </c>
      <c r="DP113" s="835">
        <v>0.09</v>
      </c>
      <c r="DQ113" s="835">
        <v>0.01</v>
      </c>
      <c r="DR113" s="835">
        <v>1</v>
      </c>
      <c r="DS113" s="214" t="s">
        <v>1158</v>
      </c>
      <c r="DU113" s="214">
        <v>0</v>
      </c>
    </row>
    <row r="114" spans="1:125" s="214" customFormat="1" x14ac:dyDescent="0.2">
      <c r="A114" s="215"/>
      <c r="B114" s="602" t="s">
        <v>311</v>
      </c>
      <c r="C114" s="602" t="s">
        <v>310</v>
      </c>
      <c r="D114" s="239">
        <v>13031783</v>
      </c>
      <c r="E114" s="239">
        <v>10425426</v>
      </c>
      <c r="F114" s="239">
        <v>2606357</v>
      </c>
      <c r="G114" s="239">
        <v>0</v>
      </c>
      <c r="H114" s="239">
        <v>26063566</v>
      </c>
      <c r="I114" s="239">
        <v>459253</v>
      </c>
      <c r="J114" s="239">
        <v>459253</v>
      </c>
      <c r="K114" s="239">
        <v>12572530</v>
      </c>
      <c r="L114" s="239">
        <v>179649</v>
      </c>
      <c r="M114" s="239">
        <v>179649</v>
      </c>
      <c r="N114" s="239">
        <v>373528</v>
      </c>
      <c r="O114" s="239">
        <v>373528</v>
      </c>
      <c r="P114" s="239">
        <v>72951</v>
      </c>
      <c r="Q114" s="239">
        <v>0</v>
      </c>
      <c r="R114" s="239">
        <v>72951</v>
      </c>
      <c r="S114" s="239">
        <v>459252.54935622314</v>
      </c>
      <c r="T114" s="239">
        <v>0</v>
      </c>
      <c r="U114" s="239">
        <v>0</v>
      </c>
      <c r="V114" s="239">
        <v>459252.54935622314</v>
      </c>
      <c r="W114" s="239">
        <v>0</v>
      </c>
      <c r="X114" s="239">
        <v>0</v>
      </c>
      <c r="Y114" s="239">
        <v>0</v>
      </c>
      <c r="Z114" s="239">
        <v>0</v>
      </c>
      <c r="AA114" s="239">
        <v>0</v>
      </c>
      <c r="AB114" s="239">
        <v>0</v>
      </c>
      <c r="AC114" s="239">
        <v>1347714</v>
      </c>
      <c r="AD114" s="239">
        <v>334982</v>
      </c>
      <c r="AE114" s="239">
        <v>0</v>
      </c>
      <c r="AF114" s="239">
        <v>1682696</v>
      </c>
      <c r="AG114" s="239">
        <v>701952</v>
      </c>
      <c r="AH114" s="239">
        <v>561562</v>
      </c>
      <c r="AI114" s="239">
        <v>140390</v>
      </c>
      <c r="AJ114" s="239">
        <v>0</v>
      </c>
      <c r="AK114" s="239">
        <v>1403904</v>
      </c>
      <c r="AL114" s="239">
        <v>-370727</v>
      </c>
      <c r="AM114" s="239">
        <v>-296582</v>
      </c>
      <c r="AN114" s="239">
        <v>-74146</v>
      </c>
      <c r="AO114" s="239">
        <v>0</v>
      </c>
      <c r="AP114" s="239">
        <v>-741455</v>
      </c>
      <c r="AQ114" s="239">
        <v>-17066.679999999993</v>
      </c>
      <c r="AR114" s="239">
        <v>-13653</v>
      </c>
      <c r="AS114" s="239">
        <v>-3413</v>
      </c>
      <c r="AT114" s="239">
        <v>0</v>
      </c>
      <c r="AU114" s="239">
        <v>-34132.679999999993</v>
      </c>
      <c r="AV114" s="239">
        <v>183754</v>
      </c>
      <c r="AW114" s="239">
        <v>147004</v>
      </c>
      <c r="AX114" s="239">
        <v>36751</v>
      </c>
      <c r="AY114" s="239">
        <v>0</v>
      </c>
      <c r="AZ114" s="239">
        <v>367509</v>
      </c>
      <c r="BA114" s="239">
        <v>28094</v>
      </c>
      <c r="BB114" s="239">
        <v>22476</v>
      </c>
      <c r="BC114" s="239">
        <v>5619</v>
      </c>
      <c r="BD114" s="239">
        <v>0</v>
      </c>
      <c r="BE114" s="239">
        <v>56189</v>
      </c>
      <c r="BF114" s="239">
        <v>194781.32</v>
      </c>
      <c r="BG114" s="239">
        <v>155827</v>
      </c>
      <c r="BH114" s="239">
        <v>38957</v>
      </c>
      <c r="BI114" s="239">
        <v>0</v>
      </c>
      <c r="BJ114" s="239">
        <v>389565.32</v>
      </c>
      <c r="BK114" s="239">
        <v>-5028774</v>
      </c>
      <c r="BL114" s="239">
        <v>-4023020</v>
      </c>
      <c r="BM114" s="239">
        <v>-1005755</v>
      </c>
      <c r="BN114" s="239">
        <v>0</v>
      </c>
      <c r="BO114" s="239">
        <v>-10057549</v>
      </c>
      <c r="BP114" s="239">
        <v>0</v>
      </c>
      <c r="BQ114" s="239">
        <v>0</v>
      </c>
      <c r="BR114" s="239">
        <v>0</v>
      </c>
      <c r="BS114" s="239">
        <v>0</v>
      </c>
      <c r="BT114" s="239">
        <v>0</v>
      </c>
      <c r="BU114" s="239">
        <v>-21915</v>
      </c>
      <c r="BV114" s="239">
        <v>-17532</v>
      </c>
      <c r="BW114" s="239">
        <v>-4383</v>
      </c>
      <c r="BX114" s="239">
        <v>0</v>
      </c>
      <c r="BY114" s="239">
        <v>-43830</v>
      </c>
      <c r="BZ114" s="239">
        <v>-5050689</v>
      </c>
      <c r="CA114" s="239">
        <v>-4040552</v>
      </c>
      <c r="CB114" s="239">
        <v>-1010138</v>
      </c>
      <c r="CC114" s="239">
        <v>0</v>
      </c>
      <c r="CD114" s="239">
        <v>-10101379</v>
      </c>
      <c r="CE114" s="239">
        <v>563056</v>
      </c>
      <c r="CF114" s="239">
        <v>450446</v>
      </c>
      <c r="CG114" s="239">
        <v>112611</v>
      </c>
      <c r="CH114" s="239">
        <v>0</v>
      </c>
      <c r="CI114" s="239">
        <v>1126113</v>
      </c>
      <c r="CJ114" s="239">
        <v>391662</v>
      </c>
      <c r="CK114" s="239">
        <v>313329</v>
      </c>
      <c r="CL114" s="239">
        <v>78332</v>
      </c>
      <c r="CM114" s="239">
        <v>0</v>
      </c>
      <c r="CN114" s="239">
        <v>783323</v>
      </c>
      <c r="CO114" s="239">
        <v>171394</v>
      </c>
      <c r="CP114" s="239">
        <v>137117</v>
      </c>
      <c r="CQ114" s="239">
        <v>34279</v>
      </c>
      <c r="CR114" s="239">
        <v>0</v>
      </c>
      <c r="CS114" s="239">
        <v>342790</v>
      </c>
      <c r="CT114" s="239">
        <v>14005638</v>
      </c>
      <c r="CU114" s="239">
        <v>11204510</v>
      </c>
      <c r="CV114" s="239">
        <v>2801128</v>
      </c>
      <c r="CW114" s="239">
        <v>0</v>
      </c>
      <c r="CX114" s="239">
        <v>28011276</v>
      </c>
      <c r="CY114" s="239">
        <v>13031783</v>
      </c>
      <c r="CZ114" s="239">
        <v>10425426</v>
      </c>
      <c r="DA114" s="239">
        <v>2606357</v>
      </c>
      <c r="DB114" s="239">
        <v>0</v>
      </c>
      <c r="DC114" s="239">
        <v>26063566</v>
      </c>
      <c r="DD114" s="239">
        <v>-973855</v>
      </c>
      <c r="DE114" s="239">
        <v>-779084</v>
      </c>
      <c r="DF114" s="239">
        <v>-194771</v>
      </c>
      <c r="DG114" s="239">
        <v>0</v>
      </c>
      <c r="DH114" s="239">
        <v>-1947710</v>
      </c>
      <c r="DI114" s="239">
        <v>-802461</v>
      </c>
      <c r="DJ114" s="239">
        <v>-641967</v>
      </c>
      <c r="DK114" s="239">
        <v>-160492</v>
      </c>
      <c r="DL114" s="239">
        <v>0</v>
      </c>
      <c r="DM114" s="239">
        <v>-1604920</v>
      </c>
      <c r="DN114" s="835">
        <v>0.5</v>
      </c>
      <c r="DO114" s="835">
        <v>0.4</v>
      </c>
      <c r="DP114" s="835">
        <v>0.1</v>
      </c>
      <c r="DQ114" s="835">
        <v>0</v>
      </c>
      <c r="DR114" s="835">
        <v>1</v>
      </c>
      <c r="DS114" s="214" t="s">
        <v>1158</v>
      </c>
      <c r="DU114" s="214">
        <v>0</v>
      </c>
    </row>
    <row r="115" spans="1:125" s="214" customFormat="1" x14ac:dyDescent="0.2">
      <c r="B115" s="602" t="s">
        <v>313</v>
      </c>
      <c r="C115" s="602" t="s">
        <v>312</v>
      </c>
      <c r="D115" s="239">
        <v>27453667</v>
      </c>
      <c r="E115" s="239">
        <v>24957879</v>
      </c>
      <c r="F115" s="239">
        <v>30781384</v>
      </c>
      <c r="G115" s="239">
        <v>0</v>
      </c>
      <c r="H115" s="239">
        <v>83192930</v>
      </c>
      <c r="I115" s="239">
        <v>0</v>
      </c>
      <c r="J115" s="239">
        <v>0</v>
      </c>
      <c r="K115" s="239">
        <v>27453667</v>
      </c>
      <c r="L115" s="239">
        <v>290353</v>
      </c>
      <c r="M115" s="239">
        <v>290353</v>
      </c>
      <c r="N115" s="239">
        <v>0</v>
      </c>
      <c r="O115" s="239">
        <v>0</v>
      </c>
      <c r="P115" s="239">
        <v>0</v>
      </c>
      <c r="Q115" s="239">
        <v>0</v>
      </c>
      <c r="R115" s="239">
        <v>0</v>
      </c>
      <c r="S115" s="239">
        <v>0</v>
      </c>
      <c r="T115" s="239">
        <v>0</v>
      </c>
      <c r="U115" s="239">
        <v>0</v>
      </c>
      <c r="V115" s="239">
        <v>0</v>
      </c>
      <c r="W115" s="239">
        <v>0</v>
      </c>
      <c r="X115" s="239">
        <v>0</v>
      </c>
      <c r="Y115" s="239">
        <v>0</v>
      </c>
      <c r="Z115" s="239">
        <v>0</v>
      </c>
      <c r="AA115" s="239">
        <v>0</v>
      </c>
      <c r="AB115" s="239">
        <v>0</v>
      </c>
      <c r="AC115" s="239">
        <v>1839410</v>
      </c>
      <c r="AD115" s="239">
        <v>2268605</v>
      </c>
      <c r="AE115" s="239">
        <v>0</v>
      </c>
      <c r="AF115" s="239">
        <v>4108015</v>
      </c>
      <c r="AG115" s="239">
        <v>976608</v>
      </c>
      <c r="AH115" s="239">
        <v>887825</v>
      </c>
      <c r="AI115" s="239">
        <v>1094984</v>
      </c>
      <c r="AJ115" s="239">
        <v>0</v>
      </c>
      <c r="AK115" s="239">
        <v>2959417</v>
      </c>
      <c r="AL115" s="239">
        <v>-1683117</v>
      </c>
      <c r="AM115" s="239">
        <v>-1530107</v>
      </c>
      <c r="AN115" s="239">
        <v>-1887132</v>
      </c>
      <c r="AO115" s="239">
        <v>0</v>
      </c>
      <c r="AP115" s="239">
        <v>-5100356</v>
      </c>
      <c r="AQ115" s="239">
        <v>-725918</v>
      </c>
      <c r="AR115" s="239">
        <v>-659925</v>
      </c>
      <c r="AS115" s="239">
        <v>-813908</v>
      </c>
      <c r="AT115" s="239">
        <v>0</v>
      </c>
      <c r="AU115" s="239">
        <v>-2199751</v>
      </c>
      <c r="AV115" s="239">
        <v>363398</v>
      </c>
      <c r="AW115" s="239">
        <v>330362</v>
      </c>
      <c r="AX115" s="239">
        <v>407447</v>
      </c>
      <c r="AY115" s="239">
        <v>0</v>
      </c>
      <c r="AZ115" s="239">
        <v>1101207</v>
      </c>
      <c r="BA115" s="239">
        <v>-118738</v>
      </c>
      <c r="BB115" s="239">
        <v>-107944</v>
      </c>
      <c r="BC115" s="239">
        <v>-133131</v>
      </c>
      <c r="BD115" s="239">
        <v>0</v>
      </c>
      <c r="BE115" s="239">
        <v>-359813</v>
      </c>
      <c r="BF115" s="239">
        <v>-481258</v>
      </c>
      <c r="BG115" s="239">
        <v>-437507</v>
      </c>
      <c r="BH115" s="239">
        <v>-539592</v>
      </c>
      <c r="BI115" s="239">
        <v>0</v>
      </c>
      <c r="BJ115" s="239">
        <v>-1458357</v>
      </c>
      <c r="BK115" s="239">
        <v>-3183603</v>
      </c>
      <c r="BL115" s="239">
        <v>-2894185</v>
      </c>
      <c r="BM115" s="239">
        <v>-3569495</v>
      </c>
      <c r="BN115" s="239">
        <v>0</v>
      </c>
      <c r="BO115" s="239">
        <v>-9647283</v>
      </c>
      <c r="BP115" s="239">
        <v>1295752</v>
      </c>
      <c r="BQ115" s="239">
        <v>1177956</v>
      </c>
      <c r="BR115" s="239">
        <v>1452812</v>
      </c>
      <c r="BS115" s="239">
        <v>0</v>
      </c>
      <c r="BT115" s="239">
        <v>3926520</v>
      </c>
      <c r="BU115" s="239">
        <v>-2782547</v>
      </c>
      <c r="BV115" s="239">
        <v>-2529587</v>
      </c>
      <c r="BW115" s="239">
        <v>-3119824</v>
      </c>
      <c r="BX115" s="239">
        <v>0</v>
      </c>
      <c r="BY115" s="239">
        <v>-8431958</v>
      </c>
      <c r="BZ115" s="239">
        <v>-4670398</v>
      </c>
      <c r="CA115" s="239">
        <v>-4245816</v>
      </c>
      <c r="CB115" s="239">
        <v>-5236507</v>
      </c>
      <c r="CC115" s="239">
        <v>0</v>
      </c>
      <c r="CD115" s="239">
        <v>-14152721</v>
      </c>
      <c r="CE115" s="239">
        <v>5305181</v>
      </c>
      <c r="CF115" s="239">
        <v>3183108</v>
      </c>
      <c r="CG115" s="239">
        <v>2122072</v>
      </c>
      <c r="CH115" s="239">
        <v>0</v>
      </c>
      <c r="CI115" s="239">
        <v>10610361</v>
      </c>
      <c r="CJ115" s="239">
        <v>3383272</v>
      </c>
      <c r="CK115" s="239">
        <v>2029963</v>
      </c>
      <c r="CL115" s="239">
        <v>1353309</v>
      </c>
      <c r="CM115" s="239">
        <v>0</v>
      </c>
      <c r="CN115" s="239">
        <v>6766544</v>
      </c>
      <c r="CO115" s="239">
        <v>1921909</v>
      </c>
      <c r="CP115" s="239">
        <v>1153145</v>
      </c>
      <c r="CQ115" s="239">
        <v>768763</v>
      </c>
      <c r="CR115" s="239">
        <v>0</v>
      </c>
      <c r="CS115" s="239">
        <v>3843817</v>
      </c>
      <c r="CT115" s="239">
        <v>23528305</v>
      </c>
      <c r="CU115" s="239">
        <v>21389368</v>
      </c>
      <c r="CV115" s="239">
        <v>26380220</v>
      </c>
      <c r="CW115" s="239">
        <v>0</v>
      </c>
      <c r="CX115" s="239">
        <v>71297893</v>
      </c>
      <c r="CY115" s="239">
        <v>27453667</v>
      </c>
      <c r="CZ115" s="239">
        <v>24957879</v>
      </c>
      <c r="DA115" s="239">
        <v>30781384</v>
      </c>
      <c r="DB115" s="239">
        <v>0</v>
      </c>
      <c r="DC115" s="239">
        <v>83192930</v>
      </c>
      <c r="DD115" s="239">
        <v>3925362</v>
      </c>
      <c r="DE115" s="239">
        <v>3568511</v>
      </c>
      <c r="DF115" s="239">
        <v>4401164</v>
      </c>
      <c r="DG115" s="239">
        <v>0</v>
      </c>
      <c r="DH115" s="239">
        <v>11895037</v>
      </c>
      <c r="DI115" s="239">
        <v>5847271</v>
      </c>
      <c r="DJ115" s="239">
        <v>4721656</v>
      </c>
      <c r="DK115" s="239">
        <v>5169927</v>
      </c>
      <c r="DL115" s="239">
        <v>0</v>
      </c>
      <c r="DM115" s="239">
        <v>15738854</v>
      </c>
      <c r="DN115" s="835">
        <v>0.33</v>
      </c>
      <c r="DO115" s="835">
        <v>0.3</v>
      </c>
      <c r="DP115" s="835">
        <v>0.37</v>
      </c>
      <c r="DQ115" s="835">
        <v>0</v>
      </c>
      <c r="DR115" s="835">
        <v>1</v>
      </c>
      <c r="DS115" s="214" t="s">
        <v>1161</v>
      </c>
      <c r="DU115" s="214">
        <v>0</v>
      </c>
    </row>
    <row r="116" spans="1:125" s="214" customFormat="1" x14ac:dyDescent="0.2">
      <c r="B116" s="602" t="s">
        <v>315</v>
      </c>
      <c r="C116" s="602" t="s">
        <v>314</v>
      </c>
      <c r="D116" s="239">
        <v>38583331</v>
      </c>
      <c r="E116" s="239">
        <v>30866664</v>
      </c>
      <c r="F116" s="239">
        <v>7716666</v>
      </c>
      <c r="G116" s="239">
        <v>0</v>
      </c>
      <c r="H116" s="239">
        <v>77166661</v>
      </c>
      <c r="I116" s="239">
        <v>0</v>
      </c>
      <c r="J116" s="239">
        <v>0</v>
      </c>
      <c r="K116" s="239">
        <v>38583331</v>
      </c>
      <c r="L116" s="239">
        <v>231721</v>
      </c>
      <c r="M116" s="239">
        <v>231721</v>
      </c>
      <c r="N116" s="239">
        <v>0</v>
      </c>
      <c r="O116" s="239">
        <v>0</v>
      </c>
      <c r="P116" s="239">
        <v>0</v>
      </c>
      <c r="Q116" s="239">
        <v>0</v>
      </c>
      <c r="R116" s="239">
        <v>0</v>
      </c>
      <c r="S116" s="239">
        <v>0</v>
      </c>
      <c r="T116" s="239">
        <v>0</v>
      </c>
      <c r="U116" s="239">
        <v>0</v>
      </c>
      <c r="V116" s="239">
        <v>0</v>
      </c>
      <c r="W116" s="239">
        <v>0</v>
      </c>
      <c r="X116" s="239">
        <v>0</v>
      </c>
      <c r="Y116" s="239">
        <v>0</v>
      </c>
      <c r="Z116" s="239">
        <v>0</v>
      </c>
      <c r="AA116" s="239">
        <v>0</v>
      </c>
      <c r="AB116" s="239">
        <v>0</v>
      </c>
      <c r="AC116" s="239">
        <v>1629871</v>
      </c>
      <c r="AD116" s="239">
        <v>407468</v>
      </c>
      <c r="AE116" s="239">
        <v>0</v>
      </c>
      <c r="AF116" s="239">
        <v>2037339</v>
      </c>
      <c r="AG116" s="239">
        <v>301985</v>
      </c>
      <c r="AH116" s="239">
        <v>241588</v>
      </c>
      <c r="AI116" s="239">
        <v>60397</v>
      </c>
      <c r="AJ116" s="239">
        <v>0</v>
      </c>
      <c r="AK116" s="239">
        <v>603970</v>
      </c>
      <c r="AL116" s="239">
        <v>-1022487</v>
      </c>
      <c r="AM116" s="239">
        <v>-817990</v>
      </c>
      <c r="AN116" s="239">
        <v>-204497</v>
      </c>
      <c r="AO116" s="239">
        <v>0</v>
      </c>
      <c r="AP116" s="239">
        <v>-2044974</v>
      </c>
      <c r="AQ116" s="239">
        <v>-450000</v>
      </c>
      <c r="AR116" s="239">
        <v>-360000</v>
      </c>
      <c r="AS116" s="239">
        <v>-90000</v>
      </c>
      <c r="AT116" s="239">
        <v>0</v>
      </c>
      <c r="AU116" s="239">
        <v>-900000</v>
      </c>
      <c r="AV116" s="239">
        <v>78867</v>
      </c>
      <c r="AW116" s="239">
        <v>63093</v>
      </c>
      <c r="AX116" s="239">
        <v>15773</v>
      </c>
      <c r="AY116" s="239">
        <v>0</v>
      </c>
      <c r="AZ116" s="239">
        <v>157733</v>
      </c>
      <c r="BA116" s="239">
        <v>-192733</v>
      </c>
      <c r="BB116" s="239">
        <v>-154186</v>
      </c>
      <c r="BC116" s="239">
        <v>-38547</v>
      </c>
      <c r="BD116" s="239">
        <v>0</v>
      </c>
      <c r="BE116" s="239">
        <v>-385466</v>
      </c>
      <c r="BF116" s="239">
        <v>-563866</v>
      </c>
      <c r="BG116" s="239">
        <v>-451093</v>
      </c>
      <c r="BH116" s="239">
        <v>-112774</v>
      </c>
      <c r="BI116" s="239">
        <v>0</v>
      </c>
      <c r="BJ116" s="239">
        <v>-1127733</v>
      </c>
      <c r="BK116" s="239">
        <v>-4092641</v>
      </c>
      <c r="BL116" s="239">
        <v>-3274113</v>
      </c>
      <c r="BM116" s="239">
        <v>-818528</v>
      </c>
      <c r="BN116" s="239">
        <v>0</v>
      </c>
      <c r="BO116" s="239">
        <v>-8185282</v>
      </c>
      <c r="BP116" s="239">
        <v>2590003</v>
      </c>
      <c r="BQ116" s="239">
        <v>2072002</v>
      </c>
      <c r="BR116" s="239">
        <v>518001</v>
      </c>
      <c r="BS116" s="239">
        <v>0</v>
      </c>
      <c r="BT116" s="239">
        <v>5180006</v>
      </c>
      <c r="BU116" s="239">
        <v>-6000000</v>
      </c>
      <c r="BV116" s="239">
        <v>-4800000</v>
      </c>
      <c r="BW116" s="239">
        <v>-1200000</v>
      </c>
      <c r="BX116" s="239">
        <v>0</v>
      </c>
      <c r="BY116" s="239">
        <v>-12000000</v>
      </c>
      <c r="BZ116" s="239">
        <v>-7502638</v>
      </c>
      <c r="CA116" s="239">
        <v>-6002111</v>
      </c>
      <c r="CB116" s="239">
        <v>-1500527</v>
      </c>
      <c r="CC116" s="239">
        <v>0</v>
      </c>
      <c r="CD116" s="239">
        <v>-15005276</v>
      </c>
      <c r="CE116" s="239">
        <v>-1389378</v>
      </c>
      <c r="CF116" s="239">
        <v>-1111502</v>
      </c>
      <c r="CG116" s="239">
        <v>-277876</v>
      </c>
      <c r="CH116" s="239">
        <v>0</v>
      </c>
      <c r="CI116" s="239">
        <v>-2778756</v>
      </c>
      <c r="CJ116" s="239">
        <v>-817518</v>
      </c>
      <c r="CK116" s="239">
        <v>-654015</v>
      </c>
      <c r="CL116" s="239">
        <v>-163504</v>
      </c>
      <c r="CM116" s="239">
        <v>0</v>
      </c>
      <c r="CN116" s="239">
        <v>-1635037</v>
      </c>
      <c r="CO116" s="239">
        <v>-571860</v>
      </c>
      <c r="CP116" s="239">
        <v>-457487</v>
      </c>
      <c r="CQ116" s="239">
        <v>-114372</v>
      </c>
      <c r="CR116" s="239">
        <v>0</v>
      </c>
      <c r="CS116" s="239">
        <v>-1143719</v>
      </c>
      <c r="CT116" s="239">
        <v>44063342</v>
      </c>
      <c r="CU116" s="239">
        <v>35250674</v>
      </c>
      <c r="CV116" s="239">
        <v>8812669</v>
      </c>
      <c r="CW116" s="239">
        <v>0</v>
      </c>
      <c r="CX116" s="239">
        <v>88126685</v>
      </c>
      <c r="CY116" s="239">
        <v>38583331</v>
      </c>
      <c r="CZ116" s="239">
        <v>30866664</v>
      </c>
      <c r="DA116" s="239">
        <v>7716666</v>
      </c>
      <c r="DB116" s="239">
        <v>0</v>
      </c>
      <c r="DC116" s="239">
        <v>77166661</v>
      </c>
      <c r="DD116" s="239">
        <v>-5480011</v>
      </c>
      <c r="DE116" s="239">
        <v>-4384010</v>
      </c>
      <c r="DF116" s="239">
        <v>-1096003</v>
      </c>
      <c r="DG116" s="239">
        <v>0</v>
      </c>
      <c r="DH116" s="239">
        <v>-10960024</v>
      </c>
      <c r="DI116" s="239">
        <v>-6051871</v>
      </c>
      <c r="DJ116" s="239">
        <v>-4841497</v>
      </c>
      <c r="DK116" s="239">
        <v>-1210375</v>
      </c>
      <c r="DL116" s="239">
        <v>0</v>
      </c>
      <c r="DM116" s="239">
        <v>-12103743</v>
      </c>
      <c r="DN116" s="835">
        <v>0.5</v>
      </c>
      <c r="DO116" s="835">
        <v>0.4</v>
      </c>
      <c r="DP116" s="835">
        <v>0.1</v>
      </c>
      <c r="DQ116" s="835">
        <v>0</v>
      </c>
      <c r="DR116" s="835">
        <v>1</v>
      </c>
      <c r="DS116" s="214" t="s">
        <v>1158</v>
      </c>
      <c r="DU116" s="214">
        <v>0</v>
      </c>
    </row>
    <row r="117" spans="1:125" s="214" customFormat="1" x14ac:dyDescent="0.2">
      <c r="B117" s="602" t="s">
        <v>317</v>
      </c>
      <c r="C117" s="602" t="s">
        <v>316</v>
      </c>
      <c r="D117" s="239">
        <v>40679649.939999998</v>
      </c>
      <c r="E117" s="239">
        <v>36981501</v>
      </c>
      <c r="F117" s="239">
        <v>45610518</v>
      </c>
      <c r="G117" s="239">
        <v>0</v>
      </c>
      <c r="H117" s="239">
        <v>123271668.94</v>
      </c>
      <c r="I117" s="239">
        <v>0</v>
      </c>
      <c r="J117" s="239">
        <v>0</v>
      </c>
      <c r="K117" s="239">
        <v>40679649.939999998</v>
      </c>
      <c r="L117" s="239">
        <v>534739</v>
      </c>
      <c r="M117" s="239">
        <v>534739</v>
      </c>
      <c r="N117" s="239">
        <v>0</v>
      </c>
      <c r="O117" s="239">
        <v>0</v>
      </c>
      <c r="P117" s="239">
        <v>0</v>
      </c>
      <c r="Q117" s="239">
        <v>0</v>
      </c>
      <c r="R117" s="239">
        <v>0</v>
      </c>
      <c r="S117" s="239">
        <v>0</v>
      </c>
      <c r="T117" s="239">
        <v>0</v>
      </c>
      <c r="U117" s="239">
        <v>0</v>
      </c>
      <c r="V117" s="239">
        <v>0</v>
      </c>
      <c r="W117" s="239">
        <v>0</v>
      </c>
      <c r="X117" s="239">
        <v>0</v>
      </c>
      <c r="Y117" s="239">
        <v>0</v>
      </c>
      <c r="Z117" s="239">
        <v>0</v>
      </c>
      <c r="AA117" s="239">
        <v>0</v>
      </c>
      <c r="AB117" s="239">
        <v>0</v>
      </c>
      <c r="AC117" s="239">
        <v>3726417</v>
      </c>
      <c r="AD117" s="239">
        <v>4595915</v>
      </c>
      <c r="AE117" s="239">
        <v>0</v>
      </c>
      <c r="AF117" s="239">
        <v>8322332</v>
      </c>
      <c r="AG117" s="239">
        <v>9450079</v>
      </c>
      <c r="AH117" s="239">
        <v>8590981</v>
      </c>
      <c r="AI117" s="239">
        <v>10595543</v>
      </c>
      <c r="AJ117" s="239">
        <v>0</v>
      </c>
      <c r="AK117" s="239">
        <v>28636603</v>
      </c>
      <c r="AL117" s="239">
        <v>-5959440</v>
      </c>
      <c r="AM117" s="239">
        <v>-5417673</v>
      </c>
      <c r="AN117" s="239">
        <v>-6681796</v>
      </c>
      <c r="AO117" s="239">
        <v>0</v>
      </c>
      <c r="AP117" s="239">
        <v>-18058909</v>
      </c>
      <c r="AQ117" s="239">
        <v>-5731065</v>
      </c>
      <c r="AR117" s="239">
        <v>-5210059</v>
      </c>
      <c r="AS117" s="239">
        <v>-6425739</v>
      </c>
      <c r="AT117" s="239">
        <v>0</v>
      </c>
      <c r="AU117" s="239">
        <v>-17366863</v>
      </c>
      <c r="AV117" s="239">
        <v>0</v>
      </c>
      <c r="AW117" s="239">
        <v>0</v>
      </c>
      <c r="AX117" s="239">
        <v>0</v>
      </c>
      <c r="AY117" s="239">
        <v>0</v>
      </c>
      <c r="AZ117" s="239">
        <v>0</v>
      </c>
      <c r="BA117" s="239">
        <v>-882460.06</v>
      </c>
      <c r="BB117" s="239">
        <v>-802237</v>
      </c>
      <c r="BC117" s="239">
        <v>-989426</v>
      </c>
      <c r="BD117" s="239">
        <v>0</v>
      </c>
      <c r="BE117" s="239">
        <v>-2674123.06</v>
      </c>
      <c r="BF117" s="239">
        <v>-6613525.0600000005</v>
      </c>
      <c r="BG117" s="239">
        <v>-6012296</v>
      </c>
      <c r="BH117" s="239">
        <v>-7415165</v>
      </c>
      <c r="BI117" s="239">
        <v>0</v>
      </c>
      <c r="BJ117" s="239">
        <v>-20040986.059999999</v>
      </c>
      <c r="BK117" s="239">
        <v>-3218976</v>
      </c>
      <c r="BL117" s="239">
        <v>-2926343</v>
      </c>
      <c r="BM117" s="239">
        <v>-3609156</v>
      </c>
      <c r="BN117" s="239">
        <v>0</v>
      </c>
      <c r="BO117" s="239">
        <v>-9754475</v>
      </c>
      <c r="BP117" s="239">
        <v>2518263</v>
      </c>
      <c r="BQ117" s="239">
        <v>2289329</v>
      </c>
      <c r="BR117" s="239">
        <v>2823506</v>
      </c>
      <c r="BS117" s="239">
        <v>0</v>
      </c>
      <c r="BT117" s="239">
        <v>7631098</v>
      </c>
      <c r="BU117" s="239">
        <v>-5267996</v>
      </c>
      <c r="BV117" s="239">
        <v>-4789088</v>
      </c>
      <c r="BW117" s="239">
        <v>-5906542</v>
      </c>
      <c r="BX117" s="239">
        <v>0</v>
      </c>
      <c r="BY117" s="239">
        <v>-15963626</v>
      </c>
      <c r="BZ117" s="239">
        <v>-5968709</v>
      </c>
      <c r="CA117" s="239">
        <v>-5426102</v>
      </c>
      <c r="CB117" s="239">
        <v>-6692192</v>
      </c>
      <c r="CC117" s="239">
        <v>0</v>
      </c>
      <c r="CD117" s="239">
        <v>-18087003</v>
      </c>
      <c r="CE117" s="239">
        <v>-2624834</v>
      </c>
      <c r="CF117" s="239">
        <v>-1574901</v>
      </c>
      <c r="CG117" s="239">
        <v>-1049933</v>
      </c>
      <c r="CH117" s="239">
        <v>0</v>
      </c>
      <c r="CI117" s="239">
        <v>-5249668</v>
      </c>
      <c r="CJ117" s="239">
        <v>-2030286</v>
      </c>
      <c r="CK117" s="239">
        <v>-1218172</v>
      </c>
      <c r="CL117" s="239">
        <v>-812114</v>
      </c>
      <c r="CM117" s="239">
        <v>0</v>
      </c>
      <c r="CN117" s="239">
        <v>-4060572</v>
      </c>
      <c r="CO117" s="239">
        <v>-594548</v>
      </c>
      <c r="CP117" s="239">
        <v>-356729</v>
      </c>
      <c r="CQ117" s="239">
        <v>-237819</v>
      </c>
      <c r="CR117" s="239">
        <v>0</v>
      </c>
      <c r="CS117" s="239">
        <v>-1189096</v>
      </c>
      <c r="CT117" s="239">
        <v>39457253</v>
      </c>
      <c r="CU117" s="239">
        <v>35870230</v>
      </c>
      <c r="CV117" s="239">
        <v>44239951</v>
      </c>
      <c r="CW117" s="239">
        <v>0</v>
      </c>
      <c r="CX117" s="239">
        <v>119567434</v>
      </c>
      <c r="CY117" s="239">
        <v>40679649.939999998</v>
      </c>
      <c r="CZ117" s="239">
        <v>36981501</v>
      </c>
      <c r="DA117" s="239">
        <v>45610518</v>
      </c>
      <c r="DB117" s="239">
        <v>0</v>
      </c>
      <c r="DC117" s="239">
        <v>123271668.94</v>
      </c>
      <c r="DD117" s="239">
        <v>1222396.9399999976</v>
      </c>
      <c r="DE117" s="239">
        <v>1111271</v>
      </c>
      <c r="DF117" s="239">
        <v>1370567</v>
      </c>
      <c r="DG117" s="239">
        <v>0</v>
      </c>
      <c r="DH117" s="239">
        <v>3704234.9399999976</v>
      </c>
      <c r="DI117" s="239">
        <v>627848.93999999762</v>
      </c>
      <c r="DJ117" s="239">
        <v>754542</v>
      </c>
      <c r="DK117" s="239">
        <v>1132748</v>
      </c>
      <c r="DL117" s="239">
        <v>0</v>
      </c>
      <c r="DM117" s="239">
        <v>2515138.9399999976</v>
      </c>
      <c r="DN117" s="835">
        <v>0.33</v>
      </c>
      <c r="DO117" s="835">
        <v>0.3</v>
      </c>
      <c r="DP117" s="835">
        <v>0.37</v>
      </c>
      <c r="DQ117" s="835">
        <v>0</v>
      </c>
      <c r="DR117" s="835">
        <v>1</v>
      </c>
      <c r="DS117" s="214" t="s">
        <v>1161</v>
      </c>
      <c r="DU117" s="214">
        <v>0</v>
      </c>
    </row>
    <row r="118" spans="1:125" s="214" customFormat="1" x14ac:dyDescent="0.2">
      <c r="B118" s="602" t="s">
        <v>319</v>
      </c>
      <c r="C118" s="602" t="s">
        <v>318</v>
      </c>
      <c r="D118" s="239">
        <v>0</v>
      </c>
      <c r="E118" s="239">
        <v>48817097</v>
      </c>
      <c r="F118" s="239">
        <v>0</v>
      </c>
      <c r="G118" s="239">
        <v>493102</v>
      </c>
      <c r="H118" s="239">
        <v>49310199</v>
      </c>
      <c r="I118" s="239">
        <v>0</v>
      </c>
      <c r="J118" s="239">
        <v>0</v>
      </c>
      <c r="K118" s="239">
        <v>0</v>
      </c>
      <c r="L118" s="239">
        <v>157675</v>
      </c>
      <c r="M118" s="239">
        <v>157675</v>
      </c>
      <c r="N118" s="239">
        <v>0</v>
      </c>
      <c r="O118" s="239">
        <v>0</v>
      </c>
      <c r="P118" s="239">
        <v>0</v>
      </c>
      <c r="Q118" s="239">
        <v>0</v>
      </c>
      <c r="R118" s="239">
        <v>0</v>
      </c>
      <c r="S118" s="239">
        <v>0</v>
      </c>
      <c r="T118" s="239">
        <v>0</v>
      </c>
      <c r="U118" s="239">
        <v>0</v>
      </c>
      <c r="V118" s="239">
        <v>0</v>
      </c>
      <c r="W118" s="239">
        <v>0</v>
      </c>
      <c r="X118" s="239">
        <v>0</v>
      </c>
      <c r="Y118" s="239">
        <v>0</v>
      </c>
      <c r="Z118" s="239">
        <v>0</v>
      </c>
      <c r="AA118" s="239">
        <v>0</v>
      </c>
      <c r="AB118" s="239">
        <v>0</v>
      </c>
      <c r="AC118" s="239">
        <v>3289829</v>
      </c>
      <c r="AD118" s="239">
        <v>0</v>
      </c>
      <c r="AE118" s="239">
        <v>31075</v>
      </c>
      <c r="AF118" s="239">
        <v>3320904</v>
      </c>
      <c r="AG118" s="239">
        <v>0</v>
      </c>
      <c r="AH118" s="239">
        <v>4367181</v>
      </c>
      <c r="AI118" s="239">
        <v>0</v>
      </c>
      <c r="AJ118" s="239">
        <v>44113</v>
      </c>
      <c r="AK118" s="239">
        <v>4411294</v>
      </c>
      <c r="AL118" s="239">
        <v>0</v>
      </c>
      <c r="AM118" s="239">
        <v>-213743</v>
      </c>
      <c r="AN118" s="239">
        <v>0</v>
      </c>
      <c r="AO118" s="239">
        <v>-2159</v>
      </c>
      <c r="AP118" s="239">
        <v>-215902</v>
      </c>
      <c r="AQ118" s="239">
        <v>0</v>
      </c>
      <c r="AR118" s="239">
        <v>-2760524</v>
      </c>
      <c r="AS118" s="239">
        <v>0</v>
      </c>
      <c r="AT118" s="239">
        <v>-27884</v>
      </c>
      <c r="AU118" s="239">
        <v>-2788408</v>
      </c>
      <c r="AV118" s="239">
        <v>0</v>
      </c>
      <c r="AW118" s="239">
        <v>23366</v>
      </c>
      <c r="AX118" s="239">
        <v>0</v>
      </c>
      <c r="AY118" s="239">
        <v>236</v>
      </c>
      <c r="AZ118" s="239">
        <v>23602</v>
      </c>
      <c r="BA118" s="239">
        <v>0</v>
      </c>
      <c r="BB118" s="239">
        <v>-395710</v>
      </c>
      <c r="BC118" s="239">
        <v>0</v>
      </c>
      <c r="BD118" s="239">
        <v>-3997</v>
      </c>
      <c r="BE118" s="239">
        <v>-399707</v>
      </c>
      <c r="BF118" s="239">
        <v>0</v>
      </c>
      <c r="BG118" s="239">
        <v>-3132868</v>
      </c>
      <c r="BH118" s="239">
        <v>0</v>
      </c>
      <c r="BI118" s="239">
        <v>-31645</v>
      </c>
      <c r="BJ118" s="239">
        <v>-3164513</v>
      </c>
      <c r="BK118" s="239">
        <v>0</v>
      </c>
      <c r="BL118" s="239">
        <v>-7949288</v>
      </c>
      <c r="BM118" s="239">
        <v>0</v>
      </c>
      <c r="BN118" s="239">
        <v>-80296</v>
      </c>
      <c r="BO118" s="239">
        <v>-8029584</v>
      </c>
      <c r="BP118" s="239">
        <v>0</v>
      </c>
      <c r="BQ118" s="239">
        <v>0</v>
      </c>
      <c r="BR118" s="239">
        <v>0</v>
      </c>
      <c r="BS118" s="239">
        <v>0</v>
      </c>
      <c r="BT118" s="239">
        <v>0</v>
      </c>
      <c r="BU118" s="239">
        <v>0</v>
      </c>
      <c r="BV118" s="239">
        <v>2444112</v>
      </c>
      <c r="BW118" s="239">
        <v>0</v>
      </c>
      <c r="BX118" s="239">
        <v>24688</v>
      </c>
      <c r="BY118" s="239">
        <v>2468800</v>
      </c>
      <c r="BZ118" s="239">
        <v>0</v>
      </c>
      <c r="CA118" s="239">
        <v>-5505176</v>
      </c>
      <c r="CB118" s="239">
        <v>0</v>
      </c>
      <c r="CC118" s="239">
        <v>-55608</v>
      </c>
      <c r="CD118" s="239">
        <v>-5560784</v>
      </c>
      <c r="CE118" s="239">
        <v>3943308</v>
      </c>
      <c r="CF118" s="239">
        <v>3864441</v>
      </c>
      <c r="CG118" s="239">
        <v>0</v>
      </c>
      <c r="CH118" s="239">
        <v>78866</v>
      </c>
      <c r="CI118" s="239">
        <v>7886615</v>
      </c>
      <c r="CJ118" s="239">
        <v>195274</v>
      </c>
      <c r="CK118" s="239">
        <v>191368</v>
      </c>
      <c r="CL118" s="239">
        <v>0</v>
      </c>
      <c r="CM118" s="239">
        <v>3905</v>
      </c>
      <c r="CN118" s="239">
        <v>390547</v>
      </c>
      <c r="CO118" s="239">
        <v>3748034</v>
      </c>
      <c r="CP118" s="239">
        <v>3673073</v>
      </c>
      <c r="CQ118" s="239">
        <v>0</v>
      </c>
      <c r="CR118" s="239">
        <v>74961</v>
      </c>
      <c r="CS118" s="239">
        <v>7496068</v>
      </c>
      <c r="CT118" s="239">
        <v>0</v>
      </c>
      <c r="CU118" s="239">
        <v>49753806</v>
      </c>
      <c r="CV118" s="239">
        <v>0</v>
      </c>
      <c r="CW118" s="239">
        <v>502564</v>
      </c>
      <c r="CX118" s="239">
        <v>50256370</v>
      </c>
      <c r="CY118" s="239">
        <v>0</v>
      </c>
      <c r="CZ118" s="239">
        <v>48817097</v>
      </c>
      <c r="DA118" s="239">
        <v>0</v>
      </c>
      <c r="DB118" s="239">
        <v>493102</v>
      </c>
      <c r="DC118" s="239">
        <v>49310199</v>
      </c>
      <c r="DD118" s="239">
        <v>0</v>
      </c>
      <c r="DE118" s="239">
        <v>-936709</v>
      </c>
      <c r="DF118" s="239">
        <v>0</v>
      </c>
      <c r="DG118" s="239">
        <v>-9462</v>
      </c>
      <c r="DH118" s="239">
        <v>-946171</v>
      </c>
      <c r="DI118" s="239">
        <v>3748034</v>
      </c>
      <c r="DJ118" s="239">
        <v>2736364</v>
      </c>
      <c r="DK118" s="239">
        <v>0</v>
      </c>
      <c r="DL118" s="239">
        <v>65499</v>
      </c>
      <c r="DM118" s="239">
        <v>6549897</v>
      </c>
      <c r="DN118" s="835">
        <v>0</v>
      </c>
      <c r="DO118" s="835">
        <v>0.99</v>
      </c>
      <c r="DP118" s="835">
        <v>0</v>
      </c>
      <c r="DQ118" s="835">
        <v>0.01</v>
      </c>
      <c r="DR118" s="835">
        <v>1</v>
      </c>
      <c r="DS118" s="214" t="s">
        <v>746</v>
      </c>
      <c r="DU118" s="214">
        <v>0</v>
      </c>
    </row>
    <row r="119" spans="1:125" s="214" customFormat="1" x14ac:dyDescent="0.2">
      <c r="B119" s="602" t="s">
        <v>321</v>
      </c>
      <c r="C119" s="602" t="s">
        <v>320</v>
      </c>
      <c r="D119" s="239">
        <v>13623475</v>
      </c>
      <c r="E119" s="239">
        <v>10898779</v>
      </c>
      <c r="F119" s="239">
        <v>2452225</v>
      </c>
      <c r="G119" s="239">
        <v>272469</v>
      </c>
      <c r="H119" s="239">
        <v>27246948</v>
      </c>
      <c r="I119" s="239">
        <v>0</v>
      </c>
      <c r="J119" s="239">
        <v>0</v>
      </c>
      <c r="K119" s="239">
        <v>13623475</v>
      </c>
      <c r="L119" s="239">
        <v>154954</v>
      </c>
      <c r="M119" s="239">
        <v>154954</v>
      </c>
      <c r="N119" s="239">
        <v>0</v>
      </c>
      <c r="O119" s="239">
        <v>0</v>
      </c>
      <c r="P119" s="239">
        <v>43431</v>
      </c>
      <c r="Q119" s="239">
        <v>0</v>
      </c>
      <c r="R119" s="239">
        <v>43431</v>
      </c>
      <c r="S119" s="239">
        <v>0</v>
      </c>
      <c r="T119" s="239">
        <v>0</v>
      </c>
      <c r="U119" s="239">
        <v>0</v>
      </c>
      <c r="V119" s="239">
        <v>0</v>
      </c>
      <c r="W119" s="239">
        <v>0</v>
      </c>
      <c r="X119" s="239">
        <v>0</v>
      </c>
      <c r="Y119" s="239">
        <v>0</v>
      </c>
      <c r="Z119" s="239">
        <v>0</v>
      </c>
      <c r="AA119" s="239">
        <v>0</v>
      </c>
      <c r="AB119" s="239">
        <v>0</v>
      </c>
      <c r="AC119" s="239">
        <v>1511757</v>
      </c>
      <c r="AD119" s="239">
        <v>339998</v>
      </c>
      <c r="AE119" s="239">
        <v>37777</v>
      </c>
      <c r="AF119" s="239">
        <v>1889532</v>
      </c>
      <c r="AG119" s="239">
        <v>382411</v>
      </c>
      <c r="AH119" s="239">
        <v>305928</v>
      </c>
      <c r="AI119" s="239">
        <v>68834</v>
      </c>
      <c r="AJ119" s="239">
        <v>7648</v>
      </c>
      <c r="AK119" s="239">
        <v>764821</v>
      </c>
      <c r="AL119" s="239">
        <v>-179005</v>
      </c>
      <c r="AM119" s="239">
        <v>-143204</v>
      </c>
      <c r="AN119" s="239">
        <v>-32221</v>
      </c>
      <c r="AO119" s="239">
        <v>-3580</v>
      </c>
      <c r="AP119" s="239">
        <v>-358010</v>
      </c>
      <c r="AQ119" s="239">
        <v>-116988</v>
      </c>
      <c r="AR119" s="239">
        <v>-93591</v>
      </c>
      <c r="AS119" s="239">
        <v>-21058</v>
      </c>
      <c r="AT119" s="239">
        <v>-2340</v>
      </c>
      <c r="AU119" s="239">
        <v>-233977</v>
      </c>
      <c r="AV119" s="239">
        <v>53719</v>
      </c>
      <c r="AW119" s="239">
        <v>42976</v>
      </c>
      <c r="AX119" s="239">
        <v>9670</v>
      </c>
      <c r="AY119" s="239">
        <v>1074</v>
      </c>
      <c r="AZ119" s="239">
        <v>107439</v>
      </c>
      <c r="BA119" s="239">
        <v>-76074</v>
      </c>
      <c r="BB119" s="239">
        <v>-60860</v>
      </c>
      <c r="BC119" s="239">
        <v>-13694</v>
      </c>
      <c r="BD119" s="239">
        <v>-1522</v>
      </c>
      <c r="BE119" s="239">
        <v>-152150</v>
      </c>
      <c r="BF119" s="239">
        <v>-139343</v>
      </c>
      <c r="BG119" s="239">
        <v>-111475</v>
      </c>
      <c r="BH119" s="239">
        <v>-25082</v>
      </c>
      <c r="BI119" s="239">
        <v>-2788</v>
      </c>
      <c r="BJ119" s="239">
        <v>-278688</v>
      </c>
      <c r="BK119" s="239">
        <v>-730256</v>
      </c>
      <c r="BL119" s="239">
        <v>-584204</v>
      </c>
      <c r="BM119" s="239">
        <v>-131446</v>
      </c>
      <c r="BN119" s="239">
        <v>-14605</v>
      </c>
      <c r="BO119" s="239">
        <v>-1460511</v>
      </c>
      <c r="BP119" s="239">
        <v>548348</v>
      </c>
      <c r="BQ119" s="239">
        <v>438678</v>
      </c>
      <c r="BR119" s="239">
        <v>98703</v>
      </c>
      <c r="BS119" s="239">
        <v>10967</v>
      </c>
      <c r="BT119" s="239">
        <v>1096696</v>
      </c>
      <c r="BU119" s="239">
        <v>-428059</v>
      </c>
      <c r="BV119" s="239">
        <v>-342446</v>
      </c>
      <c r="BW119" s="239">
        <v>-77050</v>
      </c>
      <c r="BX119" s="239">
        <v>-8561</v>
      </c>
      <c r="BY119" s="239">
        <v>-856116</v>
      </c>
      <c r="BZ119" s="239">
        <v>-609967</v>
      </c>
      <c r="CA119" s="239">
        <v>-487972</v>
      </c>
      <c r="CB119" s="239">
        <v>-109793</v>
      </c>
      <c r="CC119" s="239">
        <v>-12199</v>
      </c>
      <c r="CD119" s="239">
        <v>-1219931</v>
      </c>
      <c r="CE119" s="239">
        <v>-82288</v>
      </c>
      <c r="CF119" s="239">
        <v>-65830</v>
      </c>
      <c r="CG119" s="239">
        <v>-14811</v>
      </c>
      <c r="CH119" s="239">
        <v>-1646</v>
      </c>
      <c r="CI119" s="239">
        <v>-164575</v>
      </c>
      <c r="CJ119" s="239">
        <v>290529</v>
      </c>
      <c r="CK119" s="239">
        <v>232424</v>
      </c>
      <c r="CL119" s="239">
        <v>52295</v>
      </c>
      <c r="CM119" s="239">
        <v>5811</v>
      </c>
      <c r="CN119" s="239">
        <v>581059</v>
      </c>
      <c r="CO119" s="239">
        <v>-372817</v>
      </c>
      <c r="CP119" s="239">
        <v>-298254</v>
      </c>
      <c r="CQ119" s="239">
        <v>-67106</v>
      </c>
      <c r="CR119" s="239">
        <v>-7457</v>
      </c>
      <c r="CS119" s="239">
        <v>-745634</v>
      </c>
      <c r="CT119" s="239">
        <v>13627184</v>
      </c>
      <c r="CU119" s="239">
        <v>10901748</v>
      </c>
      <c r="CV119" s="239">
        <v>2452893</v>
      </c>
      <c r="CW119" s="239">
        <v>272544</v>
      </c>
      <c r="CX119" s="239">
        <v>27254369</v>
      </c>
      <c r="CY119" s="239">
        <v>13623475</v>
      </c>
      <c r="CZ119" s="239">
        <v>10898779</v>
      </c>
      <c r="DA119" s="239">
        <v>2452225</v>
      </c>
      <c r="DB119" s="239">
        <v>272469</v>
      </c>
      <c r="DC119" s="239">
        <v>27246948</v>
      </c>
      <c r="DD119" s="239">
        <v>-3709</v>
      </c>
      <c r="DE119" s="239">
        <v>-2969</v>
      </c>
      <c r="DF119" s="239">
        <v>-668</v>
      </c>
      <c r="DG119" s="239">
        <v>-75</v>
      </c>
      <c r="DH119" s="239">
        <v>-7421</v>
      </c>
      <c r="DI119" s="239">
        <v>-376526</v>
      </c>
      <c r="DJ119" s="239">
        <v>-301223</v>
      </c>
      <c r="DK119" s="239">
        <v>-67774</v>
      </c>
      <c r="DL119" s="239">
        <v>-7532</v>
      </c>
      <c r="DM119" s="239">
        <v>-753055</v>
      </c>
      <c r="DN119" s="835">
        <v>0.5</v>
      </c>
      <c r="DO119" s="835">
        <v>0.4</v>
      </c>
      <c r="DP119" s="835">
        <v>0.09</v>
      </c>
      <c r="DQ119" s="835">
        <v>0.01</v>
      </c>
      <c r="DR119" s="835">
        <v>1</v>
      </c>
      <c r="DS119" s="214" t="s">
        <v>1158</v>
      </c>
      <c r="DU119" s="214">
        <v>0</v>
      </c>
    </row>
    <row r="120" spans="1:125" s="214" customFormat="1" x14ac:dyDescent="0.2">
      <c r="B120" s="602" t="s">
        <v>323</v>
      </c>
      <c r="C120" s="602" t="s">
        <v>322</v>
      </c>
      <c r="D120" s="239">
        <v>70820219</v>
      </c>
      <c r="E120" s="239">
        <v>64382018</v>
      </c>
      <c r="F120" s="239">
        <v>79404488</v>
      </c>
      <c r="G120" s="239">
        <v>0</v>
      </c>
      <c r="H120" s="239">
        <v>214606725</v>
      </c>
      <c r="I120" s="239">
        <v>0</v>
      </c>
      <c r="J120" s="239">
        <v>0</v>
      </c>
      <c r="K120" s="239">
        <v>70820219</v>
      </c>
      <c r="L120" s="239">
        <v>584390</v>
      </c>
      <c r="M120" s="239">
        <v>584390</v>
      </c>
      <c r="N120" s="239">
        <v>0</v>
      </c>
      <c r="O120" s="239">
        <v>0</v>
      </c>
      <c r="P120" s="239">
        <v>0</v>
      </c>
      <c r="Q120" s="239">
        <v>0</v>
      </c>
      <c r="R120" s="239">
        <v>0</v>
      </c>
      <c r="S120" s="239">
        <v>0</v>
      </c>
      <c r="T120" s="239">
        <v>0</v>
      </c>
      <c r="U120" s="239">
        <v>0</v>
      </c>
      <c r="V120" s="239">
        <v>0</v>
      </c>
      <c r="W120" s="239">
        <v>0</v>
      </c>
      <c r="X120" s="239">
        <v>0</v>
      </c>
      <c r="Y120" s="239">
        <v>0</v>
      </c>
      <c r="Z120" s="239">
        <v>0</v>
      </c>
      <c r="AA120" s="239">
        <v>0</v>
      </c>
      <c r="AB120" s="239">
        <v>0</v>
      </c>
      <c r="AC120" s="239">
        <v>2782092</v>
      </c>
      <c r="AD120" s="239">
        <v>3431244</v>
      </c>
      <c r="AE120" s="239">
        <v>0</v>
      </c>
      <c r="AF120" s="239">
        <v>6213336</v>
      </c>
      <c r="AG120" s="239">
        <v>7657337</v>
      </c>
      <c r="AH120" s="239">
        <v>6961215</v>
      </c>
      <c r="AI120" s="239">
        <v>8585499</v>
      </c>
      <c r="AJ120" s="239">
        <v>0</v>
      </c>
      <c r="AK120" s="239">
        <v>23204051</v>
      </c>
      <c r="AL120" s="239">
        <v>-10800407</v>
      </c>
      <c r="AM120" s="239">
        <v>-9818552</v>
      </c>
      <c r="AN120" s="239">
        <v>-12109547</v>
      </c>
      <c r="AO120" s="239">
        <v>0</v>
      </c>
      <c r="AP120" s="239">
        <v>-32728506</v>
      </c>
      <c r="AQ120" s="239">
        <v>-5264804</v>
      </c>
      <c r="AR120" s="239">
        <v>-4786186</v>
      </c>
      <c r="AS120" s="239">
        <v>-5902962</v>
      </c>
      <c r="AT120" s="239">
        <v>0</v>
      </c>
      <c r="AU120" s="239">
        <v>-15953952</v>
      </c>
      <c r="AV120" s="239">
        <v>995861</v>
      </c>
      <c r="AW120" s="239">
        <v>905328</v>
      </c>
      <c r="AX120" s="239">
        <v>1116572</v>
      </c>
      <c r="AY120" s="239">
        <v>0</v>
      </c>
      <c r="AZ120" s="239">
        <v>3017761</v>
      </c>
      <c r="BA120" s="239">
        <v>-1015278</v>
      </c>
      <c r="BB120" s="239">
        <v>-922981</v>
      </c>
      <c r="BC120" s="239">
        <v>-1138343</v>
      </c>
      <c r="BD120" s="239">
        <v>0</v>
      </c>
      <c r="BE120" s="239">
        <v>-3076602</v>
      </c>
      <c r="BF120" s="239">
        <v>-5284221</v>
      </c>
      <c r="BG120" s="239">
        <v>-4803839</v>
      </c>
      <c r="BH120" s="239">
        <v>-5924733</v>
      </c>
      <c r="BI120" s="239">
        <v>0</v>
      </c>
      <c r="BJ120" s="239">
        <v>-16012793</v>
      </c>
      <c r="BK120" s="239">
        <v>-5189576</v>
      </c>
      <c r="BL120" s="239">
        <v>-4717796</v>
      </c>
      <c r="BM120" s="239">
        <v>-5818616</v>
      </c>
      <c r="BN120" s="239">
        <v>0</v>
      </c>
      <c r="BO120" s="239">
        <v>-15725988</v>
      </c>
      <c r="BP120" s="239">
        <v>10881543</v>
      </c>
      <c r="BQ120" s="239">
        <v>9892313</v>
      </c>
      <c r="BR120" s="239">
        <v>12200519</v>
      </c>
      <c r="BS120" s="239">
        <v>0</v>
      </c>
      <c r="BT120" s="239">
        <v>32974375</v>
      </c>
      <c r="BU120" s="239">
        <v>-13485255</v>
      </c>
      <c r="BV120" s="239">
        <v>-12259323</v>
      </c>
      <c r="BW120" s="239">
        <v>-15119831</v>
      </c>
      <c r="BX120" s="239">
        <v>0</v>
      </c>
      <c r="BY120" s="239">
        <v>-40864409</v>
      </c>
      <c r="BZ120" s="239">
        <v>-7793288</v>
      </c>
      <c r="CA120" s="239">
        <v>-7084806</v>
      </c>
      <c r="CB120" s="239">
        <v>-8737928</v>
      </c>
      <c r="CC120" s="239">
        <v>0</v>
      </c>
      <c r="CD120" s="239">
        <v>-23616022</v>
      </c>
      <c r="CE120" s="239">
        <v>7619194</v>
      </c>
      <c r="CF120" s="239">
        <v>4571517</v>
      </c>
      <c r="CG120" s="239">
        <v>3047678</v>
      </c>
      <c r="CH120" s="239">
        <v>0</v>
      </c>
      <c r="CI120" s="239">
        <v>15238389</v>
      </c>
      <c r="CJ120" s="239">
        <v>6973907</v>
      </c>
      <c r="CK120" s="239">
        <v>4184345</v>
      </c>
      <c r="CL120" s="239">
        <v>2789563</v>
      </c>
      <c r="CM120" s="239">
        <v>0</v>
      </c>
      <c r="CN120" s="239">
        <v>13947815</v>
      </c>
      <c r="CO120" s="239">
        <v>645287</v>
      </c>
      <c r="CP120" s="239">
        <v>387172</v>
      </c>
      <c r="CQ120" s="239">
        <v>258115</v>
      </c>
      <c r="CR120" s="239">
        <v>0</v>
      </c>
      <c r="CS120" s="239">
        <v>1290574</v>
      </c>
      <c r="CT120" s="239">
        <v>77026565</v>
      </c>
      <c r="CU120" s="239">
        <v>70024151</v>
      </c>
      <c r="CV120" s="239">
        <v>86363119</v>
      </c>
      <c r="CW120" s="239">
        <v>0</v>
      </c>
      <c r="CX120" s="239">
        <v>233413835</v>
      </c>
      <c r="CY120" s="239">
        <v>70820219</v>
      </c>
      <c r="CZ120" s="239">
        <v>64382018</v>
      </c>
      <c r="DA120" s="239">
        <v>79404488</v>
      </c>
      <c r="DB120" s="239">
        <v>0</v>
      </c>
      <c r="DC120" s="239">
        <v>214606725</v>
      </c>
      <c r="DD120" s="239">
        <v>-6206346</v>
      </c>
      <c r="DE120" s="239">
        <v>-5642133</v>
      </c>
      <c r="DF120" s="239">
        <v>-6958631</v>
      </c>
      <c r="DG120" s="239">
        <v>0</v>
      </c>
      <c r="DH120" s="239">
        <v>-18807110</v>
      </c>
      <c r="DI120" s="239">
        <v>-5561059</v>
      </c>
      <c r="DJ120" s="239">
        <v>-5254961</v>
      </c>
      <c r="DK120" s="239">
        <v>-6700516</v>
      </c>
      <c r="DL120" s="239">
        <v>0</v>
      </c>
      <c r="DM120" s="239">
        <v>-17516536</v>
      </c>
      <c r="DN120" s="835">
        <v>0.33</v>
      </c>
      <c r="DO120" s="835">
        <v>0.3</v>
      </c>
      <c r="DP120" s="835">
        <v>0.37</v>
      </c>
      <c r="DQ120" s="835">
        <v>0</v>
      </c>
      <c r="DR120" s="835">
        <v>1</v>
      </c>
      <c r="DS120" s="214" t="s">
        <v>1161</v>
      </c>
      <c r="DU120" s="214">
        <v>0</v>
      </c>
    </row>
    <row r="121" spans="1:125" s="214" customFormat="1" x14ac:dyDescent="0.2">
      <c r="B121" s="602" t="s">
        <v>325</v>
      </c>
      <c r="C121" s="602" t="s">
        <v>324</v>
      </c>
      <c r="D121" s="239">
        <v>18629653</v>
      </c>
      <c r="E121" s="239">
        <v>14903722</v>
      </c>
      <c r="F121" s="239">
        <v>3353337</v>
      </c>
      <c r="G121" s="239">
        <v>372593</v>
      </c>
      <c r="H121" s="239">
        <v>37259305</v>
      </c>
      <c r="I121" s="239">
        <v>0</v>
      </c>
      <c r="J121" s="239">
        <v>0</v>
      </c>
      <c r="K121" s="239">
        <v>18629653</v>
      </c>
      <c r="L121" s="239">
        <v>127153</v>
      </c>
      <c r="M121" s="239">
        <v>127153</v>
      </c>
      <c r="N121" s="239">
        <v>0</v>
      </c>
      <c r="O121" s="239">
        <v>0</v>
      </c>
      <c r="P121" s="239">
        <v>-652</v>
      </c>
      <c r="Q121" s="239">
        <v>0</v>
      </c>
      <c r="R121" s="239">
        <v>-652</v>
      </c>
      <c r="S121" s="239">
        <v>0</v>
      </c>
      <c r="T121" s="239">
        <v>0</v>
      </c>
      <c r="U121" s="239">
        <v>0</v>
      </c>
      <c r="V121" s="239">
        <v>0</v>
      </c>
      <c r="W121" s="239">
        <v>0</v>
      </c>
      <c r="X121" s="239">
        <v>0</v>
      </c>
      <c r="Y121" s="239">
        <v>0</v>
      </c>
      <c r="Z121" s="239">
        <v>0</v>
      </c>
      <c r="AA121" s="239">
        <v>0</v>
      </c>
      <c r="AB121" s="239">
        <v>0</v>
      </c>
      <c r="AC121" s="239">
        <v>1173185</v>
      </c>
      <c r="AD121" s="239">
        <v>263969</v>
      </c>
      <c r="AE121" s="239">
        <v>29330</v>
      </c>
      <c r="AF121" s="239">
        <v>1466484</v>
      </c>
      <c r="AG121" s="239">
        <v>65258</v>
      </c>
      <c r="AH121" s="239">
        <v>52207</v>
      </c>
      <c r="AI121" s="239">
        <v>11747</v>
      </c>
      <c r="AJ121" s="239">
        <v>1305</v>
      </c>
      <c r="AK121" s="239">
        <v>130517</v>
      </c>
      <c r="AL121" s="239">
        <v>-212502</v>
      </c>
      <c r="AM121" s="239">
        <v>-170001</v>
      </c>
      <c r="AN121" s="239">
        <v>-38250</v>
      </c>
      <c r="AO121" s="239">
        <v>-4250</v>
      </c>
      <c r="AP121" s="239">
        <v>-425003</v>
      </c>
      <c r="AQ121" s="239">
        <v>-18497</v>
      </c>
      <c r="AR121" s="239">
        <v>-14798</v>
      </c>
      <c r="AS121" s="239">
        <v>-3330</v>
      </c>
      <c r="AT121" s="239">
        <v>-370</v>
      </c>
      <c r="AU121" s="239">
        <v>-36995</v>
      </c>
      <c r="AV121" s="239">
        <v>71006</v>
      </c>
      <c r="AW121" s="239">
        <v>56805</v>
      </c>
      <c r="AX121" s="239">
        <v>12781</v>
      </c>
      <c r="AY121" s="239">
        <v>1420</v>
      </c>
      <c r="AZ121" s="239">
        <v>142012</v>
      </c>
      <c r="BA121" s="239">
        <v>-56254</v>
      </c>
      <c r="BB121" s="239">
        <v>-45004</v>
      </c>
      <c r="BC121" s="239">
        <v>-10126</v>
      </c>
      <c r="BD121" s="239">
        <v>-1125</v>
      </c>
      <c r="BE121" s="239">
        <v>-112509</v>
      </c>
      <c r="BF121" s="239">
        <v>-3745</v>
      </c>
      <c r="BG121" s="239">
        <v>-2997</v>
      </c>
      <c r="BH121" s="239">
        <v>-675</v>
      </c>
      <c r="BI121" s="239">
        <v>-75</v>
      </c>
      <c r="BJ121" s="239">
        <v>-7492</v>
      </c>
      <c r="BK121" s="239">
        <v>-2557501</v>
      </c>
      <c r="BL121" s="239">
        <v>-2046000</v>
      </c>
      <c r="BM121" s="239">
        <v>-460350</v>
      </c>
      <c r="BN121" s="239">
        <v>-51150</v>
      </c>
      <c r="BO121" s="239">
        <v>-5115001</v>
      </c>
      <c r="BP121" s="239">
        <v>875022</v>
      </c>
      <c r="BQ121" s="239">
        <v>700018</v>
      </c>
      <c r="BR121" s="239">
        <v>157504</v>
      </c>
      <c r="BS121" s="239">
        <v>17500</v>
      </c>
      <c r="BT121" s="239">
        <v>1750044</v>
      </c>
      <c r="BU121" s="239">
        <v>-3005419</v>
      </c>
      <c r="BV121" s="239">
        <v>-2404336</v>
      </c>
      <c r="BW121" s="239">
        <v>-540976</v>
      </c>
      <c r="BX121" s="239">
        <v>-60108</v>
      </c>
      <c r="BY121" s="239">
        <v>-6010839</v>
      </c>
      <c r="BZ121" s="239">
        <v>-4687898</v>
      </c>
      <c r="CA121" s="239">
        <v>-3750318</v>
      </c>
      <c r="CB121" s="239">
        <v>-843822</v>
      </c>
      <c r="CC121" s="239">
        <v>-93758</v>
      </c>
      <c r="CD121" s="239">
        <v>-9375796</v>
      </c>
      <c r="CE121" s="239">
        <v>427764</v>
      </c>
      <c r="CF121" s="239">
        <v>342212</v>
      </c>
      <c r="CG121" s="239">
        <v>76998</v>
      </c>
      <c r="CH121" s="239">
        <v>8556</v>
      </c>
      <c r="CI121" s="239">
        <v>855530</v>
      </c>
      <c r="CJ121" s="239">
        <v>-721748</v>
      </c>
      <c r="CK121" s="239">
        <v>-577399</v>
      </c>
      <c r="CL121" s="239">
        <v>-129915</v>
      </c>
      <c r="CM121" s="239">
        <v>-14435</v>
      </c>
      <c r="CN121" s="239">
        <v>-1443497</v>
      </c>
      <c r="CO121" s="239">
        <v>1149512</v>
      </c>
      <c r="CP121" s="239">
        <v>919611</v>
      </c>
      <c r="CQ121" s="239">
        <v>206913</v>
      </c>
      <c r="CR121" s="239">
        <v>22991</v>
      </c>
      <c r="CS121" s="239">
        <v>2299027</v>
      </c>
      <c r="CT121" s="239">
        <v>19857006</v>
      </c>
      <c r="CU121" s="239">
        <v>15885605</v>
      </c>
      <c r="CV121" s="239">
        <v>3574261</v>
      </c>
      <c r="CW121" s="239">
        <v>397140</v>
      </c>
      <c r="CX121" s="239">
        <v>39714012</v>
      </c>
      <c r="CY121" s="239">
        <v>18629653</v>
      </c>
      <c r="CZ121" s="239">
        <v>14903722</v>
      </c>
      <c r="DA121" s="239">
        <v>3353337</v>
      </c>
      <c r="DB121" s="239">
        <v>372593</v>
      </c>
      <c r="DC121" s="239">
        <v>37259305</v>
      </c>
      <c r="DD121" s="239">
        <v>-1227353</v>
      </c>
      <c r="DE121" s="239">
        <v>-981883</v>
      </c>
      <c r="DF121" s="239">
        <v>-220924</v>
      </c>
      <c r="DG121" s="239">
        <v>-24547</v>
      </c>
      <c r="DH121" s="239">
        <v>-2454707</v>
      </c>
      <c r="DI121" s="239">
        <v>-77841</v>
      </c>
      <c r="DJ121" s="239">
        <v>-62272</v>
      </c>
      <c r="DK121" s="239">
        <v>-14011</v>
      </c>
      <c r="DL121" s="239">
        <v>-1556</v>
      </c>
      <c r="DM121" s="239">
        <v>-155680</v>
      </c>
      <c r="DN121" s="835">
        <v>0.5</v>
      </c>
      <c r="DO121" s="835">
        <v>0.4</v>
      </c>
      <c r="DP121" s="835">
        <v>0.09</v>
      </c>
      <c r="DQ121" s="835">
        <v>0.01</v>
      </c>
      <c r="DR121" s="835">
        <v>1</v>
      </c>
      <c r="DS121" s="214" t="s">
        <v>1158</v>
      </c>
      <c r="DU121" s="214">
        <v>0</v>
      </c>
    </row>
    <row r="122" spans="1:125" s="214" customFormat="1" x14ac:dyDescent="0.2">
      <c r="B122" s="602" t="s">
        <v>327</v>
      </c>
      <c r="C122" s="602" t="s">
        <v>326</v>
      </c>
      <c r="D122" s="239">
        <v>23152006</v>
      </c>
      <c r="E122" s="239">
        <v>21047278</v>
      </c>
      <c r="F122" s="239">
        <v>25958309</v>
      </c>
      <c r="G122" s="239">
        <v>0</v>
      </c>
      <c r="H122" s="239">
        <v>70157593</v>
      </c>
      <c r="I122" s="239">
        <v>0</v>
      </c>
      <c r="J122" s="239">
        <v>0</v>
      </c>
      <c r="K122" s="239">
        <v>23152006</v>
      </c>
      <c r="L122" s="239">
        <v>309182</v>
      </c>
      <c r="M122" s="239">
        <v>309182</v>
      </c>
      <c r="N122" s="239">
        <v>0</v>
      </c>
      <c r="O122" s="239">
        <v>0</v>
      </c>
      <c r="P122" s="239">
        <v>0</v>
      </c>
      <c r="Q122" s="239">
        <v>0</v>
      </c>
      <c r="R122" s="239">
        <v>0</v>
      </c>
      <c r="S122" s="239">
        <v>0</v>
      </c>
      <c r="T122" s="239">
        <v>0</v>
      </c>
      <c r="U122" s="239">
        <v>0</v>
      </c>
      <c r="V122" s="239">
        <v>0</v>
      </c>
      <c r="W122" s="239">
        <v>0</v>
      </c>
      <c r="X122" s="239">
        <v>0</v>
      </c>
      <c r="Y122" s="239">
        <v>0</v>
      </c>
      <c r="Z122" s="239">
        <v>0</v>
      </c>
      <c r="AA122" s="239">
        <v>0</v>
      </c>
      <c r="AB122" s="239">
        <v>0</v>
      </c>
      <c r="AC122" s="239">
        <v>2451245</v>
      </c>
      <c r="AD122" s="239">
        <v>3023200</v>
      </c>
      <c r="AE122" s="239">
        <v>0</v>
      </c>
      <c r="AF122" s="239">
        <v>5474445</v>
      </c>
      <c r="AG122" s="239">
        <v>3081166</v>
      </c>
      <c r="AH122" s="239">
        <v>2801060</v>
      </c>
      <c r="AI122" s="239">
        <v>3454641</v>
      </c>
      <c r="AJ122" s="239">
        <v>0</v>
      </c>
      <c r="AK122" s="239">
        <v>9336867</v>
      </c>
      <c r="AL122" s="239">
        <v>-3136569</v>
      </c>
      <c r="AM122" s="239">
        <v>-2851426</v>
      </c>
      <c r="AN122" s="239">
        <v>-3516759</v>
      </c>
      <c r="AO122" s="239">
        <v>0</v>
      </c>
      <c r="AP122" s="239">
        <v>-9504754</v>
      </c>
      <c r="AQ122" s="239">
        <v>-1639586.37</v>
      </c>
      <c r="AR122" s="239">
        <v>-1490534</v>
      </c>
      <c r="AS122" s="239">
        <v>-1838325</v>
      </c>
      <c r="AT122" s="239">
        <v>0</v>
      </c>
      <c r="AU122" s="239">
        <v>-4968445.37</v>
      </c>
      <c r="AV122" s="239">
        <v>348660</v>
      </c>
      <c r="AW122" s="239">
        <v>316963</v>
      </c>
      <c r="AX122" s="239">
        <v>390921</v>
      </c>
      <c r="AY122" s="239">
        <v>0</v>
      </c>
      <c r="AZ122" s="239">
        <v>1056544</v>
      </c>
      <c r="BA122" s="239">
        <v>-437846</v>
      </c>
      <c r="BB122" s="239">
        <v>-398041</v>
      </c>
      <c r="BC122" s="239">
        <v>-490917</v>
      </c>
      <c r="BD122" s="239">
        <v>0</v>
      </c>
      <c r="BE122" s="239">
        <v>-1326804</v>
      </c>
      <c r="BF122" s="239">
        <v>-1728772.37</v>
      </c>
      <c r="BG122" s="239">
        <v>-1571612</v>
      </c>
      <c r="BH122" s="239">
        <v>-1938321</v>
      </c>
      <c r="BI122" s="239">
        <v>0</v>
      </c>
      <c r="BJ122" s="239">
        <v>-5238705.37</v>
      </c>
      <c r="BK122" s="239">
        <v>-3137284</v>
      </c>
      <c r="BL122" s="239">
        <v>-2852077</v>
      </c>
      <c r="BM122" s="239">
        <v>-3517562</v>
      </c>
      <c r="BN122" s="239">
        <v>0</v>
      </c>
      <c r="BO122" s="239">
        <v>-9506923</v>
      </c>
      <c r="BP122" s="239">
        <v>1102003</v>
      </c>
      <c r="BQ122" s="239">
        <v>1001821</v>
      </c>
      <c r="BR122" s="239">
        <v>1235579</v>
      </c>
      <c r="BS122" s="239">
        <v>0</v>
      </c>
      <c r="BT122" s="239">
        <v>3339403</v>
      </c>
      <c r="BU122" s="239">
        <v>-1296546</v>
      </c>
      <c r="BV122" s="239">
        <v>-1178678</v>
      </c>
      <c r="BW122" s="239">
        <v>-1453703</v>
      </c>
      <c r="BX122" s="239">
        <v>0</v>
      </c>
      <c r="BY122" s="239">
        <v>-3928927</v>
      </c>
      <c r="BZ122" s="239">
        <v>-3331827</v>
      </c>
      <c r="CA122" s="239">
        <v>-3028934</v>
      </c>
      <c r="CB122" s="239">
        <v>-3735686</v>
      </c>
      <c r="CC122" s="239">
        <v>0</v>
      </c>
      <c r="CD122" s="239">
        <v>-10096447</v>
      </c>
      <c r="CE122" s="239">
        <v>610738.9299999997</v>
      </c>
      <c r="CF122" s="239">
        <v>366443</v>
      </c>
      <c r="CG122" s="239">
        <v>244295</v>
      </c>
      <c r="CH122" s="239">
        <v>0</v>
      </c>
      <c r="CI122" s="239">
        <v>1221476.9299999997</v>
      </c>
      <c r="CJ122" s="239">
        <v>750585</v>
      </c>
      <c r="CK122" s="239">
        <v>450351</v>
      </c>
      <c r="CL122" s="239">
        <v>300234</v>
      </c>
      <c r="CM122" s="239">
        <v>0</v>
      </c>
      <c r="CN122" s="239">
        <v>1501170</v>
      </c>
      <c r="CO122" s="239">
        <v>-139846.0700000003</v>
      </c>
      <c r="CP122" s="239">
        <v>-83908</v>
      </c>
      <c r="CQ122" s="239">
        <v>-55939</v>
      </c>
      <c r="CR122" s="239">
        <v>0</v>
      </c>
      <c r="CS122" s="239">
        <v>-279693.0700000003</v>
      </c>
      <c r="CT122" s="239">
        <v>23796840</v>
      </c>
      <c r="CU122" s="239">
        <v>21633491</v>
      </c>
      <c r="CV122" s="239">
        <v>26681306</v>
      </c>
      <c r="CW122" s="239">
        <v>0</v>
      </c>
      <c r="CX122" s="239">
        <v>72111637</v>
      </c>
      <c r="CY122" s="239">
        <v>23152006</v>
      </c>
      <c r="CZ122" s="239">
        <v>21047278</v>
      </c>
      <c r="DA122" s="239">
        <v>25958309</v>
      </c>
      <c r="DB122" s="239">
        <v>0</v>
      </c>
      <c r="DC122" s="239">
        <v>70157593</v>
      </c>
      <c r="DD122" s="239">
        <v>-644834</v>
      </c>
      <c r="DE122" s="239">
        <v>-586213</v>
      </c>
      <c r="DF122" s="239">
        <v>-722997</v>
      </c>
      <c r="DG122" s="239">
        <v>0</v>
      </c>
      <c r="DH122" s="239">
        <v>-1954044</v>
      </c>
      <c r="DI122" s="239">
        <v>-784680.0700000003</v>
      </c>
      <c r="DJ122" s="239">
        <v>-670121</v>
      </c>
      <c r="DK122" s="239">
        <v>-778936</v>
      </c>
      <c r="DL122" s="239">
        <v>0</v>
      </c>
      <c r="DM122" s="239">
        <v>-2233737.0700000003</v>
      </c>
      <c r="DN122" s="835">
        <v>0.33</v>
      </c>
      <c r="DO122" s="835">
        <v>0.3</v>
      </c>
      <c r="DP122" s="835">
        <v>0.37</v>
      </c>
      <c r="DQ122" s="835">
        <v>0</v>
      </c>
      <c r="DR122" s="835">
        <v>1</v>
      </c>
      <c r="DS122" s="214" t="s">
        <v>1159</v>
      </c>
      <c r="DU122" s="214">
        <v>0</v>
      </c>
    </row>
    <row r="123" spans="1:125" s="214" customFormat="1" x14ac:dyDescent="0.2">
      <c r="B123" s="602" t="s">
        <v>329</v>
      </c>
      <c r="C123" s="602" t="s">
        <v>328</v>
      </c>
      <c r="D123" s="239">
        <v>22049647</v>
      </c>
      <c r="E123" s="239">
        <v>17639717</v>
      </c>
      <c r="F123" s="239">
        <v>3968936</v>
      </c>
      <c r="G123" s="239">
        <v>440993</v>
      </c>
      <c r="H123" s="239">
        <v>44099293</v>
      </c>
      <c r="I123" s="239">
        <v>0</v>
      </c>
      <c r="J123" s="239">
        <v>0</v>
      </c>
      <c r="K123" s="239">
        <v>22049647</v>
      </c>
      <c r="L123" s="239">
        <v>117691</v>
      </c>
      <c r="M123" s="239">
        <v>117691</v>
      </c>
      <c r="N123" s="239">
        <v>1773820</v>
      </c>
      <c r="O123" s="239">
        <v>1773820</v>
      </c>
      <c r="P123" s="239">
        <v>0</v>
      </c>
      <c r="Q123" s="239">
        <v>0</v>
      </c>
      <c r="R123" s="239">
        <v>0</v>
      </c>
      <c r="S123" s="239">
        <v>0</v>
      </c>
      <c r="T123" s="239">
        <v>0</v>
      </c>
      <c r="U123" s="239">
        <v>0</v>
      </c>
      <c r="V123" s="239">
        <v>0</v>
      </c>
      <c r="W123" s="239">
        <v>0</v>
      </c>
      <c r="X123" s="239">
        <v>0</v>
      </c>
      <c r="Y123" s="239">
        <v>0</v>
      </c>
      <c r="Z123" s="239">
        <v>0</v>
      </c>
      <c r="AA123" s="239">
        <v>0</v>
      </c>
      <c r="AB123" s="239">
        <v>0</v>
      </c>
      <c r="AC123" s="239">
        <v>938076</v>
      </c>
      <c r="AD123" s="239">
        <v>189870</v>
      </c>
      <c r="AE123" s="239">
        <v>21096</v>
      </c>
      <c r="AF123" s="239">
        <v>1149042</v>
      </c>
      <c r="AG123" s="239">
        <v>1915354</v>
      </c>
      <c r="AH123" s="239">
        <v>1532283</v>
      </c>
      <c r="AI123" s="239">
        <v>344764</v>
      </c>
      <c r="AJ123" s="239">
        <v>38307</v>
      </c>
      <c r="AK123" s="239">
        <v>3830708</v>
      </c>
      <c r="AL123" s="239">
        <v>-450219</v>
      </c>
      <c r="AM123" s="239">
        <v>-360175</v>
      </c>
      <c r="AN123" s="239">
        <v>-81039</v>
      </c>
      <c r="AO123" s="239">
        <v>-9004</v>
      </c>
      <c r="AP123" s="239">
        <v>-900437</v>
      </c>
      <c r="AQ123" s="239">
        <v>-746500</v>
      </c>
      <c r="AR123" s="239">
        <v>-597200</v>
      </c>
      <c r="AS123" s="239">
        <v>-134370</v>
      </c>
      <c r="AT123" s="239">
        <v>-14930</v>
      </c>
      <c r="AU123" s="239">
        <v>-1493000</v>
      </c>
      <c r="AV123" s="239">
        <v>0</v>
      </c>
      <c r="AW123" s="239">
        <v>0</v>
      </c>
      <c r="AX123" s="239">
        <v>0</v>
      </c>
      <c r="AY123" s="239">
        <v>0</v>
      </c>
      <c r="AZ123" s="239">
        <v>0</v>
      </c>
      <c r="BA123" s="239">
        <v>-426500</v>
      </c>
      <c r="BB123" s="239">
        <v>-341200</v>
      </c>
      <c r="BC123" s="239">
        <v>-76770</v>
      </c>
      <c r="BD123" s="239">
        <v>-8530</v>
      </c>
      <c r="BE123" s="239">
        <v>-853000</v>
      </c>
      <c r="BF123" s="239">
        <v>-1173000</v>
      </c>
      <c r="BG123" s="239">
        <v>-938400</v>
      </c>
      <c r="BH123" s="239">
        <v>-211140</v>
      </c>
      <c r="BI123" s="239">
        <v>-23460</v>
      </c>
      <c r="BJ123" s="239">
        <v>-2346000</v>
      </c>
      <c r="BK123" s="239">
        <v>-1318476</v>
      </c>
      <c r="BL123" s="239">
        <v>-1054782</v>
      </c>
      <c r="BM123" s="239">
        <v>-237326</v>
      </c>
      <c r="BN123" s="239">
        <v>-26370</v>
      </c>
      <c r="BO123" s="239">
        <v>-2636954</v>
      </c>
      <c r="BP123" s="239">
        <v>803256</v>
      </c>
      <c r="BQ123" s="239">
        <v>642604</v>
      </c>
      <c r="BR123" s="239">
        <v>144586</v>
      </c>
      <c r="BS123" s="239">
        <v>16065</v>
      </c>
      <c r="BT123" s="239">
        <v>1606511</v>
      </c>
      <c r="BU123" s="239">
        <v>-679323</v>
      </c>
      <c r="BV123" s="239">
        <v>-543458</v>
      </c>
      <c r="BW123" s="239">
        <v>-122278</v>
      </c>
      <c r="BX123" s="239">
        <v>-13586</v>
      </c>
      <c r="BY123" s="239">
        <v>-1358645</v>
      </c>
      <c r="BZ123" s="239">
        <v>-1194543</v>
      </c>
      <c r="CA123" s="239">
        <v>-955636</v>
      </c>
      <c r="CB123" s="239">
        <v>-215018</v>
      </c>
      <c r="CC123" s="239">
        <v>-23891</v>
      </c>
      <c r="CD123" s="239">
        <v>-2389088</v>
      </c>
      <c r="CE123" s="239">
        <v>-499869</v>
      </c>
      <c r="CF123" s="239">
        <v>-399896</v>
      </c>
      <c r="CG123" s="239">
        <v>-89976</v>
      </c>
      <c r="CH123" s="239">
        <v>-9998</v>
      </c>
      <c r="CI123" s="239">
        <v>-999739</v>
      </c>
      <c r="CJ123" s="239">
        <v>-1057106</v>
      </c>
      <c r="CK123" s="239">
        <v>-845685</v>
      </c>
      <c r="CL123" s="239">
        <v>-190279</v>
      </c>
      <c r="CM123" s="239">
        <v>-21142</v>
      </c>
      <c r="CN123" s="239">
        <v>-2114212</v>
      </c>
      <c r="CO123" s="239">
        <v>557237</v>
      </c>
      <c r="CP123" s="239">
        <v>445789</v>
      </c>
      <c r="CQ123" s="239">
        <v>100303</v>
      </c>
      <c r="CR123" s="239">
        <v>11144</v>
      </c>
      <c r="CS123" s="239">
        <v>1114473</v>
      </c>
      <c r="CT123" s="239">
        <v>22761899</v>
      </c>
      <c r="CU123" s="239">
        <v>18209520</v>
      </c>
      <c r="CV123" s="239">
        <v>4097142</v>
      </c>
      <c r="CW123" s="239">
        <v>455238</v>
      </c>
      <c r="CX123" s="239">
        <v>45523799</v>
      </c>
      <c r="CY123" s="239">
        <v>22049647</v>
      </c>
      <c r="CZ123" s="239">
        <v>17639717</v>
      </c>
      <c r="DA123" s="239">
        <v>3968936</v>
      </c>
      <c r="DB123" s="239">
        <v>440993</v>
      </c>
      <c r="DC123" s="239">
        <v>44099293</v>
      </c>
      <c r="DD123" s="239">
        <v>-712252</v>
      </c>
      <c r="DE123" s="239">
        <v>-569803</v>
      </c>
      <c r="DF123" s="239">
        <v>-128206</v>
      </c>
      <c r="DG123" s="239">
        <v>-14245</v>
      </c>
      <c r="DH123" s="239">
        <v>-1424506</v>
      </c>
      <c r="DI123" s="239">
        <v>-155015</v>
      </c>
      <c r="DJ123" s="239">
        <v>-124014</v>
      </c>
      <c r="DK123" s="239">
        <v>-27903</v>
      </c>
      <c r="DL123" s="239">
        <v>-3101</v>
      </c>
      <c r="DM123" s="239">
        <v>-310033</v>
      </c>
      <c r="DN123" s="835">
        <v>0.5</v>
      </c>
      <c r="DO123" s="835">
        <v>0.4</v>
      </c>
      <c r="DP123" s="835">
        <v>0.09</v>
      </c>
      <c r="DQ123" s="835">
        <v>0.01</v>
      </c>
      <c r="DR123" s="835">
        <v>1</v>
      </c>
      <c r="DS123" s="214" t="s">
        <v>1158</v>
      </c>
      <c r="DU123" s="214">
        <v>0</v>
      </c>
    </row>
    <row r="124" spans="1:125" s="214" customFormat="1" x14ac:dyDescent="0.2">
      <c r="B124" s="602" t="s">
        <v>331</v>
      </c>
      <c r="C124" s="602" t="s">
        <v>330</v>
      </c>
      <c r="D124" s="239">
        <v>28853766</v>
      </c>
      <c r="E124" s="239">
        <v>23083013</v>
      </c>
      <c r="F124" s="239">
        <v>5193678</v>
      </c>
      <c r="G124" s="239">
        <v>577075</v>
      </c>
      <c r="H124" s="239">
        <v>57707532</v>
      </c>
      <c r="I124" s="239">
        <v>0</v>
      </c>
      <c r="J124" s="239">
        <v>0</v>
      </c>
      <c r="K124" s="239">
        <v>28853766</v>
      </c>
      <c r="L124" s="239">
        <v>287118</v>
      </c>
      <c r="M124" s="239">
        <v>287118</v>
      </c>
      <c r="N124" s="239">
        <v>0</v>
      </c>
      <c r="O124" s="239">
        <v>0</v>
      </c>
      <c r="P124" s="239">
        <v>0</v>
      </c>
      <c r="Q124" s="239">
        <v>0</v>
      </c>
      <c r="R124" s="239">
        <v>0</v>
      </c>
      <c r="S124" s="239">
        <v>0</v>
      </c>
      <c r="T124" s="239">
        <v>0</v>
      </c>
      <c r="U124" s="239">
        <v>0</v>
      </c>
      <c r="V124" s="239">
        <v>0</v>
      </c>
      <c r="W124" s="239">
        <v>0</v>
      </c>
      <c r="X124" s="239">
        <v>0</v>
      </c>
      <c r="Y124" s="239">
        <v>0</v>
      </c>
      <c r="Z124" s="239">
        <v>0</v>
      </c>
      <c r="AA124" s="239">
        <v>0</v>
      </c>
      <c r="AB124" s="239">
        <v>0</v>
      </c>
      <c r="AC124" s="239">
        <v>2634679</v>
      </c>
      <c r="AD124" s="239">
        <v>592802</v>
      </c>
      <c r="AE124" s="239">
        <v>65867</v>
      </c>
      <c r="AF124" s="239">
        <v>3293348</v>
      </c>
      <c r="AG124" s="239">
        <v>1512729</v>
      </c>
      <c r="AH124" s="239">
        <v>1210184</v>
      </c>
      <c r="AI124" s="239">
        <v>272291</v>
      </c>
      <c r="AJ124" s="239">
        <v>30255</v>
      </c>
      <c r="AK124" s="239">
        <v>3025459</v>
      </c>
      <c r="AL124" s="239">
        <v>-673517</v>
      </c>
      <c r="AM124" s="239">
        <v>-538814</v>
      </c>
      <c r="AN124" s="239">
        <v>-121233</v>
      </c>
      <c r="AO124" s="239">
        <v>-13470</v>
      </c>
      <c r="AP124" s="239">
        <v>-1347034</v>
      </c>
      <c r="AQ124" s="239">
        <v>-522502</v>
      </c>
      <c r="AR124" s="239">
        <v>-418001</v>
      </c>
      <c r="AS124" s="239">
        <v>-94050</v>
      </c>
      <c r="AT124" s="239">
        <v>-10450</v>
      </c>
      <c r="AU124" s="239">
        <v>-1045003</v>
      </c>
      <c r="AV124" s="239">
        <v>208952</v>
      </c>
      <c r="AW124" s="239">
        <v>167162</v>
      </c>
      <c r="AX124" s="239">
        <v>37611</v>
      </c>
      <c r="AY124" s="239">
        <v>4179</v>
      </c>
      <c r="AZ124" s="239">
        <v>417904</v>
      </c>
      <c r="BA124" s="239">
        <v>-460222</v>
      </c>
      <c r="BB124" s="239">
        <v>-368177</v>
      </c>
      <c r="BC124" s="239">
        <v>-82840</v>
      </c>
      <c r="BD124" s="239">
        <v>-9204</v>
      </c>
      <c r="BE124" s="239">
        <v>-920443</v>
      </c>
      <c r="BF124" s="239">
        <v>-773772</v>
      </c>
      <c r="BG124" s="239">
        <v>-619016</v>
      </c>
      <c r="BH124" s="239">
        <v>-139279</v>
      </c>
      <c r="BI124" s="239">
        <v>-15475</v>
      </c>
      <c r="BJ124" s="239">
        <v>-1547542</v>
      </c>
      <c r="BK124" s="239">
        <v>-1517064</v>
      </c>
      <c r="BL124" s="239">
        <v>-1213651</v>
      </c>
      <c r="BM124" s="239">
        <v>-273071</v>
      </c>
      <c r="BN124" s="239">
        <v>-30341</v>
      </c>
      <c r="BO124" s="239">
        <v>-3034127</v>
      </c>
      <c r="BP124" s="239">
        <v>1066323</v>
      </c>
      <c r="BQ124" s="239">
        <v>853058</v>
      </c>
      <c r="BR124" s="239">
        <v>191938</v>
      </c>
      <c r="BS124" s="239">
        <v>21326</v>
      </c>
      <c r="BT124" s="239">
        <v>2132645</v>
      </c>
      <c r="BU124" s="239">
        <v>-2424786</v>
      </c>
      <c r="BV124" s="239">
        <v>-1939830</v>
      </c>
      <c r="BW124" s="239">
        <v>-436462</v>
      </c>
      <c r="BX124" s="239">
        <v>-48496</v>
      </c>
      <c r="BY124" s="239">
        <v>-4849574</v>
      </c>
      <c r="BZ124" s="239">
        <v>-2875527</v>
      </c>
      <c r="CA124" s="239">
        <v>-2300423</v>
      </c>
      <c r="CB124" s="239">
        <v>-517595</v>
      </c>
      <c r="CC124" s="239">
        <v>-57511</v>
      </c>
      <c r="CD124" s="239">
        <v>-5751056</v>
      </c>
      <c r="CE124" s="239">
        <v>327769</v>
      </c>
      <c r="CF124" s="239">
        <v>262214</v>
      </c>
      <c r="CG124" s="239">
        <v>58998</v>
      </c>
      <c r="CH124" s="239">
        <v>6556</v>
      </c>
      <c r="CI124" s="239">
        <v>655537</v>
      </c>
      <c r="CJ124" s="239">
        <v>131097</v>
      </c>
      <c r="CK124" s="239">
        <v>104878</v>
      </c>
      <c r="CL124" s="239">
        <v>23598</v>
      </c>
      <c r="CM124" s="239">
        <v>2622</v>
      </c>
      <c r="CN124" s="239">
        <v>262195</v>
      </c>
      <c r="CO124" s="239">
        <v>196672</v>
      </c>
      <c r="CP124" s="239">
        <v>157336</v>
      </c>
      <c r="CQ124" s="239">
        <v>35400</v>
      </c>
      <c r="CR124" s="239">
        <v>3934</v>
      </c>
      <c r="CS124" s="239">
        <v>393342</v>
      </c>
      <c r="CT124" s="239">
        <v>30381581</v>
      </c>
      <c r="CU124" s="239">
        <v>24305266</v>
      </c>
      <c r="CV124" s="239">
        <v>5468685</v>
      </c>
      <c r="CW124" s="239">
        <v>607632</v>
      </c>
      <c r="CX124" s="239">
        <v>60763164</v>
      </c>
      <c r="CY124" s="239">
        <v>28853766</v>
      </c>
      <c r="CZ124" s="239">
        <v>23083013</v>
      </c>
      <c r="DA124" s="239">
        <v>5193678</v>
      </c>
      <c r="DB124" s="239">
        <v>577075</v>
      </c>
      <c r="DC124" s="239">
        <v>57707532</v>
      </c>
      <c r="DD124" s="239">
        <v>-1527815</v>
      </c>
      <c r="DE124" s="239">
        <v>-1222253</v>
      </c>
      <c r="DF124" s="239">
        <v>-275007</v>
      </c>
      <c r="DG124" s="239">
        <v>-30557</v>
      </c>
      <c r="DH124" s="239">
        <v>-3055632</v>
      </c>
      <c r="DI124" s="239">
        <v>-1331143</v>
      </c>
      <c r="DJ124" s="239">
        <v>-1064917</v>
      </c>
      <c r="DK124" s="239">
        <v>-239607</v>
      </c>
      <c r="DL124" s="239">
        <v>-26623</v>
      </c>
      <c r="DM124" s="239">
        <v>-2662290</v>
      </c>
      <c r="DN124" s="835">
        <v>0.5</v>
      </c>
      <c r="DO124" s="835">
        <v>0.4</v>
      </c>
      <c r="DP124" s="835">
        <v>0.09</v>
      </c>
      <c r="DQ124" s="835">
        <v>0.01</v>
      </c>
      <c r="DR124" s="835">
        <v>1</v>
      </c>
      <c r="DS124" s="214" t="s">
        <v>1158</v>
      </c>
      <c r="DU124" s="214">
        <v>0</v>
      </c>
    </row>
    <row r="125" spans="1:125" s="214" customFormat="1" x14ac:dyDescent="0.2">
      <c r="B125" s="602" t="s">
        <v>333</v>
      </c>
      <c r="C125" s="602" t="s">
        <v>332</v>
      </c>
      <c r="D125" s="239">
        <v>18000303</v>
      </c>
      <c r="E125" s="239">
        <v>16363912</v>
      </c>
      <c r="F125" s="239">
        <v>20182158</v>
      </c>
      <c r="G125" s="239">
        <v>0</v>
      </c>
      <c r="H125" s="239">
        <v>54546373</v>
      </c>
      <c r="I125" s="239">
        <v>0</v>
      </c>
      <c r="J125" s="239">
        <v>0</v>
      </c>
      <c r="K125" s="239">
        <v>18000303</v>
      </c>
      <c r="L125" s="239">
        <v>243685</v>
      </c>
      <c r="M125" s="239">
        <v>243685</v>
      </c>
      <c r="N125" s="239">
        <v>0</v>
      </c>
      <c r="O125" s="239">
        <v>0</v>
      </c>
      <c r="P125" s="239">
        <v>0</v>
      </c>
      <c r="Q125" s="239">
        <v>0</v>
      </c>
      <c r="R125" s="239">
        <v>0</v>
      </c>
      <c r="S125" s="239">
        <v>0</v>
      </c>
      <c r="T125" s="239">
        <v>0</v>
      </c>
      <c r="U125" s="239">
        <v>0</v>
      </c>
      <c r="V125" s="239">
        <v>0</v>
      </c>
      <c r="W125" s="239">
        <v>0</v>
      </c>
      <c r="X125" s="239">
        <v>0</v>
      </c>
      <c r="Y125" s="239">
        <v>0</v>
      </c>
      <c r="Z125" s="239">
        <v>0</v>
      </c>
      <c r="AA125" s="239">
        <v>0</v>
      </c>
      <c r="AB125" s="239">
        <v>0</v>
      </c>
      <c r="AC125" s="239">
        <v>1602178</v>
      </c>
      <c r="AD125" s="239">
        <v>1976018</v>
      </c>
      <c r="AE125" s="239">
        <v>0</v>
      </c>
      <c r="AF125" s="239">
        <v>3578196</v>
      </c>
      <c r="AG125" s="239">
        <v>1045427</v>
      </c>
      <c r="AH125" s="239">
        <v>950387</v>
      </c>
      <c r="AI125" s="239">
        <v>1172144</v>
      </c>
      <c r="AJ125" s="239">
        <v>0</v>
      </c>
      <c r="AK125" s="239">
        <v>3167958</v>
      </c>
      <c r="AL125" s="239">
        <v>-153847</v>
      </c>
      <c r="AM125" s="239">
        <v>-139860</v>
      </c>
      <c r="AN125" s="239">
        <v>-172494</v>
      </c>
      <c r="AO125" s="239">
        <v>0</v>
      </c>
      <c r="AP125" s="239">
        <v>-466201</v>
      </c>
      <c r="AQ125" s="239">
        <v>-586334</v>
      </c>
      <c r="AR125" s="239">
        <v>-533032</v>
      </c>
      <c r="AS125" s="239">
        <v>-657406</v>
      </c>
      <c r="AT125" s="239">
        <v>0</v>
      </c>
      <c r="AU125" s="239">
        <v>-1776772</v>
      </c>
      <c r="AV125" s="239">
        <v>177521</v>
      </c>
      <c r="AW125" s="239">
        <v>161384</v>
      </c>
      <c r="AX125" s="239">
        <v>199040</v>
      </c>
      <c r="AY125" s="239">
        <v>0</v>
      </c>
      <c r="AZ125" s="239">
        <v>537945</v>
      </c>
      <c r="BA125" s="239">
        <v>-425718</v>
      </c>
      <c r="BB125" s="239">
        <v>-387017</v>
      </c>
      <c r="BC125" s="239">
        <v>-477321</v>
      </c>
      <c r="BD125" s="239">
        <v>0</v>
      </c>
      <c r="BE125" s="239">
        <v>-1290056</v>
      </c>
      <c r="BF125" s="239">
        <v>-834531</v>
      </c>
      <c r="BG125" s="239">
        <v>-758665</v>
      </c>
      <c r="BH125" s="239">
        <v>-935687</v>
      </c>
      <c r="BI125" s="239">
        <v>0</v>
      </c>
      <c r="BJ125" s="239">
        <v>-2528883</v>
      </c>
      <c r="BK125" s="239">
        <v>-2046000</v>
      </c>
      <c r="BL125" s="239">
        <v>-1860000</v>
      </c>
      <c r="BM125" s="239">
        <v>-2294000</v>
      </c>
      <c r="BN125" s="239">
        <v>0</v>
      </c>
      <c r="BO125" s="239">
        <v>-6200000</v>
      </c>
      <c r="BP125" s="239">
        <v>2569600</v>
      </c>
      <c r="BQ125" s="239">
        <v>2336000</v>
      </c>
      <c r="BR125" s="239">
        <v>2881066</v>
      </c>
      <c r="BS125" s="239">
        <v>0</v>
      </c>
      <c r="BT125" s="239">
        <v>7786666</v>
      </c>
      <c r="BU125" s="239">
        <v>-1777600</v>
      </c>
      <c r="BV125" s="239">
        <v>-1616000</v>
      </c>
      <c r="BW125" s="239">
        <v>-1993066</v>
      </c>
      <c r="BX125" s="239">
        <v>0</v>
      </c>
      <c r="BY125" s="239">
        <v>-5386666</v>
      </c>
      <c r="BZ125" s="239">
        <v>-1254000</v>
      </c>
      <c r="CA125" s="239">
        <v>-1140000</v>
      </c>
      <c r="CB125" s="239">
        <v>-1406000</v>
      </c>
      <c r="CC125" s="239">
        <v>0</v>
      </c>
      <c r="CD125" s="239">
        <v>-3800000</v>
      </c>
      <c r="CE125" s="239">
        <v>2426142</v>
      </c>
      <c r="CF125" s="239">
        <v>1455685</v>
      </c>
      <c r="CG125" s="239">
        <v>970456</v>
      </c>
      <c r="CH125" s="239">
        <v>0</v>
      </c>
      <c r="CI125" s="239">
        <v>4852283</v>
      </c>
      <c r="CJ125" s="239">
        <v>855906</v>
      </c>
      <c r="CK125" s="239">
        <v>513544</v>
      </c>
      <c r="CL125" s="239">
        <v>342362</v>
      </c>
      <c r="CM125" s="239">
        <v>0</v>
      </c>
      <c r="CN125" s="239">
        <v>1711812</v>
      </c>
      <c r="CO125" s="239">
        <v>1570236</v>
      </c>
      <c r="CP125" s="239">
        <v>942141</v>
      </c>
      <c r="CQ125" s="239">
        <v>628094</v>
      </c>
      <c r="CR125" s="239">
        <v>0</v>
      </c>
      <c r="CS125" s="239">
        <v>3140471</v>
      </c>
      <c r="CT125" s="239">
        <v>15890419</v>
      </c>
      <c r="CU125" s="239">
        <v>14445836</v>
      </c>
      <c r="CV125" s="239">
        <v>17816530</v>
      </c>
      <c r="CW125" s="239">
        <v>0</v>
      </c>
      <c r="CX125" s="239">
        <v>48152785</v>
      </c>
      <c r="CY125" s="239">
        <v>18000303</v>
      </c>
      <c r="CZ125" s="239">
        <v>16363912</v>
      </c>
      <c r="DA125" s="239">
        <v>20182158</v>
      </c>
      <c r="DB125" s="239">
        <v>0</v>
      </c>
      <c r="DC125" s="239">
        <v>54546373</v>
      </c>
      <c r="DD125" s="239">
        <v>2109884</v>
      </c>
      <c r="DE125" s="239">
        <v>1918076</v>
      </c>
      <c r="DF125" s="239">
        <v>2365628</v>
      </c>
      <c r="DG125" s="239">
        <v>0</v>
      </c>
      <c r="DH125" s="239">
        <v>6393588</v>
      </c>
      <c r="DI125" s="239">
        <v>3680120</v>
      </c>
      <c r="DJ125" s="239">
        <v>2860217</v>
      </c>
      <c r="DK125" s="239">
        <v>2993722</v>
      </c>
      <c r="DL125" s="239">
        <v>0</v>
      </c>
      <c r="DM125" s="239">
        <v>9534059</v>
      </c>
      <c r="DN125" s="835">
        <v>0.33</v>
      </c>
      <c r="DO125" s="835">
        <v>0.3</v>
      </c>
      <c r="DP125" s="835">
        <v>0.37</v>
      </c>
      <c r="DQ125" s="835">
        <v>0</v>
      </c>
      <c r="DR125" s="835">
        <v>1</v>
      </c>
      <c r="DS125" s="214" t="s">
        <v>1159</v>
      </c>
      <c r="DU125" s="214">
        <v>0</v>
      </c>
    </row>
    <row r="126" spans="1:125" s="214" customFormat="1" x14ac:dyDescent="0.2">
      <c r="B126" s="602" t="s">
        <v>335</v>
      </c>
      <c r="C126" s="602" t="s">
        <v>334</v>
      </c>
      <c r="D126" s="239">
        <v>15155659</v>
      </c>
      <c r="E126" s="239">
        <v>12124528</v>
      </c>
      <c r="F126" s="239">
        <v>2728019</v>
      </c>
      <c r="G126" s="239">
        <v>303113</v>
      </c>
      <c r="H126" s="239">
        <v>30311319</v>
      </c>
      <c r="I126" s="239">
        <v>0</v>
      </c>
      <c r="J126" s="239">
        <v>0</v>
      </c>
      <c r="K126" s="239">
        <v>15155659</v>
      </c>
      <c r="L126" s="239">
        <v>98299</v>
      </c>
      <c r="M126" s="239">
        <v>98299</v>
      </c>
      <c r="N126" s="239">
        <v>0</v>
      </c>
      <c r="O126" s="239">
        <v>0</v>
      </c>
      <c r="P126" s="239">
        <v>0</v>
      </c>
      <c r="Q126" s="239">
        <v>0</v>
      </c>
      <c r="R126" s="239">
        <v>0</v>
      </c>
      <c r="S126" s="239">
        <v>0</v>
      </c>
      <c r="T126" s="239">
        <v>0</v>
      </c>
      <c r="U126" s="239">
        <v>0</v>
      </c>
      <c r="V126" s="239">
        <v>0</v>
      </c>
      <c r="W126" s="239">
        <v>0</v>
      </c>
      <c r="X126" s="239">
        <v>0</v>
      </c>
      <c r="Y126" s="239">
        <v>0</v>
      </c>
      <c r="Z126" s="239">
        <v>0</v>
      </c>
      <c r="AA126" s="239">
        <v>0</v>
      </c>
      <c r="AB126" s="239">
        <v>0</v>
      </c>
      <c r="AC126" s="239">
        <v>900373</v>
      </c>
      <c r="AD126" s="239">
        <v>202583</v>
      </c>
      <c r="AE126" s="239">
        <v>22509</v>
      </c>
      <c r="AF126" s="239">
        <v>1125465</v>
      </c>
      <c r="AG126" s="239">
        <v>829831</v>
      </c>
      <c r="AH126" s="239">
        <v>663864</v>
      </c>
      <c r="AI126" s="239">
        <v>149369</v>
      </c>
      <c r="AJ126" s="239">
        <v>16597</v>
      </c>
      <c r="AK126" s="239">
        <v>1659661</v>
      </c>
      <c r="AL126" s="239">
        <v>-638862</v>
      </c>
      <c r="AM126" s="239">
        <v>-511090</v>
      </c>
      <c r="AN126" s="239">
        <v>-114995</v>
      </c>
      <c r="AO126" s="239">
        <v>-12777</v>
      </c>
      <c r="AP126" s="239">
        <v>-1277724</v>
      </c>
      <c r="AQ126" s="239">
        <v>-235719</v>
      </c>
      <c r="AR126" s="239">
        <v>-188574</v>
      </c>
      <c r="AS126" s="239">
        <v>-42429</v>
      </c>
      <c r="AT126" s="239">
        <v>-4714</v>
      </c>
      <c r="AU126" s="239">
        <v>-471436</v>
      </c>
      <c r="AV126" s="239">
        <v>0</v>
      </c>
      <c r="AW126" s="239">
        <v>0</v>
      </c>
      <c r="AX126" s="239">
        <v>0</v>
      </c>
      <c r="AY126" s="239">
        <v>0</v>
      </c>
      <c r="AZ126" s="239">
        <v>0</v>
      </c>
      <c r="BA126" s="239">
        <v>-212625</v>
      </c>
      <c r="BB126" s="239">
        <v>-170101</v>
      </c>
      <c r="BC126" s="239">
        <v>-38273</v>
      </c>
      <c r="BD126" s="239">
        <v>-4253</v>
      </c>
      <c r="BE126" s="239">
        <v>-425252</v>
      </c>
      <c r="BF126" s="239">
        <v>-448344</v>
      </c>
      <c r="BG126" s="239">
        <v>-358675</v>
      </c>
      <c r="BH126" s="239">
        <v>-80702</v>
      </c>
      <c r="BI126" s="239">
        <v>-8967</v>
      </c>
      <c r="BJ126" s="239">
        <v>-896688</v>
      </c>
      <c r="BK126" s="239">
        <v>-1039546.2999999998</v>
      </c>
      <c r="BL126" s="239">
        <v>-831637</v>
      </c>
      <c r="BM126" s="239">
        <v>-187118</v>
      </c>
      <c r="BN126" s="239">
        <v>-20791</v>
      </c>
      <c r="BO126" s="239">
        <v>-2079092.2999999998</v>
      </c>
      <c r="BP126" s="239">
        <v>695388</v>
      </c>
      <c r="BQ126" s="239">
        <v>556310</v>
      </c>
      <c r="BR126" s="239">
        <v>125170</v>
      </c>
      <c r="BS126" s="239">
        <v>13908</v>
      </c>
      <c r="BT126" s="239">
        <v>1390776</v>
      </c>
      <c r="BU126" s="239">
        <v>-251426</v>
      </c>
      <c r="BV126" s="239">
        <v>-201142</v>
      </c>
      <c r="BW126" s="239">
        <v>-45257</v>
      </c>
      <c r="BX126" s="239">
        <v>-5029</v>
      </c>
      <c r="BY126" s="239">
        <v>-502854</v>
      </c>
      <c r="BZ126" s="239">
        <v>-595584.29999999981</v>
      </c>
      <c r="CA126" s="239">
        <v>-476469</v>
      </c>
      <c r="CB126" s="239">
        <v>-107205</v>
      </c>
      <c r="CC126" s="239">
        <v>-11912</v>
      </c>
      <c r="CD126" s="239">
        <v>-1191170.2999999998</v>
      </c>
      <c r="CE126" s="239">
        <v>-1993625</v>
      </c>
      <c r="CF126" s="239">
        <v>-1594897</v>
      </c>
      <c r="CG126" s="239">
        <v>-358851</v>
      </c>
      <c r="CH126" s="239">
        <v>-39872</v>
      </c>
      <c r="CI126" s="239">
        <v>-3987245</v>
      </c>
      <c r="CJ126" s="239">
        <v>-1162696</v>
      </c>
      <c r="CK126" s="239">
        <v>-930157</v>
      </c>
      <c r="CL126" s="239">
        <v>-209285</v>
      </c>
      <c r="CM126" s="239">
        <v>-23254</v>
      </c>
      <c r="CN126" s="239">
        <v>-2325392</v>
      </c>
      <c r="CO126" s="239">
        <v>-830929</v>
      </c>
      <c r="CP126" s="239">
        <v>-664740</v>
      </c>
      <c r="CQ126" s="239">
        <v>-149566</v>
      </c>
      <c r="CR126" s="239">
        <v>-16618</v>
      </c>
      <c r="CS126" s="239">
        <v>-1661853</v>
      </c>
      <c r="CT126" s="239">
        <v>15244843</v>
      </c>
      <c r="CU126" s="239">
        <v>12195875</v>
      </c>
      <c r="CV126" s="239">
        <v>2744072</v>
      </c>
      <c r="CW126" s="239">
        <v>304897</v>
      </c>
      <c r="CX126" s="239">
        <v>30489687</v>
      </c>
      <c r="CY126" s="239">
        <v>15155659</v>
      </c>
      <c r="CZ126" s="239">
        <v>12124528</v>
      </c>
      <c r="DA126" s="239">
        <v>2728019</v>
      </c>
      <c r="DB126" s="239">
        <v>303113</v>
      </c>
      <c r="DC126" s="239">
        <v>30311319</v>
      </c>
      <c r="DD126" s="239">
        <v>-89184</v>
      </c>
      <c r="DE126" s="239">
        <v>-71347</v>
      </c>
      <c r="DF126" s="239">
        <v>-16053</v>
      </c>
      <c r="DG126" s="239">
        <v>-1784</v>
      </c>
      <c r="DH126" s="239">
        <v>-178368</v>
      </c>
      <c r="DI126" s="239">
        <v>-920113</v>
      </c>
      <c r="DJ126" s="239">
        <v>-736087</v>
      </c>
      <c r="DK126" s="239">
        <v>-165619</v>
      </c>
      <c r="DL126" s="239">
        <v>-18402</v>
      </c>
      <c r="DM126" s="239">
        <v>-1840221</v>
      </c>
      <c r="DN126" s="835">
        <v>0.5</v>
      </c>
      <c r="DO126" s="835">
        <v>0.4</v>
      </c>
      <c r="DP126" s="835">
        <v>0.09</v>
      </c>
      <c r="DQ126" s="835">
        <v>0.01</v>
      </c>
      <c r="DR126" s="835">
        <v>1</v>
      </c>
      <c r="DS126" s="214" t="s">
        <v>1158</v>
      </c>
      <c r="DU126" s="214">
        <v>0</v>
      </c>
    </row>
    <row r="127" spans="1:125" s="214" customFormat="1" x14ac:dyDescent="0.2">
      <c r="B127" s="602" t="s">
        <v>337</v>
      </c>
      <c r="C127" s="602" t="s">
        <v>336</v>
      </c>
      <c r="D127" s="239">
        <v>13490237</v>
      </c>
      <c r="E127" s="239">
        <v>13220433</v>
      </c>
      <c r="F127" s="239">
        <v>0</v>
      </c>
      <c r="G127" s="239">
        <v>269805</v>
      </c>
      <c r="H127" s="239">
        <v>26980475</v>
      </c>
      <c r="I127" s="239">
        <v>80565</v>
      </c>
      <c r="J127" s="239">
        <v>80565</v>
      </c>
      <c r="K127" s="239">
        <v>13409672</v>
      </c>
      <c r="L127" s="239">
        <v>115333</v>
      </c>
      <c r="M127" s="239">
        <v>115333</v>
      </c>
      <c r="N127" s="239">
        <v>30935</v>
      </c>
      <c r="O127" s="239">
        <v>30935</v>
      </c>
      <c r="P127" s="239">
        <v>0</v>
      </c>
      <c r="Q127" s="239">
        <v>0</v>
      </c>
      <c r="R127" s="239">
        <v>0</v>
      </c>
      <c r="S127" s="239">
        <v>80565.2982832618</v>
      </c>
      <c r="T127" s="239">
        <v>0</v>
      </c>
      <c r="U127" s="239">
        <v>0</v>
      </c>
      <c r="V127" s="239">
        <v>80565.2982832618</v>
      </c>
      <c r="W127" s="239">
        <v>0</v>
      </c>
      <c r="X127" s="239">
        <v>0</v>
      </c>
      <c r="Y127" s="239">
        <v>0</v>
      </c>
      <c r="Z127" s="239">
        <v>0</v>
      </c>
      <c r="AA127" s="239">
        <v>0</v>
      </c>
      <c r="AB127" s="239">
        <v>0</v>
      </c>
      <c r="AC127" s="239">
        <v>1266674</v>
      </c>
      <c r="AD127" s="239">
        <v>0</v>
      </c>
      <c r="AE127" s="239">
        <v>25517</v>
      </c>
      <c r="AF127" s="239">
        <v>1292191</v>
      </c>
      <c r="AG127" s="239">
        <v>895808</v>
      </c>
      <c r="AH127" s="239">
        <v>877892</v>
      </c>
      <c r="AI127" s="239">
        <v>0</v>
      </c>
      <c r="AJ127" s="239">
        <v>17916</v>
      </c>
      <c r="AK127" s="239">
        <v>1791616</v>
      </c>
      <c r="AL127" s="239">
        <v>-333795</v>
      </c>
      <c r="AM127" s="239">
        <v>-327120</v>
      </c>
      <c r="AN127" s="239">
        <v>0</v>
      </c>
      <c r="AO127" s="239">
        <v>-6676</v>
      </c>
      <c r="AP127" s="239">
        <v>-667591</v>
      </c>
      <c r="AQ127" s="239">
        <v>-476736</v>
      </c>
      <c r="AR127" s="239">
        <v>-467201</v>
      </c>
      <c r="AS127" s="239">
        <v>0</v>
      </c>
      <c r="AT127" s="239">
        <v>-9535</v>
      </c>
      <c r="AU127" s="239">
        <v>-953472</v>
      </c>
      <c r="AV127" s="239">
        <v>58721</v>
      </c>
      <c r="AW127" s="239">
        <v>57546</v>
      </c>
      <c r="AX127" s="239">
        <v>0</v>
      </c>
      <c r="AY127" s="239">
        <v>1174</v>
      </c>
      <c r="AZ127" s="239">
        <v>117441</v>
      </c>
      <c r="BA127" s="239">
        <v>-113434</v>
      </c>
      <c r="BB127" s="239">
        <v>-111166</v>
      </c>
      <c r="BC127" s="239">
        <v>0</v>
      </c>
      <c r="BD127" s="239">
        <v>-2269</v>
      </c>
      <c r="BE127" s="239">
        <v>-226869</v>
      </c>
      <c r="BF127" s="239">
        <v>-531449</v>
      </c>
      <c r="BG127" s="239">
        <v>-520821</v>
      </c>
      <c r="BH127" s="239">
        <v>0</v>
      </c>
      <c r="BI127" s="239">
        <v>-10630</v>
      </c>
      <c r="BJ127" s="239">
        <v>-1062900</v>
      </c>
      <c r="BK127" s="239">
        <v>-1070309</v>
      </c>
      <c r="BL127" s="239">
        <v>-1048902</v>
      </c>
      <c r="BM127" s="239">
        <v>0</v>
      </c>
      <c r="BN127" s="239">
        <v>-21406</v>
      </c>
      <c r="BO127" s="239">
        <v>-2140617</v>
      </c>
      <c r="BP127" s="239">
        <v>272056</v>
      </c>
      <c r="BQ127" s="239">
        <v>266614</v>
      </c>
      <c r="BR127" s="239">
        <v>0</v>
      </c>
      <c r="BS127" s="239">
        <v>5441</v>
      </c>
      <c r="BT127" s="239">
        <v>544111</v>
      </c>
      <c r="BU127" s="239">
        <v>-1594423</v>
      </c>
      <c r="BV127" s="239">
        <v>-1562535</v>
      </c>
      <c r="BW127" s="239">
        <v>0</v>
      </c>
      <c r="BX127" s="239">
        <v>-31888</v>
      </c>
      <c r="BY127" s="239">
        <v>-3188846</v>
      </c>
      <c r="BZ127" s="239">
        <v>-2392676</v>
      </c>
      <c r="CA127" s="239">
        <v>-2344823</v>
      </c>
      <c r="CB127" s="239">
        <v>0</v>
      </c>
      <c r="CC127" s="239">
        <v>-47853</v>
      </c>
      <c r="CD127" s="239">
        <v>-4785352</v>
      </c>
      <c r="CE127" s="239">
        <v>-1295135</v>
      </c>
      <c r="CF127" s="239">
        <v>-1269232</v>
      </c>
      <c r="CG127" s="239">
        <v>0</v>
      </c>
      <c r="CH127" s="239">
        <v>-25904</v>
      </c>
      <c r="CI127" s="239">
        <v>-2590271</v>
      </c>
      <c r="CJ127" s="239">
        <v>-1790622</v>
      </c>
      <c r="CK127" s="239">
        <v>-1754809</v>
      </c>
      <c r="CL127" s="239">
        <v>0</v>
      </c>
      <c r="CM127" s="239">
        <v>-35812</v>
      </c>
      <c r="CN127" s="239">
        <v>-3581243</v>
      </c>
      <c r="CO127" s="239">
        <v>495487</v>
      </c>
      <c r="CP127" s="239">
        <v>485577</v>
      </c>
      <c r="CQ127" s="239">
        <v>0</v>
      </c>
      <c r="CR127" s="239">
        <v>9908</v>
      </c>
      <c r="CS127" s="239">
        <v>990972</v>
      </c>
      <c r="CT127" s="239">
        <v>14981044</v>
      </c>
      <c r="CU127" s="239">
        <v>14681423</v>
      </c>
      <c r="CV127" s="239">
        <v>0</v>
      </c>
      <c r="CW127" s="239">
        <v>299621</v>
      </c>
      <c r="CX127" s="239">
        <v>29962088</v>
      </c>
      <c r="CY127" s="239">
        <v>13490237</v>
      </c>
      <c r="CZ127" s="239">
        <v>13220433</v>
      </c>
      <c r="DA127" s="239">
        <v>0</v>
      </c>
      <c r="DB127" s="239">
        <v>269805</v>
      </c>
      <c r="DC127" s="239">
        <v>26980475</v>
      </c>
      <c r="DD127" s="239">
        <v>-1490807</v>
      </c>
      <c r="DE127" s="239">
        <v>-1460990</v>
      </c>
      <c r="DF127" s="239">
        <v>0</v>
      </c>
      <c r="DG127" s="239">
        <v>-29816</v>
      </c>
      <c r="DH127" s="239">
        <v>-2981613</v>
      </c>
      <c r="DI127" s="239">
        <v>-995320</v>
      </c>
      <c r="DJ127" s="239">
        <v>-975413</v>
      </c>
      <c r="DK127" s="239">
        <v>0</v>
      </c>
      <c r="DL127" s="239">
        <v>-19908</v>
      </c>
      <c r="DM127" s="239">
        <v>-1990641</v>
      </c>
      <c r="DN127" s="835">
        <v>0.5</v>
      </c>
      <c r="DO127" s="835">
        <v>0.49</v>
      </c>
      <c r="DP127" s="835">
        <v>0</v>
      </c>
      <c r="DQ127" s="835">
        <v>0.01</v>
      </c>
      <c r="DR127" s="835">
        <v>1</v>
      </c>
      <c r="DS127" s="214" t="s">
        <v>746</v>
      </c>
      <c r="DU127" s="214">
        <v>0</v>
      </c>
    </row>
    <row r="128" spans="1:125" s="214" customFormat="1" x14ac:dyDescent="0.2">
      <c r="B128" s="602" t="s">
        <v>339</v>
      </c>
      <c r="C128" s="602" t="s">
        <v>338</v>
      </c>
      <c r="D128" s="239">
        <v>10297714</v>
      </c>
      <c r="E128" s="239">
        <v>8238170</v>
      </c>
      <c r="F128" s="239">
        <v>1853588</v>
      </c>
      <c r="G128" s="239">
        <v>205954</v>
      </c>
      <c r="H128" s="239">
        <v>20595426</v>
      </c>
      <c r="I128" s="239">
        <v>0</v>
      </c>
      <c r="J128" s="239">
        <v>0</v>
      </c>
      <c r="K128" s="239">
        <v>10297714</v>
      </c>
      <c r="L128" s="239">
        <v>133508</v>
      </c>
      <c r="M128" s="239">
        <v>133508</v>
      </c>
      <c r="N128" s="239">
        <v>0</v>
      </c>
      <c r="O128" s="239">
        <v>0</v>
      </c>
      <c r="P128" s="239">
        <v>0</v>
      </c>
      <c r="Q128" s="239">
        <v>0</v>
      </c>
      <c r="R128" s="239">
        <v>0</v>
      </c>
      <c r="S128" s="239">
        <v>0</v>
      </c>
      <c r="T128" s="239">
        <v>0</v>
      </c>
      <c r="U128" s="239">
        <v>0</v>
      </c>
      <c r="V128" s="239">
        <v>0</v>
      </c>
      <c r="W128" s="239">
        <v>0</v>
      </c>
      <c r="X128" s="239">
        <v>0</v>
      </c>
      <c r="Y128" s="239">
        <v>0</v>
      </c>
      <c r="Z128" s="239">
        <v>0</v>
      </c>
      <c r="AA128" s="239">
        <v>0</v>
      </c>
      <c r="AB128" s="239">
        <v>0</v>
      </c>
      <c r="AC128" s="239">
        <v>1090054</v>
      </c>
      <c r="AD128" s="239">
        <v>245263</v>
      </c>
      <c r="AE128" s="239">
        <v>27251</v>
      </c>
      <c r="AF128" s="239">
        <v>1362568</v>
      </c>
      <c r="AG128" s="239">
        <v>714652</v>
      </c>
      <c r="AH128" s="239">
        <v>571721</v>
      </c>
      <c r="AI128" s="239">
        <v>128637</v>
      </c>
      <c r="AJ128" s="239">
        <v>14293</v>
      </c>
      <c r="AK128" s="239">
        <v>1429303</v>
      </c>
      <c r="AL128" s="239">
        <v>-297624</v>
      </c>
      <c r="AM128" s="239">
        <v>-238100</v>
      </c>
      <c r="AN128" s="239">
        <v>-53573</v>
      </c>
      <c r="AO128" s="239">
        <v>-5953</v>
      </c>
      <c r="AP128" s="239">
        <v>-595250</v>
      </c>
      <c r="AQ128" s="239">
        <v>-395235</v>
      </c>
      <c r="AR128" s="239">
        <v>-316188</v>
      </c>
      <c r="AS128" s="239">
        <v>-71142</v>
      </c>
      <c r="AT128" s="239">
        <v>-7905</v>
      </c>
      <c r="AU128" s="239">
        <v>-790470</v>
      </c>
      <c r="AV128" s="239">
        <v>65170</v>
      </c>
      <c r="AW128" s="239">
        <v>52135</v>
      </c>
      <c r="AX128" s="239">
        <v>11730</v>
      </c>
      <c r="AY128" s="239">
        <v>1303</v>
      </c>
      <c r="AZ128" s="239">
        <v>130338</v>
      </c>
      <c r="BA128" s="239">
        <v>-163666</v>
      </c>
      <c r="BB128" s="239">
        <v>-130933</v>
      </c>
      <c r="BC128" s="239">
        <v>-29460</v>
      </c>
      <c r="BD128" s="239">
        <v>-3273</v>
      </c>
      <c r="BE128" s="239">
        <v>-327332</v>
      </c>
      <c r="BF128" s="239">
        <v>-493731</v>
      </c>
      <c r="BG128" s="239">
        <v>-394986</v>
      </c>
      <c r="BH128" s="239">
        <v>-88872</v>
      </c>
      <c r="BI128" s="239">
        <v>-9875</v>
      </c>
      <c r="BJ128" s="239">
        <v>-987464</v>
      </c>
      <c r="BK128" s="239">
        <v>-1437500</v>
      </c>
      <c r="BL128" s="239">
        <v>-1150000</v>
      </c>
      <c r="BM128" s="239">
        <v>-258750</v>
      </c>
      <c r="BN128" s="239">
        <v>-28750</v>
      </c>
      <c r="BO128" s="239">
        <v>-2875000</v>
      </c>
      <c r="BP128" s="239">
        <v>418407</v>
      </c>
      <c r="BQ128" s="239">
        <v>334725</v>
      </c>
      <c r="BR128" s="239">
        <v>75313</v>
      </c>
      <c r="BS128" s="239">
        <v>8368</v>
      </c>
      <c r="BT128" s="239">
        <v>836813</v>
      </c>
      <c r="BU128" s="239">
        <v>-589407</v>
      </c>
      <c r="BV128" s="239">
        <v>-471525</v>
      </c>
      <c r="BW128" s="239">
        <v>-106093</v>
      </c>
      <c r="BX128" s="239">
        <v>-11788</v>
      </c>
      <c r="BY128" s="239">
        <v>-1178813</v>
      </c>
      <c r="BZ128" s="239">
        <v>-1608500</v>
      </c>
      <c r="CA128" s="239">
        <v>-1286800</v>
      </c>
      <c r="CB128" s="239">
        <v>-289530</v>
      </c>
      <c r="CC128" s="239">
        <v>-32170</v>
      </c>
      <c r="CD128" s="239">
        <v>-3217000</v>
      </c>
      <c r="CE128" s="239">
        <v>-390475</v>
      </c>
      <c r="CF128" s="239">
        <v>-312380</v>
      </c>
      <c r="CG128" s="239">
        <v>-70286</v>
      </c>
      <c r="CH128" s="239">
        <v>-7810</v>
      </c>
      <c r="CI128" s="239">
        <v>-780951</v>
      </c>
      <c r="CJ128" s="239">
        <v>-295867</v>
      </c>
      <c r="CK128" s="239">
        <v>-236693</v>
      </c>
      <c r="CL128" s="239">
        <v>-53256</v>
      </c>
      <c r="CM128" s="239">
        <v>-5917</v>
      </c>
      <c r="CN128" s="239">
        <v>-591733</v>
      </c>
      <c r="CO128" s="239">
        <v>-94608</v>
      </c>
      <c r="CP128" s="239">
        <v>-75687</v>
      </c>
      <c r="CQ128" s="239">
        <v>-17030</v>
      </c>
      <c r="CR128" s="239">
        <v>-1893</v>
      </c>
      <c r="CS128" s="239">
        <v>-189218</v>
      </c>
      <c r="CT128" s="239">
        <v>10412001</v>
      </c>
      <c r="CU128" s="239">
        <v>8329600</v>
      </c>
      <c r="CV128" s="239">
        <v>1874160</v>
      </c>
      <c r="CW128" s="239">
        <v>208240</v>
      </c>
      <c r="CX128" s="239">
        <v>20824001</v>
      </c>
      <c r="CY128" s="239">
        <v>10297714</v>
      </c>
      <c r="CZ128" s="239">
        <v>8238170</v>
      </c>
      <c r="DA128" s="239">
        <v>1853588</v>
      </c>
      <c r="DB128" s="239">
        <v>205954</v>
      </c>
      <c r="DC128" s="239">
        <v>20595426</v>
      </c>
      <c r="DD128" s="239">
        <v>-114287</v>
      </c>
      <c r="DE128" s="239">
        <v>-91430</v>
      </c>
      <c r="DF128" s="239">
        <v>-20572</v>
      </c>
      <c r="DG128" s="239">
        <v>-2286</v>
      </c>
      <c r="DH128" s="239">
        <v>-228575</v>
      </c>
      <c r="DI128" s="239">
        <v>-208895</v>
      </c>
      <c r="DJ128" s="239">
        <v>-167117</v>
      </c>
      <c r="DK128" s="239">
        <v>-37602</v>
      </c>
      <c r="DL128" s="239">
        <v>-4179</v>
      </c>
      <c r="DM128" s="239">
        <v>-417793</v>
      </c>
      <c r="DN128" s="835">
        <v>0.5</v>
      </c>
      <c r="DO128" s="835">
        <v>0.4</v>
      </c>
      <c r="DP128" s="835">
        <v>0.09</v>
      </c>
      <c r="DQ128" s="835">
        <v>0.01</v>
      </c>
      <c r="DR128" s="835">
        <v>1</v>
      </c>
      <c r="DS128" s="214" t="s">
        <v>1158</v>
      </c>
      <c r="DU128" s="214">
        <v>0</v>
      </c>
    </row>
    <row r="129" spans="2:125" s="214" customFormat="1" x14ac:dyDescent="0.2">
      <c r="B129" s="602" t="s">
        <v>341</v>
      </c>
      <c r="C129" s="602" t="s">
        <v>340</v>
      </c>
      <c r="D129" s="239">
        <v>16652656</v>
      </c>
      <c r="E129" s="239">
        <v>13322124</v>
      </c>
      <c r="F129" s="239">
        <v>2997478</v>
      </c>
      <c r="G129" s="239">
        <v>333053</v>
      </c>
      <c r="H129" s="239">
        <v>33305311</v>
      </c>
      <c r="I129" s="239">
        <v>0</v>
      </c>
      <c r="J129" s="239">
        <v>0</v>
      </c>
      <c r="K129" s="239">
        <v>16652656</v>
      </c>
      <c r="L129" s="239">
        <v>137942</v>
      </c>
      <c r="M129" s="239">
        <v>137942</v>
      </c>
      <c r="N129" s="239">
        <v>0</v>
      </c>
      <c r="O129" s="239">
        <v>0</v>
      </c>
      <c r="P129" s="239">
        <v>0</v>
      </c>
      <c r="Q129" s="239">
        <v>0</v>
      </c>
      <c r="R129" s="239">
        <v>0</v>
      </c>
      <c r="S129" s="239">
        <v>0</v>
      </c>
      <c r="T129" s="239">
        <v>0</v>
      </c>
      <c r="U129" s="239">
        <v>0</v>
      </c>
      <c r="V129" s="239">
        <v>0</v>
      </c>
      <c r="W129" s="239">
        <v>0</v>
      </c>
      <c r="X129" s="239">
        <v>0</v>
      </c>
      <c r="Y129" s="239">
        <v>0</v>
      </c>
      <c r="Z129" s="239">
        <v>0</v>
      </c>
      <c r="AA129" s="239">
        <v>0</v>
      </c>
      <c r="AB129" s="239">
        <v>0</v>
      </c>
      <c r="AC129" s="239">
        <v>1193301</v>
      </c>
      <c r="AD129" s="239">
        <v>268493</v>
      </c>
      <c r="AE129" s="239">
        <v>29833</v>
      </c>
      <c r="AF129" s="239">
        <v>1491627</v>
      </c>
      <c r="AG129" s="239">
        <v>210888</v>
      </c>
      <c r="AH129" s="239">
        <v>168710</v>
      </c>
      <c r="AI129" s="239">
        <v>37960</v>
      </c>
      <c r="AJ129" s="239">
        <v>4218</v>
      </c>
      <c r="AK129" s="239">
        <v>421776</v>
      </c>
      <c r="AL129" s="239">
        <v>-344138</v>
      </c>
      <c r="AM129" s="239">
        <v>-275311</v>
      </c>
      <c r="AN129" s="239">
        <v>-61945</v>
      </c>
      <c r="AO129" s="239">
        <v>-6883</v>
      </c>
      <c r="AP129" s="239">
        <v>-688277</v>
      </c>
      <c r="AQ129" s="239">
        <v>-78255</v>
      </c>
      <c r="AR129" s="239">
        <v>-62604</v>
      </c>
      <c r="AS129" s="239">
        <v>-14086</v>
      </c>
      <c r="AT129" s="239">
        <v>-1565</v>
      </c>
      <c r="AU129" s="239">
        <v>-156510</v>
      </c>
      <c r="AV129" s="239">
        <v>0</v>
      </c>
      <c r="AW129" s="239">
        <v>0</v>
      </c>
      <c r="AX129" s="239">
        <v>0</v>
      </c>
      <c r="AY129" s="239">
        <v>0</v>
      </c>
      <c r="AZ129" s="239">
        <v>0</v>
      </c>
      <c r="BA129" s="239">
        <v>-33992</v>
      </c>
      <c r="BB129" s="239">
        <v>-27194</v>
      </c>
      <c r="BC129" s="239">
        <v>-6119</v>
      </c>
      <c r="BD129" s="239">
        <v>-680</v>
      </c>
      <c r="BE129" s="239">
        <v>-67985</v>
      </c>
      <c r="BF129" s="239">
        <v>-112247</v>
      </c>
      <c r="BG129" s="239">
        <v>-89798</v>
      </c>
      <c r="BH129" s="239">
        <v>-20205</v>
      </c>
      <c r="BI129" s="239">
        <v>-2245</v>
      </c>
      <c r="BJ129" s="239">
        <v>-224495</v>
      </c>
      <c r="BK129" s="239">
        <v>-831074</v>
      </c>
      <c r="BL129" s="239">
        <v>-664859</v>
      </c>
      <c r="BM129" s="239">
        <v>-149593</v>
      </c>
      <c r="BN129" s="239">
        <v>-16621</v>
      </c>
      <c r="BO129" s="239">
        <v>-1662147</v>
      </c>
      <c r="BP129" s="239">
        <v>47921</v>
      </c>
      <c r="BQ129" s="239">
        <v>38336</v>
      </c>
      <c r="BR129" s="239">
        <v>8626</v>
      </c>
      <c r="BS129" s="239">
        <v>958</v>
      </c>
      <c r="BT129" s="239">
        <v>95841</v>
      </c>
      <c r="BU129" s="239">
        <v>43690</v>
      </c>
      <c r="BV129" s="239">
        <v>34952</v>
      </c>
      <c r="BW129" s="239">
        <v>7864</v>
      </c>
      <c r="BX129" s="239">
        <v>874</v>
      </c>
      <c r="BY129" s="239">
        <v>87380</v>
      </c>
      <c r="BZ129" s="239">
        <v>-739463</v>
      </c>
      <c r="CA129" s="239">
        <v>-591571</v>
      </c>
      <c r="CB129" s="239">
        <v>-133103</v>
      </c>
      <c r="CC129" s="239">
        <v>-14789</v>
      </c>
      <c r="CD129" s="239">
        <v>-1478926</v>
      </c>
      <c r="CE129" s="239">
        <v>-821847</v>
      </c>
      <c r="CF129" s="239">
        <v>-657477</v>
      </c>
      <c r="CG129" s="239">
        <v>-147933</v>
      </c>
      <c r="CH129" s="239">
        <v>-16437</v>
      </c>
      <c r="CI129" s="239">
        <v>-1643694</v>
      </c>
      <c r="CJ129" s="239">
        <v>-376720</v>
      </c>
      <c r="CK129" s="239">
        <v>-301376</v>
      </c>
      <c r="CL129" s="239">
        <v>-67810</v>
      </c>
      <c r="CM129" s="239">
        <v>-7534</v>
      </c>
      <c r="CN129" s="239">
        <v>-753440</v>
      </c>
      <c r="CO129" s="239">
        <v>-445127</v>
      </c>
      <c r="CP129" s="239">
        <v>-356101</v>
      </c>
      <c r="CQ129" s="239">
        <v>-80123</v>
      </c>
      <c r="CR129" s="239">
        <v>-8903</v>
      </c>
      <c r="CS129" s="239">
        <v>-890254</v>
      </c>
      <c r="CT129" s="239">
        <v>17350586</v>
      </c>
      <c r="CU129" s="239">
        <v>13880469</v>
      </c>
      <c r="CV129" s="239">
        <v>3123106</v>
      </c>
      <c r="CW129" s="239">
        <v>347012</v>
      </c>
      <c r="CX129" s="239">
        <v>34701173</v>
      </c>
      <c r="CY129" s="239">
        <v>16652656</v>
      </c>
      <c r="CZ129" s="239">
        <v>13322124</v>
      </c>
      <c r="DA129" s="239">
        <v>2997478</v>
      </c>
      <c r="DB129" s="239">
        <v>333053</v>
      </c>
      <c r="DC129" s="239">
        <v>33305311</v>
      </c>
      <c r="DD129" s="239">
        <v>-697930</v>
      </c>
      <c r="DE129" s="239">
        <v>-558345</v>
      </c>
      <c r="DF129" s="239">
        <v>-125628</v>
      </c>
      <c r="DG129" s="239">
        <v>-13959</v>
      </c>
      <c r="DH129" s="239">
        <v>-1395862</v>
      </c>
      <c r="DI129" s="239">
        <v>-1143057</v>
      </c>
      <c r="DJ129" s="239">
        <v>-914446</v>
      </c>
      <c r="DK129" s="239">
        <v>-205751</v>
      </c>
      <c r="DL129" s="239">
        <v>-22862</v>
      </c>
      <c r="DM129" s="239">
        <v>-2286116</v>
      </c>
      <c r="DN129" s="835">
        <v>0.5</v>
      </c>
      <c r="DO129" s="835">
        <v>0.4</v>
      </c>
      <c r="DP129" s="835">
        <v>0.09</v>
      </c>
      <c r="DQ129" s="835">
        <v>0.01</v>
      </c>
      <c r="DR129" s="835">
        <v>1</v>
      </c>
      <c r="DS129" s="214" t="s">
        <v>1158</v>
      </c>
      <c r="DU129" s="214">
        <v>0</v>
      </c>
    </row>
    <row r="130" spans="2:125" s="214" customFormat="1" x14ac:dyDescent="0.2">
      <c r="B130" s="602" t="s">
        <v>343</v>
      </c>
      <c r="C130" s="602" t="s">
        <v>342</v>
      </c>
      <c r="D130" s="239">
        <v>26368545.569999993</v>
      </c>
      <c r="E130" s="239">
        <v>23971406</v>
      </c>
      <c r="F130" s="239">
        <v>29564734</v>
      </c>
      <c r="G130" s="239">
        <v>0</v>
      </c>
      <c r="H130" s="239">
        <v>79904685.569999993</v>
      </c>
      <c r="I130" s="239">
        <v>0</v>
      </c>
      <c r="J130" s="239">
        <v>0</v>
      </c>
      <c r="K130" s="239">
        <v>26368545.569999993</v>
      </c>
      <c r="L130" s="239">
        <v>268121</v>
      </c>
      <c r="M130" s="239">
        <v>268121</v>
      </c>
      <c r="N130" s="239">
        <v>0</v>
      </c>
      <c r="O130" s="239">
        <v>0</v>
      </c>
      <c r="P130" s="239">
        <v>0</v>
      </c>
      <c r="Q130" s="239">
        <v>0</v>
      </c>
      <c r="R130" s="239">
        <v>0</v>
      </c>
      <c r="S130" s="239">
        <v>0</v>
      </c>
      <c r="T130" s="239">
        <v>0</v>
      </c>
      <c r="U130" s="239">
        <v>0</v>
      </c>
      <c r="V130" s="239">
        <v>0</v>
      </c>
      <c r="W130" s="239">
        <v>0</v>
      </c>
      <c r="X130" s="239">
        <v>0</v>
      </c>
      <c r="Y130" s="239">
        <v>0</v>
      </c>
      <c r="Z130" s="239">
        <v>0</v>
      </c>
      <c r="AA130" s="239">
        <v>0</v>
      </c>
      <c r="AB130" s="239">
        <v>0</v>
      </c>
      <c r="AC130" s="239">
        <v>2077586</v>
      </c>
      <c r="AD130" s="239">
        <v>2562355</v>
      </c>
      <c r="AE130" s="239">
        <v>0</v>
      </c>
      <c r="AF130" s="239">
        <v>4639941</v>
      </c>
      <c r="AG130" s="239">
        <v>903923</v>
      </c>
      <c r="AH130" s="239">
        <v>821748</v>
      </c>
      <c r="AI130" s="239">
        <v>1013489</v>
      </c>
      <c r="AJ130" s="239">
        <v>0</v>
      </c>
      <c r="AK130" s="239">
        <v>2739160</v>
      </c>
      <c r="AL130" s="239">
        <v>-1608822</v>
      </c>
      <c r="AM130" s="239">
        <v>-1462566</v>
      </c>
      <c r="AN130" s="239">
        <v>-1803831</v>
      </c>
      <c r="AO130" s="239">
        <v>0</v>
      </c>
      <c r="AP130" s="239">
        <v>-4875219</v>
      </c>
      <c r="AQ130" s="239">
        <v>-653466.39999999991</v>
      </c>
      <c r="AR130" s="239">
        <v>-594060</v>
      </c>
      <c r="AS130" s="239">
        <v>-732675</v>
      </c>
      <c r="AT130" s="239">
        <v>0</v>
      </c>
      <c r="AU130" s="239">
        <v>-1980201.4</v>
      </c>
      <c r="AV130" s="239">
        <v>192557</v>
      </c>
      <c r="AW130" s="239">
        <v>175052</v>
      </c>
      <c r="AX130" s="239">
        <v>215897</v>
      </c>
      <c r="AY130" s="239">
        <v>0</v>
      </c>
      <c r="AZ130" s="239">
        <v>583506</v>
      </c>
      <c r="BA130" s="239">
        <v>-215327.43000000005</v>
      </c>
      <c r="BB130" s="239">
        <v>-195752</v>
      </c>
      <c r="BC130" s="239">
        <v>-241427</v>
      </c>
      <c r="BD130" s="239">
        <v>0</v>
      </c>
      <c r="BE130" s="239">
        <v>-652506.43000000005</v>
      </c>
      <c r="BF130" s="239">
        <v>-676236.83</v>
      </c>
      <c r="BG130" s="239">
        <v>-614760</v>
      </c>
      <c r="BH130" s="239">
        <v>-758205</v>
      </c>
      <c r="BI130" s="239">
        <v>0</v>
      </c>
      <c r="BJ130" s="239">
        <v>-2049201.83</v>
      </c>
      <c r="BK130" s="239">
        <v>-2226114.4000000004</v>
      </c>
      <c r="BL130" s="239">
        <v>-2023741</v>
      </c>
      <c r="BM130" s="239">
        <v>-2495947</v>
      </c>
      <c r="BN130" s="239">
        <v>0</v>
      </c>
      <c r="BO130" s="239">
        <v>-6745802.4000000004</v>
      </c>
      <c r="BP130" s="239">
        <v>119152</v>
      </c>
      <c r="BQ130" s="239">
        <v>108320</v>
      </c>
      <c r="BR130" s="239">
        <v>133595</v>
      </c>
      <c r="BS130" s="239">
        <v>0</v>
      </c>
      <c r="BT130" s="239">
        <v>361067</v>
      </c>
      <c r="BU130" s="239">
        <v>-196021</v>
      </c>
      <c r="BV130" s="239">
        <v>-178202</v>
      </c>
      <c r="BW130" s="239">
        <v>-219782</v>
      </c>
      <c r="BX130" s="239">
        <v>0</v>
      </c>
      <c r="BY130" s="239">
        <v>-594005</v>
      </c>
      <c r="BZ130" s="239">
        <v>-2302983.4000000004</v>
      </c>
      <c r="CA130" s="239">
        <v>-2093623</v>
      </c>
      <c r="CB130" s="239">
        <v>-2582134</v>
      </c>
      <c r="CC130" s="239">
        <v>0</v>
      </c>
      <c r="CD130" s="239">
        <v>-6978740.4000000004</v>
      </c>
      <c r="CE130" s="239">
        <v>-227895.82999999821</v>
      </c>
      <c r="CF130" s="239">
        <v>-136736</v>
      </c>
      <c r="CG130" s="239">
        <v>-91159</v>
      </c>
      <c r="CH130" s="239">
        <v>0</v>
      </c>
      <c r="CI130" s="239">
        <v>-455790.82999999821</v>
      </c>
      <c r="CJ130" s="239">
        <v>244383</v>
      </c>
      <c r="CK130" s="239">
        <v>146630</v>
      </c>
      <c r="CL130" s="239">
        <v>97753</v>
      </c>
      <c r="CM130" s="239">
        <v>0</v>
      </c>
      <c r="CN130" s="239">
        <v>488766</v>
      </c>
      <c r="CO130" s="239">
        <v>-472278.82999999821</v>
      </c>
      <c r="CP130" s="239">
        <v>-283366</v>
      </c>
      <c r="CQ130" s="239">
        <v>-188912</v>
      </c>
      <c r="CR130" s="239">
        <v>0</v>
      </c>
      <c r="CS130" s="239">
        <v>-944556.82999999821</v>
      </c>
      <c r="CT130" s="239">
        <v>26509819</v>
      </c>
      <c r="CU130" s="239">
        <v>24099835</v>
      </c>
      <c r="CV130" s="239">
        <v>29723130</v>
      </c>
      <c r="CW130" s="239">
        <v>0</v>
      </c>
      <c r="CX130" s="239">
        <v>80332784</v>
      </c>
      <c r="CY130" s="239">
        <v>26368545.569999993</v>
      </c>
      <c r="CZ130" s="239">
        <v>23971406</v>
      </c>
      <c r="DA130" s="239">
        <v>29564734</v>
      </c>
      <c r="DB130" s="239">
        <v>0</v>
      </c>
      <c r="DC130" s="239">
        <v>79904685.569999993</v>
      </c>
      <c r="DD130" s="239">
        <v>-141273.43000000715</v>
      </c>
      <c r="DE130" s="239">
        <v>-128429</v>
      </c>
      <c r="DF130" s="239">
        <v>-158396</v>
      </c>
      <c r="DG130" s="239">
        <v>0</v>
      </c>
      <c r="DH130" s="239">
        <v>-428098.43000000715</v>
      </c>
      <c r="DI130" s="239">
        <v>-613552.26000000536</v>
      </c>
      <c r="DJ130" s="239">
        <v>-411795</v>
      </c>
      <c r="DK130" s="239">
        <v>-347308</v>
      </c>
      <c r="DL130" s="239">
        <v>0</v>
      </c>
      <c r="DM130" s="239">
        <v>-1372655.2600000054</v>
      </c>
      <c r="DN130" s="835">
        <v>0.33</v>
      </c>
      <c r="DO130" s="835">
        <v>0.3</v>
      </c>
      <c r="DP130" s="835">
        <v>0.37</v>
      </c>
      <c r="DQ130" s="835">
        <v>0</v>
      </c>
      <c r="DR130" s="835">
        <v>1</v>
      </c>
      <c r="DS130" s="214" t="s">
        <v>1159</v>
      </c>
      <c r="DU130" s="214">
        <v>0</v>
      </c>
    </row>
    <row r="131" spans="2:125" s="214" customFormat="1" x14ac:dyDescent="0.2">
      <c r="B131" s="602" t="s">
        <v>345</v>
      </c>
      <c r="C131" s="602" t="s">
        <v>344</v>
      </c>
      <c r="D131" s="239">
        <v>23167469</v>
      </c>
      <c r="E131" s="239">
        <v>22704119</v>
      </c>
      <c r="F131" s="239">
        <v>0</v>
      </c>
      <c r="G131" s="239">
        <v>463349</v>
      </c>
      <c r="H131" s="239">
        <v>46334937</v>
      </c>
      <c r="I131" s="239">
        <v>334593</v>
      </c>
      <c r="J131" s="239">
        <v>334593</v>
      </c>
      <c r="K131" s="239">
        <v>22832876</v>
      </c>
      <c r="L131" s="239">
        <v>299893</v>
      </c>
      <c r="M131" s="239">
        <v>299893</v>
      </c>
      <c r="N131" s="239">
        <v>74608</v>
      </c>
      <c r="O131" s="239">
        <v>74608</v>
      </c>
      <c r="P131" s="239">
        <v>115445</v>
      </c>
      <c r="Q131" s="239">
        <v>0</v>
      </c>
      <c r="R131" s="239">
        <v>115445</v>
      </c>
      <c r="S131" s="239">
        <v>334592.68884120171</v>
      </c>
      <c r="T131" s="239">
        <v>0</v>
      </c>
      <c r="U131" s="239">
        <v>0</v>
      </c>
      <c r="V131" s="239">
        <v>334592.68884120171</v>
      </c>
      <c r="W131" s="239">
        <v>0</v>
      </c>
      <c r="X131" s="239">
        <v>0</v>
      </c>
      <c r="Y131" s="239">
        <v>0</v>
      </c>
      <c r="Z131" s="239">
        <v>0</v>
      </c>
      <c r="AA131" s="239">
        <v>0</v>
      </c>
      <c r="AB131" s="239">
        <v>0</v>
      </c>
      <c r="AC131" s="239">
        <v>3245205</v>
      </c>
      <c r="AD131" s="239">
        <v>0</v>
      </c>
      <c r="AE131" s="239">
        <v>65123</v>
      </c>
      <c r="AF131" s="239">
        <v>3310328</v>
      </c>
      <c r="AG131" s="239">
        <v>730162</v>
      </c>
      <c r="AH131" s="239">
        <v>715559</v>
      </c>
      <c r="AI131" s="239">
        <v>0</v>
      </c>
      <c r="AJ131" s="239">
        <v>14603</v>
      </c>
      <c r="AK131" s="239">
        <v>1460324</v>
      </c>
      <c r="AL131" s="239">
        <v>-503530</v>
      </c>
      <c r="AM131" s="239">
        <v>-493459</v>
      </c>
      <c r="AN131" s="239">
        <v>0</v>
      </c>
      <c r="AO131" s="239">
        <v>-10071</v>
      </c>
      <c r="AP131" s="239">
        <v>-1007060</v>
      </c>
      <c r="AQ131" s="239">
        <v>-274442.42000000004</v>
      </c>
      <c r="AR131" s="239">
        <v>-268953</v>
      </c>
      <c r="AS131" s="239">
        <v>0</v>
      </c>
      <c r="AT131" s="239">
        <v>-5489</v>
      </c>
      <c r="AU131" s="239">
        <v>-548884.42000000004</v>
      </c>
      <c r="AV131" s="239">
        <v>99296</v>
      </c>
      <c r="AW131" s="239">
        <v>97310</v>
      </c>
      <c r="AX131" s="239">
        <v>0</v>
      </c>
      <c r="AY131" s="239">
        <v>1986</v>
      </c>
      <c r="AZ131" s="239">
        <v>198592</v>
      </c>
      <c r="BA131" s="239">
        <v>-100516</v>
      </c>
      <c r="BB131" s="239">
        <v>-98506</v>
      </c>
      <c r="BC131" s="239">
        <v>0</v>
      </c>
      <c r="BD131" s="239">
        <v>-2010</v>
      </c>
      <c r="BE131" s="239">
        <v>-201032</v>
      </c>
      <c r="BF131" s="239">
        <v>-275662.42000000004</v>
      </c>
      <c r="BG131" s="239">
        <v>-270149</v>
      </c>
      <c r="BH131" s="239">
        <v>0</v>
      </c>
      <c r="BI131" s="239">
        <v>-5513</v>
      </c>
      <c r="BJ131" s="239">
        <v>-551324.42000000004</v>
      </c>
      <c r="BK131" s="239">
        <v>-3569565</v>
      </c>
      <c r="BL131" s="239">
        <v>-3498174</v>
      </c>
      <c r="BM131" s="239">
        <v>0</v>
      </c>
      <c r="BN131" s="239">
        <v>-71391</v>
      </c>
      <c r="BO131" s="239">
        <v>-7139130</v>
      </c>
      <c r="BP131" s="239">
        <v>402543</v>
      </c>
      <c r="BQ131" s="239">
        <v>394492</v>
      </c>
      <c r="BR131" s="239">
        <v>0</v>
      </c>
      <c r="BS131" s="239">
        <v>8051</v>
      </c>
      <c r="BT131" s="239">
        <v>805086</v>
      </c>
      <c r="BU131" s="239">
        <v>-237322</v>
      </c>
      <c r="BV131" s="239">
        <v>-232575</v>
      </c>
      <c r="BW131" s="239">
        <v>0</v>
      </c>
      <c r="BX131" s="239">
        <v>-4746</v>
      </c>
      <c r="BY131" s="239">
        <v>-474643</v>
      </c>
      <c r="BZ131" s="239">
        <v>-3404344</v>
      </c>
      <c r="CA131" s="239">
        <v>-3336257</v>
      </c>
      <c r="CB131" s="239">
        <v>0</v>
      </c>
      <c r="CC131" s="239">
        <v>-68086</v>
      </c>
      <c r="CD131" s="239">
        <v>-6808687</v>
      </c>
      <c r="CE131" s="239">
        <v>20409</v>
      </c>
      <c r="CF131" s="239">
        <v>19999</v>
      </c>
      <c r="CG131" s="239">
        <v>0</v>
      </c>
      <c r="CH131" s="239">
        <v>407</v>
      </c>
      <c r="CI131" s="239">
        <v>40815</v>
      </c>
      <c r="CJ131" s="239">
        <v>514455</v>
      </c>
      <c r="CK131" s="239">
        <v>504166</v>
      </c>
      <c r="CL131" s="239">
        <v>0</v>
      </c>
      <c r="CM131" s="239">
        <v>10289</v>
      </c>
      <c r="CN131" s="239">
        <v>1028910</v>
      </c>
      <c r="CO131" s="239">
        <v>-494046</v>
      </c>
      <c r="CP131" s="239">
        <v>-484167</v>
      </c>
      <c r="CQ131" s="239">
        <v>0</v>
      </c>
      <c r="CR131" s="239">
        <v>-9882</v>
      </c>
      <c r="CS131" s="239">
        <v>-988095</v>
      </c>
      <c r="CT131" s="239">
        <v>22432927</v>
      </c>
      <c r="CU131" s="239">
        <v>21984269</v>
      </c>
      <c r="CV131" s="239">
        <v>0</v>
      </c>
      <c r="CW131" s="239">
        <v>448659</v>
      </c>
      <c r="CX131" s="239">
        <v>44865855</v>
      </c>
      <c r="CY131" s="239">
        <v>23167469</v>
      </c>
      <c r="CZ131" s="239">
        <v>22704119</v>
      </c>
      <c r="DA131" s="239">
        <v>0</v>
      </c>
      <c r="DB131" s="239">
        <v>463349</v>
      </c>
      <c r="DC131" s="239">
        <v>46334937</v>
      </c>
      <c r="DD131" s="239">
        <v>734542</v>
      </c>
      <c r="DE131" s="239">
        <v>719850</v>
      </c>
      <c r="DF131" s="239">
        <v>0</v>
      </c>
      <c r="DG131" s="239">
        <v>14690</v>
      </c>
      <c r="DH131" s="239">
        <v>1469082</v>
      </c>
      <c r="DI131" s="239">
        <v>240496</v>
      </c>
      <c r="DJ131" s="239">
        <v>235683</v>
      </c>
      <c r="DK131" s="239">
        <v>0</v>
      </c>
      <c r="DL131" s="239">
        <v>4808</v>
      </c>
      <c r="DM131" s="239">
        <v>480987</v>
      </c>
      <c r="DN131" s="835">
        <v>0.5</v>
      </c>
      <c r="DO131" s="835">
        <v>0.49</v>
      </c>
      <c r="DP131" s="835">
        <v>0</v>
      </c>
      <c r="DQ131" s="835">
        <v>0.01</v>
      </c>
      <c r="DR131" s="835">
        <v>1</v>
      </c>
      <c r="DS131" s="214" t="s">
        <v>746</v>
      </c>
      <c r="DU131" s="214">
        <v>0</v>
      </c>
    </row>
    <row r="132" spans="2:125" s="214" customFormat="1" x14ac:dyDescent="0.2">
      <c r="B132" s="602" t="s">
        <v>347</v>
      </c>
      <c r="C132" s="602" t="s">
        <v>346</v>
      </c>
      <c r="D132" s="239">
        <v>21201133</v>
      </c>
      <c r="E132" s="239">
        <v>16960907</v>
      </c>
      <c r="F132" s="239">
        <v>4240227</v>
      </c>
      <c r="G132" s="239">
        <v>0</v>
      </c>
      <c r="H132" s="239">
        <v>42402267</v>
      </c>
      <c r="I132" s="239">
        <v>0</v>
      </c>
      <c r="J132" s="239">
        <v>0</v>
      </c>
      <c r="K132" s="239">
        <v>21201133</v>
      </c>
      <c r="L132" s="239">
        <v>151151</v>
      </c>
      <c r="M132" s="239">
        <v>151151</v>
      </c>
      <c r="N132" s="239">
        <v>0</v>
      </c>
      <c r="O132" s="239">
        <v>0</v>
      </c>
      <c r="P132" s="239">
        <v>0</v>
      </c>
      <c r="Q132" s="239">
        <v>0</v>
      </c>
      <c r="R132" s="239">
        <v>0</v>
      </c>
      <c r="S132" s="239">
        <v>0</v>
      </c>
      <c r="T132" s="239">
        <v>0</v>
      </c>
      <c r="U132" s="239">
        <v>0</v>
      </c>
      <c r="V132" s="239">
        <v>0</v>
      </c>
      <c r="W132" s="239">
        <v>0</v>
      </c>
      <c r="X132" s="239">
        <v>0</v>
      </c>
      <c r="Y132" s="239">
        <v>0</v>
      </c>
      <c r="Z132" s="239">
        <v>0</v>
      </c>
      <c r="AA132" s="239">
        <v>0</v>
      </c>
      <c r="AB132" s="239">
        <v>0</v>
      </c>
      <c r="AC132" s="239">
        <v>1255215</v>
      </c>
      <c r="AD132" s="239">
        <v>313803</v>
      </c>
      <c r="AE132" s="239">
        <v>0</v>
      </c>
      <c r="AF132" s="239">
        <v>1569018</v>
      </c>
      <c r="AG132" s="239">
        <v>536224</v>
      </c>
      <c r="AH132" s="239">
        <v>428980</v>
      </c>
      <c r="AI132" s="239">
        <v>107245</v>
      </c>
      <c r="AJ132" s="239">
        <v>0</v>
      </c>
      <c r="AK132" s="239">
        <v>1072449</v>
      </c>
      <c r="AL132" s="239">
        <v>-1303358</v>
      </c>
      <c r="AM132" s="239">
        <v>-1042687</v>
      </c>
      <c r="AN132" s="239">
        <v>-260672</v>
      </c>
      <c r="AO132" s="239">
        <v>0</v>
      </c>
      <c r="AP132" s="239">
        <v>-2606717</v>
      </c>
      <c r="AQ132" s="239">
        <v>-139602.34999999998</v>
      </c>
      <c r="AR132" s="239">
        <v>-111682</v>
      </c>
      <c r="AS132" s="239">
        <v>-27920</v>
      </c>
      <c r="AT132" s="239">
        <v>0</v>
      </c>
      <c r="AU132" s="239">
        <v>-279204.34999999998</v>
      </c>
      <c r="AV132" s="239">
        <v>27923</v>
      </c>
      <c r="AW132" s="239">
        <v>22338</v>
      </c>
      <c r="AX132" s="239">
        <v>5585</v>
      </c>
      <c r="AY132" s="239">
        <v>0</v>
      </c>
      <c r="AZ132" s="239">
        <v>55846</v>
      </c>
      <c r="BA132" s="239">
        <v>-73331</v>
      </c>
      <c r="BB132" s="239">
        <v>-58665</v>
      </c>
      <c r="BC132" s="239">
        <v>-14666</v>
      </c>
      <c r="BD132" s="239">
        <v>0</v>
      </c>
      <c r="BE132" s="239">
        <v>-146662</v>
      </c>
      <c r="BF132" s="239">
        <v>-185010.34999999998</v>
      </c>
      <c r="BG132" s="239">
        <v>-148009</v>
      </c>
      <c r="BH132" s="239">
        <v>-37001</v>
      </c>
      <c r="BI132" s="239">
        <v>0</v>
      </c>
      <c r="BJ132" s="239">
        <v>-370020.35</v>
      </c>
      <c r="BK132" s="239">
        <v>-1501918</v>
      </c>
      <c r="BL132" s="239">
        <v>-1201535</v>
      </c>
      <c r="BM132" s="239">
        <v>-300384</v>
      </c>
      <c r="BN132" s="239">
        <v>0</v>
      </c>
      <c r="BO132" s="239">
        <v>-3003837</v>
      </c>
      <c r="BP132" s="239">
        <v>189829</v>
      </c>
      <c r="BQ132" s="239">
        <v>151863</v>
      </c>
      <c r="BR132" s="239">
        <v>37966</v>
      </c>
      <c r="BS132" s="239">
        <v>0</v>
      </c>
      <c r="BT132" s="239">
        <v>379658</v>
      </c>
      <c r="BU132" s="239">
        <v>-1819704</v>
      </c>
      <c r="BV132" s="239">
        <v>-1455763</v>
      </c>
      <c r="BW132" s="239">
        <v>-363941</v>
      </c>
      <c r="BX132" s="239">
        <v>0</v>
      </c>
      <c r="BY132" s="239">
        <v>-3639408</v>
      </c>
      <c r="BZ132" s="239">
        <v>-3131793</v>
      </c>
      <c r="CA132" s="239">
        <v>-2505435</v>
      </c>
      <c r="CB132" s="239">
        <v>-626359</v>
      </c>
      <c r="CC132" s="239">
        <v>0</v>
      </c>
      <c r="CD132" s="239">
        <v>-6263587</v>
      </c>
      <c r="CE132" s="239">
        <v>1009977</v>
      </c>
      <c r="CF132" s="239">
        <v>807980</v>
      </c>
      <c r="CG132" s="239">
        <v>201995</v>
      </c>
      <c r="CH132" s="239">
        <v>0</v>
      </c>
      <c r="CI132" s="239">
        <v>2019952</v>
      </c>
      <c r="CJ132" s="239">
        <v>-1891</v>
      </c>
      <c r="CK132" s="239">
        <v>-1512</v>
      </c>
      <c r="CL132" s="239">
        <v>-378</v>
      </c>
      <c r="CM132" s="239">
        <v>0</v>
      </c>
      <c r="CN132" s="239">
        <v>-3781</v>
      </c>
      <c r="CO132" s="239">
        <v>1011868</v>
      </c>
      <c r="CP132" s="239">
        <v>809492</v>
      </c>
      <c r="CQ132" s="239">
        <v>202373</v>
      </c>
      <c r="CR132" s="239">
        <v>0</v>
      </c>
      <c r="CS132" s="239">
        <v>2023733</v>
      </c>
      <c r="CT132" s="239">
        <v>21837847</v>
      </c>
      <c r="CU132" s="239">
        <v>17470278</v>
      </c>
      <c r="CV132" s="239">
        <v>4367569</v>
      </c>
      <c r="CW132" s="239">
        <v>0</v>
      </c>
      <c r="CX132" s="239">
        <v>43675694</v>
      </c>
      <c r="CY132" s="239">
        <v>21201133</v>
      </c>
      <c r="CZ132" s="239">
        <v>16960907</v>
      </c>
      <c r="DA132" s="239">
        <v>4240227</v>
      </c>
      <c r="DB132" s="239">
        <v>0</v>
      </c>
      <c r="DC132" s="239">
        <v>42402267</v>
      </c>
      <c r="DD132" s="239">
        <v>-636714</v>
      </c>
      <c r="DE132" s="239">
        <v>-509371</v>
      </c>
      <c r="DF132" s="239">
        <v>-127342</v>
      </c>
      <c r="DG132" s="239">
        <v>0</v>
      </c>
      <c r="DH132" s="239">
        <v>-1273427</v>
      </c>
      <c r="DI132" s="239">
        <v>375154</v>
      </c>
      <c r="DJ132" s="239">
        <v>300121</v>
      </c>
      <c r="DK132" s="239">
        <v>75031</v>
      </c>
      <c r="DL132" s="239">
        <v>0</v>
      </c>
      <c r="DM132" s="239">
        <v>750306</v>
      </c>
      <c r="DN132" s="835">
        <v>0.5</v>
      </c>
      <c r="DO132" s="835">
        <v>0.4</v>
      </c>
      <c r="DP132" s="835">
        <v>0.1</v>
      </c>
      <c r="DQ132" s="835">
        <v>0</v>
      </c>
      <c r="DR132" s="835">
        <v>1</v>
      </c>
      <c r="DS132" s="214" t="s">
        <v>1158</v>
      </c>
      <c r="DU132" s="214">
        <v>0</v>
      </c>
    </row>
    <row r="133" spans="2:125" s="214" customFormat="1" x14ac:dyDescent="0.2">
      <c r="B133" s="602" t="s">
        <v>349</v>
      </c>
      <c r="C133" s="602" t="s">
        <v>348</v>
      </c>
      <c r="D133" s="239">
        <v>12326153</v>
      </c>
      <c r="E133" s="239">
        <v>9860922</v>
      </c>
      <c r="F133" s="239">
        <v>2218708</v>
      </c>
      <c r="G133" s="239">
        <v>246523</v>
      </c>
      <c r="H133" s="239">
        <v>24652306</v>
      </c>
      <c r="I133" s="239">
        <v>0</v>
      </c>
      <c r="J133" s="239">
        <v>0</v>
      </c>
      <c r="K133" s="239">
        <v>12326153</v>
      </c>
      <c r="L133" s="239">
        <v>135269</v>
      </c>
      <c r="M133" s="239">
        <v>135269</v>
      </c>
      <c r="N133" s="239">
        <v>0</v>
      </c>
      <c r="O133" s="239">
        <v>0</v>
      </c>
      <c r="P133" s="239">
        <v>0</v>
      </c>
      <c r="Q133" s="239">
        <v>0</v>
      </c>
      <c r="R133" s="239">
        <v>0</v>
      </c>
      <c r="S133" s="239">
        <v>0</v>
      </c>
      <c r="T133" s="239">
        <v>0</v>
      </c>
      <c r="U133" s="239">
        <v>0</v>
      </c>
      <c r="V133" s="239">
        <v>0</v>
      </c>
      <c r="W133" s="239">
        <v>0</v>
      </c>
      <c r="X133" s="239">
        <v>0</v>
      </c>
      <c r="Y133" s="239">
        <v>0</v>
      </c>
      <c r="Z133" s="239">
        <v>0</v>
      </c>
      <c r="AA133" s="239">
        <v>0</v>
      </c>
      <c r="AB133" s="239">
        <v>0</v>
      </c>
      <c r="AC133" s="239">
        <v>1371963</v>
      </c>
      <c r="AD133" s="239">
        <v>308692</v>
      </c>
      <c r="AE133" s="239">
        <v>34299</v>
      </c>
      <c r="AF133" s="239">
        <v>1714954</v>
      </c>
      <c r="AG133" s="239">
        <v>585765</v>
      </c>
      <c r="AH133" s="239">
        <v>468612</v>
      </c>
      <c r="AI133" s="239">
        <v>105438</v>
      </c>
      <c r="AJ133" s="239">
        <v>11715</v>
      </c>
      <c r="AK133" s="239">
        <v>1171530</v>
      </c>
      <c r="AL133" s="239">
        <v>-227247</v>
      </c>
      <c r="AM133" s="239">
        <v>-181798</v>
      </c>
      <c r="AN133" s="239">
        <v>-40904</v>
      </c>
      <c r="AO133" s="239">
        <v>-4545</v>
      </c>
      <c r="AP133" s="239">
        <v>-454494</v>
      </c>
      <c r="AQ133" s="239">
        <v>-360858</v>
      </c>
      <c r="AR133" s="239">
        <v>-288686</v>
      </c>
      <c r="AS133" s="239">
        <v>-64954</v>
      </c>
      <c r="AT133" s="239">
        <v>-7217</v>
      </c>
      <c r="AU133" s="239">
        <v>-721715</v>
      </c>
      <c r="AV133" s="239">
        <v>53296</v>
      </c>
      <c r="AW133" s="239">
        <v>42636</v>
      </c>
      <c r="AX133" s="239">
        <v>9593</v>
      </c>
      <c r="AY133" s="239">
        <v>1066</v>
      </c>
      <c r="AZ133" s="239">
        <v>106591</v>
      </c>
      <c r="BA133" s="239">
        <v>-91024</v>
      </c>
      <c r="BB133" s="239">
        <v>-72818</v>
      </c>
      <c r="BC133" s="239">
        <v>-16384</v>
      </c>
      <c r="BD133" s="239">
        <v>-1820</v>
      </c>
      <c r="BE133" s="239">
        <v>-182046</v>
      </c>
      <c r="BF133" s="239">
        <v>-398586</v>
      </c>
      <c r="BG133" s="239">
        <v>-318868</v>
      </c>
      <c r="BH133" s="239">
        <v>-71745</v>
      </c>
      <c r="BI133" s="239">
        <v>-7971</v>
      </c>
      <c r="BJ133" s="239">
        <v>-797170</v>
      </c>
      <c r="BK133" s="239">
        <v>-626197</v>
      </c>
      <c r="BL133" s="239">
        <v>-500957</v>
      </c>
      <c r="BM133" s="239">
        <v>-112715</v>
      </c>
      <c r="BN133" s="239">
        <v>-12524</v>
      </c>
      <c r="BO133" s="239">
        <v>-1252393</v>
      </c>
      <c r="BP133" s="239">
        <v>658793</v>
      </c>
      <c r="BQ133" s="239">
        <v>527035</v>
      </c>
      <c r="BR133" s="239">
        <v>118583</v>
      </c>
      <c r="BS133" s="239">
        <v>13176</v>
      </c>
      <c r="BT133" s="239">
        <v>1317587</v>
      </c>
      <c r="BU133" s="239">
        <v>-795284</v>
      </c>
      <c r="BV133" s="239">
        <v>-636228</v>
      </c>
      <c r="BW133" s="239">
        <v>-143151</v>
      </c>
      <c r="BX133" s="239">
        <v>-15906</v>
      </c>
      <c r="BY133" s="239">
        <v>-1590569</v>
      </c>
      <c r="BZ133" s="239">
        <v>-762688</v>
      </c>
      <c r="CA133" s="239">
        <v>-610150</v>
      </c>
      <c r="CB133" s="239">
        <v>-137283</v>
      </c>
      <c r="CC133" s="239">
        <v>-15254</v>
      </c>
      <c r="CD133" s="239">
        <v>-1525375</v>
      </c>
      <c r="CE133" s="239">
        <v>65981</v>
      </c>
      <c r="CF133" s="239">
        <v>52785</v>
      </c>
      <c r="CG133" s="239">
        <v>11876</v>
      </c>
      <c r="CH133" s="239">
        <v>1319</v>
      </c>
      <c r="CI133" s="239">
        <v>131961</v>
      </c>
      <c r="CJ133" s="239">
        <v>31959</v>
      </c>
      <c r="CK133" s="239">
        <v>25568</v>
      </c>
      <c r="CL133" s="239">
        <v>5753</v>
      </c>
      <c r="CM133" s="239">
        <v>639</v>
      </c>
      <c r="CN133" s="239">
        <v>63919</v>
      </c>
      <c r="CO133" s="239">
        <v>34022</v>
      </c>
      <c r="CP133" s="239">
        <v>27217</v>
      </c>
      <c r="CQ133" s="239">
        <v>6123</v>
      </c>
      <c r="CR133" s="239">
        <v>680</v>
      </c>
      <c r="CS133" s="239">
        <v>68042</v>
      </c>
      <c r="CT133" s="239">
        <v>13449869</v>
      </c>
      <c r="CU133" s="239">
        <v>10759896</v>
      </c>
      <c r="CV133" s="239">
        <v>2420977</v>
      </c>
      <c r="CW133" s="239">
        <v>268997</v>
      </c>
      <c r="CX133" s="239">
        <v>26899739</v>
      </c>
      <c r="CY133" s="239">
        <v>12326153</v>
      </c>
      <c r="CZ133" s="239">
        <v>9860922</v>
      </c>
      <c r="DA133" s="239">
        <v>2218708</v>
      </c>
      <c r="DB133" s="239">
        <v>246523</v>
      </c>
      <c r="DC133" s="239">
        <v>24652306</v>
      </c>
      <c r="DD133" s="239">
        <v>-1123716</v>
      </c>
      <c r="DE133" s="239">
        <v>-898974</v>
      </c>
      <c r="DF133" s="239">
        <v>-202269</v>
      </c>
      <c r="DG133" s="239">
        <v>-22474</v>
      </c>
      <c r="DH133" s="239">
        <v>-2247433</v>
      </c>
      <c r="DI133" s="239">
        <v>-1089694</v>
      </c>
      <c r="DJ133" s="239">
        <v>-871757</v>
      </c>
      <c r="DK133" s="239">
        <v>-196146</v>
      </c>
      <c r="DL133" s="239">
        <v>-21794</v>
      </c>
      <c r="DM133" s="239">
        <v>-2179391</v>
      </c>
      <c r="DN133" s="835">
        <v>0.5</v>
      </c>
      <c r="DO133" s="835">
        <v>0.4</v>
      </c>
      <c r="DP133" s="835">
        <v>0.09</v>
      </c>
      <c r="DQ133" s="835">
        <v>0.01</v>
      </c>
      <c r="DR133" s="835">
        <v>1</v>
      </c>
      <c r="DS133" s="214" t="s">
        <v>1158</v>
      </c>
      <c r="DU133" s="214">
        <v>0</v>
      </c>
    </row>
    <row r="134" spans="2:125" s="214" customFormat="1" x14ac:dyDescent="0.2">
      <c r="B134" s="602" t="s">
        <v>351</v>
      </c>
      <c r="C134" s="602" t="s">
        <v>350</v>
      </c>
      <c r="D134" s="239">
        <v>115399389</v>
      </c>
      <c r="E134" s="239">
        <v>104908535</v>
      </c>
      <c r="F134" s="239">
        <v>129387193</v>
      </c>
      <c r="G134" s="239">
        <v>0</v>
      </c>
      <c r="H134" s="239">
        <v>349695117</v>
      </c>
      <c r="I134" s="239">
        <v>0</v>
      </c>
      <c r="J134" s="239">
        <v>0</v>
      </c>
      <c r="K134" s="239">
        <v>115399389</v>
      </c>
      <c r="L134" s="239">
        <v>576004</v>
      </c>
      <c r="M134" s="239">
        <v>576004</v>
      </c>
      <c r="N134" s="239">
        <v>0</v>
      </c>
      <c r="O134" s="239">
        <v>0</v>
      </c>
      <c r="P134" s="239">
        <v>0</v>
      </c>
      <c r="Q134" s="239">
        <v>0</v>
      </c>
      <c r="R134" s="239">
        <v>0</v>
      </c>
      <c r="S134" s="239">
        <v>0</v>
      </c>
      <c r="T134" s="239">
        <v>0</v>
      </c>
      <c r="U134" s="239">
        <v>0</v>
      </c>
      <c r="V134" s="239">
        <v>0</v>
      </c>
      <c r="W134" s="239">
        <v>0</v>
      </c>
      <c r="X134" s="239">
        <v>0</v>
      </c>
      <c r="Y134" s="239">
        <v>0</v>
      </c>
      <c r="Z134" s="239">
        <v>0</v>
      </c>
      <c r="AA134" s="239">
        <v>0</v>
      </c>
      <c r="AB134" s="239">
        <v>0</v>
      </c>
      <c r="AC134" s="239">
        <v>3228732</v>
      </c>
      <c r="AD134" s="239">
        <v>3982103</v>
      </c>
      <c r="AE134" s="239">
        <v>0</v>
      </c>
      <c r="AF134" s="239">
        <v>7210835</v>
      </c>
      <c r="AG134" s="239">
        <v>3161604</v>
      </c>
      <c r="AH134" s="239">
        <v>2874185</v>
      </c>
      <c r="AI134" s="239">
        <v>3544829</v>
      </c>
      <c r="AJ134" s="239">
        <v>0</v>
      </c>
      <c r="AK134" s="239">
        <v>9580618</v>
      </c>
      <c r="AL134" s="239">
        <v>-7121089</v>
      </c>
      <c r="AM134" s="239">
        <v>-6473717</v>
      </c>
      <c r="AN134" s="239">
        <v>-7984251</v>
      </c>
      <c r="AO134" s="239">
        <v>0</v>
      </c>
      <c r="AP134" s="239">
        <v>-21579057</v>
      </c>
      <c r="AQ134" s="239">
        <v>-448864</v>
      </c>
      <c r="AR134" s="239">
        <v>-408058</v>
      </c>
      <c r="AS134" s="239">
        <v>-503272</v>
      </c>
      <c r="AT134" s="239">
        <v>0</v>
      </c>
      <c r="AU134" s="239">
        <v>-1360194</v>
      </c>
      <c r="AV134" s="239">
        <v>212197</v>
      </c>
      <c r="AW134" s="239">
        <v>192907</v>
      </c>
      <c r="AX134" s="239">
        <v>237918</v>
      </c>
      <c r="AY134" s="239">
        <v>0</v>
      </c>
      <c r="AZ134" s="239">
        <v>643022</v>
      </c>
      <c r="BA134" s="239">
        <v>170646</v>
      </c>
      <c r="BB134" s="239">
        <v>155133</v>
      </c>
      <c r="BC134" s="239">
        <v>191331</v>
      </c>
      <c r="BD134" s="239">
        <v>0</v>
      </c>
      <c r="BE134" s="239">
        <v>517110</v>
      </c>
      <c r="BF134" s="239">
        <v>-66021</v>
      </c>
      <c r="BG134" s="239">
        <v>-60018</v>
      </c>
      <c r="BH134" s="239">
        <v>-74023</v>
      </c>
      <c r="BI134" s="239">
        <v>0</v>
      </c>
      <c r="BJ134" s="239">
        <v>-200062</v>
      </c>
      <c r="BK134" s="239">
        <v>-1533821</v>
      </c>
      <c r="BL134" s="239">
        <v>-1394382</v>
      </c>
      <c r="BM134" s="239">
        <v>-1719738</v>
      </c>
      <c r="BN134" s="239">
        <v>0</v>
      </c>
      <c r="BO134" s="239">
        <v>-4647941</v>
      </c>
      <c r="BP134" s="239">
        <v>622520</v>
      </c>
      <c r="BQ134" s="239">
        <v>565927</v>
      </c>
      <c r="BR134" s="239">
        <v>697977</v>
      </c>
      <c r="BS134" s="239">
        <v>0</v>
      </c>
      <c r="BT134" s="239">
        <v>1886424</v>
      </c>
      <c r="BU134" s="239">
        <v>-769033</v>
      </c>
      <c r="BV134" s="239">
        <v>-699122</v>
      </c>
      <c r="BW134" s="239">
        <v>-862250</v>
      </c>
      <c r="BX134" s="239">
        <v>0</v>
      </c>
      <c r="BY134" s="239">
        <v>-2330405</v>
      </c>
      <c r="BZ134" s="239">
        <v>-1680334</v>
      </c>
      <c r="CA134" s="239">
        <v>-1527577</v>
      </c>
      <c r="CB134" s="239">
        <v>-1884011</v>
      </c>
      <c r="CC134" s="239">
        <v>0</v>
      </c>
      <c r="CD134" s="239">
        <v>-5091922</v>
      </c>
      <c r="CE134" s="239">
        <v>863113</v>
      </c>
      <c r="CF134" s="239">
        <v>517868</v>
      </c>
      <c r="CG134" s="239">
        <v>345246</v>
      </c>
      <c r="CH134" s="239">
        <v>0</v>
      </c>
      <c r="CI134" s="239">
        <v>1726227</v>
      </c>
      <c r="CJ134" s="239">
        <v>2491000</v>
      </c>
      <c r="CK134" s="239">
        <v>1494600</v>
      </c>
      <c r="CL134" s="239">
        <v>996400</v>
      </c>
      <c r="CM134" s="239">
        <v>0</v>
      </c>
      <c r="CN134" s="239">
        <v>4982000</v>
      </c>
      <c r="CO134" s="239">
        <v>-1627887</v>
      </c>
      <c r="CP134" s="239">
        <v>-976732</v>
      </c>
      <c r="CQ134" s="239">
        <v>-651154</v>
      </c>
      <c r="CR134" s="239">
        <v>0</v>
      </c>
      <c r="CS134" s="239">
        <v>-3255773</v>
      </c>
      <c r="CT134" s="239">
        <v>116072213</v>
      </c>
      <c r="CU134" s="239">
        <v>105520193</v>
      </c>
      <c r="CV134" s="239">
        <v>130141571</v>
      </c>
      <c r="CW134" s="239">
        <v>0</v>
      </c>
      <c r="CX134" s="239">
        <v>351733977</v>
      </c>
      <c r="CY134" s="239">
        <v>115399389</v>
      </c>
      <c r="CZ134" s="239">
        <v>104908535</v>
      </c>
      <c r="DA134" s="239">
        <v>129387193</v>
      </c>
      <c r="DB134" s="239">
        <v>0</v>
      </c>
      <c r="DC134" s="239">
        <v>349695117</v>
      </c>
      <c r="DD134" s="239">
        <v>-672824</v>
      </c>
      <c r="DE134" s="239">
        <v>-611658</v>
      </c>
      <c r="DF134" s="239">
        <v>-754378</v>
      </c>
      <c r="DG134" s="239">
        <v>0</v>
      </c>
      <c r="DH134" s="239">
        <v>-2038860</v>
      </c>
      <c r="DI134" s="239">
        <v>-2300711</v>
      </c>
      <c r="DJ134" s="239">
        <v>-1588390</v>
      </c>
      <c r="DK134" s="239">
        <v>-1405532</v>
      </c>
      <c r="DL134" s="239">
        <v>0</v>
      </c>
      <c r="DM134" s="239">
        <v>-5294633</v>
      </c>
      <c r="DN134" s="835">
        <v>0.33</v>
      </c>
      <c r="DO134" s="835">
        <v>0.3</v>
      </c>
      <c r="DP134" s="835">
        <v>0.37</v>
      </c>
      <c r="DQ134" s="835">
        <v>0</v>
      </c>
      <c r="DR134" s="835">
        <v>1</v>
      </c>
      <c r="DS134" s="214" t="s">
        <v>1159</v>
      </c>
      <c r="DU134" s="214">
        <v>0</v>
      </c>
    </row>
    <row r="135" spans="2:125" s="214" customFormat="1" x14ac:dyDescent="0.2">
      <c r="B135" s="602" t="s">
        <v>353</v>
      </c>
      <c r="C135" s="602" t="s">
        <v>352</v>
      </c>
      <c r="D135" s="239">
        <v>15657469</v>
      </c>
      <c r="E135" s="239">
        <v>12525974</v>
      </c>
      <c r="F135" s="239">
        <v>2818344</v>
      </c>
      <c r="G135" s="239">
        <v>313149</v>
      </c>
      <c r="H135" s="239">
        <v>31314936</v>
      </c>
      <c r="I135" s="239">
        <v>256992</v>
      </c>
      <c r="J135" s="239">
        <v>256992</v>
      </c>
      <c r="K135" s="239">
        <v>15400477</v>
      </c>
      <c r="L135" s="239">
        <v>127087</v>
      </c>
      <c r="M135" s="239">
        <v>127087</v>
      </c>
      <c r="N135" s="239">
        <v>261268</v>
      </c>
      <c r="O135" s="239">
        <v>261268</v>
      </c>
      <c r="P135" s="239">
        <v>131168</v>
      </c>
      <c r="Q135" s="239">
        <v>0</v>
      </c>
      <c r="R135" s="239">
        <v>131168</v>
      </c>
      <c r="S135" s="239">
        <v>256992.26824034334</v>
      </c>
      <c r="T135" s="239">
        <v>0</v>
      </c>
      <c r="U135" s="239">
        <v>0</v>
      </c>
      <c r="V135" s="239">
        <v>256992.26824034334</v>
      </c>
      <c r="W135" s="239">
        <v>0</v>
      </c>
      <c r="X135" s="239">
        <v>0</v>
      </c>
      <c r="Y135" s="239">
        <v>0</v>
      </c>
      <c r="Z135" s="239">
        <v>0</v>
      </c>
      <c r="AA135" s="239">
        <v>0</v>
      </c>
      <c r="AB135" s="239">
        <v>0</v>
      </c>
      <c r="AC135" s="239">
        <v>1328364</v>
      </c>
      <c r="AD135" s="239">
        <v>297555</v>
      </c>
      <c r="AE135" s="239">
        <v>33062</v>
      </c>
      <c r="AF135" s="239">
        <v>1658981</v>
      </c>
      <c r="AG135" s="239">
        <v>85749</v>
      </c>
      <c r="AH135" s="239">
        <v>68599</v>
      </c>
      <c r="AI135" s="239">
        <v>15435</v>
      </c>
      <c r="AJ135" s="239">
        <v>1715</v>
      </c>
      <c r="AK135" s="239">
        <v>171498</v>
      </c>
      <c r="AL135" s="239">
        <v>-133644</v>
      </c>
      <c r="AM135" s="239">
        <v>-106916</v>
      </c>
      <c r="AN135" s="239">
        <v>-24056</v>
      </c>
      <c r="AO135" s="239">
        <v>-2673</v>
      </c>
      <c r="AP135" s="239">
        <v>-267289</v>
      </c>
      <c r="AQ135" s="239">
        <v>-98767</v>
      </c>
      <c r="AR135" s="239">
        <v>-79013</v>
      </c>
      <c r="AS135" s="239">
        <v>-17778</v>
      </c>
      <c r="AT135" s="239">
        <v>-1975</v>
      </c>
      <c r="AU135" s="239">
        <v>-197533</v>
      </c>
      <c r="AV135" s="239">
        <v>98767</v>
      </c>
      <c r="AW135" s="239">
        <v>79013</v>
      </c>
      <c r="AX135" s="239">
        <v>17778</v>
      </c>
      <c r="AY135" s="239">
        <v>1975</v>
      </c>
      <c r="AZ135" s="239">
        <v>197533</v>
      </c>
      <c r="BA135" s="239">
        <v>-22045</v>
      </c>
      <c r="BB135" s="239">
        <v>-17636</v>
      </c>
      <c r="BC135" s="239">
        <v>-3968</v>
      </c>
      <c r="BD135" s="239">
        <v>-441</v>
      </c>
      <c r="BE135" s="239">
        <v>-44090</v>
      </c>
      <c r="BF135" s="239">
        <v>-22045</v>
      </c>
      <c r="BG135" s="239">
        <v>-17636</v>
      </c>
      <c r="BH135" s="239">
        <v>-3968</v>
      </c>
      <c r="BI135" s="239">
        <v>-441</v>
      </c>
      <c r="BJ135" s="239">
        <v>-44090</v>
      </c>
      <c r="BK135" s="239">
        <v>-1160360</v>
      </c>
      <c r="BL135" s="239">
        <v>-928288</v>
      </c>
      <c r="BM135" s="239">
        <v>-208865</v>
      </c>
      <c r="BN135" s="239">
        <v>-23207</v>
      </c>
      <c r="BO135" s="239">
        <v>-2320720</v>
      </c>
      <c r="BP135" s="239">
        <v>741748</v>
      </c>
      <c r="BQ135" s="239">
        <v>593399</v>
      </c>
      <c r="BR135" s="239">
        <v>133515</v>
      </c>
      <c r="BS135" s="239">
        <v>14835</v>
      </c>
      <c r="BT135" s="239">
        <v>1483497</v>
      </c>
      <c r="BU135" s="239">
        <v>-1064374</v>
      </c>
      <c r="BV135" s="239">
        <v>-851500</v>
      </c>
      <c r="BW135" s="239">
        <v>-191588</v>
      </c>
      <c r="BX135" s="239">
        <v>-21288</v>
      </c>
      <c r="BY135" s="239">
        <v>-2128750</v>
      </c>
      <c r="BZ135" s="239">
        <v>-1482986</v>
      </c>
      <c r="CA135" s="239">
        <v>-1186389</v>
      </c>
      <c r="CB135" s="239">
        <v>-266938</v>
      </c>
      <c r="CC135" s="239">
        <v>-29660</v>
      </c>
      <c r="CD135" s="239">
        <v>-2965973</v>
      </c>
      <c r="CE135" s="239">
        <v>-531261</v>
      </c>
      <c r="CF135" s="239">
        <v>-425008</v>
      </c>
      <c r="CG135" s="239">
        <v>-95627</v>
      </c>
      <c r="CH135" s="239">
        <v>-10625</v>
      </c>
      <c r="CI135" s="239">
        <v>-1062521</v>
      </c>
      <c r="CJ135" s="239">
        <v>-463359</v>
      </c>
      <c r="CK135" s="239">
        <v>-370688</v>
      </c>
      <c r="CL135" s="239">
        <v>-83405</v>
      </c>
      <c r="CM135" s="239">
        <v>-9267</v>
      </c>
      <c r="CN135" s="239">
        <v>-926719</v>
      </c>
      <c r="CO135" s="239">
        <v>-67902</v>
      </c>
      <c r="CP135" s="239">
        <v>-54320</v>
      </c>
      <c r="CQ135" s="239">
        <v>-12222</v>
      </c>
      <c r="CR135" s="239">
        <v>-1358</v>
      </c>
      <c r="CS135" s="239">
        <v>-135802</v>
      </c>
      <c r="CT135" s="239">
        <v>15777315</v>
      </c>
      <c r="CU135" s="239">
        <v>12621852</v>
      </c>
      <c r="CV135" s="239">
        <v>2839917</v>
      </c>
      <c r="CW135" s="239">
        <v>315546</v>
      </c>
      <c r="CX135" s="239">
        <v>31554630</v>
      </c>
      <c r="CY135" s="239">
        <v>15657469</v>
      </c>
      <c r="CZ135" s="239">
        <v>12525974</v>
      </c>
      <c r="DA135" s="239">
        <v>2818344</v>
      </c>
      <c r="DB135" s="239">
        <v>313149</v>
      </c>
      <c r="DC135" s="239">
        <v>31314936</v>
      </c>
      <c r="DD135" s="239">
        <v>-119846</v>
      </c>
      <c r="DE135" s="239">
        <v>-95878</v>
      </c>
      <c r="DF135" s="239">
        <v>-21573</v>
      </c>
      <c r="DG135" s="239">
        <v>-2397</v>
      </c>
      <c r="DH135" s="239">
        <v>-239694</v>
      </c>
      <c r="DI135" s="239">
        <v>-187748</v>
      </c>
      <c r="DJ135" s="239">
        <v>-150198</v>
      </c>
      <c r="DK135" s="239">
        <v>-33795</v>
      </c>
      <c r="DL135" s="239">
        <v>-3755</v>
      </c>
      <c r="DM135" s="239">
        <v>-375496</v>
      </c>
      <c r="DN135" s="835">
        <v>0.5</v>
      </c>
      <c r="DO135" s="835">
        <v>0.4</v>
      </c>
      <c r="DP135" s="835">
        <v>0.09</v>
      </c>
      <c r="DQ135" s="835">
        <v>0.01</v>
      </c>
      <c r="DR135" s="835">
        <v>1</v>
      </c>
      <c r="DS135" s="214" t="s">
        <v>1158</v>
      </c>
      <c r="DU135" s="214">
        <v>0</v>
      </c>
    </row>
    <row r="136" spans="2:125" s="214" customFormat="1" x14ac:dyDescent="0.2">
      <c r="B136" s="602" t="s">
        <v>355</v>
      </c>
      <c r="C136" s="602" t="s">
        <v>354</v>
      </c>
      <c r="D136" s="239">
        <v>20306054</v>
      </c>
      <c r="E136" s="239">
        <v>16244844</v>
      </c>
      <c r="F136" s="239">
        <v>4061211</v>
      </c>
      <c r="G136" s="239">
        <v>0</v>
      </c>
      <c r="H136" s="239">
        <v>40612109</v>
      </c>
      <c r="I136" s="239">
        <v>0</v>
      </c>
      <c r="J136" s="239">
        <v>0</v>
      </c>
      <c r="K136" s="239">
        <v>20306054</v>
      </c>
      <c r="L136" s="239">
        <v>179932</v>
      </c>
      <c r="M136" s="239">
        <v>179932</v>
      </c>
      <c r="N136" s="239">
        <v>0</v>
      </c>
      <c r="O136" s="239">
        <v>0</v>
      </c>
      <c r="P136" s="239">
        <v>0</v>
      </c>
      <c r="Q136" s="239">
        <v>0</v>
      </c>
      <c r="R136" s="239">
        <v>0</v>
      </c>
      <c r="S136" s="239">
        <v>0</v>
      </c>
      <c r="T136" s="239">
        <v>0</v>
      </c>
      <c r="U136" s="239">
        <v>0</v>
      </c>
      <c r="V136" s="239">
        <v>0</v>
      </c>
      <c r="W136" s="239">
        <v>0</v>
      </c>
      <c r="X136" s="239">
        <v>0</v>
      </c>
      <c r="Y136" s="239">
        <v>0</v>
      </c>
      <c r="Z136" s="239">
        <v>0</v>
      </c>
      <c r="AA136" s="239">
        <v>0</v>
      </c>
      <c r="AB136" s="239">
        <v>0</v>
      </c>
      <c r="AC136" s="239">
        <v>1849026</v>
      </c>
      <c r="AD136" s="239">
        <v>462257</v>
      </c>
      <c r="AE136" s="239">
        <v>0</v>
      </c>
      <c r="AF136" s="239">
        <v>2311283</v>
      </c>
      <c r="AG136" s="239">
        <v>957340</v>
      </c>
      <c r="AH136" s="239">
        <v>765872</v>
      </c>
      <c r="AI136" s="239">
        <v>191468</v>
      </c>
      <c r="AJ136" s="239">
        <v>0</v>
      </c>
      <c r="AK136" s="239">
        <v>1914680</v>
      </c>
      <c r="AL136" s="239">
        <v>-1250245</v>
      </c>
      <c r="AM136" s="239">
        <v>-1000196</v>
      </c>
      <c r="AN136" s="239">
        <v>-250049</v>
      </c>
      <c r="AO136" s="239">
        <v>0</v>
      </c>
      <c r="AP136" s="239">
        <v>-2500490</v>
      </c>
      <c r="AQ136" s="239">
        <v>-771936</v>
      </c>
      <c r="AR136" s="239">
        <v>-617548</v>
      </c>
      <c r="AS136" s="239">
        <v>-154387</v>
      </c>
      <c r="AT136" s="239">
        <v>0</v>
      </c>
      <c r="AU136" s="239">
        <v>-1543871</v>
      </c>
      <c r="AV136" s="239">
        <v>333357</v>
      </c>
      <c r="AW136" s="239">
        <v>266686</v>
      </c>
      <c r="AX136" s="239">
        <v>66671</v>
      </c>
      <c r="AY136" s="239">
        <v>0</v>
      </c>
      <c r="AZ136" s="239">
        <v>666714</v>
      </c>
      <c r="BA136" s="239">
        <v>-55864</v>
      </c>
      <c r="BB136" s="239">
        <v>-44692</v>
      </c>
      <c r="BC136" s="239">
        <v>-11173</v>
      </c>
      <c r="BD136" s="239">
        <v>0</v>
      </c>
      <c r="BE136" s="239">
        <v>-111729</v>
      </c>
      <c r="BF136" s="239">
        <v>-494443</v>
      </c>
      <c r="BG136" s="239">
        <v>-395554</v>
      </c>
      <c r="BH136" s="239">
        <v>-98889</v>
      </c>
      <c r="BI136" s="239">
        <v>0</v>
      </c>
      <c r="BJ136" s="239">
        <v>-988886</v>
      </c>
      <c r="BK136" s="239">
        <v>-2660484</v>
      </c>
      <c r="BL136" s="239">
        <v>-2128388</v>
      </c>
      <c r="BM136" s="239">
        <v>-532097</v>
      </c>
      <c r="BN136" s="239">
        <v>0</v>
      </c>
      <c r="BO136" s="239">
        <v>-5320969</v>
      </c>
      <c r="BP136" s="239">
        <v>1101493</v>
      </c>
      <c r="BQ136" s="239">
        <v>881194</v>
      </c>
      <c r="BR136" s="239">
        <v>220299</v>
      </c>
      <c r="BS136" s="239">
        <v>0</v>
      </c>
      <c r="BT136" s="239">
        <v>2202986</v>
      </c>
      <c r="BU136" s="239">
        <v>-747287</v>
      </c>
      <c r="BV136" s="239">
        <v>-597830</v>
      </c>
      <c r="BW136" s="239">
        <v>-149458</v>
      </c>
      <c r="BX136" s="239">
        <v>0</v>
      </c>
      <c r="BY136" s="239">
        <v>-1494575</v>
      </c>
      <c r="BZ136" s="239">
        <v>-2306278</v>
      </c>
      <c r="CA136" s="239">
        <v>-1845024</v>
      </c>
      <c r="CB136" s="239">
        <v>-461256</v>
      </c>
      <c r="CC136" s="239">
        <v>0</v>
      </c>
      <c r="CD136" s="239">
        <v>-4612558</v>
      </c>
      <c r="CE136" s="239">
        <v>44865</v>
      </c>
      <c r="CF136" s="239">
        <v>35891</v>
      </c>
      <c r="CG136" s="239">
        <v>8973</v>
      </c>
      <c r="CH136" s="239">
        <v>0</v>
      </c>
      <c r="CI136" s="239">
        <v>89729</v>
      </c>
      <c r="CJ136" s="239">
        <v>350000</v>
      </c>
      <c r="CK136" s="239">
        <v>280000</v>
      </c>
      <c r="CL136" s="239">
        <v>70000</v>
      </c>
      <c r="CM136" s="239">
        <v>0</v>
      </c>
      <c r="CN136" s="239">
        <v>700000</v>
      </c>
      <c r="CO136" s="239">
        <v>-305135</v>
      </c>
      <c r="CP136" s="239">
        <v>-244109</v>
      </c>
      <c r="CQ136" s="239">
        <v>-61027</v>
      </c>
      <c r="CR136" s="239">
        <v>0</v>
      </c>
      <c r="CS136" s="239">
        <v>-610271</v>
      </c>
      <c r="CT136" s="239">
        <v>21021350</v>
      </c>
      <c r="CU136" s="239">
        <v>16817080</v>
      </c>
      <c r="CV136" s="239">
        <v>4204270</v>
      </c>
      <c r="CW136" s="239">
        <v>0</v>
      </c>
      <c r="CX136" s="239">
        <v>42042700</v>
      </c>
      <c r="CY136" s="239">
        <v>20306054</v>
      </c>
      <c r="CZ136" s="239">
        <v>16244844</v>
      </c>
      <c r="DA136" s="239">
        <v>4061211</v>
      </c>
      <c r="DB136" s="239">
        <v>0</v>
      </c>
      <c r="DC136" s="239">
        <v>40612109</v>
      </c>
      <c r="DD136" s="239">
        <v>-715296</v>
      </c>
      <c r="DE136" s="239">
        <v>-572236</v>
      </c>
      <c r="DF136" s="239">
        <v>-143059</v>
      </c>
      <c r="DG136" s="239">
        <v>0</v>
      </c>
      <c r="DH136" s="239">
        <v>-1430591</v>
      </c>
      <c r="DI136" s="239">
        <v>-1020431</v>
      </c>
      <c r="DJ136" s="239">
        <v>-816345</v>
      </c>
      <c r="DK136" s="239">
        <v>-204086</v>
      </c>
      <c r="DL136" s="239">
        <v>0</v>
      </c>
      <c r="DM136" s="239">
        <v>-2040862</v>
      </c>
      <c r="DN136" s="835">
        <v>0.5</v>
      </c>
      <c r="DO136" s="835">
        <v>0.4</v>
      </c>
      <c r="DP136" s="835">
        <v>0.1</v>
      </c>
      <c r="DQ136" s="835">
        <v>0</v>
      </c>
      <c r="DR136" s="835">
        <v>1</v>
      </c>
      <c r="DS136" s="214" t="s">
        <v>1158</v>
      </c>
      <c r="DU136" s="214">
        <v>0</v>
      </c>
    </row>
    <row r="137" spans="2:125" s="214" customFormat="1" x14ac:dyDescent="0.2">
      <c r="B137" s="602" t="s">
        <v>357</v>
      </c>
      <c r="C137" s="602" t="s">
        <v>356</v>
      </c>
      <c r="D137" s="239">
        <v>68411326</v>
      </c>
      <c r="E137" s="239">
        <v>62192114</v>
      </c>
      <c r="F137" s="239">
        <v>76703608</v>
      </c>
      <c r="G137" s="239">
        <v>0</v>
      </c>
      <c r="H137" s="239">
        <v>207307048</v>
      </c>
      <c r="I137" s="239">
        <v>0</v>
      </c>
      <c r="J137" s="239">
        <v>0</v>
      </c>
      <c r="K137" s="239">
        <v>68411326</v>
      </c>
      <c r="L137" s="239">
        <v>415076</v>
      </c>
      <c r="M137" s="239">
        <v>415076</v>
      </c>
      <c r="N137" s="239">
        <v>0</v>
      </c>
      <c r="O137" s="239">
        <v>0</v>
      </c>
      <c r="P137" s="239">
        <v>0</v>
      </c>
      <c r="Q137" s="239">
        <v>0</v>
      </c>
      <c r="R137" s="239">
        <v>0</v>
      </c>
      <c r="S137" s="239">
        <v>0</v>
      </c>
      <c r="T137" s="239">
        <v>0</v>
      </c>
      <c r="U137" s="239">
        <v>0</v>
      </c>
      <c r="V137" s="239">
        <v>0</v>
      </c>
      <c r="W137" s="239">
        <v>0</v>
      </c>
      <c r="X137" s="239">
        <v>0</v>
      </c>
      <c r="Y137" s="239">
        <v>0</v>
      </c>
      <c r="Z137" s="239">
        <v>0</v>
      </c>
      <c r="AA137" s="239">
        <v>0</v>
      </c>
      <c r="AB137" s="239">
        <v>0</v>
      </c>
      <c r="AC137" s="239">
        <v>2559209</v>
      </c>
      <c r="AD137" s="239">
        <v>3156358</v>
      </c>
      <c r="AE137" s="239">
        <v>0</v>
      </c>
      <c r="AF137" s="239">
        <v>5715567</v>
      </c>
      <c r="AG137" s="239">
        <v>2593716</v>
      </c>
      <c r="AH137" s="239">
        <v>2357923</v>
      </c>
      <c r="AI137" s="239">
        <v>2908105</v>
      </c>
      <c r="AJ137" s="239">
        <v>0</v>
      </c>
      <c r="AK137" s="239">
        <v>7859744</v>
      </c>
      <c r="AL137" s="239">
        <v>-2483691</v>
      </c>
      <c r="AM137" s="239">
        <v>-2257901</v>
      </c>
      <c r="AN137" s="239">
        <v>-2784744</v>
      </c>
      <c r="AO137" s="239">
        <v>0</v>
      </c>
      <c r="AP137" s="239">
        <v>-7526336</v>
      </c>
      <c r="AQ137" s="239">
        <v>-1155000</v>
      </c>
      <c r="AR137" s="239">
        <v>-1050000</v>
      </c>
      <c r="AS137" s="239">
        <v>-1295000</v>
      </c>
      <c r="AT137" s="239">
        <v>0</v>
      </c>
      <c r="AU137" s="239">
        <v>-3500000</v>
      </c>
      <c r="AV137" s="239">
        <v>-275326</v>
      </c>
      <c r="AW137" s="239">
        <v>-250297</v>
      </c>
      <c r="AX137" s="239">
        <v>-308700</v>
      </c>
      <c r="AY137" s="239">
        <v>0</v>
      </c>
      <c r="AZ137" s="239">
        <v>-834323</v>
      </c>
      <c r="BA137" s="239">
        <v>572326</v>
      </c>
      <c r="BB137" s="239">
        <v>520297</v>
      </c>
      <c r="BC137" s="239">
        <v>641700</v>
      </c>
      <c r="BD137" s="239">
        <v>0</v>
      </c>
      <c r="BE137" s="239">
        <v>1734323</v>
      </c>
      <c r="BF137" s="239">
        <v>-858000</v>
      </c>
      <c r="BG137" s="239">
        <v>-780000</v>
      </c>
      <c r="BH137" s="239">
        <v>-962000</v>
      </c>
      <c r="BI137" s="239">
        <v>0</v>
      </c>
      <c r="BJ137" s="239">
        <v>-2600000</v>
      </c>
      <c r="BK137" s="239">
        <v>-9537000</v>
      </c>
      <c r="BL137" s="239">
        <v>-8670000</v>
      </c>
      <c r="BM137" s="239">
        <v>-10693000</v>
      </c>
      <c r="BN137" s="239">
        <v>0</v>
      </c>
      <c r="BO137" s="239">
        <v>-28900000</v>
      </c>
      <c r="BP137" s="239">
        <v>3773092</v>
      </c>
      <c r="BQ137" s="239">
        <v>3430084</v>
      </c>
      <c r="BR137" s="239">
        <v>4230436</v>
      </c>
      <c r="BS137" s="239">
        <v>0</v>
      </c>
      <c r="BT137" s="239">
        <v>11433612</v>
      </c>
      <c r="BU137" s="239">
        <v>483908</v>
      </c>
      <c r="BV137" s="239">
        <v>439916</v>
      </c>
      <c r="BW137" s="239">
        <v>542564</v>
      </c>
      <c r="BX137" s="239">
        <v>0</v>
      </c>
      <c r="BY137" s="239">
        <v>1466388</v>
      </c>
      <c r="BZ137" s="239">
        <v>-5280000</v>
      </c>
      <c r="CA137" s="239">
        <v>-4800000</v>
      </c>
      <c r="CB137" s="239">
        <v>-5920000</v>
      </c>
      <c r="CC137" s="239">
        <v>0</v>
      </c>
      <c r="CD137" s="239">
        <v>-16000000</v>
      </c>
      <c r="CE137" s="239">
        <v>-5892380.6500000004</v>
      </c>
      <c r="CF137" s="239">
        <v>-3535428.39</v>
      </c>
      <c r="CG137" s="239">
        <v>-2356952.2599999998</v>
      </c>
      <c r="CH137" s="239">
        <v>0</v>
      </c>
      <c r="CI137" s="239">
        <v>-11784761</v>
      </c>
      <c r="CJ137" s="239">
        <v>-517172</v>
      </c>
      <c r="CK137" s="239">
        <v>-310304</v>
      </c>
      <c r="CL137" s="239">
        <v>-206869</v>
      </c>
      <c r="CM137" s="239">
        <v>0</v>
      </c>
      <c r="CN137" s="239">
        <v>-1034345</v>
      </c>
      <c r="CO137" s="239">
        <v>-5375208.6500000004</v>
      </c>
      <c r="CP137" s="239">
        <v>-3225124.39</v>
      </c>
      <c r="CQ137" s="239">
        <v>-2150083.2599999998</v>
      </c>
      <c r="CR137" s="239">
        <v>0</v>
      </c>
      <c r="CS137" s="239">
        <v>-10750416</v>
      </c>
      <c r="CT137" s="239">
        <v>60653450</v>
      </c>
      <c r="CU137" s="239">
        <v>55139500</v>
      </c>
      <c r="CV137" s="239">
        <v>68005383</v>
      </c>
      <c r="CW137" s="239">
        <v>0</v>
      </c>
      <c r="CX137" s="239">
        <v>183798333</v>
      </c>
      <c r="CY137" s="239">
        <v>68411326</v>
      </c>
      <c r="CZ137" s="239">
        <v>62192114</v>
      </c>
      <c r="DA137" s="239">
        <v>76703608</v>
      </c>
      <c r="DB137" s="239">
        <v>0</v>
      </c>
      <c r="DC137" s="239">
        <v>207307048</v>
      </c>
      <c r="DD137" s="239">
        <v>7757876</v>
      </c>
      <c r="DE137" s="239">
        <v>7052614</v>
      </c>
      <c r="DF137" s="239">
        <v>8698225</v>
      </c>
      <c r="DG137" s="239">
        <v>0</v>
      </c>
      <c r="DH137" s="239">
        <v>23508715</v>
      </c>
      <c r="DI137" s="239">
        <v>2382667.3499999996</v>
      </c>
      <c r="DJ137" s="239">
        <v>3827489.61</v>
      </c>
      <c r="DK137" s="239">
        <v>6548141.7400000002</v>
      </c>
      <c r="DL137" s="239">
        <v>0</v>
      </c>
      <c r="DM137" s="239">
        <v>12758299</v>
      </c>
      <c r="DN137" s="835">
        <v>0.33</v>
      </c>
      <c r="DO137" s="835">
        <v>0.3</v>
      </c>
      <c r="DP137" s="835">
        <v>0.37</v>
      </c>
      <c r="DQ137" s="835">
        <v>0</v>
      </c>
      <c r="DR137" s="835">
        <v>1</v>
      </c>
      <c r="DS137" s="214" t="s">
        <v>1159</v>
      </c>
      <c r="DU137" s="214">
        <v>0</v>
      </c>
    </row>
    <row r="138" spans="2:125" s="214" customFormat="1" x14ac:dyDescent="0.2">
      <c r="B138" s="602" t="s">
        <v>359</v>
      </c>
      <c r="C138" s="602" t="s">
        <v>358</v>
      </c>
      <c r="D138" s="239">
        <v>26952797</v>
      </c>
      <c r="E138" s="239">
        <v>21562238</v>
      </c>
      <c r="F138" s="239">
        <v>4851503</v>
      </c>
      <c r="G138" s="239">
        <v>539056</v>
      </c>
      <c r="H138" s="239">
        <v>53905594</v>
      </c>
      <c r="I138" s="239">
        <v>303205</v>
      </c>
      <c r="J138" s="239">
        <v>303205</v>
      </c>
      <c r="K138" s="239">
        <v>26649592</v>
      </c>
      <c r="L138" s="239">
        <v>217080</v>
      </c>
      <c r="M138" s="239">
        <v>217080</v>
      </c>
      <c r="N138" s="239">
        <v>0</v>
      </c>
      <c r="O138" s="239">
        <v>0</v>
      </c>
      <c r="P138" s="239">
        <v>881438</v>
      </c>
      <c r="Q138" s="239">
        <v>0</v>
      </c>
      <c r="R138" s="239">
        <v>881438</v>
      </c>
      <c r="S138" s="239">
        <v>303205.18025751074</v>
      </c>
      <c r="T138" s="239">
        <v>0</v>
      </c>
      <c r="U138" s="239">
        <v>0</v>
      </c>
      <c r="V138" s="239">
        <v>303205.18025751074</v>
      </c>
      <c r="W138" s="239">
        <v>0</v>
      </c>
      <c r="X138" s="239">
        <v>0</v>
      </c>
      <c r="Y138" s="239">
        <v>0</v>
      </c>
      <c r="Z138" s="239">
        <v>0</v>
      </c>
      <c r="AA138" s="239">
        <v>0</v>
      </c>
      <c r="AB138" s="239">
        <v>0</v>
      </c>
      <c r="AC138" s="239">
        <v>2008470</v>
      </c>
      <c r="AD138" s="239">
        <v>448246</v>
      </c>
      <c r="AE138" s="239">
        <v>49803</v>
      </c>
      <c r="AF138" s="239">
        <v>2506519</v>
      </c>
      <c r="AG138" s="239">
        <v>464756</v>
      </c>
      <c r="AH138" s="239">
        <v>371805</v>
      </c>
      <c r="AI138" s="239">
        <v>83656</v>
      </c>
      <c r="AJ138" s="239">
        <v>9295</v>
      </c>
      <c r="AK138" s="239">
        <v>929512</v>
      </c>
      <c r="AL138" s="239">
        <v>-667464</v>
      </c>
      <c r="AM138" s="239">
        <v>-533970</v>
      </c>
      <c r="AN138" s="239">
        <v>-120143</v>
      </c>
      <c r="AO138" s="239">
        <v>-13349</v>
      </c>
      <c r="AP138" s="239">
        <v>-1334926</v>
      </c>
      <c r="AQ138" s="239">
        <v>311547</v>
      </c>
      <c r="AR138" s="239">
        <v>249238</v>
      </c>
      <c r="AS138" s="239">
        <v>56078</v>
      </c>
      <c r="AT138" s="239">
        <v>6231</v>
      </c>
      <c r="AU138" s="239">
        <v>623094</v>
      </c>
      <c r="AV138" s="239">
        <v>57977</v>
      </c>
      <c r="AW138" s="239">
        <v>46382</v>
      </c>
      <c r="AX138" s="239">
        <v>10436</v>
      </c>
      <c r="AY138" s="239">
        <v>1160</v>
      </c>
      <c r="AZ138" s="239">
        <v>115955</v>
      </c>
      <c r="BA138" s="239">
        <v>73468</v>
      </c>
      <c r="BB138" s="239">
        <v>58774</v>
      </c>
      <c r="BC138" s="239">
        <v>13224</v>
      </c>
      <c r="BD138" s="239">
        <v>1469</v>
      </c>
      <c r="BE138" s="239">
        <v>146935</v>
      </c>
      <c r="BF138" s="239">
        <v>442992</v>
      </c>
      <c r="BG138" s="239">
        <v>354394</v>
      </c>
      <c r="BH138" s="239">
        <v>79738</v>
      </c>
      <c r="BI138" s="239">
        <v>8860</v>
      </c>
      <c r="BJ138" s="239">
        <v>885984</v>
      </c>
      <c r="BK138" s="239">
        <v>-1603535</v>
      </c>
      <c r="BL138" s="239">
        <v>-1282828</v>
      </c>
      <c r="BM138" s="239">
        <v>-288636</v>
      </c>
      <c r="BN138" s="239">
        <v>-32071</v>
      </c>
      <c r="BO138" s="239">
        <v>-3207070</v>
      </c>
      <c r="BP138" s="239">
        <v>1066389</v>
      </c>
      <c r="BQ138" s="239">
        <v>853111</v>
      </c>
      <c r="BR138" s="239">
        <v>191950</v>
      </c>
      <c r="BS138" s="239">
        <v>21328</v>
      </c>
      <c r="BT138" s="239">
        <v>2132778</v>
      </c>
      <c r="BU138" s="239">
        <v>-1450708</v>
      </c>
      <c r="BV138" s="239">
        <v>-1160566</v>
      </c>
      <c r="BW138" s="239">
        <v>-261127</v>
      </c>
      <c r="BX138" s="239">
        <v>-29014</v>
      </c>
      <c r="BY138" s="239">
        <v>-2901415</v>
      </c>
      <c r="BZ138" s="239">
        <v>-1987854</v>
      </c>
      <c r="CA138" s="239">
        <v>-1590283</v>
      </c>
      <c r="CB138" s="239">
        <v>-357813</v>
      </c>
      <c r="CC138" s="239">
        <v>-39757</v>
      </c>
      <c r="CD138" s="239">
        <v>-3975707</v>
      </c>
      <c r="CE138" s="239">
        <v>1561489</v>
      </c>
      <c r="CF138" s="239">
        <v>1249191</v>
      </c>
      <c r="CG138" s="239">
        <v>281068</v>
      </c>
      <c r="CH138" s="239">
        <v>31230</v>
      </c>
      <c r="CI138" s="239">
        <v>3122978</v>
      </c>
      <c r="CJ138" s="239">
        <v>1892175</v>
      </c>
      <c r="CK138" s="239">
        <v>1513739</v>
      </c>
      <c r="CL138" s="239">
        <v>340591</v>
      </c>
      <c r="CM138" s="239">
        <v>37843</v>
      </c>
      <c r="CN138" s="239">
        <v>3784348</v>
      </c>
      <c r="CO138" s="239">
        <v>-330686</v>
      </c>
      <c r="CP138" s="239">
        <v>-264548</v>
      </c>
      <c r="CQ138" s="239">
        <v>-59523</v>
      </c>
      <c r="CR138" s="239">
        <v>-6613</v>
      </c>
      <c r="CS138" s="239">
        <v>-661370</v>
      </c>
      <c r="CT138" s="239">
        <v>26283024</v>
      </c>
      <c r="CU138" s="239">
        <v>21026420</v>
      </c>
      <c r="CV138" s="239">
        <v>4730945</v>
      </c>
      <c r="CW138" s="239">
        <v>525661</v>
      </c>
      <c r="CX138" s="239">
        <v>52566050</v>
      </c>
      <c r="CY138" s="239">
        <v>26952797</v>
      </c>
      <c r="CZ138" s="239">
        <v>21562238</v>
      </c>
      <c r="DA138" s="239">
        <v>4851503</v>
      </c>
      <c r="DB138" s="239">
        <v>539056</v>
      </c>
      <c r="DC138" s="239">
        <v>53905594</v>
      </c>
      <c r="DD138" s="239">
        <v>669773</v>
      </c>
      <c r="DE138" s="239">
        <v>535818</v>
      </c>
      <c r="DF138" s="239">
        <v>120558</v>
      </c>
      <c r="DG138" s="239">
        <v>13395</v>
      </c>
      <c r="DH138" s="239">
        <v>1339544</v>
      </c>
      <c r="DI138" s="239">
        <v>339087</v>
      </c>
      <c r="DJ138" s="239">
        <v>271270</v>
      </c>
      <c r="DK138" s="239">
        <v>61035</v>
      </c>
      <c r="DL138" s="239">
        <v>6782</v>
      </c>
      <c r="DM138" s="239">
        <v>678174</v>
      </c>
      <c r="DN138" s="835">
        <v>0.5</v>
      </c>
      <c r="DO138" s="835">
        <v>0.4</v>
      </c>
      <c r="DP138" s="835">
        <v>0.09</v>
      </c>
      <c r="DQ138" s="835">
        <v>0.01</v>
      </c>
      <c r="DR138" s="835">
        <v>1</v>
      </c>
      <c r="DS138" s="214" t="s">
        <v>1158</v>
      </c>
      <c r="DU138" s="214">
        <v>0</v>
      </c>
    </row>
    <row r="139" spans="2:125" s="214" customFormat="1" x14ac:dyDescent="0.2">
      <c r="B139" s="602" t="s">
        <v>361</v>
      </c>
      <c r="C139" s="602" t="s">
        <v>360</v>
      </c>
      <c r="D139" s="239">
        <v>8660652</v>
      </c>
      <c r="E139" s="239">
        <v>6928521</v>
      </c>
      <c r="F139" s="239">
        <v>1558917</v>
      </c>
      <c r="G139" s="239">
        <v>173213</v>
      </c>
      <c r="H139" s="239">
        <v>17321303</v>
      </c>
      <c r="I139" s="239">
        <v>0</v>
      </c>
      <c r="J139" s="239">
        <v>0</v>
      </c>
      <c r="K139" s="239">
        <v>8660652</v>
      </c>
      <c r="L139" s="239">
        <v>125909</v>
      </c>
      <c r="M139" s="239">
        <v>125909</v>
      </c>
      <c r="N139" s="239">
        <v>0</v>
      </c>
      <c r="O139" s="239">
        <v>0</v>
      </c>
      <c r="P139" s="239">
        <v>0</v>
      </c>
      <c r="Q139" s="239">
        <v>0</v>
      </c>
      <c r="R139" s="239">
        <v>0</v>
      </c>
      <c r="S139" s="239">
        <v>0</v>
      </c>
      <c r="T139" s="239">
        <v>0</v>
      </c>
      <c r="U139" s="239">
        <v>0</v>
      </c>
      <c r="V139" s="239">
        <v>0</v>
      </c>
      <c r="W139" s="239">
        <v>0</v>
      </c>
      <c r="X139" s="239">
        <v>0</v>
      </c>
      <c r="Y139" s="239">
        <v>0</v>
      </c>
      <c r="Z139" s="239">
        <v>0</v>
      </c>
      <c r="AA139" s="239">
        <v>0</v>
      </c>
      <c r="AB139" s="239">
        <v>0</v>
      </c>
      <c r="AC139" s="239">
        <v>1124039</v>
      </c>
      <c r="AD139" s="239">
        <v>252908</v>
      </c>
      <c r="AE139" s="239">
        <v>28102</v>
      </c>
      <c r="AF139" s="239">
        <v>1405049</v>
      </c>
      <c r="AG139" s="239">
        <v>1717448</v>
      </c>
      <c r="AH139" s="239">
        <v>1373958</v>
      </c>
      <c r="AI139" s="239">
        <v>309141</v>
      </c>
      <c r="AJ139" s="239">
        <v>34349</v>
      </c>
      <c r="AK139" s="239">
        <v>3434896</v>
      </c>
      <c r="AL139" s="239">
        <v>-579775</v>
      </c>
      <c r="AM139" s="239">
        <v>-463821</v>
      </c>
      <c r="AN139" s="239">
        <v>-104360</v>
      </c>
      <c r="AO139" s="239">
        <v>-11596</v>
      </c>
      <c r="AP139" s="239">
        <v>-1159552</v>
      </c>
      <c r="AQ139" s="239">
        <v>-1525075</v>
      </c>
      <c r="AR139" s="239">
        <v>-1220060</v>
      </c>
      <c r="AS139" s="239">
        <v>-274513</v>
      </c>
      <c r="AT139" s="239">
        <v>-30501</v>
      </c>
      <c r="AU139" s="239">
        <v>-3050149</v>
      </c>
      <c r="AV139" s="239">
        <v>572522</v>
      </c>
      <c r="AW139" s="239">
        <v>458018</v>
      </c>
      <c r="AX139" s="239">
        <v>103054</v>
      </c>
      <c r="AY139" s="239">
        <v>11450</v>
      </c>
      <c r="AZ139" s="239">
        <v>1145044</v>
      </c>
      <c r="BA139" s="239">
        <v>-245958</v>
      </c>
      <c r="BB139" s="239">
        <v>-196766</v>
      </c>
      <c r="BC139" s="239">
        <v>-44272</v>
      </c>
      <c r="BD139" s="239">
        <v>-4919</v>
      </c>
      <c r="BE139" s="239">
        <v>-491915</v>
      </c>
      <c r="BF139" s="239">
        <v>-1198511</v>
      </c>
      <c r="BG139" s="239">
        <v>-958808</v>
      </c>
      <c r="BH139" s="239">
        <v>-215731</v>
      </c>
      <c r="BI139" s="239">
        <v>-23970</v>
      </c>
      <c r="BJ139" s="239">
        <v>-2397020</v>
      </c>
      <c r="BK139" s="239">
        <v>-1793747.2000000002</v>
      </c>
      <c r="BL139" s="239">
        <v>-1434997</v>
      </c>
      <c r="BM139" s="239">
        <v>-322874</v>
      </c>
      <c r="BN139" s="239">
        <v>-35875</v>
      </c>
      <c r="BO139" s="239">
        <v>-3587493.2</v>
      </c>
      <c r="BP139" s="239">
        <v>286526</v>
      </c>
      <c r="BQ139" s="239">
        <v>229222</v>
      </c>
      <c r="BR139" s="239">
        <v>51575</v>
      </c>
      <c r="BS139" s="239">
        <v>5731</v>
      </c>
      <c r="BT139" s="239">
        <v>573054</v>
      </c>
      <c r="BU139" s="239">
        <v>-345709</v>
      </c>
      <c r="BV139" s="239">
        <v>-276567</v>
      </c>
      <c r="BW139" s="239">
        <v>-62228</v>
      </c>
      <c r="BX139" s="239">
        <v>-6914</v>
      </c>
      <c r="BY139" s="239">
        <v>-691418</v>
      </c>
      <c r="BZ139" s="239">
        <v>-1852930.2000000002</v>
      </c>
      <c r="CA139" s="239">
        <v>-1482342</v>
      </c>
      <c r="CB139" s="239">
        <v>-333527</v>
      </c>
      <c r="CC139" s="239">
        <v>-37058</v>
      </c>
      <c r="CD139" s="239">
        <v>-3705857.2</v>
      </c>
      <c r="CE139" s="239">
        <v>732281</v>
      </c>
      <c r="CF139" s="239">
        <v>585828</v>
      </c>
      <c r="CG139" s="239">
        <v>131811</v>
      </c>
      <c r="CH139" s="239">
        <v>14646</v>
      </c>
      <c r="CI139" s="239">
        <v>1464566</v>
      </c>
      <c r="CJ139" s="239">
        <v>883579</v>
      </c>
      <c r="CK139" s="239">
        <v>706863</v>
      </c>
      <c r="CL139" s="239">
        <v>159044</v>
      </c>
      <c r="CM139" s="239">
        <v>17672</v>
      </c>
      <c r="CN139" s="239">
        <v>1767158</v>
      </c>
      <c r="CO139" s="239">
        <v>-151298</v>
      </c>
      <c r="CP139" s="239">
        <v>-121035</v>
      </c>
      <c r="CQ139" s="239">
        <v>-27233</v>
      </c>
      <c r="CR139" s="239">
        <v>-3026</v>
      </c>
      <c r="CS139" s="239">
        <v>-302592</v>
      </c>
      <c r="CT139" s="239">
        <v>8419258</v>
      </c>
      <c r="CU139" s="239">
        <v>6735406</v>
      </c>
      <c r="CV139" s="239">
        <v>1515466</v>
      </c>
      <c r="CW139" s="239">
        <v>168385</v>
      </c>
      <c r="CX139" s="239">
        <v>16838515</v>
      </c>
      <c r="CY139" s="239">
        <v>8660652</v>
      </c>
      <c r="CZ139" s="239">
        <v>6928521</v>
      </c>
      <c r="DA139" s="239">
        <v>1558917</v>
      </c>
      <c r="DB139" s="239">
        <v>173213</v>
      </c>
      <c r="DC139" s="239">
        <v>17321303</v>
      </c>
      <c r="DD139" s="239">
        <v>241394</v>
      </c>
      <c r="DE139" s="239">
        <v>193115</v>
      </c>
      <c r="DF139" s="239">
        <v>43451</v>
      </c>
      <c r="DG139" s="239">
        <v>4828</v>
      </c>
      <c r="DH139" s="239">
        <v>482788</v>
      </c>
      <c r="DI139" s="239">
        <v>90096</v>
      </c>
      <c r="DJ139" s="239">
        <v>72080</v>
      </c>
      <c r="DK139" s="239">
        <v>16218</v>
      </c>
      <c r="DL139" s="239">
        <v>1802</v>
      </c>
      <c r="DM139" s="239">
        <v>180196</v>
      </c>
      <c r="DN139" s="835">
        <v>0.5</v>
      </c>
      <c r="DO139" s="835">
        <v>0.4</v>
      </c>
      <c r="DP139" s="835">
        <v>0.09</v>
      </c>
      <c r="DQ139" s="835">
        <v>0.01</v>
      </c>
      <c r="DR139" s="835">
        <v>1</v>
      </c>
      <c r="DS139" s="214" t="s">
        <v>1158</v>
      </c>
      <c r="DU139" s="214">
        <v>0</v>
      </c>
    </row>
    <row r="140" spans="2:125" s="214" customFormat="1" x14ac:dyDescent="0.2">
      <c r="B140" s="602" t="s">
        <v>363</v>
      </c>
      <c r="C140" s="602" t="s">
        <v>362</v>
      </c>
      <c r="D140" s="239">
        <v>25413521</v>
      </c>
      <c r="E140" s="239">
        <v>20330816</v>
      </c>
      <c r="F140" s="239">
        <v>5082704</v>
      </c>
      <c r="G140" s="239">
        <v>0</v>
      </c>
      <c r="H140" s="239">
        <v>50827041</v>
      </c>
      <c r="I140" s="239">
        <v>6979</v>
      </c>
      <c r="J140" s="239">
        <v>6979</v>
      </c>
      <c r="K140" s="239">
        <v>25406542</v>
      </c>
      <c r="L140" s="239">
        <v>187343</v>
      </c>
      <c r="M140" s="239">
        <v>187343</v>
      </c>
      <c r="N140" s="239">
        <v>0</v>
      </c>
      <c r="O140" s="239">
        <v>0</v>
      </c>
      <c r="P140" s="239">
        <v>2597</v>
      </c>
      <c r="Q140" s="239">
        <v>0</v>
      </c>
      <c r="R140" s="239">
        <v>2597</v>
      </c>
      <c r="S140" s="239">
        <v>6979.2875536480688</v>
      </c>
      <c r="T140" s="239">
        <v>0</v>
      </c>
      <c r="U140" s="239">
        <v>0</v>
      </c>
      <c r="V140" s="239">
        <v>6979.2875536480688</v>
      </c>
      <c r="W140" s="239">
        <v>0</v>
      </c>
      <c r="X140" s="239">
        <v>0</v>
      </c>
      <c r="Y140" s="239">
        <v>0</v>
      </c>
      <c r="Z140" s="239">
        <v>0</v>
      </c>
      <c r="AA140" s="239">
        <v>0</v>
      </c>
      <c r="AB140" s="239">
        <v>0</v>
      </c>
      <c r="AC140" s="239">
        <v>1772866</v>
      </c>
      <c r="AD140" s="239">
        <v>391696</v>
      </c>
      <c r="AE140" s="239">
        <v>0</v>
      </c>
      <c r="AF140" s="239">
        <v>2164562</v>
      </c>
      <c r="AG140" s="239">
        <v>820970</v>
      </c>
      <c r="AH140" s="239">
        <v>656776</v>
      </c>
      <c r="AI140" s="239">
        <v>164194</v>
      </c>
      <c r="AJ140" s="239">
        <v>0</v>
      </c>
      <c r="AK140" s="239">
        <v>1641940</v>
      </c>
      <c r="AL140" s="239">
        <v>-152332</v>
      </c>
      <c r="AM140" s="239">
        <v>-121866</v>
      </c>
      <c r="AN140" s="239">
        <v>-30467</v>
      </c>
      <c r="AO140" s="239">
        <v>0</v>
      </c>
      <c r="AP140" s="239">
        <v>-304665</v>
      </c>
      <c r="AQ140" s="239">
        <v>-391101</v>
      </c>
      <c r="AR140" s="239">
        <v>-312880</v>
      </c>
      <c r="AS140" s="239">
        <v>-78220</v>
      </c>
      <c r="AT140" s="239">
        <v>0</v>
      </c>
      <c r="AU140" s="239">
        <v>-782201</v>
      </c>
      <c r="AV140" s="239">
        <v>192651</v>
      </c>
      <c r="AW140" s="239">
        <v>154120</v>
      </c>
      <c r="AX140" s="239">
        <v>38530</v>
      </c>
      <c r="AY140" s="239">
        <v>0</v>
      </c>
      <c r="AZ140" s="239">
        <v>385301</v>
      </c>
      <c r="BA140" s="239">
        <v>-247618</v>
      </c>
      <c r="BB140" s="239">
        <v>-198095</v>
      </c>
      <c r="BC140" s="239">
        <v>-49524</v>
      </c>
      <c r="BD140" s="239">
        <v>0</v>
      </c>
      <c r="BE140" s="239">
        <v>-495237</v>
      </c>
      <c r="BF140" s="239">
        <v>-446068</v>
      </c>
      <c r="BG140" s="239">
        <v>-356855</v>
      </c>
      <c r="BH140" s="239">
        <v>-89214</v>
      </c>
      <c r="BI140" s="239">
        <v>0</v>
      </c>
      <c r="BJ140" s="239">
        <v>-892137</v>
      </c>
      <c r="BK140" s="239">
        <v>-1175222</v>
      </c>
      <c r="BL140" s="239">
        <v>-940178</v>
      </c>
      <c r="BM140" s="239">
        <v>-235045</v>
      </c>
      <c r="BN140" s="239">
        <v>0</v>
      </c>
      <c r="BO140" s="239">
        <v>-2350445</v>
      </c>
      <c r="BP140" s="239">
        <v>1031171</v>
      </c>
      <c r="BQ140" s="239">
        <v>824937</v>
      </c>
      <c r="BR140" s="239">
        <v>206234</v>
      </c>
      <c r="BS140" s="239">
        <v>0</v>
      </c>
      <c r="BT140" s="239">
        <v>2062342</v>
      </c>
      <c r="BU140" s="239">
        <v>-676362</v>
      </c>
      <c r="BV140" s="239">
        <v>-541090</v>
      </c>
      <c r="BW140" s="239">
        <v>-135272</v>
      </c>
      <c r="BX140" s="239">
        <v>0</v>
      </c>
      <c r="BY140" s="239">
        <v>-1352724</v>
      </c>
      <c r="BZ140" s="239">
        <v>-820413</v>
      </c>
      <c r="CA140" s="239">
        <v>-656331</v>
      </c>
      <c r="CB140" s="239">
        <v>-164083</v>
      </c>
      <c r="CC140" s="239">
        <v>0</v>
      </c>
      <c r="CD140" s="239">
        <v>-1640827</v>
      </c>
      <c r="CE140" s="239">
        <v>-1271287</v>
      </c>
      <c r="CF140" s="239">
        <v>-1017030</v>
      </c>
      <c r="CG140" s="239">
        <v>-254257</v>
      </c>
      <c r="CH140" s="239">
        <v>0</v>
      </c>
      <c r="CI140" s="239">
        <v>-2542574</v>
      </c>
      <c r="CJ140" s="239">
        <v>-854497</v>
      </c>
      <c r="CK140" s="239">
        <v>-683598</v>
      </c>
      <c r="CL140" s="239">
        <v>-170899</v>
      </c>
      <c r="CM140" s="239">
        <v>0</v>
      </c>
      <c r="CN140" s="239">
        <v>-1708994</v>
      </c>
      <c r="CO140" s="239">
        <v>-416790</v>
      </c>
      <c r="CP140" s="239">
        <v>-333432</v>
      </c>
      <c r="CQ140" s="239">
        <v>-83358</v>
      </c>
      <c r="CR140" s="239">
        <v>0</v>
      </c>
      <c r="CS140" s="239">
        <v>-833580</v>
      </c>
      <c r="CT140" s="239">
        <v>26401908</v>
      </c>
      <c r="CU140" s="239">
        <v>21121527</v>
      </c>
      <c r="CV140" s="239">
        <v>5280382</v>
      </c>
      <c r="CW140" s="239">
        <v>0</v>
      </c>
      <c r="CX140" s="239">
        <v>52803817</v>
      </c>
      <c r="CY140" s="239">
        <v>25413521</v>
      </c>
      <c r="CZ140" s="239">
        <v>20330816</v>
      </c>
      <c r="DA140" s="239">
        <v>5082704</v>
      </c>
      <c r="DB140" s="239">
        <v>0</v>
      </c>
      <c r="DC140" s="239">
        <v>50827041</v>
      </c>
      <c r="DD140" s="239">
        <v>-988387</v>
      </c>
      <c r="DE140" s="239">
        <v>-790711</v>
      </c>
      <c r="DF140" s="239">
        <v>-197678</v>
      </c>
      <c r="DG140" s="239">
        <v>0</v>
      </c>
      <c r="DH140" s="239">
        <v>-1976776</v>
      </c>
      <c r="DI140" s="239">
        <v>-1405177</v>
      </c>
      <c r="DJ140" s="239">
        <v>-1124143</v>
      </c>
      <c r="DK140" s="239">
        <v>-281036</v>
      </c>
      <c r="DL140" s="239">
        <v>0</v>
      </c>
      <c r="DM140" s="239">
        <v>-2810356</v>
      </c>
      <c r="DN140" s="835">
        <v>0.5</v>
      </c>
      <c r="DO140" s="835">
        <v>0.4</v>
      </c>
      <c r="DP140" s="835">
        <v>0.1</v>
      </c>
      <c r="DQ140" s="835">
        <v>0</v>
      </c>
      <c r="DR140" s="835">
        <v>1</v>
      </c>
      <c r="DS140" s="214" t="s">
        <v>1158</v>
      </c>
      <c r="DU140" s="214">
        <v>0</v>
      </c>
    </row>
    <row r="141" spans="2:125" s="214" customFormat="1" x14ac:dyDescent="0.2">
      <c r="B141" s="602" t="s">
        <v>365</v>
      </c>
      <c r="C141" s="602" t="s">
        <v>364</v>
      </c>
      <c r="D141" s="239">
        <v>17572401</v>
      </c>
      <c r="E141" s="239">
        <v>17572402</v>
      </c>
      <c r="F141" s="239">
        <v>0</v>
      </c>
      <c r="G141" s="239">
        <v>0</v>
      </c>
      <c r="H141" s="239">
        <v>35144803</v>
      </c>
      <c r="I141" s="239">
        <v>0</v>
      </c>
      <c r="J141" s="239">
        <v>0</v>
      </c>
      <c r="K141" s="239">
        <v>17572401</v>
      </c>
      <c r="L141" s="239">
        <v>263045</v>
      </c>
      <c r="M141" s="239">
        <v>263045</v>
      </c>
      <c r="N141" s="239">
        <v>0</v>
      </c>
      <c r="O141" s="239">
        <v>0</v>
      </c>
      <c r="P141" s="239">
        <v>270954</v>
      </c>
      <c r="Q141" s="239">
        <v>0</v>
      </c>
      <c r="R141" s="239">
        <v>270954</v>
      </c>
      <c r="S141" s="239">
        <v>0</v>
      </c>
      <c r="T141" s="239">
        <v>0</v>
      </c>
      <c r="U141" s="239">
        <v>0</v>
      </c>
      <c r="V141" s="239">
        <v>0</v>
      </c>
      <c r="W141" s="239">
        <v>0</v>
      </c>
      <c r="X141" s="239">
        <v>0</v>
      </c>
      <c r="Y141" s="239">
        <v>0</v>
      </c>
      <c r="Z141" s="239">
        <v>0</v>
      </c>
      <c r="AA141" s="239">
        <v>0</v>
      </c>
      <c r="AB141" s="239">
        <v>0</v>
      </c>
      <c r="AC141" s="239">
        <v>3034389</v>
      </c>
      <c r="AD141" s="239">
        <v>0</v>
      </c>
      <c r="AE141" s="239">
        <v>0</v>
      </c>
      <c r="AF141" s="239">
        <v>3034389</v>
      </c>
      <c r="AG141" s="239">
        <v>550656</v>
      </c>
      <c r="AH141" s="239">
        <v>550656</v>
      </c>
      <c r="AI141" s="239">
        <v>0</v>
      </c>
      <c r="AJ141" s="239">
        <v>0</v>
      </c>
      <c r="AK141" s="239">
        <v>1101312</v>
      </c>
      <c r="AL141" s="239">
        <v>-436043</v>
      </c>
      <c r="AM141" s="239">
        <v>-436043</v>
      </c>
      <c r="AN141" s="239">
        <v>0</v>
      </c>
      <c r="AO141" s="239">
        <v>0</v>
      </c>
      <c r="AP141" s="239">
        <v>-872086</v>
      </c>
      <c r="AQ141" s="239">
        <v>-223566</v>
      </c>
      <c r="AR141" s="239">
        <v>-223566</v>
      </c>
      <c r="AS141" s="239">
        <v>0</v>
      </c>
      <c r="AT141" s="239">
        <v>0</v>
      </c>
      <c r="AU141" s="239">
        <v>-447132</v>
      </c>
      <c r="AV141" s="239">
        <v>137115</v>
      </c>
      <c r="AW141" s="239">
        <v>137116</v>
      </c>
      <c r="AX141" s="239">
        <v>0</v>
      </c>
      <c r="AY141" s="239">
        <v>0</v>
      </c>
      <c r="AZ141" s="239">
        <v>274231</v>
      </c>
      <c r="BA141" s="239">
        <v>-125522</v>
      </c>
      <c r="BB141" s="239">
        <v>-125522</v>
      </c>
      <c r="BC141" s="239">
        <v>0</v>
      </c>
      <c r="BD141" s="239">
        <v>0</v>
      </c>
      <c r="BE141" s="239">
        <v>-251044</v>
      </c>
      <c r="BF141" s="239">
        <v>-211973</v>
      </c>
      <c r="BG141" s="239">
        <v>-211972</v>
      </c>
      <c r="BH141" s="239">
        <v>0</v>
      </c>
      <c r="BI141" s="239">
        <v>0</v>
      </c>
      <c r="BJ141" s="239">
        <v>-423945</v>
      </c>
      <c r="BK141" s="239">
        <v>-2060594</v>
      </c>
      <c r="BL141" s="239">
        <v>-2060594</v>
      </c>
      <c r="BM141" s="239">
        <v>0</v>
      </c>
      <c r="BN141" s="239">
        <v>0</v>
      </c>
      <c r="BO141" s="239">
        <v>-4121188</v>
      </c>
      <c r="BP141" s="239">
        <v>616672</v>
      </c>
      <c r="BQ141" s="239">
        <v>616672</v>
      </c>
      <c r="BR141" s="239">
        <v>0</v>
      </c>
      <c r="BS141" s="239">
        <v>0</v>
      </c>
      <c r="BT141" s="239">
        <v>1233344</v>
      </c>
      <c r="BU141" s="239">
        <v>-1639235</v>
      </c>
      <c r="BV141" s="239">
        <v>-1639236</v>
      </c>
      <c r="BW141" s="239">
        <v>0</v>
      </c>
      <c r="BX141" s="239">
        <v>0</v>
      </c>
      <c r="BY141" s="239">
        <v>-3278471</v>
      </c>
      <c r="BZ141" s="239">
        <v>-3083157</v>
      </c>
      <c r="CA141" s="239">
        <v>-3083158</v>
      </c>
      <c r="CB141" s="239">
        <v>0</v>
      </c>
      <c r="CC141" s="239">
        <v>0</v>
      </c>
      <c r="CD141" s="239">
        <v>-6166315</v>
      </c>
      <c r="CE141" s="239">
        <v>-720510</v>
      </c>
      <c r="CF141" s="239">
        <v>-720510</v>
      </c>
      <c r="CG141" s="239">
        <v>0</v>
      </c>
      <c r="CH141" s="239">
        <v>0</v>
      </c>
      <c r="CI141" s="239">
        <v>-1441020</v>
      </c>
      <c r="CJ141" s="239">
        <v>-900000</v>
      </c>
      <c r="CK141" s="239">
        <v>-900000</v>
      </c>
      <c r="CL141" s="239">
        <v>0</v>
      </c>
      <c r="CM141" s="239">
        <v>0</v>
      </c>
      <c r="CN141" s="239">
        <v>-1800000</v>
      </c>
      <c r="CO141" s="239">
        <v>179490</v>
      </c>
      <c r="CP141" s="239">
        <v>179490</v>
      </c>
      <c r="CQ141" s="239">
        <v>0</v>
      </c>
      <c r="CR141" s="239">
        <v>0</v>
      </c>
      <c r="CS141" s="239">
        <v>358980</v>
      </c>
      <c r="CT141" s="239">
        <v>18386203</v>
      </c>
      <c r="CU141" s="239">
        <v>18386204</v>
      </c>
      <c r="CV141" s="239">
        <v>0</v>
      </c>
      <c r="CW141" s="239">
        <v>0</v>
      </c>
      <c r="CX141" s="239">
        <v>36772407</v>
      </c>
      <c r="CY141" s="239">
        <v>17572401</v>
      </c>
      <c r="CZ141" s="239">
        <v>17572402</v>
      </c>
      <c r="DA141" s="239">
        <v>0</v>
      </c>
      <c r="DB141" s="239">
        <v>0</v>
      </c>
      <c r="DC141" s="239">
        <v>35144803</v>
      </c>
      <c r="DD141" s="239">
        <v>-813802</v>
      </c>
      <c r="DE141" s="239">
        <v>-813802</v>
      </c>
      <c r="DF141" s="239">
        <v>0</v>
      </c>
      <c r="DG141" s="239">
        <v>0</v>
      </c>
      <c r="DH141" s="239">
        <v>-1627604</v>
      </c>
      <c r="DI141" s="239">
        <v>-634312</v>
      </c>
      <c r="DJ141" s="239">
        <v>-634312</v>
      </c>
      <c r="DK141" s="239">
        <v>0</v>
      </c>
      <c r="DL141" s="239">
        <v>0</v>
      </c>
      <c r="DM141" s="239">
        <v>-1268624</v>
      </c>
      <c r="DN141" s="835">
        <v>0.5</v>
      </c>
      <c r="DO141" s="835">
        <v>0.5</v>
      </c>
      <c r="DP141" s="835">
        <v>0</v>
      </c>
      <c r="DQ141" s="835">
        <v>0</v>
      </c>
      <c r="DR141" s="835">
        <v>1</v>
      </c>
      <c r="DS141" s="214" t="s">
        <v>746</v>
      </c>
      <c r="DU141" s="214">
        <v>0</v>
      </c>
    </row>
    <row r="142" spans="2:125" s="214" customFormat="1" x14ac:dyDescent="0.2">
      <c r="B142" s="602" t="s">
        <v>367</v>
      </c>
      <c r="C142" s="602" t="s">
        <v>366</v>
      </c>
      <c r="D142" s="239">
        <v>721237</v>
      </c>
      <c r="E142" s="239">
        <v>721238</v>
      </c>
      <c r="F142" s="239">
        <v>0</v>
      </c>
      <c r="G142" s="239">
        <v>0</v>
      </c>
      <c r="H142" s="239">
        <v>1442475</v>
      </c>
      <c r="I142" s="239">
        <v>0</v>
      </c>
      <c r="J142" s="239">
        <v>0</v>
      </c>
      <c r="K142" s="239">
        <v>721237</v>
      </c>
      <c r="L142" s="239">
        <v>24246</v>
      </c>
      <c r="M142" s="239">
        <v>24246</v>
      </c>
      <c r="N142" s="239">
        <v>0</v>
      </c>
      <c r="O142" s="239">
        <v>0</v>
      </c>
      <c r="P142" s="239">
        <v>0</v>
      </c>
      <c r="Q142" s="239">
        <v>0</v>
      </c>
      <c r="R142" s="239">
        <v>0</v>
      </c>
      <c r="S142" s="239">
        <v>0</v>
      </c>
      <c r="T142" s="239">
        <v>0</v>
      </c>
      <c r="U142" s="239">
        <v>0</v>
      </c>
      <c r="V142" s="239">
        <v>0</v>
      </c>
      <c r="W142" s="239">
        <v>0</v>
      </c>
      <c r="X142" s="239">
        <v>0</v>
      </c>
      <c r="Y142" s="239">
        <v>0</v>
      </c>
      <c r="Z142" s="239">
        <v>0</v>
      </c>
      <c r="AA142" s="239">
        <v>0</v>
      </c>
      <c r="AB142" s="239">
        <v>0</v>
      </c>
      <c r="AC142" s="239">
        <v>180588</v>
      </c>
      <c r="AD142" s="239">
        <v>0</v>
      </c>
      <c r="AE142" s="239">
        <v>0</v>
      </c>
      <c r="AF142" s="239">
        <v>180588</v>
      </c>
      <c r="AG142" s="239">
        <v>52580</v>
      </c>
      <c r="AH142" s="239">
        <v>52581</v>
      </c>
      <c r="AI142" s="239">
        <v>0</v>
      </c>
      <c r="AJ142" s="239">
        <v>0</v>
      </c>
      <c r="AK142" s="239">
        <v>105161</v>
      </c>
      <c r="AL142" s="239">
        <v>-4918</v>
      </c>
      <c r="AM142" s="239">
        <v>-4918</v>
      </c>
      <c r="AN142" s="239">
        <v>0</v>
      </c>
      <c r="AO142" s="239">
        <v>0</v>
      </c>
      <c r="AP142" s="239">
        <v>-9836</v>
      </c>
      <c r="AQ142" s="239">
        <v>-24026</v>
      </c>
      <c r="AR142" s="239">
        <v>-24026</v>
      </c>
      <c r="AS142" s="239">
        <v>0</v>
      </c>
      <c r="AT142" s="239">
        <v>0</v>
      </c>
      <c r="AU142" s="239">
        <v>-48052</v>
      </c>
      <c r="AV142" s="239">
        <v>0</v>
      </c>
      <c r="AW142" s="239">
        <v>1</v>
      </c>
      <c r="AX142" s="239">
        <v>0</v>
      </c>
      <c r="AY142" s="239">
        <v>0</v>
      </c>
      <c r="AZ142" s="239">
        <v>1</v>
      </c>
      <c r="BA142" s="239">
        <v>-6674</v>
      </c>
      <c r="BB142" s="239">
        <v>-6675</v>
      </c>
      <c r="BC142" s="239">
        <v>0</v>
      </c>
      <c r="BD142" s="239">
        <v>0</v>
      </c>
      <c r="BE142" s="239">
        <v>-13349</v>
      </c>
      <c r="BF142" s="239">
        <v>-30700</v>
      </c>
      <c r="BG142" s="239">
        <v>-30700</v>
      </c>
      <c r="BH142" s="239">
        <v>0</v>
      </c>
      <c r="BI142" s="239">
        <v>0</v>
      </c>
      <c r="BJ142" s="239">
        <v>-61400</v>
      </c>
      <c r="BK142" s="239">
        <v>-56739</v>
      </c>
      <c r="BL142" s="239">
        <v>-56740</v>
      </c>
      <c r="BM142" s="239">
        <v>0</v>
      </c>
      <c r="BN142" s="239">
        <v>0</v>
      </c>
      <c r="BO142" s="239">
        <v>-113479</v>
      </c>
      <c r="BP142" s="239">
        <v>0</v>
      </c>
      <c r="BQ142" s="239">
        <v>0</v>
      </c>
      <c r="BR142" s="239">
        <v>0</v>
      </c>
      <c r="BS142" s="239">
        <v>0</v>
      </c>
      <c r="BT142" s="239">
        <v>0</v>
      </c>
      <c r="BU142" s="239">
        <v>-29260</v>
      </c>
      <c r="BV142" s="239">
        <v>-29261</v>
      </c>
      <c r="BW142" s="239">
        <v>0</v>
      </c>
      <c r="BX142" s="239">
        <v>0</v>
      </c>
      <c r="BY142" s="239">
        <v>-58521</v>
      </c>
      <c r="BZ142" s="239">
        <v>-85999</v>
      </c>
      <c r="CA142" s="239">
        <v>-86001</v>
      </c>
      <c r="CB142" s="239">
        <v>0</v>
      </c>
      <c r="CC142" s="239">
        <v>0</v>
      </c>
      <c r="CD142" s="239">
        <v>-172000</v>
      </c>
      <c r="CE142" s="239">
        <v>-291693</v>
      </c>
      <c r="CF142" s="239">
        <v>-291694</v>
      </c>
      <c r="CG142" s="239">
        <v>0</v>
      </c>
      <c r="CH142" s="239">
        <v>0</v>
      </c>
      <c r="CI142" s="239">
        <v>-583387</v>
      </c>
      <c r="CJ142" s="239">
        <v>-120000</v>
      </c>
      <c r="CK142" s="239">
        <v>-120000</v>
      </c>
      <c r="CL142" s="239">
        <v>0</v>
      </c>
      <c r="CM142" s="239">
        <v>0</v>
      </c>
      <c r="CN142" s="239">
        <v>-240000</v>
      </c>
      <c r="CO142" s="239">
        <v>-171693</v>
      </c>
      <c r="CP142" s="239">
        <v>-171694</v>
      </c>
      <c r="CQ142" s="239">
        <v>0</v>
      </c>
      <c r="CR142" s="239">
        <v>0</v>
      </c>
      <c r="CS142" s="239">
        <v>-343387</v>
      </c>
      <c r="CT142" s="239">
        <v>719537</v>
      </c>
      <c r="CU142" s="239">
        <v>719538</v>
      </c>
      <c r="CV142" s="239">
        <v>0</v>
      </c>
      <c r="CW142" s="239">
        <v>0</v>
      </c>
      <c r="CX142" s="239">
        <v>1439075</v>
      </c>
      <c r="CY142" s="239">
        <v>721237</v>
      </c>
      <c r="CZ142" s="239">
        <v>721238</v>
      </c>
      <c r="DA142" s="239">
        <v>0</v>
      </c>
      <c r="DB142" s="239">
        <v>0</v>
      </c>
      <c r="DC142" s="239">
        <v>1442475</v>
      </c>
      <c r="DD142" s="239">
        <v>1700</v>
      </c>
      <c r="DE142" s="239">
        <v>1700</v>
      </c>
      <c r="DF142" s="239">
        <v>0</v>
      </c>
      <c r="DG142" s="239">
        <v>0</v>
      </c>
      <c r="DH142" s="239">
        <v>3400</v>
      </c>
      <c r="DI142" s="239">
        <v>-169993</v>
      </c>
      <c r="DJ142" s="239">
        <v>-169994</v>
      </c>
      <c r="DK142" s="239">
        <v>0</v>
      </c>
      <c r="DL142" s="239">
        <v>0</v>
      </c>
      <c r="DM142" s="239">
        <v>-339987</v>
      </c>
      <c r="DN142" s="835">
        <v>0.5</v>
      </c>
      <c r="DO142" s="835">
        <v>0.5</v>
      </c>
      <c r="DP142" s="835">
        <v>0</v>
      </c>
      <c r="DQ142" s="835">
        <v>0</v>
      </c>
      <c r="DR142" s="835">
        <v>1</v>
      </c>
      <c r="DS142" s="214" t="s">
        <v>746</v>
      </c>
      <c r="DU142" s="214">
        <v>0</v>
      </c>
    </row>
    <row r="143" spans="2:125" s="214" customFormat="1" x14ac:dyDescent="0.2">
      <c r="B143" s="602" t="s">
        <v>369</v>
      </c>
      <c r="C143" s="602" t="s">
        <v>368</v>
      </c>
      <c r="D143" s="239">
        <v>91345133</v>
      </c>
      <c r="E143" s="239">
        <v>83041030</v>
      </c>
      <c r="F143" s="239">
        <v>102417270</v>
      </c>
      <c r="G143" s="239">
        <v>0</v>
      </c>
      <c r="H143" s="239">
        <v>276803433</v>
      </c>
      <c r="I143" s="239">
        <v>0</v>
      </c>
      <c r="J143" s="239">
        <v>0</v>
      </c>
      <c r="K143" s="239">
        <v>91345133</v>
      </c>
      <c r="L143" s="239">
        <v>703757</v>
      </c>
      <c r="M143" s="239">
        <v>703757</v>
      </c>
      <c r="N143" s="239">
        <v>0</v>
      </c>
      <c r="O143" s="239">
        <v>0</v>
      </c>
      <c r="P143" s="239">
        <v>74351</v>
      </c>
      <c r="Q143" s="239">
        <v>0</v>
      </c>
      <c r="R143" s="239">
        <v>74351</v>
      </c>
      <c r="S143" s="239">
        <v>0</v>
      </c>
      <c r="T143" s="239">
        <v>0</v>
      </c>
      <c r="U143" s="239">
        <v>0</v>
      </c>
      <c r="V143" s="239">
        <v>0</v>
      </c>
      <c r="W143" s="239">
        <v>0</v>
      </c>
      <c r="X143" s="239">
        <v>0</v>
      </c>
      <c r="Y143" s="239">
        <v>0</v>
      </c>
      <c r="Z143" s="239">
        <v>0</v>
      </c>
      <c r="AA143" s="239">
        <v>0</v>
      </c>
      <c r="AB143" s="239">
        <v>0</v>
      </c>
      <c r="AC143" s="239">
        <v>4250855</v>
      </c>
      <c r="AD143" s="239">
        <v>5241344</v>
      </c>
      <c r="AE143" s="239">
        <v>0</v>
      </c>
      <c r="AF143" s="239">
        <v>9492199</v>
      </c>
      <c r="AG143" s="239">
        <v>7881501</v>
      </c>
      <c r="AH143" s="239">
        <v>7165001</v>
      </c>
      <c r="AI143" s="239">
        <v>8836835</v>
      </c>
      <c r="AJ143" s="239">
        <v>0</v>
      </c>
      <c r="AK143" s="239">
        <v>23883337</v>
      </c>
      <c r="AL143" s="239">
        <v>-7590610</v>
      </c>
      <c r="AM143" s="239">
        <v>-6900555</v>
      </c>
      <c r="AN143" s="239">
        <v>-8510685</v>
      </c>
      <c r="AO143" s="239">
        <v>0</v>
      </c>
      <c r="AP143" s="239">
        <v>-23001850</v>
      </c>
      <c r="AQ143" s="239">
        <v>-5235857</v>
      </c>
      <c r="AR143" s="239">
        <v>-4759870</v>
      </c>
      <c r="AS143" s="239">
        <v>-5870506</v>
      </c>
      <c r="AT143" s="239">
        <v>0</v>
      </c>
      <c r="AU143" s="239">
        <v>-15866233</v>
      </c>
      <c r="AV143" s="239">
        <v>636661</v>
      </c>
      <c r="AW143" s="239">
        <v>578783</v>
      </c>
      <c r="AX143" s="239">
        <v>713832</v>
      </c>
      <c r="AY143" s="239">
        <v>0</v>
      </c>
      <c r="AZ143" s="239">
        <v>1929276</v>
      </c>
      <c r="BA143" s="239">
        <v>-1401424</v>
      </c>
      <c r="BB143" s="239">
        <v>-1274022</v>
      </c>
      <c r="BC143" s="239">
        <v>-1571293</v>
      </c>
      <c r="BD143" s="239">
        <v>0</v>
      </c>
      <c r="BE143" s="239">
        <v>-4246739</v>
      </c>
      <c r="BF143" s="239">
        <v>-6000620</v>
      </c>
      <c r="BG143" s="239">
        <v>-5455109</v>
      </c>
      <c r="BH143" s="239">
        <v>-6727967</v>
      </c>
      <c r="BI143" s="239">
        <v>0</v>
      </c>
      <c r="BJ143" s="239">
        <v>-18183696</v>
      </c>
      <c r="BK143" s="239">
        <v>-6548381</v>
      </c>
      <c r="BL143" s="239">
        <v>-5953073</v>
      </c>
      <c r="BM143" s="239">
        <v>-7342123</v>
      </c>
      <c r="BN143" s="239">
        <v>0</v>
      </c>
      <c r="BO143" s="239">
        <v>-19843577</v>
      </c>
      <c r="BP143" s="239">
        <v>3591390</v>
      </c>
      <c r="BQ143" s="239">
        <v>3264900</v>
      </c>
      <c r="BR143" s="239">
        <v>4026710</v>
      </c>
      <c r="BS143" s="239">
        <v>0</v>
      </c>
      <c r="BT143" s="239">
        <v>10883000</v>
      </c>
      <c r="BU143" s="239">
        <v>-4087368</v>
      </c>
      <c r="BV143" s="239">
        <v>-3715789</v>
      </c>
      <c r="BW143" s="239">
        <v>-4582807</v>
      </c>
      <c r="BX143" s="239">
        <v>0</v>
      </c>
      <c r="BY143" s="239">
        <v>-12385964</v>
      </c>
      <c r="BZ143" s="239">
        <v>-7044359</v>
      </c>
      <c r="CA143" s="239">
        <v>-6403962</v>
      </c>
      <c r="CB143" s="239">
        <v>-7898220</v>
      </c>
      <c r="CC143" s="239">
        <v>0</v>
      </c>
      <c r="CD143" s="239">
        <v>-21346541</v>
      </c>
      <c r="CE143" s="239">
        <v>3179172</v>
      </c>
      <c r="CF143" s="239">
        <v>1907502</v>
      </c>
      <c r="CG143" s="239">
        <v>1271669</v>
      </c>
      <c r="CH143" s="239">
        <v>0</v>
      </c>
      <c r="CI143" s="239">
        <v>6358343</v>
      </c>
      <c r="CJ143" s="239">
        <v>3099578</v>
      </c>
      <c r="CK143" s="239">
        <v>1859747</v>
      </c>
      <c r="CL143" s="239">
        <v>1239831</v>
      </c>
      <c r="CM143" s="239">
        <v>0</v>
      </c>
      <c r="CN143" s="239">
        <v>6199156</v>
      </c>
      <c r="CO143" s="239">
        <v>79594</v>
      </c>
      <c r="CP143" s="239">
        <v>47755</v>
      </c>
      <c r="CQ143" s="239">
        <v>31838</v>
      </c>
      <c r="CR143" s="239">
        <v>0</v>
      </c>
      <c r="CS143" s="239">
        <v>159187</v>
      </c>
      <c r="CT143" s="239">
        <v>86095848</v>
      </c>
      <c r="CU143" s="239">
        <v>78268953</v>
      </c>
      <c r="CV143" s="239">
        <v>96531709</v>
      </c>
      <c r="CW143" s="239">
        <v>0</v>
      </c>
      <c r="CX143" s="239">
        <v>260896510</v>
      </c>
      <c r="CY143" s="239">
        <v>91345133</v>
      </c>
      <c r="CZ143" s="239">
        <v>83041030</v>
      </c>
      <c r="DA143" s="239">
        <v>102417270</v>
      </c>
      <c r="DB143" s="239">
        <v>0</v>
      </c>
      <c r="DC143" s="239">
        <v>276803433</v>
      </c>
      <c r="DD143" s="239">
        <v>5249285</v>
      </c>
      <c r="DE143" s="239">
        <v>4772077</v>
      </c>
      <c r="DF143" s="239">
        <v>5885561</v>
      </c>
      <c r="DG143" s="239">
        <v>0</v>
      </c>
      <c r="DH143" s="239">
        <v>15906923</v>
      </c>
      <c r="DI143" s="239">
        <v>5328879</v>
      </c>
      <c r="DJ143" s="239">
        <v>4819832</v>
      </c>
      <c r="DK143" s="239">
        <v>5917399</v>
      </c>
      <c r="DL143" s="239">
        <v>0</v>
      </c>
      <c r="DM143" s="239">
        <v>16066110</v>
      </c>
      <c r="DN143" s="835">
        <v>0.33</v>
      </c>
      <c r="DO143" s="835">
        <v>0.3</v>
      </c>
      <c r="DP143" s="835">
        <v>0.37</v>
      </c>
      <c r="DQ143" s="835">
        <v>0</v>
      </c>
      <c r="DR143" s="835">
        <v>1</v>
      </c>
      <c r="DS143" s="214" t="s">
        <v>1161</v>
      </c>
      <c r="DU143" s="214">
        <v>0</v>
      </c>
    </row>
    <row r="144" spans="2:125" s="214" customFormat="1" x14ac:dyDescent="0.2">
      <c r="B144" s="602" t="s">
        <v>371</v>
      </c>
      <c r="C144" s="602" t="s">
        <v>370</v>
      </c>
      <c r="D144" s="239">
        <v>105636020</v>
      </c>
      <c r="E144" s="239">
        <v>96032745</v>
      </c>
      <c r="F144" s="239">
        <v>118440386</v>
      </c>
      <c r="G144" s="239">
        <v>0</v>
      </c>
      <c r="H144" s="239">
        <v>320109151</v>
      </c>
      <c r="I144" s="239">
        <v>0</v>
      </c>
      <c r="J144" s="239">
        <v>0</v>
      </c>
      <c r="K144" s="239">
        <v>105636020</v>
      </c>
      <c r="L144" s="239">
        <v>649577</v>
      </c>
      <c r="M144" s="239">
        <v>649577</v>
      </c>
      <c r="N144" s="239">
        <v>0</v>
      </c>
      <c r="O144" s="239">
        <v>0</v>
      </c>
      <c r="P144" s="239">
        <v>0</v>
      </c>
      <c r="Q144" s="239">
        <v>0</v>
      </c>
      <c r="R144" s="239">
        <v>0</v>
      </c>
      <c r="S144" s="239">
        <v>0</v>
      </c>
      <c r="T144" s="239">
        <v>0</v>
      </c>
      <c r="U144" s="239">
        <v>0</v>
      </c>
      <c r="V144" s="239">
        <v>0</v>
      </c>
      <c r="W144" s="239">
        <v>0</v>
      </c>
      <c r="X144" s="239">
        <v>0</v>
      </c>
      <c r="Y144" s="239">
        <v>0</v>
      </c>
      <c r="Z144" s="239">
        <v>0</v>
      </c>
      <c r="AA144" s="239">
        <v>0</v>
      </c>
      <c r="AB144" s="239">
        <v>0</v>
      </c>
      <c r="AC144" s="239">
        <v>3053915</v>
      </c>
      <c r="AD144" s="239">
        <v>3766496</v>
      </c>
      <c r="AE144" s="239">
        <v>0</v>
      </c>
      <c r="AF144" s="239">
        <v>6820411</v>
      </c>
      <c r="AG144" s="239">
        <v>3316973</v>
      </c>
      <c r="AH144" s="239">
        <v>3015430</v>
      </c>
      <c r="AI144" s="239">
        <v>3719031</v>
      </c>
      <c r="AJ144" s="239">
        <v>0</v>
      </c>
      <c r="AK144" s="239">
        <v>10051434</v>
      </c>
      <c r="AL144" s="239">
        <v>-5004020</v>
      </c>
      <c r="AM144" s="239">
        <v>-4549109</v>
      </c>
      <c r="AN144" s="239">
        <v>-5610568</v>
      </c>
      <c r="AO144" s="239">
        <v>0</v>
      </c>
      <c r="AP144" s="239">
        <v>-15163697</v>
      </c>
      <c r="AQ144" s="239">
        <v>-1109347</v>
      </c>
      <c r="AR144" s="239">
        <v>-1008498</v>
      </c>
      <c r="AS144" s="239">
        <v>-1243814</v>
      </c>
      <c r="AT144" s="239">
        <v>0</v>
      </c>
      <c r="AU144" s="239">
        <v>-3361659</v>
      </c>
      <c r="AV144" s="239">
        <v>171461</v>
      </c>
      <c r="AW144" s="239">
        <v>155874</v>
      </c>
      <c r="AX144" s="239">
        <v>192244</v>
      </c>
      <c r="AY144" s="239">
        <v>0</v>
      </c>
      <c r="AZ144" s="239">
        <v>519579</v>
      </c>
      <c r="BA144" s="239">
        <v>-395126</v>
      </c>
      <c r="BB144" s="239">
        <v>-359206</v>
      </c>
      <c r="BC144" s="239">
        <v>-443021</v>
      </c>
      <c r="BD144" s="239">
        <v>0</v>
      </c>
      <c r="BE144" s="239">
        <v>-1197353</v>
      </c>
      <c r="BF144" s="239">
        <v>-1333012</v>
      </c>
      <c r="BG144" s="239">
        <v>-1211830</v>
      </c>
      <c r="BH144" s="239">
        <v>-1494591</v>
      </c>
      <c r="BI144" s="239">
        <v>0</v>
      </c>
      <c r="BJ144" s="239">
        <v>-4039433</v>
      </c>
      <c r="BK144" s="239">
        <v>-7957343</v>
      </c>
      <c r="BL144" s="239">
        <v>-7233948</v>
      </c>
      <c r="BM144" s="239">
        <v>-8921870</v>
      </c>
      <c r="BN144" s="239">
        <v>0</v>
      </c>
      <c r="BO144" s="239">
        <v>-24113161</v>
      </c>
      <c r="BP144" s="239">
        <v>8703596</v>
      </c>
      <c r="BQ144" s="239">
        <v>7912360</v>
      </c>
      <c r="BR144" s="239">
        <v>9758578</v>
      </c>
      <c r="BS144" s="239">
        <v>0</v>
      </c>
      <c r="BT144" s="239">
        <v>26374534</v>
      </c>
      <c r="BU144" s="239">
        <v>-13086666</v>
      </c>
      <c r="BV144" s="239">
        <v>-11896969</v>
      </c>
      <c r="BW144" s="239">
        <v>-14672928</v>
      </c>
      <c r="BX144" s="239">
        <v>0</v>
      </c>
      <c r="BY144" s="239">
        <v>-39656563</v>
      </c>
      <c r="BZ144" s="239">
        <v>-12340413</v>
      </c>
      <c r="CA144" s="239">
        <v>-11218557</v>
      </c>
      <c r="CB144" s="239">
        <v>-13836220</v>
      </c>
      <c r="CC144" s="239">
        <v>0</v>
      </c>
      <c r="CD144" s="239">
        <v>-37395190</v>
      </c>
      <c r="CE144" s="239">
        <v>-583182</v>
      </c>
      <c r="CF144" s="239">
        <v>-349910</v>
      </c>
      <c r="CG144" s="239">
        <v>-233274</v>
      </c>
      <c r="CH144" s="239">
        <v>0</v>
      </c>
      <c r="CI144" s="239">
        <v>-1166366</v>
      </c>
      <c r="CJ144" s="239">
        <v>-2358502</v>
      </c>
      <c r="CK144" s="239">
        <v>-1415102</v>
      </c>
      <c r="CL144" s="239">
        <v>-943401</v>
      </c>
      <c r="CM144" s="239">
        <v>0</v>
      </c>
      <c r="CN144" s="239">
        <v>-4717005</v>
      </c>
      <c r="CO144" s="239">
        <v>1775320</v>
      </c>
      <c r="CP144" s="239">
        <v>1065192</v>
      </c>
      <c r="CQ144" s="239">
        <v>710127</v>
      </c>
      <c r="CR144" s="239">
        <v>0</v>
      </c>
      <c r="CS144" s="239">
        <v>3550639</v>
      </c>
      <c r="CT144" s="239">
        <v>106044977</v>
      </c>
      <c r="CU144" s="239">
        <v>96404525</v>
      </c>
      <c r="CV144" s="239">
        <v>118898914</v>
      </c>
      <c r="CW144" s="239">
        <v>0</v>
      </c>
      <c r="CX144" s="239">
        <v>321348416</v>
      </c>
      <c r="CY144" s="239">
        <v>105636020</v>
      </c>
      <c r="CZ144" s="239">
        <v>96032745</v>
      </c>
      <c r="DA144" s="239">
        <v>118440386</v>
      </c>
      <c r="DB144" s="239">
        <v>0</v>
      </c>
      <c r="DC144" s="239">
        <v>320109151</v>
      </c>
      <c r="DD144" s="239">
        <v>-408957</v>
      </c>
      <c r="DE144" s="239">
        <v>-371780</v>
      </c>
      <c r="DF144" s="239">
        <v>-458528</v>
      </c>
      <c r="DG144" s="239">
        <v>0</v>
      </c>
      <c r="DH144" s="239">
        <v>-1239265</v>
      </c>
      <c r="DI144" s="239">
        <v>1366363</v>
      </c>
      <c r="DJ144" s="239">
        <v>693412</v>
      </c>
      <c r="DK144" s="239">
        <v>251599</v>
      </c>
      <c r="DL144" s="239">
        <v>0</v>
      </c>
      <c r="DM144" s="239">
        <v>2311374</v>
      </c>
      <c r="DN144" s="835">
        <v>0.33</v>
      </c>
      <c r="DO144" s="835">
        <v>0.3</v>
      </c>
      <c r="DP144" s="835">
        <v>0.37</v>
      </c>
      <c r="DQ144" s="835">
        <v>0</v>
      </c>
      <c r="DR144" s="835">
        <v>1</v>
      </c>
      <c r="DS144" s="214" t="s">
        <v>1161</v>
      </c>
      <c r="DU144" s="214">
        <v>0</v>
      </c>
    </row>
    <row r="145" spans="2:125" s="214" customFormat="1" x14ac:dyDescent="0.2">
      <c r="B145" s="602" t="s">
        <v>373</v>
      </c>
      <c r="C145" s="602" t="s">
        <v>372</v>
      </c>
      <c r="D145" s="239">
        <v>14565642</v>
      </c>
      <c r="E145" s="239">
        <v>11652514</v>
      </c>
      <c r="F145" s="239">
        <v>2913129</v>
      </c>
      <c r="G145" s="239">
        <v>0</v>
      </c>
      <c r="H145" s="239">
        <v>29131285</v>
      </c>
      <c r="I145" s="239">
        <v>0</v>
      </c>
      <c r="J145" s="239">
        <v>0</v>
      </c>
      <c r="K145" s="239">
        <v>14565642</v>
      </c>
      <c r="L145" s="239">
        <v>110062</v>
      </c>
      <c r="M145" s="239">
        <v>110062</v>
      </c>
      <c r="N145" s="239">
        <v>0</v>
      </c>
      <c r="O145" s="239">
        <v>0</v>
      </c>
      <c r="P145" s="239">
        <v>351859</v>
      </c>
      <c r="Q145" s="239">
        <v>0</v>
      </c>
      <c r="R145" s="239">
        <v>351859</v>
      </c>
      <c r="S145" s="239">
        <v>0</v>
      </c>
      <c r="T145" s="239">
        <v>0</v>
      </c>
      <c r="U145" s="239">
        <v>0</v>
      </c>
      <c r="V145" s="239">
        <v>0</v>
      </c>
      <c r="W145" s="239">
        <v>0</v>
      </c>
      <c r="X145" s="239">
        <v>0</v>
      </c>
      <c r="Y145" s="239">
        <v>0</v>
      </c>
      <c r="Z145" s="239">
        <v>0</v>
      </c>
      <c r="AA145" s="239">
        <v>0</v>
      </c>
      <c r="AB145" s="239">
        <v>0</v>
      </c>
      <c r="AC145" s="239">
        <v>986055</v>
      </c>
      <c r="AD145" s="239">
        <v>245191</v>
      </c>
      <c r="AE145" s="239">
        <v>0</v>
      </c>
      <c r="AF145" s="239">
        <v>1231246</v>
      </c>
      <c r="AG145" s="239">
        <v>145247</v>
      </c>
      <c r="AH145" s="239">
        <v>116198</v>
      </c>
      <c r="AI145" s="239">
        <v>29050</v>
      </c>
      <c r="AJ145" s="239">
        <v>0</v>
      </c>
      <c r="AK145" s="239">
        <v>290495</v>
      </c>
      <c r="AL145" s="239">
        <v>-417571</v>
      </c>
      <c r="AM145" s="239">
        <v>-334056</v>
      </c>
      <c r="AN145" s="239">
        <v>-83514</v>
      </c>
      <c r="AO145" s="239">
        <v>0</v>
      </c>
      <c r="AP145" s="239">
        <v>-835141</v>
      </c>
      <c r="AQ145" s="239">
        <v>-51782</v>
      </c>
      <c r="AR145" s="239">
        <v>-41426</v>
      </c>
      <c r="AS145" s="239">
        <v>-10357</v>
      </c>
      <c r="AT145" s="239">
        <v>0</v>
      </c>
      <c r="AU145" s="239">
        <v>-103565</v>
      </c>
      <c r="AV145" s="239">
        <v>99888</v>
      </c>
      <c r="AW145" s="239">
        <v>79910</v>
      </c>
      <c r="AX145" s="239">
        <v>19978</v>
      </c>
      <c r="AY145" s="239">
        <v>0</v>
      </c>
      <c r="AZ145" s="239">
        <v>199776</v>
      </c>
      <c r="BA145" s="239">
        <v>-78996</v>
      </c>
      <c r="BB145" s="239">
        <v>-63196</v>
      </c>
      <c r="BC145" s="239">
        <v>-15799</v>
      </c>
      <c r="BD145" s="239">
        <v>0</v>
      </c>
      <c r="BE145" s="239">
        <v>-157991</v>
      </c>
      <c r="BF145" s="239">
        <v>-30890</v>
      </c>
      <c r="BG145" s="239">
        <v>-24712</v>
      </c>
      <c r="BH145" s="239">
        <v>-6178</v>
      </c>
      <c r="BI145" s="239">
        <v>0</v>
      </c>
      <c r="BJ145" s="239">
        <v>-61780</v>
      </c>
      <c r="BK145" s="239">
        <v>-1767020</v>
      </c>
      <c r="BL145" s="239">
        <v>-1413616</v>
      </c>
      <c r="BM145" s="239">
        <v>-353404</v>
      </c>
      <c r="BN145" s="239">
        <v>0</v>
      </c>
      <c r="BO145" s="239">
        <v>-3534040</v>
      </c>
      <c r="BP145" s="239">
        <v>699914</v>
      </c>
      <c r="BQ145" s="239">
        <v>559932</v>
      </c>
      <c r="BR145" s="239">
        <v>139983</v>
      </c>
      <c r="BS145" s="239">
        <v>0</v>
      </c>
      <c r="BT145" s="239">
        <v>1399829</v>
      </c>
      <c r="BU145" s="239">
        <v>-1087523</v>
      </c>
      <c r="BV145" s="239">
        <v>-870018</v>
      </c>
      <c r="BW145" s="239">
        <v>-217505</v>
      </c>
      <c r="BX145" s="239">
        <v>0</v>
      </c>
      <c r="BY145" s="239">
        <v>-2175046</v>
      </c>
      <c r="BZ145" s="239">
        <v>-2154629</v>
      </c>
      <c r="CA145" s="239">
        <v>-1723702</v>
      </c>
      <c r="CB145" s="239">
        <v>-430926</v>
      </c>
      <c r="CC145" s="239">
        <v>0</v>
      </c>
      <c r="CD145" s="239">
        <v>-4309257</v>
      </c>
      <c r="CE145" s="239">
        <v>-1441186</v>
      </c>
      <c r="CF145" s="239">
        <v>-1152948</v>
      </c>
      <c r="CG145" s="239">
        <v>-288237</v>
      </c>
      <c r="CH145" s="239">
        <v>0</v>
      </c>
      <c r="CI145" s="239">
        <v>-2882371</v>
      </c>
      <c r="CJ145" s="239">
        <v>-734786</v>
      </c>
      <c r="CK145" s="239">
        <v>-587828</v>
      </c>
      <c r="CL145" s="239">
        <v>-146957</v>
      </c>
      <c r="CM145" s="239">
        <v>0</v>
      </c>
      <c r="CN145" s="239">
        <v>-1469571</v>
      </c>
      <c r="CO145" s="239">
        <v>-706400</v>
      </c>
      <c r="CP145" s="239">
        <v>-565120</v>
      </c>
      <c r="CQ145" s="239">
        <v>-141280</v>
      </c>
      <c r="CR145" s="239">
        <v>0</v>
      </c>
      <c r="CS145" s="239">
        <v>-1412800</v>
      </c>
      <c r="CT145" s="239">
        <v>14839694</v>
      </c>
      <c r="CU145" s="239">
        <v>11871756</v>
      </c>
      <c r="CV145" s="239">
        <v>2967939</v>
      </c>
      <c r="CW145" s="239">
        <v>0</v>
      </c>
      <c r="CX145" s="239">
        <v>29679389</v>
      </c>
      <c r="CY145" s="239">
        <v>14565642</v>
      </c>
      <c r="CZ145" s="239">
        <v>11652514</v>
      </c>
      <c r="DA145" s="239">
        <v>2913129</v>
      </c>
      <c r="DB145" s="239">
        <v>0</v>
      </c>
      <c r="DC145" s="239">
        <v>29131285</v>
      </c>
      <c r="DD145" s="239">
        <v>-274052</v>
      </c>
      <c r="DE145" s="239">
        <v>-219242</v>
      </c>
      <c r="DF145" s="239">
        <v>-54810</v>
      </c>
      <c r="DG145" s="239">
        <v>0</v>
      </c>
      <c r="DH145" s="239">
        <v>-548104</v>
      </c>
      <c r="DI145" s="239">
        <v>-980452</v>
      </c>
      <c r="DJ145" s="239">
        <v>-784362</v>
      </c>
      <c r="DK145" s="239">
        <v>-196090</v>
      </c>
      <c r="DL145" s="239">
        <v>0</v>
      </c>
      <c r="DM145" s="239">
        <v>-1960904</v>
      </c>
      <c r="DN145" s="835">
        <v>0.5</v>
      </c>
      <c r="DO145" s="835">
        <v>0.4</v>
      </c>
      <c r="DP145" s="835">
        <v>0.1</v>
      </c>
      <c r="DQ145" s="835">
        <v>0</v>
      </c>
      <c r="DR145" s="835">
        <v>1</v>
      </c>
      <c r="DS145" s="214" t="s">
        <v>1158</v>
      </c>
      <c r="DU145" s="214">
        <v>0</v>
      </c>
    </row>
    <row r="146" spans="2:125" s="214" customFormat="1" x14ac:dyDescent="0.2">
      <c r="B146" s="602" t="s">
        <v>375</v>
      </c>
      <c r="C146" s="602" t="s">
        <v>374</v>
      </c>
      <c r="D146" s="239">
        <v>19554411</v>
      </c>
      <c r="E146" s="239">
        <v>15643529</v>
      </c>
      <c r="F146" s="239">
        <v>3910882</v>
      </c>
      <c r="G146" s="239">
        <v>0</v>
      </c>
      <c r="H146" s="239">
        <v>39108822</v>
      </c>
      <c r="I146" s="239">
        <v>85366</v>
      </c>
      <c r="J146" s="239">
        <v>85366</v>
      </c>
      <c r="K146" s="239">
        <v>19469045</v>
      </c>
      <c r="L146" s="239">
        <v>220343</v>
      </c>
      <c r="M146" s="239">
        <v>220343</v>
      </c>
      <c r="N146" s="239">
        <v>0</v>
      </c>
      <c r="O146" s="239">
        <v>0</v>
      </c>
      <c r="P146" s="239">
        <v>1159890</v>
      </c>
      <c r="Q146" s="239">
        <v>0</v>
      </c>
      <c r="R146" s="239">
        <v>1159890</v>
      </c>
      <c r="S146" s="239">
        <v>85366.349785407729</v>
      </c>
      <c r="T146" s="239">
        <v>0</v>
      </c>
      <c r="U146" s="239">
        <v>0</v>
      </c>
      <c r="V146" s="239">
        <v>85366.349785407729</v>
      </c>
      <c r="W146" s="239">
        <v>0</v>
      </c>
      <c r="X146" s="239">
        <v>0</v>
      </c>
      <c r="Y146" s="239">
        <v>0</v>
      </c>
      <c r="Z146" s="239">
        <v>0</v>
      </c>
      <c r="AA146" s="239">
        <v>0</v>
      </c>
      <c r="AB146" s="239">
        <v>0</v>
      </c>
      <c r="AC146" s="239">
        <v>2020086</v>
      </c>
      <c r="AD146" s="239">
        <v>499298</v>
      </c>
      <c r="AE146" s="239">
        <v>0</v>
      </c>
      <c r="AF146" s="239">
        <v>2519384</v>
      </c>
      <c r="AG146" s="239">
        <v>372387</v>
      </c>
      <c r="AH146" s="239">
        <v>297909</v>
      </c>
      <c r="AI146" s="239">
        <v>74477</v>
      </c>
      <c r="AJ146" s="239">
        <v>0</v>
      </c>
      <c r="AK146" s="239">
        <v>744773</v>
      </c>
      <c r="AL146" s="239">
        <v>-215707</v>
      </c>
      <c r="AM146" s="239">
        <v>-172566</v>
      </c>
      <c r="AN146" s="239">
        <v>-43141</v>
      </c>
      <c r="AO146" s="239">
        <v>0</v>
      </c>
      <c r="AP146" s="239">
        <v>-431414</v>
      </c>
      <c r="AQ146" s="239">
        <v>-256108</v>
      </c>
      <c r="AR146" s="239">
        <v>-204886</v>
      </c>
      <c r="AS146" s="239">
        <v>-51222</v>
      </c>
      <c r="AT146" s="239">
        <v>0</v>
      </c>
      <c r="AU146" s="239">
        <v>-512216</v>
      </c>
      <c r="AV146" s="239">
        <v>84673</v>
      </c>
      <c r="AW146" s="239">
        <v>67739</v>
      </c>
      <c r="AX146" s="239">
        <v>16935</v>
      </c>
      <c r="AY146" s="239">
        <v>0</v>
      </c>
      <c r="AZ146" s="239">
        <v>169347</v>
      </c>
      <c r="BA146" s="239">
        <v>-13882</v>
      </c>
      <c r="BB146" s="239">
        <v>-11106</v>
      </c>
      <c r="BC146" s="239">
        <v>-2777</v>
      </c>
      <c r="BD146" s="239">
        <v>0</v>
      </c>
      <c r="BE146" s="239">
        <v>-27765</v>
      </c>
      <c r="BF146" s="239">
        <v>-185317</v>
      </c>
      <c r="BG146" s="239">
        <v>-148253</v>
      </c>
      <c r="BH146" s="239">
        <v>-37064</v>
      </c>
      <c r="BI146" s="239">
        <v>0</v>
      </c>
      <c r="BJ146" s="239">
        <v>-370634</v>
      </c>
      <c r="BK146" s="239">
        <v>-2095320.5999999996</v>
      </c>
      <c r="BL146" s="239">
        <v>-1676256</v>
      </c>
      <c r="BM146" s="239">
        <v>-419064</v>
      </c>
      <c r="BN146" s="239">
        <v>0</v>
      </c>
      <c r="BO146" s="239">
        <v>-4190640.5999999996</v>
      </c>
      <c r="BP146" s="239">
        <v>0</v>
      </c>
      <c r="BQ146" s="239">
        <v>0</v>
      </c>
      <c r="BR146" s="239">
        <v>0</v>
      </c>
      <c r="BS146" s="239">
        <v>0</v>
      </c>
      <c r="BT146" s="239">
        <v>0</v>
      </c>
      <c r="BU146" s="239">
        <v>-443041</v>
      </c>
      <c r="BV146" s="239">
        <v>-354433</v>
      </c>
      <c r="BW146" s="239">
        <v>-88608</v>
      </c>
      <c r="BX146" s="239">
        <v>0</v>
      </c>
      <c r="BY146" s="239">
        <v>-886082</v>
      </c>
      <c r="BZ146" s="239">
        <v>-2538361.5999999996</v>
      </c>
      <c r="CA146" s="239">
        <v>-2030689</v>
      </c>
      <c r="CB146" s="239">
        <v>-507672</v>
      </c>
      <c r="CC146" s="239">
        <v>0</v>
      </c>
      <c r="CD146" s="239">
        <v>-5076722.5999999996</v>
      </c>
      <c r="CE146" s="239">
        <v>1287760</v>
      </c>
      <c r="CF146" s="239">
        <v>1030207</v>
      </c>
      <c r="CG146" s="239">
        <v>257551</v>
      </c>
      <c r="CH146" s="239">
        <v>0</v>
      </c>
      <c r="CI146" s="239">
        <v>2575518</v>
      </c>
      <c r="CJ146" s="239">
        <v>-271397</v>
      </c>
      <c r="CK146" s="239">
        <v>-217117</v>
      </c>
      <c r="CL146" s="239">
        <v>-54279</v>
      </c>
      <c r="CM146" s="239">
        <v>0</v>
      </c>
      <c r="CN146" s="239">
        <v>-542793</v>
      </c>
      <c r="CO146" s="239">
        <v>1559157</v>
      </c>
      <c r="CP146" s="239">
        <v>1247324</v>
      </c>
      <c r="CQ146" s="239">
        <v>311830</v>
      </c>
      <c r="CR146" s="239">
        <v>0</v>
      </c>
      <c r="CS146" s="239">
        <v>3118311</v>
      </c>
      <c r="CT146" s="239">
        <v>20608033</v>
      </c>
      <c r="CU146" s="239">
        <v>16486427</v>
      </c>
      <c r="CV146" s="239">
        <v>4121607</v>
      </c>
      <c r="CW146" s="239">
        <v>0</v>
      </c>
      <c r="CX146" s="239">
        <v>41216067</v>
      </c>
      <c r="CY146" s="239">
        <v>19554411</v>
      </c>
      <c r="CZ146" s="239">
        <v>15643529</v>
      </c>
      <c r="DA146" s="239">
        <v>3910882</v>
      </c>
      <c r="DB146" s="239">
        <v>0</v>
      </c>
      <c r="DC146" s="239">
        <v>39108822</v>
      </c>
      <c r="DD146" s="239">
        <v>-1053622</v>
      </c>
      <c r="DE146" s="239">
        <v>-842898</v>
      </c>
      <c r="DF146" s="239">
        <v>-210725</v>
      </c>
      <c r="DG146" s="239">
        <v>0</v>
      </c>
      <c r="DH146" s="239">
        <v>-2107245</v>
      </c>
      <c r="DI146" s="239">
        <v>505535</v>
      </c>
      <c r="DJ146" s="239">
        <v>404426</v>
      </c>
      <c r="DK146" s="239">
        <v>101105</v>
      </c>
      <c r="DL146" s="239">
        <v>0</v>
      </c>
      <c r="DM146" s="239">
        <v>1011066</v>
      </c>
      <c r="DN146" s="835">
        <v>0.5</v>
      </c>
      <c r="DO146" s="835">
        <v>0.4</v>
      </c>
      <c r="DP146" s="835">
        <v>0.1</v>
      </c>
      <c r="DQ146" s="835">
        <v>0</v>
      </c>
      <c r="DR146" s="835">
        <v>1</v>
      </c>
      <c r="DS146" s="214" t="s">
        <v>1158</v>
      </c>
      <c r="DU146" s="214">
        <v>0</v>
      </c>
    </row>
    <row r="147" spans="2:125" s="214" customFormat="1" x14ac:dyDescent="0.2">
      <c r="B147" s="602" t="s">
        <v>377</v>
      </c>
      <c r="C147" s="602" t="s">
        <v>376</v>
      </c>
      <c r="D147" s="239">
        <v>38819318</v>
      </c>
      <c r="E147" s="239">
        <v>38042931</v>
      </c>
      <c r="F147" s="239">
        <v>0</v>
      </c>
      <c r="G147" s="239">
        <v>776386</v>
      </c>
      <c r="H147" s="239">
        <v>77638635</v>
      </c>
      <c r="I147" s="239">
        <v>0</v>
      </c>
      <c r="J147" s="239">
        <v>0</v>
      </c>
      <c r="K147" s="239">
        <v>38819318</v>
      </c>
      <c r="L147" s="239">
        <v>356488</v>
      </c>
      <c r="M147" s="239">
        <v>356488</v>
      </c>
      <c r="N147" s="239">
        <v>3183081</v>
      </c>
      <c r="O147" s="239">
        <v>3183081</v>
      </c>
      <c r="P147" s="239">
        <v>29809</v>
      </c>
      <c r="Q147" s="239">
        <v>0</v>
      </c>
      <c r="R147" s="239">
        <v>29809</v>
      </c>
      <c r="S147" s="239">
        <v>0</v>
      </c>
      <c r="T147" s="239">
        <v>0</v>
      </c>
      <c r="U147" s="239">
        <v>0</v>
      </c>
      <c r="V147" s="239">
        <v>0</v>
      </c>
      <c r="W147" s="239">
        <v>0</v>
      </c>
      <c r="X147" s="239">
        <v>0</v>
      </c>
      <c r="Y147" s="239">
        <v>0</v>
      </c>
      <c r="Z147" s="239">
        <v>0</v>
      </c>
      <c r="AA147" s="239">
        <v>0</v>
      </c>
      <c r="AB147" s="239">
        <v>0</v>
      </c>
      <c r="AC147" s="239">
        <v>3871669</v>
      </c>
      <c r="AD147" s="239">
        <v>0</v>
      </c>
      <c r="AE147" s="239">
        <v>78028</v>
      </c>
      <c r="AF147" s="239">
        <v>3949697</v>
      </c>
      <c r="AG147" s="239">
        <v>3294798</v>
      </c>
      <c r="AH147" s="239">
        <v>3228902</v>
      </c>
      <c r="AI147" s="239">
        <v>0</v>
      </c>
      <c r="AJ147" s="239">
        <v>65896</v>
      </c>
      <c r="AK147" s="239">
        <v>6589596</v>
      </c>
      <c r="AL147" s="239">
        <v>-287982</v>
      </c>
      <c r="AM147" s="239">
        <v>-282222</v>
      </c>
      <c r="AN147" s="239">
        <v>0</v>
      </c>
      <c r="AO147" s="239">
        <v>-5760</v>
      </c>
      <c r="AP147" s="239">
        <v>-575964</v>
      </c>
      <c r="AQ147" s="239">
        <v>-625000</v>
      </c>
      <c r="AR147" s="239">
        <v>-612500</v>
      </c>
      <c r="AS147" s="239">
        <v>0</v>
      </c>
      <c r="AT147" s="239">
        <v>-12500</v>
      </c>
      <c r="AU147" s="239">
        <v>-1250000</v>
      </c>
      <c r="AV147" s="239">
        <v>473048</v>
      </c>
      <c r="AW147" s="239">
        <v>463587</v>
      </c>
      <c r="AX147" s="239">
        <v>0</v>
      </c>
      <c r="AY147" s="239">
        <v>9461</v>
      </c>
      <c r="AZ147" s="239">
        <v>946096</v>
      </c>
      <c r="BA147" s="239">
        <v>-473048</v>
      </c>
      <c r="BB147" s="239">
        <v>-463587</v>
      </c>
      <c r="BC147" s="239">
        <v>0</v>
      </c>
      <c r="BD147" s="239">
        <v>-9461</v>
      </c>
      <c r="BE147" s="239">
        <v>-946096</v>
      </c>
      <c r="BF147" s="239">
        <v>-625000</v>
      </c>
      <c r="BG147" s="239">
        <v>-612500</v>
      </c>
      <c r="BH147" s="239">
        <v>0</v>
      </c>
      <c r="BI147" s="239">
        <v>-12500</v>
      </c>
      <c r="BJ147" s="239">
        <v>-1250000</v>
      </c>
      <c r="BK147" s="239">
        <v>-885000</v>
      </c>
      <c r="BL147" s="239">
        <v>-867300</v>
      </c>
      <c r="BM147" s="239">
        <v>0</v>
      </c>
      <c r="BN147" s="239">
        <v>-17700</v>
      </c>
      <c r="BO147" s="239">
        <v>-1770000</v>
      </c>
      <c r="BP147" s="239">
        <v>4627401</v>
      </c>
      <c r="BQ147" s="239">
        <v>4534853</v>
      </c>
      <c r="BR147" s="239">
        <v>0</v>
      </c>
      <c r="BS147" s="239">
        <v>92548</v>
      </c>
      <c r="BT147" s="239">
        <v>9254802</v>
      </c>
      <c r="BU147" s="239">
        <v>-6369401</v>
      </c>
      <c r="BV147" s="239">
        <v>-6242013</v>
      </c>
      <c r="BW147" s="239">
        <v>0</v>
      </c>
      <c r="BX147" s="239">
        <v>-127388</v>
      </c>
      <c r="BY147" s="239">
        <v>-12738802</v>
      </c>
      <c r="BZ147" s="239">
        <v>-2627000</v>
      </c>
      <c r="CA147" s="239">
        <v>-2574460</v>
      </c>
      <c r="CB147" s="239">
        <v>0</v>
      </c>
      <c r="CC147" s="239">
        <v>-52540</v>
      </c>
      <c r="CD147" s="239">
        <v>-5254000</v>
      </c>
      <c r="CE147" s="239">
        <v>-9280320</v>
      </c>
      <c r="CF147" s="239">
        <v>-9094712</v>
      </c>
      <c r="CG147" s="239">
        <v>0</v>
      </c>
      <c r="CH147" s="239">
        <v>-185606</v>
      </c>
      <c r="CI147" s="239">
        <v>-18560638</v>
      </c>
      <c r="CJ147" s="239">
        <v>-8950933</v>
      </c>
      <c r="CK147" s="239">
        <v>-8771915</v>
      </c>
      <c r="CL147" s="239">
        <v>0</v>
      </c>
      <c r="CM147" s="239">
        <v>-179019</v>
      </c>
      <c r="CN147" s="239">
        <v>-17901867</v>
      </c>
      <c r="CO147" s="239">
        <v>-329387</v>
      </c>
      <c r="CP147" s="239">
        <v>-322797</v>
      </c>
      <c r="CQ147" s="239">
        <v>0</v>
      </c>
      <c r="CR147" s="239">
        <v>-6587</v>
      </c>
      <c r="CS147" s="239">
        <v>-658771</v>
      </c>
      <c r="CT147" s="239">
        <v>40326017</v>
      </c>
      <c r="CU147" s="239">
        <v>39519497</v>
      </c>
      <c r="CV147" s="239">
        <v>0</v>
      </c>
      <c r="CW147" s="239">
        <v>806520</v>
      </c>
      <c r="CX147" s="239">
        <v>80652034</v>
      </c>
      <c r="CY147" s="239">
        <v>38819318</v>
      </c>
      <c r="CZ147" s="239">
        <v>38042931</v>
      </c>
      <c r="DA147" s="239">
        <v>0</v>
      </c>
      <c r="DB147" s="239">
        <v>776386</v>
      </c>
      <c r="DC147" s="239">
        <v>77638635</v>
      </c>
      <c r="DD147" s="239">
        <v>-1506699</v>
      </c>
      <c r="DE147" s="239">
        <v>-1476566</v>
      </c>
      <c r="DF147" s="239">
        <v>0</v>
      </c>
      <c r="DG147" s="239">
        <v>-30134</v>
      </c>
      <c r="DH147" s="239">
        <v>-3013399</v>
      </c>
      <c r="DI147" s="239">
        <v>-1836086</v>
      </c>
      <c r="DJ147" s="239">
        <v>-1799363</v>
      </c>
      <c r="DK147" s="239">
        <v>0</v>
      </c>
      <c r="DL147" s="239">
        <v>-36721</v>
      </c>
      <c r="DM147" s="239">
        <v>-3672170</v>
      </c>
      <c r="DN147" s="835">
        <v>0.5</v>
      </c>
      <c r="DO147" s="835">
        <v>0.49</v>
      </c>
      <c r="DP147" s="835">
        <v>0</v>
      </c>
      <c r="DQ147" s="835">
        <v>0.01</v>
      </c>
      <c r="DR147" s="835">
        <v>1</v>
      </c>
      <c r="DS147" s="214" t="s">
        <v>746</v>
      </c>
      <c r="DU147" s="214">
        <v>0</v>
      </c>
    </row>
    <row r="148" spans="2:125" s="214" customFormat="1" x14ac:dyDescent="0.2">
      <c r="B148" s="602" t="s">
        <v>379</v>
      </c>
      <c r="C148" s="602" t="s">
        <v>378</v>
      </c>
      <c r="D148" s="239">
        <v>29755335</v>
      </c>
      <c r="E148" s="239">
        <v>27050305</v>
      </c>
      <c r="F148" s="239">
        <v>33362042</v>
      </c>
      <c r="G148" s="239">
        <v>0</v>
      </c>
      <c r="H148" s="239">
        <v>90167682</v>
      </c>
      <c r="I148" s="239">
        <v>0</v>
      </c>
      <c r="J148" s="239">
        <v>0</v>
      </c>
      <c r="K148" s="239">
        <v>29755335</v>
      </c>
      <c r="L148" s="239">
        <v>243188</v>
      </c>
      <c r="M148" s="239">
        <v>243188</v>
      </c>
      <c r="N148" s="239">
        <v>0</v>
      </c>
      <c r="O148" s="239">
        <v>0</v>
      </c>
      <c r="P148" s="239">
        <v>0</v>
      </c>
      <c r="Q148" s="239">
        <v>0</v>
      </c>
      <c r="R148" s="239">
        <v>0</v>
      </c>
      <c r="S148" s="239">
        <v>0</v>
      </c>
      <c r="T148" s="239">
        <v>0</v>
      </c>
      <c r="U148" s="239">
        <v>0</v>
      </c>
      <c r="V148" s="239">
        <v>0</v>
      </c>
      <c r="W148" s="239">
        <v>0</v>
      </c>
      <c r="X148" s="239">
        <v>0</v>
      </c>
      <c r="Y148" s="239">
        <v>0</v>
      </c>
      <c r="Z148" s="239">
        <v>0</v>
      </c>
      <c r="AA148" s="239">
        <v>0</v>
      </c>
      <c r="AB148" s="239">
        <v>0</v>
      </c>
      <c r="AC148" s="239">
        <v>1408633</v>
      </c>
      <c r="AD148" s="239">
        <v>1737315</v>
      </c>
      <c r="AE148" s="239">
        <v>0</v>
      </c>
      <c r="AF148" s="239">
        <v>3145948</v>
      </c>
      <c r="AG148" s="239">
        <v>1302298</v>
      </c>
      <c r="AH148" s="239">
        <v>1183908</v>
      </c>
      <c r="AI148" s="239">
        <v>1460153</v>
      </c>
      <c r="AJ148" s="239">
        <v>0</v>
      </c>
      <c r="AK148" s="239">
        <v>3946359</v>
      </c>
      <c r="AL148" s="239">
        <v>-270783</v>
      </c>
      <c r="AM148" s="239">
        <v>-246166</v>
      </c>
      <c r="AN148" s="239">
        <v>-303605</v>
      </c>
      <c r="AO148" s="239">
        <v>0</v>
      </c>
      <c r="AP148" s="239">
        <v>-820554</v>
      </c>
      <c r="AQ148" s="239">
        <v>-1855636</v>
      </c>
      <c r="AR148" s="239">
        <v>-1686942</v>
      </c>
      <c r="AS148" s="239">
        <v>-2080562</v>
      </c>
      <c r="AT148" s="239">
        <v>0</v>
      </c>
      <c r="AU148" s="239">
        <v>-5623140</v>
      </c>
      <c r="AV148" s="239">
        <v>43622</v>
      </c>
      <c r="AW148" s="239">
        <v>39656</v>
      </c>
      <c r="AX148" s="239">
        <v>48909</v>
      </c>
      <c r="AY148" s="239">
        <v>0</v>
      </c>
      <c r="AZ148" s="239">
        <v>132187</v>
      </c>
      <c r="BA148" s="239">
        <v>-10900</v>
      </c>
      <c r="BB148" s="239">
        <v>-9908</v>
      </c>
      <c r="BC148" s="239">
        <v>-12220</v>
      </c>
      <c r="BD148" s="239">
        <v>0</v>
      </c>
      <c r="BE148" s="239">
        <v>-33028</v>
      </c>
      <c r="BF148" s="239">
        <v>-1822914</v>
      </c>
      <c r="BG148" s="239">
        <v>-1657194</v>
      </c>
      <c r="BH148" s="239">
        <v>-2043873</v>
      </c>
      <c r="BI148" s="239">
        <v>0</v>
      </c>
      <c r="BJ148" s="239">
        <v>-5523981</v>
      </c>
      <c r="BK148" s="239">
        <v>-1974360</v>
      </c>
      <c r="BL148" s="239">
        <v>-1794872</v>
      </c>
      <c r="BM148" s="239">
        <v>-2213676</v>
      </c>
      <c r="BN148" s="239">
        <v>0</v>
      </c>
      <c r="BO148" s="239">
        <v>-5982908</v>
      </c>
      <c r="BP148" s="239">
        <v>407957</v>
      </c>
      <c r="BQ148" s="239">
        <v>370869</v>
      </c>
      <c r="BR148" s="239">
        <v>457405</v>
      </c>
      <c r="BS148" s="239">
        <v>0</v>
      </c>
      <c r="BT148" s="239">
        <v>1236231</v>
      </c>
      <c r="BU148" s="239">
        <v>1019047</v>
      </c>
      <c r="BV148" s="239">
        <v>926407</v>
      </c>
      <c r="BW148" s="239">
        <v>1142568</v>
      </c>
      <c r="BX148" s="239">
        <v>0</v>
      </c>
      <c r="BY148" s="239">
        <v>3088022</v>
      </c>
      <c r="BZ148" s="239">
        <v>-547356</v>
      </c>
      <c r="CA148" s="239">
        <v>-497596</v>
      </c>
      <c r="CB148" s="239">
        <v>-613703</v>
      </c>
      <c r="CC148" s="239">
        <v>0</v>
      </c>
      <c r="CD148" s="239">
        <v>-1658655</v>
      </c>
      <c r="CE148" s="239">
        <v>-1425122</v>
      </c>
      <c r="CF148" s="239">
        <v>-855073</v>
      </c>
      <c r="CG148" s="239">
        <v>-570049</v>
      </c>
      <c r="CH148" s="239">
        <v>0</v>
      </c>
      <c r="CI148" s="239">
        <v>-2850244</v>
      </c>
      <c r="CJ148" s="239">
        <v>-2713500</v>
      </c>
      <c r="CK148" s="239">
        <v>-1628100</v>
      </c>
      <c r="CL148" s="239">
        <v>-1085400</v>
      </c>
      <c r="CM148" s="239">
        <v>0</v>
      </c>
      <c r="CN148" s="239">
        <v>-5427000</v>
      </c>
      <c r="CO148" s="239">
        <v>1288378</v>
      </c>
      <c r="CP148" s="239">
        <v>773027</v>
      </c>
      <c r="CQ148" s="239">
        <v>515351</v>
      </c>
      <c r="CR148" s="239">
        <v>0</v>
      </c>
      <c r="CS148" s="239">
        <v>2576756</v>
      </c>
      <c r="CT148" s="239">
        <v>28109772</v>
      </c>
      <c r="CU148" s="239">
        <v>25554339</v>
      </c>
      <c r="CV148" s="239">
        <v>31517018</v>
      </c>
      <c r="CW148" s="239">
        <v>0</v>
      </c>
      <c r="CX148" s="239">
        <v>85181129</v>
      </c>
      <c r="CY148" s="239">
        <v>29755335</v>
      </c>
      <c r="CZ148" s="239">
        <v>27050305</v>
      </c>
      <c r="DA148" s="239">
        <v>33362042</v>
      </c>
      <c r="DB148" s="239">
        <v>0</v>
      </c>
      <c r="DC148" s="239">
        <v>90167682</v>
      </c>
      <c r="DD148" s="239">
        <v>1645563</v>
      </c>
      <c r="DE148" s="239">
        <v>1495966</v>
      </c>
      <c r="DF148" s="239">
        <v>1845024</v>
      </c>
      <c r="DG148" s="239">
        <v>0</v>
      </c>
      <c r="DH148" s="239">
        <v>4986553</v>
      </c>
      <c r="DI148" s="239">
        <v>2933941</v>
      </c>
      <c r="DJ148" s="239">
        <v>2268993</v>
      </c>
      <c r="DK148" s="239">
        <v>2360375</v>
      </c>
      <c r="DL148" s="239">
        <v>0</v>
      </c>
      <c r="DM148" s="239">
        <v>7563309</v>
      </c>
      <c r="DN148" s="835">
        <v>0.33</v>
      </c>
      <c r="DO148" s="835">
        <v>0.3</v>
      </c>
      <c r="DP148" s="835">
        <v>0.37</v>
      </c>
      <c r="DQ148" s="835">
        <v>0</v>
      </c>
      <c r="DR148" s="835">
        <v>1</v>
      </c>
      <c r="DS148" s="214" t="s">
        <v>1159</v>
      </c>
      <c r="DU148" s="214">
        <v>0</v>
      </c>
    </row>
    <row r="149" spans="2:125" s="214" customFormat="1" x14ac:dyDescent="0.2">
      <c r="B149" s="602" t="s">
        <v>381</v>
      </c>
      <c r="C149" s="602" t="s">
        <v>380</v>
      </c>
      <c r="D149" s="239">
        <v>48042937.878111005</v>
      </c>
      <c r="E149" s="239">
        <v>47082080</v>
      </c>
      <c r="F149" s="239">
        <v>0</v>
      </c>
      <c r="G149" s="239">
        <v>960859</v>
      </c>
      <c r="H149" s="239">
        <v>96085876.878111005</v>
      </c>
      <c r="I149" s="239">
        <v>67716</v>
      </c>
      <c r="J149" s="239">
        <v>67716</v>
      </c>
      <c r="K149" s="239">
        <v>47975221.878111005</v>
      </c>
      <c r="L149" s="239">
        <v>600133</v>
      </c>
      <c r="M149" s="239">
        <v>600133</v>
      </c>
      <c r="N149" s="239">
        <v>83910</v>
      </c>
      <c r="O149" s="239">
        <v>83910</v>
      </c>
      <c r="P149" s="239">
        <v>0</v>
      </c>
      <c r="Q149" s="239">
        <v>0</v>
      </c>
      <c r="R149" s="239">
        <v>0</v>
      </c>
      <c r="S149" s="239">
        <v>67716.141630901286</v>
      </c>
      <c r="T149" s="239">
        <v>0</v>
      </c>
      <c r="U149" s="239">
        <v>0</v>
      </c>
      <c r="V149" s="239">
        <v>67716.141630901286</v>
      </c>
      <c r="W149" s="239">
        <v>0</v>
      </c>
      <c r="X149" s="239">
        <v>0</v>
      </c>
      <c r="Y149" s="239">
        <v>0</v>
      </c>
      <c r="Z149" s="239">
        <v>0</v>
      </c>
      <c r="AA149" s="239">
        <v>0</v>
      </c>
      <c r="AB149" s="239">
        <v>0</v>
      </c>
      <c r="AC149" s="239">
        <v>6968479</v>
      </c>
      <c r="AD149" s="239">
        <v>0</v>
      </c>
      <c r="AE149" s="239">
        <v>142189</v>
      </c>
      <c r="AF149" s="239">
        <v>7110668</v>
      </c>
      <c r="AG149" s="239">
        <v>2295680</v>
      </c>
      <c r="AH149" s="239">
        <v>2249767</v>
      </c>
      <c r="AI149" s="239">
        <v>0</v>
      </c>
      <c r="AJ149" s="239">
        <v>45914</v>
      </c>
      <c r="AK149" s="239">
        <v>4591361</v>
      </c>
      <c r="AL149" s="239">
        <v>-657308</v>
      </c>
      <c r="AM149" s="239">
        <v>-644162</v>
      </c>
      <c r="AN149" s="239">
        <v>0</v>
      </c>
      <c r="AO149" s="239">
        <v>-13146</v>
      </c>
      <c r="AP149" s="239">
        <v>-1314616</v>
      </c>
      <c r="AQ149" s="239">
        <v>-1394508</v>
      </c>
      <c r="AR149" s="239">
        <v>-1366618</v>
      </c>
      <c r="AS149" s="239">
        <v>0</v>
      </c>
      <c r="AT149" s="239">
        <v>-27890</v>
      </c>
      <c r="AU149" s="239">
        <v>-2789016</v>
      </c>
      <c r="AV149" s="239">
        <v>461742</v>
      </c>
      <c r="AW149" s="239">
        <v>452507</v>
      </c>
      <c r="AX149" s="239">
        <v>0</v>
      </c>
      <c r="AY149" s="239">
        <v>9235</v>
      </c>
      <c r="AZ149" s="239">
        <v>923484</v>
      </c>
      <c r="BA149" s="239">
        <v>-396124</v>
      </c>
      <c r="BB149" s="239">
        <v>-388203</v>
      </c>
      <c r="BC149" s="239">
        <v>0</v>
      </c>
      <c r="BD149" s="239">
        <v>-7923</v>
      </c>
      <c r="BE149" s="239">
        <v>-792250</v>
      </c>
      <c r="BF149" s="239">
        <v>-1328890</v>
      </c>
      <c r="BG149" s="239">
        <v>-1302314</v>
      </c>
      <c r="BH149" s="239">
        <v>0</v>
      </c>
      <c r="BI149" s="239">
        <v>-26578</v>
      </c>
      <c r="BJ149" s="239">
        <v>-2657782</v>
      </c>
      <c r="BK149" s="239">
        <v>-4252755</v>
      </c>
      <c r="BL149" s="239">
        <v>-4167699</v>
      </c>
      <c r="BM149" s="239">
        <v>0</v>
      </c>
      <c r="BN149" s="239">
        <v>-85055</v>
      </c>
      <c r="BO149" s="239">
        <v>-8505509</v>
      </c>
      <c r="BP149" s="239">
        <v>2330259</v>
      </c>
      <c r="BQ149" s="239">
        <v>2283653</v>
      </c>
      <c r="BR149" s="239">
        <v>0</v>
      </c>
      <c r="BS149" s="239">
        <v>46605</v>
      </c>
      <c r="BT149" s="239">
        <v>4660517</v>
      </c>
      <c r="BU149" s="239">
        <v>-3842245.1218889989</v>
      </c>
      <c r="BV149" s="239">
        <v>-3765401</v>
      </c>
      <c r="BW149" s="239">
        <v>0</v>
      </c>
      <c r="BX149" s="239">
        <v>-76845</v>
      </c>
      <c r="BY149" s="239">
        <v>-7684491.1218889989</v>
      </c>
      <c r="BZ149" s="239">
        <v>-5764741.1218889989</v>
      </c>
      <c r="CA149" s="239">
        <v>-5649447</v>
      </c>
      <c r="CB149" s="239">
        <v>0</v>
      </c>
      <c r="CC149" s="239">
        <v>-115295</v>
      </c>
      <c r="CD149" s="239">
        <v>-11529483.121888999</v>
      </c>
      <c r="CE149" s="239">
        <v>-1344587</v>
      </c>
      <c r="CF149" s="239">
        <v>-1317694</v>
      </c>
      <c r="CG149" s="239">
        <v>0</v>
      </c>
      <c r="CH149" s="239">
        <v>-26892</v>
      </c>
      <c r="CI149" s="239">
        <v>-2689173</v>
      </c>
      <c r="CJ149" s="239">
        <v>-1922694</v>
      </c>
      <c r="CK149" s="239">
        <v>-1884241</v>
      </c>
      <c r="CL149" s="239">
        <v>0</v>
      </c>
      <c r="CM149" s="239">
        <v>-38454</v>
      </c>
      <c r="CN149" s="239">
        <v>-3845389</v>
      </c>
      <c r="CO149" s="239">
        <v>578107</v>
      </c>
      <c r="CP149" s="239">
        <v>566547</v>
      </c>
      <c r="CQ149" s="239">
        <v>0</v>
      </c>
      <c r="CR149" s="239">
        <v>11562</v>
      </c>
      <c r="CS149" s="239">
        <v>1156216</v>
      </c>
      <c r="CT149" s="239">
        <v>48616324</v>
      </c>
      <c r="CU149" s="239">
        <v>47643999</v>
      </c>
      <c r="CV149" s="239">
        <v>0</v>
      </c>
      <c r="CW149" s="239">
        <v>972327</v>
      </c>
      <c r="CX149" s="239">
        <v>97232650</v>
      </c>
      <c r="CY149" s="239">
        <v>48042937.878111005</v>
      </c>
      <c r="CZ149" s="239">
        <v>47082080</v>
      </c>
      <c r="DA149" s="239">
        <v>0</v>
      </c>
      <c r="DB149" s="239">
        <v>960859</v>
      </c>
      <c r="DC149" s="239">
        <v>96085876.878111005</v>
      </c>
      <c r="DD149" s="239">
        <v>-573386.12188899517</v>
      </c>
      <c r="DE149" s="239">
        <v>-561919</v>
      </c>
      <c r="DF149" s="239">
        <v>0</v>
      </c>
      <c r="DG149" s="239">
        <v>-11468</v>
      </c>
      <c r="DH149" s="239">
        <v>-1146773.1218889952</v>
      </c>
      <c r="DI149" s="239">
        <v>4720.8781110048294</v>
      </c>
      <c r="DJ149" s="239">
        <v>4628</v>
      </c>
      <c r="DK149" s="239">
        <v>0</v>
      </c>
      <c r="DL149" s="239">
        <v>94</v>
      </c>
      <c r="DM149" s="239">
        <v>9442.8781110048294</v>
      </c>
      <c r="DN149" s="835">
        <v>0.5</v>
      </c>
      <c r="DO149" s="835">
        <v>0.49</v>
      </c>
      <c r="DP149" s="835">
        <v>0</v>
      </c>
      <c r="DQ149" s="835">
        <v>0.01</v>
      </c>
      <c r="DR149" s="835">
        <v>1</v>
      </c>
      <c r="DS149" s="214" t="s">
        <v>1160</v>
      </c>
      <c r="DU149" s="214">
        <v>0</v>
      </c>
    </row>
    <row r="150" spans="2:125" s="214" customFormat="1" x14ac:dyDescent="0.2">
      <c r="B150" s="602" t="s">
        <v>383</v>
      </c>
      <c r="C150" s="602" t="s">
        <v>382</v>
      </c>
      <c r="D150" s="239">
        <v>0</v>
      </c>
      <c r="E150" s="239">
        <v>42393979</v>
      </c>
      <c r="F150" s="239">
        <v>0</v>
      </c>
      <c r="G150" s="239">
        <v>428222</v>
      </c>
      <c r="H150" s="239">
        <v>42822201</v>
      </c>
      <c r="I150" s="239">
        <v>0</v>
      </c>
      <c r="J150" s="239">
        <v>0</v>
      </c>
      <c r="K150" s="239">
        <v>0</v>
      </c>
      <c r="L150" s="239">
        <v>143792</v>
      </c>
      <c r="M150" s="239">
        <v>143792</v>
      </c>
      <c r="N150" s="239">
        <v>0</v>
      </c>
      <c r="O150" s="239">
        <v>0</v>
      </c>
      <c r="P150" s="239">
        <v>0</v>
      </c>
      <c r="Q150" s="239">
        <v>0</v>
      </c>
      <c r="R150" s="239">
        <v>0</v>
      </c>
      <c r="S150" s="239">
        <v>0</v>
      </c>
      <c r="T150" s="239">
        <v>0</v>
      </c>
      <c r="U150" s="239">
        <v>0</v>
      </c>
      <c r="V150" s="239">
        <v>0</v>
      </c>
      <c r="W150" s="239">
        <v>0</v>
      </c>
      <c r="X150" s="239">
        <v>0</v>
      </c>
      <c r="Y150" s="239">
        <v>0</v>
      </c>
      <c r="Z150" s="239">
        <v>0</v>
      </c>
      <c r="AA150" s="239">
        <v>0</v>
      </c>
      <c r="AB150" s="239">
        <v>0</v>
      </c>
      <c r="AC150" s="239">
        <v>3014483</v>
      </c>
      <c r="AD150" s="239">
        <v>0</v>
      </c>
      <c r="AE150" s="239">
        <v>30450</v>
      </c>
      <c r="AF150" s="239">
        <v>3044933</v>
      </c>
      <c r="AG150" s="239">
        <v>0</v>
      </c>
      <c r="AH150" s="239">
        <v>3992328</v>
      </c>
      <c r="AI150" s="239">
        <v>0</v>
      </c>
      <c r="AJ150" s="239">
        <v>40327</v>
      </c>
      <c r="AK150" s="239">
        <v>4032655</v>
      </c>
      <c r="AL150" s="239">
        <v>0</v>
      </c>
      <c r="AM150" s="239">
        <v>-1330294</v>
      </c>
      <c r="AN150" s="239">
        <v>0</v>
      </c>
      <c r="AO150" s="239">
        <v>-13437</v>
      </c>
      <c r="AP150" s="239">
        <v>-1343731</v>
      </c>
      <c r="AQ150" s="239">
        <v>-0.26000000000931323</v>
      </c>
      <c r="AR150" s="239">
        <v>-1746685</v>
      </c>
      <c r="AS150" s="239">
        <v>0</v>
      </c>
      <c r="AT150" s="239">
        <v>-17643</v>
      </c>
      <c r="AU150" s="239">
        <v>-1764328.26</v>
      </c>
      <c r="AV150" s="239">
        <v>0</v>
      </c>
      <c r="AW150" s="239">
        <v>-1016</v>
      </c>
      <c r="AX150" s="239">
        <v>0</v>
      </c>
      <c r="AY150" s="239">
        <v>-10</v>
      </c>
      <c r="AZ150" s="239">
        <v>-1026</v>
      </c>
      <c r="BA150" s="239">
        <v>0</v>
      </c>
      <c r="BB150" s="239">
        <v>-324879</v>
      </c>
      <c r="BC150" s="239">
        <v>0</v>
      </c>
      <c r="BD150" s="239">
        <v>-3282</v>
      </c>
      <c r="BE150" s="239">
        <v>-328161</v>
      </c>
      <c r="BF150" s="239">
        <v>-0.26000000000931323</v>
      </c>
      <c r="BG150" s="239">
        <v>-2072580</v>
      </c>
      <c r="BH150" s="239">
        <v>0</v>
      </c>
      <c r="BI150" s="239">
        <v>-20935</v>
      </c>
      <c r="BJ150" s="239">
        <v>-2093515.26</v>
      </c>
      <c r="BK150" s="239">
        <v>0</v>
      </c>
      <c r="BL150" s="239">
        <v>-9433884</v>
      </c>
      <c r="BM150" s="239">
        <v>0</v>
      </c>
      <c r="BN150" s="239">
        <v>-95292</v>
      </c>
      <c r="BO150" s="239">
        <v>-9529176</v>
      </c>
      <c r="BP150" s="239">
        <v>0</v>
      </c>
      <c r="BQ150" s="239">
        <v>4962554</v>
      </c>
      <c r="BR150" s="239">
        <v>0</v>
      </c>
      <c r="BS150" s="239">
        <v>50127</v>
      </c>
      <c r="BT150" s="239">
        <v>5012681</v>
      </c>
      <c r="BU150" s="239">
        <v>0</v>
      </c>
      <c r="BV150" s="239">
        <v>-4515123</v>
      </c>
      <c r="BW150" s="239">
        <v>0</v>
      </c>
      <c r="BX150" s="239">
        <v>-45607</v>
      </c>
      <c r="BY150" s="239">
        <v>-4560730</v>
      </c>
      <c r="BZ150" s="239">
        <v>0</v>
      </c>
      <c r="CA150" s="239">
        <v>-8986453</v>
      </c>
      <c r="CB150" s="239">
        <v>0</v>
      </c>
      <c r="CC150" s="239">
        <v>-90772</v>
      </c>
      <c r="CD150" s="239">
        <v>-9077225</v>
      </c>
      <c r="CE150" s="239">
        <v>6592725</v>
      </c>
      <c r="CF150" s="239">
        <v>6460870</v>
      </c>
      <c r="CG150" s="239">
        <v>0</v>
      </c>
      <c r="CH150" s="239">
        <v>131854</v>
      </c>
      <c r="CI150" s="239">
        <v>13182805</v>
      </c>
      <c r="CJ150" s="239">
        <v>1702487</v>
      </c>
      <c r="CK150" s="239">
        <v>1668437</v>
      </c>
      <c r="CL150" s="239">
        <v>0</v>
      </c>
      <c r="CM150" s="239">
        <v>34050</v>
      </c>
      <c r="CN150" s="239">
        <v>3404974</v>
      </c>
      <c r="CO150" s="239">
        <v>4890238</v>
      </c>
      <c r="CP150" s="239">
        <v>4792433</v>
      </c>
      <c r="CQ150" s="239">
        <v>0</v>
      </c>
      <c r="CR150" s="239">
        <v>97804</v>
      </c>
      <c r="CS150" s="239">
        <v>9777831</v>
      </c>
      <c r="CT150" s="239">
        <v>0</v>
      </c>
      <c r="CU150" s="239">
        <v>44449020</v>
      </c>
      <c r="CV150" s="239">
        <v>0</v>
      </c>
      <c r="CW150" s="239">
        <v>448980</v>
      </c>
      <c r="CX150" s="239">
        <v>44898000</v>
      </c>
      <c r="CY150" s="239">
        <v>0</v>
      </c>
      <c r="CZ150" s="239">
        <v>42393979</v>
      </c>
      <c r="DA150" s="239">
        <v>0</v>
      </c>
      <c r="DB150" s="239">
        <v>428222</v>
      </c>
      <c r="DC150" s="239">
        <v>42822201</v>
      </c>
      <c r="DD150" s="239">
        <v>0</v>
      </c>
      <c r="DE150" s="239">
        <v>-2055041</v>
      </c>
      <c r="DF150" s="239">
        <v>0</v>
      </c>
      <c r="DG150" s="239">
        <v>-20758</v>
      </c>
      <c r="DH150" s="239">
        <v>-2075799</v>
      </c>
      <c r="DI150" s="239">
        <v>4890238</v>
      </c>
      <c r="DJ150" s="239">
        <v>2737392</v>
      </c>
      <c r="DK150" s="239">
        <v>0</v>
      </c>
      <c r="DL150" s="239">
        <v>77046</v>
      </c>
      <c r="DM150" s="239">
        <v>7702032</v>
      </c>
      <c r="DN150" s="835">
        <v>0</v>
      </c>
      <c r="DO150" s="835">
        <v>0.99</v>
      </c>
      <c r="DP150" s="835">
        <v>0</v>
      </c>
      <c r="DQ150" s="835">
        <v>0.01</v>
      </c>
      <c r="DR150" s="835">
        <v>1</v>
      </c>
      <c r="DS150" s="214" t="s">
        <v>1160</v>
      </c>
      <c r="DU150" s="214">
        <v>0</v>
      </c>
    </row>
    <row r="151" spans="2:125" s="214" customFormat="1" x14ac:dyDescent="0.2">
      <c r="B151" s="602" t="s">
        <v>385</v>
      </c>
      <c r="C151" s="602" t="s">
        <v>384</v>
      </c>
      <c r="D151" s="239">
        <v>53606368</v>
      </c>
      <c r="E151" s="239">
        <v>48733062</v>
      </c>
      <c r="F151" s="239">
        <v>60104109</v>
      </c>
      <c r="G151" s="239">
        <v>0</v>
      </c>
      <c r="H151" s="239">
        <v>162443539</v>
      </c>
      <c r="I151" s="239">
        <v>0</v>
      </c>
      <c r="J151" s="239">
        <v>0</v>
      </c>
      <c r="K151" s="239">
        <v>53606368</v>
      </c>
      <c r="L151" s="239">
        <v>507754</v>
      </c>
      <c r="M151" s="239">
        <v>507754</v>
      </c>
      <c r="N151" s="239">
        <v>987743</v>
      </c>
      <c r="O151" s="239">
        <v>987743</v>
      </c>
      <c r="P151" s="239">
        <v>0</v>
      </c>
      <c r="Q151" s="239">
        <v>0</v>
      </c>
      <c r="R151" s="239">
        <v>0</v>
      </c>
      <c r="S151" s="239">
        <v>0</v>
      </c>
      <c r="T151" s="239">
        <v>0</v>
      </c>
      <c r="U151" s="239">
        <v>0</v>
      </c>
      <c r="V151" s="239">
        <v>0</v>
      </c>
      <c r="W151" s="239">
        <v>0</v>
      </c>
      <c r="X151" s="239">
        <v>0</v>
      </c>
      <c r="Y151" s="239">
        <v>0</v>
      </c>
      <c r="Z151" s="239">
        <v>0</v>
      </c>
      <c r="AA151" s="239">
        <v>0</v>
      </c>
      <c r="AB151" s="239">
        <v>0</v>
      </c>
      <c r="AC151" s="239">
        <v>3418702</v>
      </c>
      <c r="AD151" s="239">
        <v>4190081</v>
      </c>
      <c r="AE151" s="239">
        <v>0</v>
      </c>
      <c r="AF151" s="239">
        <v>7608783</v>
      </c>
      <c r="AG151" s="239">
        <v>1498903</v>
      </c>
      <c r="AH151" s="239">
        <v>1362640</v>
      </c>
      <c r="AI151" s="239">
        <v>1680589</v>
      </c>
      <c r="AJ151" s="239">
        <v>0</v>
      </c>
      <c r="AK151" s="239">
        <v>4542132</v>
      </c>
      <c r="AL151" s="239">
        <v>-5107371</v>
      </c>
      <c r="AM151" s="239">
        <v>-4643065</v>
      </c>
      <c r="AN151" s="239">
        <v>-5726446</v>
      </c>
      <c r="AO151" s="239">
        <v>0</v>
      </c>
      <c r="AP151" s="239">
        <v>-15476882</v>
      </c>
      <c r="AQ151" s="239">
        <v>-1085427</v>
      </c>
      <c r="AR151" s="239">
        <v>-986753</v>
      </c>
      <c r="AS151" s="239">
        <v>-1216995</v>
      </c>
      <c r="AT151" s="239">
        <v>0</v>
      </c>
      <c r="AU151" s="239">
        <v>-3289175</v>
      </c>
      <c r="AV151" s="239">
        <v>203629</v>
      </c>
      <c r="AW151" s="239">
        <v>185117</v>
      </c>
      <c r="AX151" s="239">
        <v>228311</v>
      </c>
      <c r="AY151" s="239">
        <v>0</v>
      </c>
      <c r="AZ151" s="239">
        <v>617057</v>
      </c>
      <c r="BA151" s="239">
        <v>-359942</v>
      </c>
      <c r="BB151" s="239">
        <v>-327220</v>
      </c>
      <c r="BC151" s="239">
        <v>-403571</v>
      </c>
      <c r="BD151" s="239">
        <v>0</v>
      </c>
      <c r="BE151" s="239">
        <v>-1090733</v>
      </c>
      <c r="BF151" s="239">
        <v>-1241740</v>
      </c>
      <c r="BG151" s="239">
        <v>-1128856</v>
      </c>
      <c r="BH151" s="239">
        <v>-1392255</v>
      </c>
      <c r="BI151" s="239">
        <v>0</v>
      </c>
      <c r="BJ151" s="239">
        <v>-3762851</v>
      </c>
      <c r="BK151" s="239">
        <v>-7164859</v>
      </c>
      <c r="BL151" s="239">
        <v>-6513509</v>
      </c>
      <c r="BM151" s="239">
        <v>-8033327</v>
      </c>
      <c r="BN151" s="239">
        <v>0</v>
      </c>
      <c r="BO151" s="239">
        <v>-21711695</v>
      </c>
      <c r="BP151" s="239">
        <v>5303315</v>
      </c>
      <c r="BQ151" s="239">
        <v>4821196</v>
      </c>
      <c r="BR151" s="239">
        <v>5946142</v>
      </c>
      <c r="BS151" s="239">
        <v>0</v>
      </c>
      <c r="BT151" s="239">
        <v>16070653</v>
      </c>
      <c r="BU151" s="239">
        <v>-1650000</v>
      </c>
      <c r="BV151" s="239">
        <v>-1500000</v>
      </c>
      <c r="BW151" s="239">
        <v>-1850000</v>
      </c>
      <c r="BX151" s="239">
        <v>0</v>
      </c>
      <c r="BY151" s="239">
        <v>-5000000</v>
      </c>
      <c r="BZ151" s="239">
        <v>-3511544</v>
      </c>
      <c r="CA151" s="239">
        <v>-3192313</v>
      </c>
      <c r="CB151" s="239">
        <v>-3937185</v>
      </c>
      <c r="CC151" s="239">
        <v>0</v>
      </c>
      <c r="CD151" s="239">
        <v>-10641042</v>
      </c>
      <c r="CE151" s="239">
        <v>-1242811</v>
      </c>
      <c r="CF151" s="239">
        <v>-745687</v>
      </c>
      <c r="CG151" s="239">
        <v>-497123</v>
      </c>
      <c r="CH151" s="239">
        <v>0</v>
      </c>
      <c r="CI151" s="239">
        <v>-2485621</v>
      </c>
      <c r="CJ151" s="239">
        <v>-17593329</v>
      </c>
      <c r="CK151" s="239">
        <v>-10555998</v>
      </c>
      <c r="CL151" s="239">
        <v>-7037332</v>
      </c>
      <c r="CM151" s="239">
        <v>0</v>
      </c>
      <c r="CN151" s="239">
        <v>-35186659</v>
      </c>
      <c r="CO151" s="239">
        <v>16350518</v>
      </c>
      <c r="CP151" s="239">
        <v>9810311</v>
      </c>
      <c r="CQ151" s="239">
        <v>6540209</v>
      </c>
      <c r="CR151" s="239">
        <v>0</v>
      </c>
      <c r="CS151" s="239">
        <v>32701038</v>
      </c>
      <c r="CT151" s="239">
        <v>54581060</v>
      </c>
      <c r="CU151" s="239">
        <v>49619146</v>
      </c>
      <c r="CV151" s="239">
        <v>61196947</v>
      </c>
      <c r="CW151" s="239">
        <v>0</v>
      </c>
      <c r="CX151" s="239">
        <v>165397153</v>
      </c>
      <c r="CY151" s="239">
        <v>53606368</v>
      </c>
      <c r="CZ151" s="239">
        <v>48733062</v>
      </c>
      <c r="DA151" s="239">
        <v>60104109</v>
      </c>
      <c r="DB151" s="239">
        <v>0</v>
      </c>
      <c r="DC151" s="239">
        <v>162443539</v>
      </c>
      <c r="DD151" s="239">
        <v>-974692</v>
      </c>
      <c r="DE151" s="239">
        <v>-886084</v>
      </c>
      <c r="DF151" s="239">
        <v>-1092838</v>
      </c>
      <c r="DG151" s="239">
        <v>0</v>
      </c>
      <c r="DH151" s="239">
        <v>-2953614</v>
      </c>
      <c r="DI151" s="239">
        <v>15375826</v>
      </c>
      <c r="DJ151" s="239">
        <v>8924227</v>
      </c>
      <c r="DK151" s="239">
        <v>5447371</v>
      </c>
      <c r="DL151" s="239">
        <v>0</v>
      </c>
      <c r="DM151" s="239">
        <v>29747424</v>
      </c>
      <c r="DN151" s="835">
        <v>0.33</v>
      </c>
      <c r="DO151" s="835">
        <v>0.3</v>
      </c>
      <c r="DP151" s="835">
        <v>0.37</v>
      </c>
      <c r="DQ151" s="835">
        <v>0</v>
      </c>
      <c r="DR151" s="835">
        <v>1</v>
      </c>
      <c r="DS151" s="214" t="s">
        <v>1161</v>
      </c>
      <c r="DU151" s="214">
        <v>0</v>
      </c>
    </row>
    <row r="152" spans="2:125" s="214" customFormat="1" x14ac:dyDescent="0.2">
      <c r="B152" s="602" t="s">
        <v>387</v>
      </c>
      <c r="C152" s="602" t="s">
        <v>386</v>
      </c>
      <c r="D152" s="239">
        <v>30384111</v>
      </c>
      <c r="E152" s="239">
        <v>24307288</v>
      </c>
      <c r="F152" s="239">
        <v>5469140</v>
      </c>
      <c r="G152" s="239">
        <v>607682</v>
      </c>
      <c r="H152" s="239">
        <v>60768221</v>
      </c>
      <c r="I152" s="239">
        <v>0</v>
      </c>
      <c r="J152" s="239">
        <v>0</v>
      </c>
      <c r="K152" s="239">
        <v>30384111</v>
      </c>
      <c r="L152" s="239">
        <v>217329</v>
      </c>
      <c r="M152" s="239">
        <v>217329</v>
      </c>
      <c r="N152" s="239">
        <v>0</v>
      </c>
      <c r="O152" s="239">
        <v>0</v>
      </c>
      <c r="P152" s="239">
        <v>954214</v>
      </c>
      <c r="Q152" s="239">
        <v>6710</v>
      </c>
      <c r="R152" s="239">
        <v>960924</v>
      </c>
      <c r="S152" s="239">
        <v>0</v>
      </c>
      <c r="T152" s="239">
        <v>0</v>
      </c>
      <c r="U152" s="239">
        <v>0</v>
      </c>
      <c r="V152" s="239">
        <v>0</v>
      </c>
      <c r="W152" s="239">
        <v>0</v>
      </c>
      <c r="X152" s="239">
        <v>0</v>
      </c>
      <c r="Y152" s="239">
        <v>0</v>
      </c>
      <c r="Z152" s="239">
        <v>0</v>
      </c>
      <c r="AA152" s="239">
        <v>0</v>
      </c>
      <c r="AB152" s="239">
        <v>0</v>
      </c>
      <c r="AC152" s="239">
        <v>1775131</v>
      </c>
      <c r="AD152" s="239">
        <v>396280</v>
      </c>
      <c r="AE152" s="239">
        <v>44020</v>
      </c>
      <c r="AF152" s="239">
        <v>2215431</v>
      </c>
      <c r="AG152" s="239">
        <v>672349</v>
      </c>
      <c r="AH152" s="239">
        <v>537880</v>
      </c>
      <c r="AI152" s="239">
        <v>121023</v>
      </c>
      <c r="AJ152" s="239">
        <v>13447</v>
      </c>
      <c r="AK152" s="239">
        <v>1344699</v>
      </c>
      <c r="AL152" s="239">
        <v>-284047</v>
      </c>
      <c r="AM152" s="239">
        <v>-227238</v>
      </c>
      <c r="AN152" s="239">
        <v>-51129</v>
      </c>
      <c r="AO152" s="239">
        <v>-5681</v>
      </c>
      <c r="AP152" s="239">
        <v>-568095</v>
      </c>
      <c r="AQ152" s="239">
        <v>-221314</v>
      </c>
      <c r="AR152" s="239">
        <v>-177052</v>
      </c>
      <c r="AS152" s="239">
        <v>-39837</v>
      </c>
      <c r="AT152" s="239">
        <v>-4426</v>
      </c>
      <c r="AU152" s="239">
        <v>-442629</v>
      </c>
      <c r="AV152" s="239">
        <v>0</v>
      </c>
      <c r="AW152" s="239">
        <v>0</v>
      </c>
      <c r="AX152" s="239">
        <v>0</v>
      </c>
      <c r="AY152" s="239">
        <v>0</v>
      </c>
      <c r="AZ152" s="239">
        <v>0</v>
      </c>
      <c r="BA152" s="239">
        <v>91485</v>
      </c>
      <c r="BB152" s="239">
        <v>73188</v>
      </c>
      <c r="BC152" s="239">
        <v>16467</v>
      </c>
      <c r="BD152" s="239">
        <v>1830</v>
      </c>
      <c r="BE152" s="239">
        <v>182970</v>
      </c>
      <c r="BF152" s="239">
        <v>-129829</v>
      </c>
      <c r="BG152" s="239">
        <v>-103864</v>
      </c>
      <c r="BH152" s="239">
        <v>-23370</v>
      </c>
      <c r="BI152" s="239">
        <v>-2596</v>
      </c>
      <c r="BJ152" s="239">
        <v>-259659</v>
      </c>
      <c r="BK152" s="239">
        <v>-2587993</v>
      </c>
      <c r="BL152" s="239">
        <v>-2070395</v>
      </c>
      <c r="BM152" s="239">
        <v>-465839</v>
      </c>
      <c r="BN152" s="239">
        <v>-51760</v>
      </c>
      <c r="BO152" s="239">
        <v>-5175987</v>
      </c>
      <c r="BP152" s="239">
        <v>1411920</v>
      </c>
      <c r="BQ152" s="239">
        <v>1129536</v>
      </c>
      <c r="BR152" s="239">
        <v>254146</v>
      </c>
      <c r="BS152" s="239">
        <v>28238</v>
      </c>
      <c r="BT152" s="239">
        <v>2823840</v>
      </c>
      <c r="BU152" s="239">
        <v>-1896584</v>
      </c>
      <c r="BV152" s="239">
        <v>-1517267</v>
      </c>
      <c r="BW152" s="239">
        <v>-341385</v>
      </c>
      <c r="BX152" s="239">
        <v>-37932</v>
      </c>
      <c r="BY152" s="239">
        <v>-3793168</v>
      </c>
      <c r="BZ152" s="239">
        <v>-3072657</v>
      </c>
      <c r="CA152" s="239">
        <v>-2458126</v>
      </c>
      <c r="CB152" s="239">
        <v>-553078</v>
      </c>
      <c r="CC152" s="239">
        <v>-61454</v>
      </c>
      <c r="CD152" s="239">
        <v>-6145315</v>
      </c>
      <c r="CE152" s="239">
        <v>-892591</v>
      </c>
      <c r="CF152" s="239">
        <v>-714071</v>
      </c>
      <c r="CG152" s="239">
        <v>-160665</v>
      </c>
      <c r="CH152" s="239">
        <v>-17851</v>
      </c>
      <c r="CI152" s="239">
        <v>-1785178</v>
      </c>
      <c r="CJ152" s="239">
        <v>-3482220</v>
      </c>
      <c r="CK152" s="239">
        <v>-2785775</v>
      </c>
      <c r="CL152" s="239">
        <v>-626799</v>
      </c>
      <c r="CM152" s="239">
        <v>-69644</v>
      </c>
      <c r="CN152" s="239">
        <v>-6964438</v>
      </c>
      <c r="CO152" s="239">
        <v>2589629</v>
      </c>
      <c r="CP152" s="239">
        <v>2071704</v>
      </c>
      <c r="CQ152" s="239">
        <v>466134</v>
      </c>
      <c r="CR152" s="239">
        <v>51793</v>
      </c>
      <c r="CS152" s="239">
        <v>5179260</v>
      </c>
      <c r="CT152" s="239">
        <v>28308970</v>
      </c>
      <c r="CU152" s="239">
        <v>22647175</v>
      </c>
      <c r="CV152" s="239">
        <v>5095614</v>
      </c>
      <c r="CW152" s="239">
        <v>566179</v>
      </c>
      <c r="CX152" s="239">
        <v>56617938</v>
      </c>
      <c r="CY152" s="239">
        <v>30384111</v>
      </c>
      <c r="CZ152" s="239">
        <v>24307288</v>
      </c>
      <c r="DA152" s="239">
        <v>5469140</v>
      </c>
      <c r="DB152" s="239">
        <v>607682</v>
      </c>
      <c r="DC152" s="239">
        <v>60768221</v>
      </c>
      <c r="DD152" s="239">
        <v>2075141</v>
      </c>
      <c r="DE152" s="239">
        <v>1660113</v>
      </c>
      <c r="DF152" s="239">
        <v>373526</v>
      </c>
      <c r="DG152" s="239">
        <v>41503</v>
      </c>
      <c r="DH152" s="239">
        <v>4150283</v>
      </c>
      <c r="DI152" s="239">
        <v>4664770</v>
      </c>
      <c r="DJ152" s="239">
        <v>3731817</v>
      </c>
      <c r="DK152" s="239">
        <v>839660</v>
      </c>
      <c r="DL152" s="239">
        <v>93296</v>
      </c>
      <c r="DM152" s="239">
        <v>9329543</v>
      </c>
      <c r="DN152" s="835">
        <v>0.5</v>
      </c>
      <c r="DO152" s="835">
        <v>0.4</v>
      </c>
      <c r="DP152" s="835">
        <v>0.09</v>
      </c>
      <c r="DQ152" s="835">
        <v>0.01</v>
      </c>
      <c r="DR152" s="835">
        <v>1</v>
      </c>
      <c r="DS152" s="214" t="s">
        <v>1158</v>
      </c>
      <c r="DU152" s="214">
        <v>0</v>
      </c>
    </row>
    <row r="153" spans="2:125" s="214" customFormat="1" x14ac:dyDescent="0.2">
      <c r="B153" s="602" t="s">
        <v>389</v>
      </c>
      <c r="C153" s="602" t="s">
        <v>388</v>
      </c>
      <c r="D153" s="239">
        <v>169721490</v>
      </c>
      <c r="E153" s="239">
        <v>166327060</v>
      </c>
      <c r="F153" s="239">
        <v>0</v>
      </c>
      <c r="G153" s="239">
        <v>3394430</v>
      </c>
      <c r="H153" s="239">
        <v>339442980</v>
      </c>
      <c r="I153" s="239">
        <v>520398</v>
      </c>
      <c r="J153" s="239">
        <v>520398</v>
      </c>
      <c r="K153" s="239">
        <v>169201092</v>
      </c>
      <c r="L153" s="239">
        <v>1204810</v>
      </c>
      <c r="M153" s="239">
        <v>1204810</v>
      </c>
      <c r="N153" s="239">
        <v>979794</v>
      </c>
      <c r="O153" s="239">
        <v>979794</v>
      </c>
      <c r="P153" s="239">
        <v>226355</v>
      </c>
      <c r="Q153" s="239">
        <v>0</v>
      </c>
      <c r="R153" s="239">
        <v>226355</v>
      </c>
      <c r="S153" s="239">
        <v>520398.45708154503</v>
      </c>
      <c r="T153" s="239">
        <v>0</v>
      </c>
      <c r="U153" s="239">
        <v>0</v>
      </c>
      <c r="V153" s="239">
        <v>520398.45708154503</v>
      </c>
      <c r="W153" s="239">
        <v>0</v>
      </c>
      <c r="X153" s="239">
        <v>0</v>
      </c>
      <c r="Y153" s="239">
        <v>0</v>
      </c>
      <c r="Z153" s="239">
        <v>0</v>
      </c>
      <c r="AA153" s="239">
        <v>0</v>
      </c>
      <c r="AB153" s="239">
        <v>0</v>
      </c>
      <c r="AC153" s="239">
        <v>12687909</v>
      </c>
      <c r="AD153" s="239">
        <v>0</v>
      </c>
      <c r="AE153" s="239">
        <v>258568</v>
      </c>
      <c r="AF153" s="239">
        <v>12946477</v>
      </c>
      <c r="AG153" s="239">
        <v>5764663</v>
      </c>
      <c r="AH153" s="239">
        <v>5649370</v>
      </c>
      <c r="AI153" s="239">
        <v>0</v>
      </c>
      <c r="AJ153" s="239">
        <v>115293</v>
      </c>
      <c r="AK153" s="239">
        <v>11529326</v>
      </c>
      <c r="AL153" s="239">
        <v>-6409830</v>
      </c>
      <c r="AM153" s="239">
        <v>-6281634</v>
      </c>
      <c r="AN153" s="239">
        <v>0</v>
      </c>
      <c r="AO153" s="239">
        <v>-128197</v>
      </c>
      <c r="AP153" s="239">
        <v>-12819661</v>
      </c>
      <c r="AQ153" s="239">
        <v>-3288319</v>
      </c>
      <c r="AR153" s="239">
        <v>-3222553</v>
      </c>
      <c r="AS153" s="239">
        <v>0</v>
      </c>
      <c r="AT153" s="239">
        <v>-65766</v>
      </c>
      <c r="AU153" s="239">
        <v>-6576638</v>
      </c>
      <c r="AV153" s="239">
        <v>1212469</v>
      </c>
      <c r="AW153" s="239">
        <v>1188220</v>
      </c>
      <c r="AX153" s="239">
        <v>0</v>
      </c>
      <c r="AY153" s="239">
        <v>24249</v>
      </c>
      <c r="AZ153" s="239">
        <v>2424938</v>
      </c>
      <c r="BA153" s="239">
        <v>-1350773</v>
      </c>
      <c r="BB153" s="239">
        <v>-1323757</v>
      </c>
      <c r="BC153" s="239">
        <v>0</v>
      </c>
      <c r="BD153" s="239">
        <v>-27015</v>
      </c>
      <c r="BE153" s="239">
        <v>-2701545</v>
      </c>
      <c r="BF153" s="239">
        <v>-3426623</v>
      </c>
      <c r="BG153" s="239">
        <v>-3358090</v>
      </c>
      <c r="BH153" s="239">
        <v>0</v>
      </c>
      <c r="BI153" s="239">
        <v>-68532</v>
      </c>
      <c r="BJ153" s="239">
        <v>-6853245</v>
      </c>
      <c r="BK153" s="239">
        <v>-11479017</v>
      </c>
      <c r="BL153" s="239">
        <v>-11249437</v>
      </c>
      <c r="BM153" s="239">
        <v>0</v>
      </c>
      <c r="BN153" s="239">
        <v>-229580</v>
      </c>
      <c r="BO153" s="239">
        <v>-22958034</v>
      </c>
      <c r="BP153" s="239">
        <v>10447330</v>
      </c>
      <c r="BQ153" s="239">
        <v>10238384</v>
      </c>
      <c r="BR153" s="239">
        <v>0</v>
      </c>
      <c r="BS153" s="239">
        <v>208947</v>
      </c>
      <c r="BT153" s="239">
        <v>20894661</v>
      </c>
      <c r="BU153" s="239">
        <v>-5235125</v>
      </c>
      <c r="BV153" s="239">
        <v>-5130422</v>
      </c>
      <c r="BW153" s="239">
        <v>0</v>
      </c>
      <c r="BX153" s="239">
        <v>-104702</v>
      </c>
      <c r="BY153" s="239">
        <v>-10470249</v>
      </c>
      <c r="BZ153" s="239">
        <v>-6266812</v>
      </c>
      <c r="CA153" s="239">
        <v>-6141475</v>
      </c>
      <c r="CB153" s="239">
        <v>0</v>
      </c>
      <c r="CC153" s="239">
        <v>-125335</v>
      </c>
      <c r="CD153" s="239">
        <v>-12533622</v>
      </c>
      <c r="CE153" s="239">
        <v>-26594996</v>
      </c>
      <c r="CF153" s="239">
        <v>-26063097</v>
      </c>
      <c r="CG153" s="239">
        <v>0</v>
      </c>
      <c r="CH153" s="239">
        <v>-531901</v>
      </c>
      <c r="CI153" s="239">
        <v>-53189994</v>
      </c>
      <c r="CJ153" s="239">
        <v>-22207526</v>
      </c>
      <c r="CK153" s="239">
        <v>-21763376</v>
      </c>
      <c r="CL153" s="239">
        <v>0</v>
      </c>
      <c r="CM153" s="239">
        <v>-444151</v>
      </c>
      <c r="CN153" s="239">
        <v>-44415053</v>
      </c>
      <c r="CO153" s="239">
        <v>-4387470</v>
      </c>
      <c r="CP153" s="239">
        <v>-4299721</v>
      </c>
      <c r="CQ153" s="239">
        <v>0</v>
      </c>
      <c r="CR153" s="239">
        <v>-87750</v>
      </c>
      <c r="CS153" s="239">
        <v>-8774941</v>
      </c>
      <c r="CT153" s="239">
        <v>181701520</v>
      </c>
      <c r="CU153" s="239">
        <v>178067489</v>
      </c>
      <c r="CV153" s="239">
        <v>0</v>
      </c>
      <c r="CW153" s="239">
        <v>3634030</v>
      </c>
      <c r="CX153" s="239">
        <v>363403039</v>
      </c>
      <c r="CY153" s="239">
        <v>169721490</v>
      </c>
      <c r="CZ153" s="239">
        <v>166327060</v>
      </c>
      <c r="DA153" s="239">
        <v>0</v>
      </c>
      <c r="DB153" s="239">
        <v>3394430</v>
      </c>
      <c r="DC153" s="239">
        <v>339442980</v>
      </c>
      <c r="DD153" s="239">
        <v>-11980030</v>
      </c>
      <c r="DE153" s="239">
        <v>-11740429</v>
      </c>
      <c r="DF153" s="239">
        <v>0</v>
      </c>
      <c r="DG153" s="239">
        <v>-239600</v>
      </c>
      <c r="DH153" s="239">
        <v>-23960059</v>
      </c>
      <c r="DI153" s="239">
        <v>-16367500</v>
      </c>
      <c r="DJ153" s="239">
        <v>-16040150</v>
      </c>
      <c r="DK153" s="239">
        <v>0</v>
      </c>
      <c r="DL153" s="239">
        <v>-327350</v>
      </c>
      <c r="DM153" s="239">
        <v>-32735000</v>
      </c>
      <c r="DN153" s="835">
        <v>0.5</v>
      </c>
      <c r="DO153" s="835">
        <v>0.49</v>
      </c>
      <c r="DP153" s="835">
        <v>0</v>
      </c>
      <c r="DQ153" s="835">
        <v>0.01</v>
      </c>
      <c r="DR153" s="835">
        <v>1</v>
      </c>
      <c r="DS153" s="214" t="s">
        <v>1160</v>
      </c>
      <c r="DU153" s="214">
        <v>0</v>
      </c>
    </row>
    <row r="154" spans="2:125" s="214" customFormat="1" x14ac:dyDescent="0.2">
      <c r="B154" s="602" t="s">
        <v>391</v>
      </c>
      <c r="C154" s="602" t="s">
        <v>390</v>
      </c>
      <c r="D154" s="239">
        <v>50851880</v>
      </c>
      <c r="E154" s="239">
        <v>49834842</v>
      </c>
      <c r="F154" s="239">
        <v>0</v>
      </c>
      <c r="G154" s="239">
        <v>1017038</v>
      </c>
      <c r="H154" s="239">
        <v>101703760</v>
      </c>
      <c r="I154" s="239">
        <v>13477</v>
      </c>
      <c r="J154" s="239">
        <v>13477</v>
      </c>
      <c r="K154" s="239">
        <v>50838403</v>
      </c>
      <c r="L154" s="239">
        <v>491838</v>
      </c>
      <c r="M154" s="239">
        <v>491838</v>
      </c>
      <c r="N154" s="239">
        <v>0</v>
      </c>
      <c r="O154" s="239">
        <v>0</v>
      </c>
      <c r="P154" s="239">
        <v>0</v>
      </c>
      <c r="Q154" s="239">
        <v>0</v>
      </c>
      <c r="R154" s="239">
        <v>0</v>
      </c>
      <c r="S154" s="239">
        <v>13477.454935622318</v>
      </c>
      <c r="T154" s="239">
        <v>0</v>
      </c>
      <c r="U154" s="239">
        <v>0</v>
      </c>
      <c r="V154" s="239">
        <v>13477.454935622318</v>
      </c>
      <c r="W154" s="239">
        <v>0</v>
      </c>
      <c r="X154" s="239">
        <v>0</v>
      </c>
      <c r="Y154" s="239">
        <v>0</v>
      </c>
      <c r="Z154" s="239">
        <v>0</v>
      </c>
      <c r="AA154" s="239">
        <v>0</v>
      </c>
      <c r="AB154" s="239">
        <v>0</v>
      </c>
      <c r="AC154" s="239">
        <v>5957734</v>
      </c>
      <c r="AD154" s="239">
        <v>0</v>
      </c>
      <c r="AE154" s="239">
        <v>113871</v>
      </c>
      <c r="AF154" s="239">
        <v>6071605</v>
      </c>
      <c r="AG154" s="239">
        <v>5500887</v>
      </c>
      <c r="AH154" s="239">
        <v>5390870</v>
      </c>
      <c r="AI154" s="239">
        <v>0</v>
      </c>
      <c r="AJ154" s="239">
        <v>110018</v>
      </c>
      <c r="AK154" s="239">
        <v>11001775</v>
      </c>
      <c r="AL154" s="239">
        <v>-1230309</v>
      </c>
      <c r="AM154" s="239">
        <v>-1205703</v>
      </c>
      <c r="AN154" s="239">
        <v>0</v>
      </c>
      <c r="AO154" s="239">
        <v>-24606</v>
      </c>
      <c r="AP154" s="239">
        <v>-2460618</v>
      </c>
      <c r="AQ154" s="239">
        <v>-2007033</v>
      </c>
      <c r="AR154" s="239">
        <v>-1966892</v>
      </c>
      <c r="AS154" s="239">
        <v>0</v>
      </c>
      <c r="AT154" s="239">
        <v>-40141</v>
      </c>
      <c r="AU154" s="239">
        <v>-4014066</v>
      </c>
      <c r="AV154" s="239">
        <v>711413</v>
      </c>
      <c r="AW154" s="239">
        <v>697184</v>
      </c>
      <c r="AX154" s="239">
        <v>0</v>
      </c>
      <c r="AY154" s="239">
        <v>14228</v>
      </c>
      <c r="AZ154" s="239">
        <v>1422825</v>
      </c>
      <c r="BA154" s="239">
        <v>-900365</v>
      </c>
      <c r="BB154" s="239">
        <v>-882358</v>
      </c>
      <c r="BC154" s="239">
        <v>0</v>
      </c>
      <c r="BD154" s="239">
        <v>-18007</v>
      </c>
      <c r="BE154" s="239">
        <v>-1800730</v>
      </c>
      <c r="BF154" s="239">
        <v>-2195985</v>
      </c>
      <c r="BG154" s="239">
        <v>-2152066</v>
      </c>
      <c r="BH154" s="239">
        <v>0</v>
      </c>
      <c r="BI154" s="239">
        <v>-43920</v>
      </c>
      <c r="BJ154" s="239">
        <v>-4391971</v>
      </c>
      <c r="BK154" s="239">
        <v>-2551773</v>
      </c>
      <c r="BL154" s="239">
        <v>-2500738</v>
      </c>
      <c r="BM154" s="239">
        <v>0</v>
      </c>
      <c r="BN154" s="239">
        <v>-51035</v>
      </c>
      <c r="BO154" s="239">
        <v>-5103546</v>
      </c>
      <c r="BP154" s="239">
        <v>3550428</v>
      </c>
      <c r="BQ154" s="239">
        <v>3479420</v>
      </c>
      <c r="BR154" s="239">
        <v>0</v>
      </c>
      <c r="BS154" s="239">
        <v>71009</v>
      </c>
      <c r="BT154" s="239">
        <v>7100857</v>
      </c>
      <c r="BU154" s="239">
        <v>-4996283</v>
      </c>
      <c r="BV154" s="239">
        <v>-4896357</v>
      </c>
      <c r="BW154" s="239">
        <v>0</v>
      </c>
      <c r="BX154" s="239">
        <v>-99926</v>
      </c>
      <c r="BY154" s="239">
        <v>-9992566</v>
      </c>
      <c r="BZ154" s="239">
        <v>-3997628</v>
      </c>
      <c r="CA154" s="239">
        <v>-3917675</v>
      </c>
      <c r="CB154" s="239">
        <v>0</v>
      </c>
      <c r="CC154" s="239">
        <v>-79952</v>
      </c>
      <c r="CD154" s="239">
        <v>-7995255</v>
      </c>
      <c r="CE154" s="239">
        <v>-195562</v>
      </c>
      <c r="CF154" s="239">
        <v>-191651</v>
      </c>
      <c r="CG154" s="239">
        <v>0</v>
      </c>
      <c r="CH154" s="239">
        <v>-3912</v>
      </c>
      <c r="CI154" s="239">
        <v>-391125</v>
      </c>
      <c r="CJ154" s="239">
        <v>-767018</v>
      </c>
      <c r="CK154" s="239">
        <v>-751677</v>
      </c>
      <c r="CL154" s="239">
        <v>0</v>
      </c>
      <c r="CM154" s="239">
        <v>-15340</v>
      </c>
      <c r="CN154" s="239">
        <v>-1534035</v>
      </c>
      <c r="CO154" s="239">
        <v>571456</v>
      </c>
      <c r="CP154" s="239">
        <v>560026</v>
      </c>
      <c r="CQ154" s="239">
        <v>0</v>
      </c>
      <c r="CR154" s="239">
        <v>11428</v>
      </c>
      <c r="CS154" s="239">
        <v>1142910</v>
      </c>
      <c r="CT154" s="239">
        <v>54330112</v>
      </c>
      <c r="CU154" s="239">
        <v>53243510</v>
      </c>
      <c r="CV154" s="239">
        <v>0</v>
      </c>
      <c r="CW154" s="239">
        <v>1086602</v>
      </c>
      <c r="CX154" s="239">
        <v>108660224</v>
      </c>
      <c r="CY154" s="239">
        <v>50851880</v>
      </c>
      <c r="CZ154" s="239">
        <v>49834842</v>
      </c>
      <c r="DA154" s="239">
        <v>0</v>
      </c>
      <c r="DB154" s="239">
        <v>1017038</v>
      </c>
      <c r="DC154" s="239">
        <v>101703760</v>
      </c>
      <c r="DD154" s="239">
        <v>-3478232</v>
      </c>
      <c r="DE154" s="239">
        <v>-3408668</v>
      </c>
      <c r="DF154" s="239">
        <v>0</v>
      </c>
      <c r="DG154" s="239">
        <v>-69564</v>
      </c>
      <c r="DH154" s="239">
        <v>-6956464</v>
      </c>
      <c r="DI154" s="239">
        <v>-2906776</v>
      </c>
      <c r="DJ154" s="239">
        <v>-2848642</v>
      </c>
      <c r="DK154" s="239">
        <v>0</v>
      </c>
      <c r="DL154" s="239">
        <v>-58136</v>
      </c>
      <c r="DM154" s="239">
        <v>-5813554</v>
      </c>
      <c r="DN154" s="835">
        <v>0.5</v>
      </c>
      <c r="DO154" s="835">
        <v>0.49</v>
      </c>
      <c r="DP154" s="835">
        <v>0</v>
      </c>
      <c r="DQ154" s="835">
        <v>0.01</v>
      </c>
      <c r="DR154" s="835">
        <v>1</v>
      </c>
      <c r="DS154" s="214" t="s">
        <v>746</v>
      </c>
      <c r="DU154" s="214">
        <v>0</v>
      </c>
    </row>
    <row r="155" spans="2:125" s="214" customFormat="1" x14ac:dyDescent="0.2">
      <c r="B155" s="602" t="s">
        <v>393</v>
      </c>
      <c r="C155" s="602" t="s">
        <v>392</v>
      </c>
      <c r="D155" s="239">
        <v>11359038</v>
      </c>
      <c r="E155" s="239">
        <v>9087230</v>
      </c>
      <c r="F155" s="239">
        <v>2044627</v>
      </c>
      <c r="G155" s="239">
        <v>227181</v>
      </c>
      <c r="H155" s="239">
        <v>22718076</v>
      </c>
      <c r="I155" s="239">
        <v>158770</v>
      </c>
      <c r="J155" s="239">
        <v>158770</v>
      </c>
      <c r="K155" s="239">
        <v>11200268</v>
      </c>
      <c r="L155" s="239">
        <v>130669</v>
      </c>
      <c r="M155" s="239">
        <v>130669</v>
      </c>
      <c r="N155" s="239">
        <v>478128</v>
      </c>
      <c r="O155" s="239">
        <v>478128</v>
      </c>
      <c r="P155" s="239">
        <v>0</v>
      </c>
      <c r="Q155" s="239">
        <v>0</v>
      </c>
      <c r="R155" s="239">
        <v>0</v>
      </c>
      <c r="S155" s="239">
        <v>158769.65665236051</v>
      </c>
      <c r="T155" s="239">
        <v>0</v>
      </c>
      <c r="U155" s="239">
        <v>0</v>
      </c>
      <c r="V155" s="239">
        <v>158769.65665236051</v>
      </c>
      <c r="W155" s="239">
        <v>0</v>
      </c>
      <c r="X155" s="239">
        <v>0</v>
      </c>
      <c r="Y155" s="239">
        <v>0</v>
      </c>
      <c r="Z155" s="239">
        <v>0</v>
      </c>
      <c r="AA155" s="239">
        <v>0</v>
      </c>
      <c r="AB155" s="239">
        <v>0</v>
      </c>
      <c r="AC155" s="239">
        <v>1598163</v>
      </c>
      <c r="AD155" s="239">
        <v>295364</v>
      </c>
      <c r="AE155" s="239">
        <v>32819</v>
      </c>
      <c r="AF155" s="239">
        <v>1926346</v>
      </c>
      <c r="AG155" s="239">
        <v>433802</v>
      </c>
      <c r="AH155" s="239">
        <v>347041</v>
      </c>
      <c r="AI155" s="239">
        <v>78084</v>
      </c>
      <c r="AJ155" s="239">
        <v>8676</v>
      </c>
      <c r="AK155" s="239">
        <v>867603</v>
      </c>
      <c r="AL155" s="239">
        <v>-679489</v>
      </c>
      <c r="AM155" s="239">
        <v>-543591</v>
      </c>
      <c r="AN155" s="239">
        <v>-122308</v>
      </c>
      <c r="AO155" s="239">
        <v>-13590</v>
      </c>
      <c r="AP155" s="239">
        <v>-1358978</v>
      </c>
      <c r="AQ155" s="239">
        <v>-152500</v>
      </c>
      <c r="AR155" s="239">
        <v>-122000</v>
      </c>
      <c r="AS155" s="239">
        <v>-27450</v>
      </c>
      <c r="AT155" s="239">
        <v>-3050</v>
      </c>
      <c r="AU155" s="239">
        <v>-305000</v>
      </c>
      <c r="AV155" s="239">
        <v>51061</v>
      </c>
      <c r="AW155" s="239">
        <v>40849</v>
      </c>
      <c r="AX155" s="239">
        <v>9191</v>
      </c>
      <c r="AY155" s="239">
        <v>1021</v>
      </c>
      <c r="AZ155" s="239">
        <v>102122</v>
      </c>
      <c r="BA155" s="239">
        <v>-51061</v>
      </c>
      <c r="BB155" s="239">
        <v>-40849</v>
      </c>
      <c r="BC155" s="239">
        <v>-9191</v>
      </c>
      <c r="BD155" s="239">
        <v>-1021</v>
      </c>
      <c r="BE155" s="239">
        <v>-102122</v>
      </c>
      <c r="BF155" s="239">
        <v>-152500</v>
      </c>
      <c r="BG155" s="239">
        <v>-122000</v>
      </c>
      <c r="BH155" s="239">
        <v>-27450</v>
      </c>
      <c r="BI155" s="239">
        <v>-3050</v>
      </c>
      <c r="BJ155" s="239">
        <v>-305000</v>
      </c>
      <c r="BK155" s="239">
        <v>-900000</v>
      </c>
      <c r="BL155" s="239">
        <v>-720000</v>
      </c>
      <c r="BM155" s="239">
        <v>-162000</v>
      </c>
      <c r="BN155" s="239">
        <v>-18000</v>
      </c>
      <c r="BO155" s="239">
        <v>-1800000</v>
      </c>
      <c r="BP155" s="239">
        <v>0</v>
      </c>
      <c r="BQ155" s="239">
        <v>0</v>
      </c>
      <c r="BR155" s="239">
        <v>0</v>
      </c>
      <c r="BS155" s="239">
        <v>0</v>
      </c>
      <c r="BT155" s="239">
        <v>0</v>
      </c>
      <c r="BU155" s="239">
        <v>-580000</v>
      </c>
      <c r="BV155" s="239">
        <v>-464000</v>
      </c>
      <c r="BW155" s="239">
        <v>-104400</v>
      </c>
      <c r="BX155" s="239">
        <v>-11600</v>
      </c>
      <c r="BY155" s="239">
        <v>-1160000</v>
      </c>
      <c r="BZ155" s="239">
        <v>-1480000</v>
      </c>
      <c r="CA155" s="239">
        <v>-1184000</v>
      </c>
      <c r="CB155" s="239">
        <v>-266400</v>
      </c>
      <c r="CC155" s="239">
        <v>-29600</v>
      </c>
      <c r="CD155" s="239">
        <v>-2960000</v>
      </c>
      <c r="CE155" s="239">
        <v>-798811</v>
      </c>
      <c r="CF155" s="239">
        <v>-639048</v>
      </c>
      <c r="CG155" s="239">
        <v>-143787</v>
      </c>
      <c r="CH155" s="239">
        <v>-15976</v>
      </c>
      <c r="CI155" s="239">
        <v>-1597622</v>
      </c>
      <c r="CJ155" s="239">
        <v>-693156</v>
      </c>
      <c r="CK155" s="239">
        <v>-554524</v>
      </c>
      <c r="CL155" s="239">
        <v>-124768</v>
      </c>
      <c r="CM155" s="239">
        <v>-13863</v>
      </c>
      <c r="CN155" s="239">
        <v>-1386311</v>
      </c>
      <c r="CO155" s="239">
        <v>-105655</v>
      </c>
      <c r="CP155" s="239">
        <v>-84524</v>
      </c>
      <c r="CQ155" s="239">
        <v>-19019</v>
      </c>
      <c r="CR155" s="239">
        <v>-2113</v>
      </c>
      <c r="CS155" s="239">
        <v>-211311</v>
      </c>
      <c r="CT155" s="239">
        <v>12227709</v>
      </c>
      <c r="CU155" s="239">
        <v>9782167</v>
      </c>
      <c r="CV155" s="239">
        <v>2200988</v>
      </c>
      <c r="CW155" s="239">
        <v>244554</v>
      </c>
      <c r="CX155" s="239">
        <v>24455418</v>
      </c>
      <c r="CY155" s="239">
        <v>11359038</v>
      </c>
      <c r="CZ155" s="239">
        <v>9087230</v>
      </c>
      <c r="DA155" s="239">
        <v>2044627</v>
      </c>
      <c r="DB155" s="239">
        <v>227181</v>
      </c>
      <c r="DC155" s="239">
        <v>22718076</v>
      </c>
      <c r="DD155" s="239">
        <v>-868671</v>
      </c>
      <c r="DE155" s="239">
        <v>-694937</v>
      </c>
      <c r="DF155" s="239">
        <v>-156361</v>
      </c>
      <c r="DG155" s="239">
        <v>-17373</v>
      </c>
      <c r="DH155" s="239">
        <v>-1737342</v>
      </c>
      <c r="DI155" s="239">
        <v>-974326</v>
      </c>
      <c r="DJ155" s="239">
        <v>-779461</v>
      </c>
      <c r="DK155" s="239">
        <v>-175380</v>
      </c>
      <c r="DL155" s="239">
        <v>-19486</v>
      </c>
      <c r="DM155" s="239">
        <v>-1948653</v>
      </c>
      <c r="DN155" s="835">
        <v>0.5</v>
      </c>
      <c r="DO155" s="835">
        <v>0.4</v>
      </c>
      <c r="DP155" s="835">
        <v>0.09</v>
      </c>
      <c r="DQ155" s="835">
        <v>0.01</v>
      </c>
      <c r="DR155" s="835">
        <v>1</v>
      </c>
      <c r="DS155" s="214" t="s">
        <v>1158</v>
      </c>
      <c r="DU155" s="214">
        <v>0</v>
      </c>
    </row>
    <row r="156" spans="2:125" s="214" customFormat="1" x14ac:dyDescent="0.2">
      <c r="B156" s="602" t="s">
        <v>395</v>
      </c>
      <c r="C156" s="602" t="s">
        <v>394</v>
      </c>
      <c r="D156" s="239">
        <v>21854600</v>
      </c>
      <c r="E156" s="239">
        <v>19867819</v>
      </c>
      <c r="F156" s="239">
        <v>24503643</v>
      </c>
      <c r="G156" s="239">
        <v>0</v>
      </c>
      <c r="H156" s="239">
        <v>66226062</v>
      </c>
      <c r="I156" s="239">
        <v>0</v>
      </c>
      <c r="J156" s="239">
        <v>0</v>
      </c>
      <c r="K156" s="239">
        <v>21854600</v>
      </c>
      <c r="L156" s="239">
        <v>331514</v>
      </c>
      <c r="M156" s="239">
        <v>331514</v>
      </c>
      <c r="N156" s="239">
        <v>0</v>
      </c>
      <c r="O156" s="239">
        <v>0</v>
      </c>
      <c r="P156" s="239">
        <v>0</v>
      </c>
      <c r="Q156" s="239">
        <v>0</v>
      </c>
      <c r="R156" s="239">
        <v>0</v>
      </c>
      <c r="S156" s="239">
        <v>0</v>
      </c>
      <c r="T156" s="239">
        <v>0</v>
      </c>
      <c r="U156" s="239">
        <v>0</v>
      </c>
      <c r="V156" s="239">
        <v>0</v>
      </c>
      <c r="W156" s="239">
        <v>0</v>
      </c>
      <c r="X156" s="239">
        <v>0</v>
      </c>
      <c r="Y156" s="239">
        <v>0</v>
      </c>
      <c r="Z156" s="239">
        <v>0</v>
      </c>
      <c r="AA156" s="239">
        <v>0</v>
      </c>
      <c r="AB156" s="239">
        <v>0</v>
      </c>
      <c r="AC156" s="239">
        <v>2153514</v>
      </c>
      <c r="AD156" s="239">
        <v>2656001</v>
      </c>
      <c r="AE156" s="239">
        <v>0</v>
      </c>
      <c r="AF156" s="239">
        <v>4809515</v>
      </c>
      <c r="AG156" s="239">
        <v>1077048</v>
      </c>
      <c r="AH156" s="239">
        <v>979135</v>
      </c>
      <c r="AI156" s="239">
        <v>1207600</v>
      </c>
      <c r="AJ156" s="239">
        <v>0</v>
      </c>
      <c r="AK156" s="239">
        <v>3263783</v>
      </c>
      <c r="AL156" s="239">
        <v>-3799882</v>
      </c>
      <c r="AM156" s="239">
        <v>-3454438</v>
      </c>
      <c r="AN156" s="239">
        <v>-4260473</v>
      </c>
      <c r="AO156" s="239">
        <v>0</v>
      </c>
      <c r="AP156" s="239">
        <v>-11514793</v>
      </c>
      <c r="AQ156" s="239">
        <v>-771665.5</v>
      </c>
      <c r="AR156" s="239">
        <v>-701515</v>
      </c>
      <c r="AS156" s="239">
        <v>-865202</v>
      </c>
      <c r="AT156" s="239">
        <v>0</v>
      </c>
      <c r="AU156" s="239">
        <v>-2338382.5</v>
      </c>
      <c r="AV156" s="239">
        <v>291688</v>
      </c>
      <c r="AW156" s="239">
        <v>265172</v>
      </c>
      <c r="AX156" s="239">
        <v>327045</v>
      </c>
      <c r="AY156" s="239">
        <v>0</v>
      </c>
      <c r="AZ156" s="239">
        <v>883905</v>
      </c>
      <c r="BA156" s="239">
        <v>-121238</v>
      </c>
      <c r="BB156" s="239">
        <v>-110217</v>
      </c>
      <c r="BC156" s="239">
        <v>-135934</v>
      </c>
      <c r="BD156" s="239">
        <v>0</v>
      </c>
      <c r="BE156" s="239">
        <v>-367389</v>
      </c>
      <c r="BF156" s="239">
        <v>-601215.5</v>
      </c>
      <c r="BG156" s="239">
        <v>-546560</v>
      </c>
      <c r="BH156" s="239">
        <v>-674091</v>
      </c>
      <c r="BI156" s="239">
        <v>0</v>
      </c>
      <c r="BJ156" s="239">
        <v>-1821866.5</v>
      </c>
      <c r="BK156" s="239">
        <v>-1014055</v>
      </c>
      <c r="BL156" s="239">
        <v>-921868</v>
      </c>
      <c r="BM156" s="239">
        <v>-1136970</v>
      </c>
      <c r="BN156" s="239">
        <v>0</v>
      </c>
      <c r="BO156" s="239">
        <v>-3072893</v>
      </c>
      <c r="BP156" s="239">
        <v>484585</v>
      </c>
      <c r="BQ156" s="239">
        <v>440533</v>
      </c>
      <c r="BR156" s="239">
        <v>543324</v>
      </c>
      <c r="BS156" s="239">
        <v>0</v>
      </c>
      <c r="BT156" s="239">
        <v>1468442</v>
      </c>
      <c r="BU156" s="239">
        <v>-135344</v>
      </c>
      <c r="BV156" s="239">
        <v>-123040</v>
      </c>
      <c r="BW156" s="239">
        <v>-151750</v>
      </c>
      <c r="BX156" s="239">
        <v>0</v>
      </c>
      <c r="BY156" s="239">
        <v>-410134</v>
      </c>
      <c r="BZ156" s="239">
        <v>-664814</v>
      </c>
      <c r="CA156" s="239">
        <v>-604375</v>
      </c>
      <c r="CB156" s="239">
        <v>-745396</v>
      </c>
      <c r="CC156" s="239">
        <v>0</v>
      </c>
      <c r="CD156" s="239">
        <v>-2014585</v>
      </c>
      <c r="CE156" s="239">
        <v>-2909999</v>
      </c>
      <c r="CF156" s="239">
        <v>-1745999</v>
      </c>
      <c r="CG156" s="239">
        <v>-1164000</v>
      </c>
      <c r="CH156" s="239">
        <v>0</v>
      </c>
      <c r="CI156" s="239">
        <v>-5819998</v>
      </c>
      <c r="CJ156" s="239">
        <v>-1908005</v>
      </c>
      <c r="CK156" s="239">
        <v>-1144803</v>
      </c>
      <c r="CL156" s="239">
        <v>-763202</v>
      </c>
      <c r="CM156" s="239">
        <v>0</v>
      </c>
      <c r="CN156" s="239">
        <v>-3816010</v>
      </c>
      <c r="CO156" s="239">
        <v>-1001994</v>
      </c>
      <c r="CP156" s="239">
        <v>-601196</v>
      </c>
      <c r="CQ156" s="239">
        <v>-400798</v>
      </c>
      <c r="CR156" s="239">
        <v>0</v>
      </c>
      <c r="CS156" s="239">
        <v>-2003988</v>
      </c>
      <c r="CT156" s="239">
        <v>23573191</v>
      </c>
      <c r="CU156" s="239">
        <v>21430174</v>
      </c>
      <c r="CV156" s="239">
        <v>26430548</v>
      </c>
      <c r="CW156" s="239">
        <v>0</v>
      </c>
      <c r="CX156" s="239">
        <v>71433913</v>
      </c>
      <c r="CY156" s="239">
        <v>21854600</v>
      </c>
      <c r="CZ156" s="239">
        <v>19867819</v>
      </c>
      <c r="DA156" s="239">
        <v>24503643</v>
      </c>
      <c r="DB156" s="239">
        <v>0</v>
      </c>
      <c r="DC156" s="239">
        <v>66226062</v>
      </c>
      <c r="DD156" s="239">
        <v>-1718591</v>
      </c>
      <c r="DE156" s="239">
        <v>-1562355</v>
      </c>
      <c r="DF156" s="239">
        <v>-1926905</v>
      </c>
      <c r="DG156" s="239">
        <v>0</v>
      </c>
      <c r="DH156" s="239">
        <v>-5207851</v>
      </c>
      <c r="DI156" s="239">
        <v>-2720585</v>
      </c>
      <c r="DJ156" s="239">
        <v>-2163551</v>
      </c>
      <c r="DK156" s="239">
        <v>-2327703</v>
      </c>
      <c r="DL156" s="239">
        <v>0</v>
      </c>
      <c r="DM156" s="239">
        <v>-7211839</v>
      </c>
      <c r="DN156" s="835">
        <v>0.33</v>
      </c>
      <c r="DO156" s="835">
        <v>0.3</v>
      </c>
      <c r="DP156" s="835">
        <v>0.37</v>
      </c>
      <c r="DQ156" s="835">
        <v>0</v>
      </c>
      <c r="DR156" s="835">
        <v>1</v>
      </c>
      <c r="DS156" s="214" t="s">
        <v>1161</v>
      </c>
      <c r="DU156" s="214">
        <v>0</v>
      </c>
    </row>
    <row r="157" spans="2:125" s="214" customFormat="1" x14ac:dyDescent="0.2">
      <c r="B157" s="602" t="s">
        <v>397</v>
      </c>
      <c r="C157" s="602" t="s">
        <v>396</v>
      </c>
      <c r="D157" s="239">
        <v>17064223</v>
      </c>
      <c r="E157" s="239">
        <v>13651378</v>
      </c>
      <c r="F157" s="239">
        <v>3071560</v>
      </c>
      <c r="G157" s="239">
        <v>341284</v>
      </c>
      <c r="H157" s="239">
        <v>34128445</v>
      </c>
      <c r="I157" s="239">
        <v>0</v>
      </c>
      <c r="J157" s="239">
        <v>0</v>
      </c>
      <c r="K157" s="239">
        <v>17064223</v>
      </c>
      <c r="L157" s="239">
        <v>121519</v>
      </c>
      <c r="M157" s="239">
        <v>121519</v>
      </c>
      <c r="N157" s="239">
        <v>0</v>
      </c>
      <c r="O157" s="239">
        <v>0</v>
      </c>
      <c r="P157" s="239">
        <v>0</v>
      </c>
      <c r="Q157" s="239">
        <v>0</v>
      </c>
      <c r="R157" s="239">
        <v>0</v>
      </c>
      <c r="S157" s="239">
        <v>0</v>
      </c>
      <c r="T157" s="239">
        <v>0</v>
      </c>
      <c r="U157" s="239">
        <v>0</v>
      </c>
      <c r="V157" s="239">
        <v>0</v>
      </c>
      <c r="W157" s="239">
        <v>0</v>
      </c>
      <c r="X157" s="239">
        <v>0</v>
      </c>
      <c r="Y157" s="239">
        <v>0</v>
      </c>
      <c r="Z157" s="239">
        <v>0</v>
      </c>
      <c r="AA157" s="239">
        <v>0</v>
      </c>
      <c r="AB157" s="239">
        <v>0</v>
      </c>
      <c r="AC157" s="239">
        <v>1251982</v>
      </c>
      <c r="AD157" s="239">
        <v>281696</v>
      </c>
      <c r="AE157" s="239">
        <v>31300</v>
      </c>
      <c r="AF157" s="239">
        <v>1564978</v>
      </c>
      <c r="AG157" s="239">
        <v>375041</v>
      </c>
      <c r="AH157" s="239">
        <v>300032</v>
      </c>
      <c r="AI157" s="239">
        <v>67507</v>
      </c>
      <c r="AJ157" s="239">
        <v>7501</v>
      </c>
      <c r="AK157" s="239">
        <v>750081</v>
      </c>
      <c r="AL157" s="239">
        <v>-217283</v>
      </c>
      <c r="AM157" s="239">
        <v>-173827</v>
      </c>
      <c r="AN157" s="239">
        <v>-39111</v>
      </c>
      <c r="AO157" s="239">
        <v>-4346</v>
      </c>
      <c r="AP157" s="239">
        <v>-434567</v>
      </c>
      <c r="AQ157" s="239">
        <v>-174404.59999999998</v>
      </c>
      <c r="AR157" s="239">
        <v>-139524</v>
      </c>
      <c r="AS157" s="239">
        <v>-31393</v>
      </c>
      <c r="AT157" s="239">
        <v>-3488</v>
      </c>
      <c r="AU157" s="239">
        <v>-348809.6</v>
      </c>
      <c r="AV157" s="239">
        <v>49319</v>
      </c>
      <c r="AW157" s="239">
        <v>39454</v>
      </c>
      <c r="AX157" s="239">
        <v>8877</v>
      </c>
      <c r="AY157" s="239">
        <v>986</v>
      </c>
      <c r="AZ157" s="239">
        <v>98636</v>
      </c>
      <c r="BA157" s="239">
        <v>-757</v>
      </c>
      <c r="BB157" s="239">
        <v>-606</v>
      </c>
      <c r="BC157" s="239">
        <v>-136</v>
      </c>
      <c r="BD157" s="239">
        <v>-15</v>
      </c>
      <c r="BE157" s="239">
        <v>-1514</v>
      </c>
      <c r="BF157" s="239">
        <v>-125842.59999999998</v>
      </c>
      <c r="BG157" s="239">
        <v>-100676</v>
      </c>
      <c r="BH157" s="239">
        <v>-22652</v>
      </c>
      <c r="BI157" s="239">
        <v>-2517</v>
      </c>
      <c r="BJ157" s="239">
        <v>-251687.59999999998</v>
      </c>
      <c r="BK157" s="239">
        <v>-1950000</v>
      </c>
      <c r="BL157" s="239">
        <v>-1560000</v>
      </c>
      <c r="BM157" s="239">
        <v>-351000</v>
      </c>
      <c r="BN157" s="239">
        <v>-39000</v>
      </c>
      <c r="BO157" s="239">
        <v>-3900000</v>
      </c>
      <c r="BP157" s="239">
        <v>363075</v>
      </c>
      <c r="BQ157" s="239">
        <v>290461</v>
      </c>
      <c r="BR157" s="239">
        <v>65354</v>
      </c>
      <c r="BS157" s="239">
        <v>7262</v>
      </c>
      <c r="BT157" s="239">
        <v>726152</v>
      </c>
      <c r="BU157" s="239">
        <v>-263075</v>
      </c>
      <c r="BV157" s="239">
        <v>-210461</v>
      </c>
      <c r="BW157" s="239">
        <v>-47354</v>
      </c>
      <c r="BX157" s="239">
        <v>-5262</v>
      </c>
      <c r="BY157" s="239">
        <v>-526152</v>
      </c>
      <c r="BZ157" s="239">
        <v>-1850000</v>
      </c>
      <c r="CA157" s="239">
        <v>-1480000</v>
      </c>
      <c r="CB157" s="239">
        <v>-333000</v>
      </c>
      <c r="CC157" s="239">
        <v>-37000</v>
      </c>
      <c r="CD157" s="239">
        <v>-3700000</v>
      </c>
      <c r="CE157" s="239">
        <v>1350561</v>
      </c>
      <c r="CF157" s="239">
        <v>1080449</v>
      </c>
      <c r="CG157" s="239">
        <v>243102</v>
      </c>
      <c r="CH157" s="239">
        <v>27011</v>
      </c>
      <c r="CI157" s="239">
        <v>2701123</v>
      </c>
      <c r="CJ157" s="239">
        <v>985871</v>
      </c>
      <c r="CK157" s="239">
        <v>788697</v>
      </c>
      <c r="CL157" s="239">
        <v>177457</v>
      </c>
      <c r="CM157" s="239">
        <v>19717</v>
      </c>
      <c r="CN157" s="239">
        <v>1971742</v>
      </c>
      <c r="CO157" s="239">
        <v>364690</v>
      </c>
      <c r="CP157" s="239">
        <v>291752</v>
      </c>
      <c r="CQ157" s="239">
        <v>65645</v>
      </c>
      <c r="CR157" s="239">
        <v>7294</v>
      </c>
      <c r="CS157" s="239">
        <v>729381</v>
      </c>
      <c r="CT157" s="239">
        <v>16720500</v>
      </c>
      <c r="CU157" s="239">
        <v>13376400</v>
      </c>
      <c r="CV157" s="239">
        <v>3009690</v>
      </c>
      <c r="CW157" s="239">
        <v>334410</v>
      </c>
      <c r="CX157" s="239">
        <v>33441000</v>
      </c>
      <c r="CY157" s="239">
        <v>17064223</v>
      </c>
      <c r="CZ157" s="239">
        <v>13651378</v>
      </c>
      <c r="DA157" s="239">
        <v>3071560</v>
      </c>
      <c r="DB157" s="239">
        <v>341284</v>
      </c>
      <c r="DC157" s="239">
        <v>34128445</v>
      </c>
      <c r="DD157" s="239">
        <v>343723</v>
      </c>
      <c r="DE157" s="239">
        <v>274978</v>
      </c>
      <c r="DF157" s="239">
        <v>61870</v>
      </c>
      <c r="DG157" s="239">
        <v>6874</v>
      </c>
      <c r="DH157" s="239">
        <v>687445</v>
      </c>
      <c r="DI157" s="239">
        <v>708413</v>
      </c>
      <c r="DJ157" s="239">
        <v>566730</v>
      </c>
      <c r="DK157" s="239">
        <v>127515</v>
      </c>
      <c r="DL157" s="239">
        <v>14168</v>
      </c>
      <c r="DM157" s="239">
        <v>1416826</v>
      </c>
      <c r="DN157" s="835">
        <v>0.5</v>
      </c>
      <c r="DO157" s="835">
        <v>0.4</v>
      </c>
      <c r="DP157" s="835">
        <v>0.09</v>
      </c>
      <c r="DQ157" s="835">
        <v>0.01</v>
      </c>
      <c r="DR157" s="835">
        <v>1</v>
      </c>
      <c r="DS157" s="214" t="s">
        <v>1158</v>
      </c>
      <c r="DU157" s="214">
        <v>0</v>
      </c>
    </row>
    <row r="158" spans="2:125" s="214" customFormat="1" x14ac:dyDescent="0.2">
      <c r="B158" s="602" t="s">
        <v>399</v>
      </c>
      <c r="C158" s="602" t="s">
        <v>398</v>
      </c>
      <c r="D158" s="239">
        <v>20839068</v>
      </c>
      <c r="E158" s="239">
        <v>16671254</v>
      </c>
      <c r="F158" s="239">
        <v>4167814</v>
      </c>
      <c r="G158" s="239">
        <v>0</v>
      </c>
      <c r="H158" s="239">
        <v>41678136</v>
      </c>
      <c r="I158" s="239">
        <v>0</v>
      </c>
      <c r="J158" s="239">
        <v>0</v>
      </c>
      <c r="K158" s="239">
        <v>20839068</v>
      </c>
      <c r="L158" s="239">
        <v>145092</v>
      </c>
      <c r="M158" s="239">
        <v>145092</v>
      </c>
      <c r="N158" s="239">
        <v>0</v>
      </c>
      <c r="O158" s="239">
        <v>0</v>
      </c>
      <c r="P158" s="239">
        <v>0</v>
      </c>
      <c r="Q158" s="239">
        <v>0</v>
      </c>
      <c r="R158" s="239">
        <v>0</v>
      </c>
      <c r="S158" s="239">
        <v>0</v>
      </c>
      <c r="T158" s="239">
        <v>0</v>
      </c>
      <c r="U158" s="239">
        <v>0</v>
      </c>
      <c r="V158" s="239">
        <v>0</v>
      </c>
      <c r="W158" s="239">
        <v>0</v>
      </c>
      <c r="X158" s="239">
        <v>0</v>
      </c>
      <c r="Y158" s="239">
        <v>0</v>
      </c>
      <c r="Z158" s="239">
        <v>0</v>
      </c>
      <c r="AA158" s="239">
        <v>0</v>
      </c>
      <c r="AB158" s="239">
        <v>0</v>
      </c>
      <c r="AC158" s="239">
        <v>1209064</v>
      </c>
      <c r="AD158" s="239">
        <v>302264</v>
      </c>
      <c r="AE158" s="239">
        <v>0</v>
      </c>
      <c r="AF158" s="239">
        <v>1511328</v>
      </c>
      <c r="AG158" s="239">
        <v>609067</v>
      </c>
      <c r="AH158" s="239">
        <v>487254</v>
      </c>
      <c r="AI158" s="239">
        <v>121814</v>
      </c>
      <c r="AJ158" s="239">
        <v>0</v>
      </c>
      <c r="AK158" s="239">
        <v>1218135</v>
      </c>
      <c r="AL158" s="239">
        <v>-863302</v>
      </c>
      <c r="AM158" s="239">
        <v>-690642</v>
      </c>
      <c r="AN158" s="239">
        <v>-172661</v>
      </c>
      <c r="AO158" s="239">
        <v>0</v>
      </c>
      <c r="AP158" s="239">
        <v>-1726605</v>
      </c>
      <c r="AQ158" s="239">
        <v>-232499</v>
      </c>
      <c r="AR158" s="239">
        <v>-186000</v>
      </c>
      <c r="AS158" s="239">
        <v>-46500</v>
      </c>
      <c r="AT158" s="239">
        <v>0</v>
      </c>
      <c r="AU158" s="239">
        <v>-464999</v>
      </c>
      <c r="AV158" s="239">
        <v>74201</v>
      </c>
      <c r="AW158" s="239">
        <v>59361</v>
      </c>
      <c r="AX158" s="239">
        <v>14840</v>
      </c>
      <c r="AY158" s="239">
        <v>0</v>
      </c>
      <c r="AZ158" s="239">
        <v>148402</v>
      </c>
      <c r="BA158" s="239">
        <v>-84746</v>
      </c>
      <c r="BB158" s="239">
        <v>-67797</v>
      </c>
      <c r="BC158" s="239">
        <v>-16949</v>
      </c>
      <c r="BD158" s="239">
        <v>0</v>
      </c>
      <c r="BE158" s="239">
        <v>-169492</v>
      </c>
      <c r="BF158" s="239">
        <v>-243044</v>
      </c>
      <c r="BG158" s="239">
        <v>-194436</v>
      </c>
      <c r="BH158" s="239">
        <v>-48609</v>
      </c>
      <c r="BI158" s="239">
        <v>0</v>
      </c>
      <c r="BJ158" s="239">
        <v>-486089</v>
      </c>
      <c r="BK158" s="239">
        <v>-4142343</v>
      </c>
      <c r="BL158" s="239">
        <v>-3313875</v>
      </c>
      <c r="BM158" s="239">
        <v>-828469</v>
      </c>
      <c r="BN158" s="239">
        <v>0</v>
      </c>
      <c r="BO158" s="239">
        <v>-8284687</v>
      </c>
      <c r="BP158" s="239">
        <v>526734</v>
      </c>
      <c r="BQ158" s="239">
        <v>421388</v>
      </c>
      <c r="BR158" s="239">
        <v>105347</v>
      </c>
      <c r="BS158" s="239">
        <v>0</v>
      </c>
      <c r="BT158" s="239">
        <v>1053469</v>
      </c>
      <c r="BU158" s="239">
        <v>-205032</v>
      </c>
      <c r="BV158" s="239">
        <v>-164025</v>
      </c>
      <c r="BW158" s="239">
        <v>-41006</v>
      </c>
      <c r="BX158" s="239">
        <v>0</v>
      </c>
      <c r="BY158" s="239">
        <v>-410063</v>
      </c>
      <c r="BZ158" s="239">
        <v>-3820641</v>
      </c>
      <c r="CA158" s="239">
        <v>-3056512</v>
      </c>
      <c r="CB158" s="239">
        <v>-764128</v>
      </c>
      <c r="CC158" s="239">
        <v>0</v>
      </c>
      <c r="CD158" s="239">
        <v>-7641281</v>
      </c>
      <c r="CE158" s="239">
        <v>-1636317</v>
      </c>
      <c r="CF158" s="239">
        <v>-1309054</v>
      </c>
      <c r="CG158" s="239">
        <v>-327263</v>
      </c>
      <c r="CH158" s="239">
        <v>0</v>
      </c>
      <c r="CI158" s="239">
        <v>-3272634</v>
      </c>
      <c r="CJ158" s="239">
        <v>-1536780</v>
      </c>
      <c r="CK158" s="239">
        <v>-1229424</v>
      </c>
      <c r="CL158" s="239">
        <v>-307356</v>
      </c>
      <c r="CM158" s="239">
        <v>0</v>
      </c>
      <c r="CN158" s="239">
        <v>-3073560</v>
      </c>
      <c r="CO158" s="239">
        <v>-99537</v>
      </c>
      <c r="CP158" s="239">
        <v>-79630</v>
      </c>
      <c r="CQ158" s="239">
        <v>-19907</v>
      </c>
      <c r="CR158" s="239">
        <v>0</v>
      </c>
      <c r="CS158" s="239">
        <v>-199074</v>
      </c>
      <c r="CT158" s="239">
        <v>20368547</v>
      </c>
      <c r="CU158" s="239">
        <v>16294838</v>
      </c>
      <c r="CV158" s="239">
        <v>4073710</v>
      </c>
      <c r="CW158" s="239">
        <v>0</v>
      </c>
      <c r="CX158" s="239">
        <v>40737095</v>
      </c>
      <c r="CY158" s="239">
        <v>20839068</v>
      </c>
      <c r="CZ158" s="239">
        <v>16671254</v>
      </c>
      <c r="DA158" s="239">
        <v>4167814</v>
      </c>
      <c r="DB158" s="239">
        <v>0</v>
      </c>
      <c r="DC158" s="239">
        <v>41678136</v>
      </c>
      <c r="DD158" s="239">
        <v>470521</v>
      </c>
      <c r="DE158" s="239">
        <v>376416</v>
      </c>
      <c r="DF158" s="239">
        <v>94104</v>
      </c>
      <c r="DG158" s="239">
        <v>0</v>
      </c>
      <c r="DH158" s="239">
        <v>941041</v>
      </c>
      <c r="DI158" s="239">
        <v>370984</v>
      </c>
      <c r="DJ158" s="239">
        <v>296786</v>
      </c>
      <c r="DK158" s="239">
        <v>74197</v>
      </c>
      <c r="DL158" s="239">
        <v>0</v>
      </c>
      <c r="DM158" s="239">
        <v>741967</v>
      </c>
      <c r="DN158" s="835">
        <v>0.5</v>
      </c>
      <c r="DO158" s="835">
        <v>0.4</v>
      </c>
      <c r="DP158" s="835">
        <v>0.1</v>
      </c>
      <c r="DQ158" s="835">
        <v>0</v>
      </c>
      <c r="DR158" s="835">
        <v>1</v>
      </c>
      <c r="DS158" s="214" t="s">
        <v>1158</v>
      </c>
      <c r="DU158" s="214">
        <v>0</v>
      </c>
    </row>
    <row r="159" spans="2:125" s="214" customFormat="1" x14ac:dyDescent="0.2">
      <c r="B159" s="602" t="s">
        <v>401</v>
      </c>
      <c r="C159" s="602" t="s">
        <v>400</v>
      </c>
      <c r="D159" s="239">
        <v>0</v>
      </c>
      <c r="E159" s="239">
        <v>179627734</v>
      </c>
      <c r="F159" s="239">
        <v>0</v>
      </c>
      <c r="G159" s="239">
        <v>1814422</v>
      </c>
      <c r="H159" s="239">
        <v>181442156</v>
      </c>
      <c r="I159" s="239">
        <v>0</v>
      </c>
      <c r="J159" s="239">
        <v>0</v>
      </c>
      <c r="K159" s="239">
        <v>0</v>
      </c>
      <c r="L159" s="239">
        <v>760155</v>
      </c>
      <c r="M159" s="239">
        <v>760155</v>
      </c>
      <c r="N159" s="239">
        <v>0</v>
      </c>
      <c r="O159" s="239">
        <v>0</v>
      </c>
      <c r="P159" s="239">
        <v>0</v>
      </c>
      <c r="Q159" s="239">
        <v>0</v>
      </c>
      <c r="R159" s="239">
        <v>0</v>
      </c>
      <c r="S159" s="239">
        <v>0</v>
      </c>
      <c r="T159" s="239">
        <v>0</v>
      </c>
      <c r="U159" s="239">
        <v>0</v>
      </c>
      <c r="V159" s="239">
        <v>0</v>
      </c>
      <c r="W159" s="239">
        <v>0</v>
      </c>
      <c r="X159" s="239">
        <v>0</v>
      </c>
      <c r="Y159" s="239">
        <v>0</v>
      </c>
      <c r="Z159" s="239">
        <v>0</v>
      </c>
      <c r="AA159" s="239">
        <v>0</v>
      </c>
      <c r="AB159" s="239">
        <v>0</v>
      </c>
      <c r="AC159" s="239">
        <v>14034326</v>
      </c>
      <c r="AD159" s="239">
        <v>0</v>
      </c>
      <c r="AE159" s="239">
        <v>128694</v>
      </c>
      <c r="AF159" s="239">
        <v>14163020</v>
      </c>
      <c r="AG159" s="239">
        <v>0</v>
      </c>
      <c r="AH159" s="239">
        <v>48654638</v>
      </c>
      <c r="AI159" s="239">
        <v>0</v>
      </c>
      <c r="AJ159" s="239">
        <v>491461</v>
      </c>
      <c r="AK159" s="239">
        <v>49146099</v>
      </c>
      <c r="AL159" s="239">
        <v>0</v>
      </c>
      <c r="AM159" s="239">
        <v>-4538906</v>
      </c>
      <c r="AN159" s="239">
        <v>0</v>
      </c>
      <c r="AO159" s="239">
        <v>-45848</v>
      </c>
      <c r="AP159" s="239">
        <v>-4584754</v>
      </c>
      <c r="AQ159" s="239">
        <v>0</v>
      </c>
      <c r="AR159" s="239">
        <v>-41051535</v>
      </c>
      <c r="AS159" s="239">
        <v>0</v>
      </c>
      <c r="AT159" s="239">
        <v>-414662</v>
      </c>
      <c r="AU159" s="239">
        <v>-41466197</v>
      </c>
      <c r="AV159" s="239">
        <v>0</v>
      </c>
      <c r="AW159" s="239">
        <v>4275716</v>
      </c>
      <c r="AX159" s="239">
        <v>0</v>
      </c>
      <c r="AY159" s="239">
        <v>43189</v>
      </c>
      <c r="AZ159" s="239">
        <v>4318905</v>
      </c>
      <c r="BA159" s="239">
        <v>0</v>
      </c>
      <c r="BB159" s="239">
        <v>-6207791</v>
      </c>
      <c r="BC159" s="239">
        <v>0</v>
      </c>
      <c r="BD159" s="239">
        <v>-62705</v>
      </c>
      <c r="BE159" s="239">
        <v>-6270496</v>
      </c>
      <c r="BF159" s="239">
        <v>0</v>
      </c>
      <c r="BG159" s="239">
        <v>-42983610</v>
      </c>
      <c r="BH159" s="239">
        <v>0</v>
      </c>
      <c r="BI159" s="239">
        <v>-434178</v>
      </c>
      <c r="BJ159" s="239">
        <v>-43417788</v>
      </c>
      <c r="BK159" s="239">
        <v>0</v>
      </c>
      <c r="BL159" s="239">
        <v>-22054180</v>
      </c>
      <c r="BM159" s="239">
        <v>0</v>
      </c>
      <c r="BN159" s="239">
        <v>-222769</v>
      </c>
      <c r="BO159" s="239">
        <v>-22276949</v>
      </c>
      <c r="BP159" s="239">
        <v>0</v>
      </c>
      <c r="BQ159" s="239">
        <v>8130286</v>
      </c>
      <c r="BR159" s="239">
        <v>0</v>
      </c>
      <c r="BS159" s="239">
        <v>82124</v>
      </c>
      <c r="BT159" s="239">
        <v>8212410</v>
      </c>
      <c r="BU159" s="239">
        <v>0</v>
      </c>
      <c r="BV159" s="239">
        <v>-11632340</v>
      </c>
      <c r="BW159" s="239">
        <v>0</v>
      </c>
      <c r="BX159" s="239">
        <v>-117498</v>
      </c>
      <c r="BY159" s="239">
        <v>-11749838</v>
      </c>
      <c r="BZ159" s="239">
        <v>0</v>
      </c>
      <c r="CA159" s="239">
        <v>-25556234</v>
      </c>
      <c r="CB159" s="239">
        <v>0</v>
      </c>
      <c r="CC159" s="239">
        <v>-258143</v>
      </c>
      <c r="CD159" s="239">
        <v>-25814377</v>
      </c>
      <c r="CE159" s="239">
        <v>-10597128</v>
      </c>
      <c r="CF159" s="239">
        <v>-10385184</v>
      </c>
      <c r="CG159" s="239">
        <v>0</v>
      </c>
      <c r="CH159" s="239">
        <v>-211942</v>
      </c>
      <c r="CI159" s="239">
        <v>-21194254</v>
      </c>
      <c r="CJ159" s="239">
        <v>-10747852</v>
      </c>
      <c r="CK159" s="239">
        <v>-10532895</v>
      </c>
      <c r="CL159" s="239">
        <v>0</v>
      </c>
      <c r="CM159" s="239">
        <v>-214957</v>
      </c>
      <c r="CN159" s="239">
        <v>-21495704</v>
      </c>
      <c r="CO159" s="239">
        <v>150724</v>
      </c>
      <c r="CP159" s="239">
        <v>147711</v>
      </c>
      <c r="CQ159" s="239">
        <v>0</v>
      </c>
      <c r="CR159" s="239">
        <v>3015</v>
      </c>
      <c r="CS159" s="239">
        <v>301450</v>
      </c>
      <c r="CT159" s="239">
        <v>0</v>
      </c>
      <c r="CU159" s="239">
        <v>186282040</v>
      </c>
      <c r="CV159" s="239">
        <v>0</v>
      </c>
      <c r="CW159" s="239">
        <v>1881637</v>
      </c>
      <c r="CX159" s="239">
        <v>188163677</v>
      </c>
      <c r="CY159" s="239">
        <v>0</v>
      </c>
      <c r="CZ159" s="239">
        <v>179627734</v>
      </c>
      <c r="DA159" s="239">
        <v>0</v>
      </c>
      <c r="DB159" s="239">
        <v>1814422</v>
      </c>
      <c r="DC159" s="239">
        <v>181442156</v>
      </c>
      <c r="DD159" s="239">
        <v>0</v>
      </c>
      <c r="DE159" s="239">
        <v>-6654306</v>
      </c>
      <c r="DF159" s="239">
        <v>0</v>
      </c>
      <c r="DG159" s="239">
        <v>-67215</v>
      </c>
      <c r="DH159" s="239">
        <v>-6721521</v>
      </c>
      <c r="DI159" s="239">
        <v>150724</v>
      </c>
      <c r="DJ159" s="239">
        <v>-6506595</v>
      </c>
      <c r="DK159" s="239">
        <v>0</v>
      </c>
      <c r="DL159" s="239">
        <v>-64200</v>
      </c>
      <c r="DM159" s="239">
        <v>-6420071</v>
      </c>
      <c r="DN159" s="835">
        <v>0</v>
      </c>
      <c r="DO159" s="835">
        <v>0.99</v>
      </c>
      <c r="DP159" s="835">
        <v>0</v>
      </c>
      <c r="DQ159" s="835">
        <v>0.01</v>
      </c>
      <c r="DR159" s="835">
        <v>1</v>
      </c>
      <c r="DS159" s="214" t="s">
        <v>1160</v>
      </c>
      <c r="DU159" s="214">
        <v>0</v>
      </c>
    </row>
    <row r="160" spans="2:125" s="214" customFormat="1" x14ac:dyDescent="0.2">
      <c r="B160" s="602" t="s">
        <v>403</v>
      </c>
      <c r="C160" s="602" t="s">
        <v>402</v>
      </c>
      <c r="D160" s="239">
        <v>31822074</v>
      </c>
      <c r="E160" s="239">
        <v>31185633</v>
      </c>
      <c r="F160" s="239">
        <v>0</v>
      </c>
      <c r="G160" s="239">
        <v>636441</v>
      </c>
      <c r="H160" s="239">
        <v>63644148</v>
      </c>
      <c r="I160" s="239">
        <v>0</v>
      </c>
      <c r="J160" s="239">
        <v>0</v>
      </c>
      <c r="K160" s="239">
        <v>31822074</v>
      </c>
      <c r="L160" s="239">
        <v>246453</v>
      </c>
      <c r="M160" s="239">
        <v>246453</v>
      </c>
      <c r="N160" s="239">
        <v>0</v>
      </c>
      <c r="O160" s="239">
        <v>0</v>
      </c>
      <c r="P160" s="239">
        <v>0</v>
      </c>
      <c r="Q160" s="239">
        <v>0</v>
      </c>
      <c r="R160" s="239">
        <v>0</v>
      </c>
      <c r="S160" s="239">
        <v>0</v>
      </c>
      <c r="T160" s="239">
        <v>0</v>
      </c>
      <c r="U160" s="239">
        <v>0</v>
      </c>
      <c r="V160" s="239">
        <v>0</v>
      </c>
      <c r="W160" s="239">
        <v>0</v>
      </c>
      <c r="X160" s="239">
        <v>0</v>
      </c>
      <c r="Y160" s="239">
        <v>0</v>
      </c>
      <c r="Z160" s="239">
        <v>0</v>
      </c>
      <c r="AA160" s="239">
        <v>0</v>
      </c>
      <c r="AB160" s="239">
        <v>0</v>
      </c>
      <c r="AC160" s="239">
        <v>2473850</v>
      </c>
      <c r="AD160" s="239">
        <v>0</v>
      </c>
      <c r="AE160" s="239">
        <v>50294</v>
      </c>
      <c r="AF160" s="239">
        <v>2524144</v>
      </c>
      <c r="AG160" s="239">
        <v>5645074</v>
      </c>
      <c r="AH160" s="239">
        <v>5532174</v>
      </c>
      <c r="AI160" s="239">
        <v>0</v>
      </c>
      <c r="AJ160" s="239">
        <v>112902</v>
      </c>
      <c r="AK160" s="239">
        <v>11290150</v>
      </c>
      <c r="AL160" s="239">
        <v>-1929273</v>
      </c>
      <c r="AM160" s="239">
        <v>-1890688</v>
      </c>
      <c r="AN160" s="239">
        <v>0</v>
      </c>
      <c r="AO160" s="239">
        <v>-38585</v>
      </c>
      <c r="AP160" s="239">
        <v>-3858546</v>
      </c>
      <c r="AQ160" s="239">
        <v>-3768165</v>
      </c>
      <c r="AR160" s="239">
        <v>-3692802</v>
      </c>
      <c r="AS160" s="239">
        <v>0</v>
      </c>
      <c r="AT160" s="239">
        <v>-75363</v>
      </c>
      <c r="AU160" s="239">
        <v>-7536330</v>
      </c>
      <c r="AV160" s="239">
        <v>1430184</v>
      </c>
      <c r="AW160" s="239">
        <v>1401581</v>
      </c>
      <c r="AX160" s="239">
        <v>0</v>
      </c>
      <c r="AY160" s="239">
        <v>28604</v>
      </c>
      <c r="AZ160" s="239">
        <v>2860369</v>
      </c>
      <c r="BA160" s="239">
        <v>-773188</v>
      </c>
      <c r="BB160" s="239">
        <v>-757724</v>
      </c>
      <c r="BC160" s="239">
        <v>0</v>
      </c>
      <c r="BD160" s="239">
        <v>-15464</v>
      </c>
      <c r="BE160" s="239">
        <v>-1546376</v>
      </c>
      <c r="BF160" s="239">
        <v>-3111169</v>
      </c>
      <c r="BG160" s="239">
        <v>-3048945</v>
      </c>
      <c r="BH160" s="239">
        <v>0</v>
      </c>
      <c r="BI160" s="239">
        <v>-62223</v>
      </c>
      <c r="BJ160" s="239">
        <v>-6222337</v>
      </c>
      <c r="BK160" s="239">
        <v>-4748330</v>
      </c>
      <c r="BL160" s="239">
        <v>-4653363</v>
      </c>
      <c r="BM160" s="239">
        <v>0</v>
      </c>
      <c r="BN160" s="239">
        <v>-94967</v>
      </c>
      <c r="BO160" s="239">
        <v>-9496660</v>
      </c>
      <c r="BP160" s="239">
        <v>1647504</v>
      </c>
      <c r="BQ160" s="239">
        <v>1614553</v>
      </c>
      <c r="BR160" s="239">
        <v>0</v>
      </c>
      <c r="BS160" s="239">
        <v>32950</v>
      </c>
      <c r="BT160" s="239">
        <v>3295007</v>
      </c>
      <c r="BU160" s="239">
        <v>-1462902</v>
      </c>
      <c r="BV160" s="239">
        <v>-1433644</v>
      </c>
      <c r="BW160" s="239">
        <v>0</v>
      </c>
      <c r="BX160" s="239">
        <v>-29258</v>
      </c>
      <c r="BY160" s="239">
        <v>-2925804</v>
      </c>
      <c r="BZ160" s="239">
        <v>-4563728</v>
      </c>
      <c r="CA160" s="239">
        <v>-4472454</v>
      </c>
      <c r="CB160" s="239">
        <v>0</v>
      </c>
      <c r="CC160" s="239">
        <v>-91275</v>
      </c>
      <c r="CD160" s="239">
        <v>-9127457</v>
      </c>
      <c r="CE160" s="239">
        <v>-1799402</v>
      </c>
      <c r="CF160" s="239">
        <v>-1763415</v>
      </c>
      <c r="CG160" s="239">
        <v>0</v>
      </c>
      <c r="CH160" s="239">
        <v>-35988</v>
      </c>
      <c r="CI160" s="239">
        <v>-3598805</v>
      </c>
      <c r="CJ160" s="239">
        <v>-2934648</v>
      </c>
      <c r="CK160" s="239">
        <v>-2875956</v>
      </c>
      <c r="CL160" s="239">
        <v>0</v>
      </c>
      <c r="CM160" s="239">
        <v>-58693</v>
      </c>
      <c r="CN160" s="239">
        <v>-5869297</v>
      </c>
      <c r="CO160" s="239">
        <v>1135246</v>
      </c>
      <c r="CP160" s="239">
        <v>1112541</v>
      </c>
      <c r="CQ160" s="239">
        <v>0</v>
      </c>
      <c r="CR160" s="239">
        <v>22705</v>
      </c>
      <c r="CS160" s="239">
        <v>2270492</v>
      </c>
      <c r="CT160" s="239">
        <v>32463057</v>
      </c>
      <c r="CU160" s="239">
        <v>31813796</v>
      </c>
      <c r="CV160" s="239">
        <v>0</v>
      </c>
      <c r="CW160" s="239">
        <v>649261</v>
      </c>
      <c r="CX160" s="239">
        <v>64926114</v>
      </c>
      <c r="CY160" s="239">
        <v>31822074</v>
      </c>
      <c r="CZ160" s="239">
        <v>31185633</v>
      </c>
      <c r="DA160" s="239">
        <v>0</v>
      </c>
      <c r="DB160" s="239">
        <v>636441</v>
      </c>
      <c r="DC160" s="239">
        <v>63644148</v>
      </c>
      <c r="DD160" s="239">
        <v>-640983</v>
      </c>
      <c r="DE160" s="239">
        <v>-628163</v>
      </c>
      <c r="DF160" s="239">
        <v>0</v>
      </c>
      <c r="DG160" s="239">
        <v>-12820</v>
      </c>
      <c r="DH160" s="239">
        <v>-1281966</v>
      </c>
      <c r="DI160" s="239">
        <v>494263</v>
      </c>
      <c r="DJ160" s="239">
        <v>484378</v>
      </c>
      <c r="DK160" s="239">
        <v>0</v>
      </c>
      <c r="DL160" s="239">
        <v>9885</v>
      </c>
      <c r="DM160" s="239">
        <v>988526</v>
      </c>
      <c r="DN160" s="835">
        <v>0.5</v>
      </c>
      <c r="DO160" s="835">
        <v>0.49</v>
      </c>
      <c r="DP160" s="835">
        <v>0</v>
      </c>
      <c r="DQ160" s="835">
        <v>0.01</v>
      </c>
      <c r="DR160" s="835">
        <v>1</v>
      </c>
      <c r="DS160" s="214" t="s">
        <v>746</v>
      </c>
      <c r="DU160" s="214">
        <v>0</v>
      </c>
    </row>
    <row r="161" spans="1:125" s="214" customFormat="1" x14ac:dyDescent="0.2">
      <c r="B161" s="602" t="s">
        <v>405</v>
      </c>
      <c r="C161" s="602" t="s">
        <v>404</v>
      </c>
      <c r="D161" s="239">
        <v>27869131</v>
      </c>
      <c r="E161" s="239">
        <v>22295305</v>
      </c>
      <c r="F161" s="239">
        <v>5016444</v>
      </c>
      <c r="G161" s="239">
        <v>557383</v>
      </c>
      <c r="H161" s="239">
        <v>55738263</v>
      </c>
      <c r="I161" s="239">
        <v>0</v>
      </c>
      <c r="J161" s="239">
        <v>0</v>
      </c>
      <c r="K161" s="239">
        <v>27869131</v>
      </c>
      <c r="L161" s="239">
        <v>203668</v>
      </c>
      <c r="M161" s="239">
        <v>203668</v>
      </c>
      <c r="N161" s="239">
        <v>0</v>
      </c>
      <c r="O161" s="239">
        <v>0</v>
      </c>
      <c r="P161" s="239">
        <v>38808</v>
      </c>
      <c r="Q161" s="239">
        <v>0</v>
      </c>
      <c r="R161" s="239">
        <v>38808</v>
      </c>
      <c r="S161" s="239">
        <v>0</v>
      </c>
      <c r="T161" s="239">
        <v>0</v>
      </c>
      <c r="U161" s="239">
        <v>0</v>
      </c>
      <c r="V161" s="239">
        <v>0</v>
      </c>
      <c r="W161" s="239">
        <v>0</v>
      </c>
      <c r="X161" s="239">
        <v>0</v>
      </c>
      <c r="Y161" s="239">
        <v>0</v>
      </c>
      <c r="Z161" s="239">
        <v>0</v>
      </c>
      <c r="AA161" s="239">
        <v>0</v>
      </c>
      <c r="AB161" s="239">
        <v>0</v>
      </c>
      <c r="AC161" s="239">
        <v>1642093</v>
      </c>
      <c r="AD161" s="239">
        <v>369340</v>
      </c>
      <c r="AE161" s="239">
        <v>41038</v>
      </c>
      <c r="AF161" s="239">
        <v>2052471</v>
      </c>
      <c r="AG161" s="239">
        <v>1690286</v>
      </c>
      <c r="AH161" s="239">
        <v>1352229</v>
      </c>
      <c r="AI161" s="239">
        <v>304251</v>
      </c>
      <c r="AJ161" s="239">
        <v>33806</v>
      </c>
      <c r="AK161" s="239">
        <v>3380572</v>
      </c>
      <c r="AL161" s="239">
        <v>-937961</v>
      </c>
      <c r="AM161" s="239">
        <v>-750369</v>
      </c>
      <c r="AN161" s="239">
        <v>-168833</v>
      </c>
      <c r="AO161" s="239">
        <v>-18759</v>
      </c>
      <c r="AP161" s="239">
        <v>-1875922</v>
      </c>
      <c r="AQ161" s="239">
        <v>-918246.89999999991</v>
      </c>
      <c r="AR161" s="239">
        <v>-734597</v>
      </c>
      <c r="AS161" s="239">
        <v>-165284</v>
      </c>
      <c r="AT161" s="239">
        <v>-18365</v>
      </c>
      <c r="AU161" s="239">
        <v>-1836492.9</v>
      </c>
      <c r="AV161" s="239">
        <v>322362</v>
      </c>
      <c r="AW161" s="239">
        <v>257889</v>
      </c>
      <c r="AX161" s="239">
        <v>58025</v>
      </c>
      <c r="AY161" s="239">
        <v>6447</v>
      </c>
      <c r="AZ161" s="239">
        <v>644723</v>
      </c>
      <c r="BA161" s="239">
        <v>-194656</v>
      </c>
      <c r="BB161" s="239">
        <v>-155725</v>
      </c>
      <c r="BC161" s="239">
        <v>-35038</v>
      </c>
      <c r="BD161" s="239">
        <v>-3893</v>
      </c>
      <c r="BE161" s="239">
        <v>-389312</v>
      </c>
      <c r="BF161" s="239">
        <v>-790540.89999999991</v>
      </c>
      <c r="BG161" s="239">
        <v>-632433</v>
      </c>
      <c r="BH161" s="239">
        <v>-142297</v>
      </c>
      <c r="BI161" s="239">
        <v>-15811</v>
      </c>
      <c r="BJ161" s="239">
        <v>-1581081.9</v>
      </c>
      <c r="BK161" s="239">
        <v>-3807004</v>
      </c>
      <c r="BL161" s="239">
        <v>-3045603</v>
      </c>
      <c r="BM161" s="239">
        <v>-685261</v>
      </c>
      <c r="BN161" s="239">
        <v>-76140</v>
      </c>
      <c r="BO161" s="239">
        <v>-7614008</v>
      </c>
      <c r="BP161" s="239">
        <v>1428372</v>
      </c>
      <c r="BQ161" s="239">
        <v>1142698</v>
      </c>
      <c r="BR161" s="239">
        <v>257107</v>
      </c>
      <c r="BS161" s="239">
        <v>28567</v>
      </c>
      <c r="BT161" s="239">
        <v>2856744</v>
      </c>
      <c r="BU161" s="239">
        <v>-504079</v>
      </c>
      <c r="BV161" s="239">
        <v>-403264</v>
      </c>
      <c r="BW161" s="239">
        <v>-90734</v>
      </c>
      <c r="BX161" s="239">
        <v>-10082</v>
      </c>
      <c r="BY161" s="239">
        <v>-1008159</v>
      </c>
      <c r="BZ161" s="239">
        <v>-2882711</v>
      </c>
      <c r="CA161" s="239">
        <v>-2306169</v>
      </c>
      <c r="CB161" s="239">
        <v>-518888</v>
      </c>
      <c r="CC161" s="239">
        <v>-57655</v>
      </c>
      <c r="CD161" s="239">
        <v>-5765423</v>
      </c>
      <c r="CE161" s="239">
        <v>-6378206</v>
      </c>
      <c r="CF161" s="239">
        <v>-5102564</v>
      </c>
      <c r="CG161" s="239">
        <v>-1148077</v>
      </c>
      <c r="CH161" s="239">
        <v>-127563</v>
      </c>
      <c r="CI161" s="239">
        <v>-12756410</v>
      </c>
      <c r="CJ161" s="239">
        <v>-3583464</v>
      </c>
      <c r="CK161" s="239">
        <v>-2866771</v>
      </c>
      <c r="CL161" s="239">
        <v>-645023</v>
      </c>
      <c r="CM161" s="239">
        <v>-71669</v>
      </c>
      <c r="CN161" s="239">
        <v>-7166927</v>
      </c>
      <c r="CO161" s="239">
        <v>-2794742</v>
      </c>
      <c r="CP161" s="239">
        <v>-2235793</v>
      </c>
      <c r="CQ161" s="239">
        <v>-503054</v>
      </c>
      <c r="CR161" s="239">
        <v>-55894</v>
      </c>
      <c r="CS161" s="239">
        <v>-5589483</v>
      </c>
      <c r="CT161" s="239">
        <v>28394838</v>
      </c>
      <c r="CU161" s="239">
        <v>22715870</v>
      </c>
      <c r="CV161" s="239">
        <v>5111071</v>
      </c>
      <c r="CW161" s="239">
        <v>567897</v>
      </c>
      <c r="CX161" s="239">
        <v>56789676</v>
      </c>
      <c r="CY161" s="239">
        <v>27869131</v>
      </c>
      <c r="CZ161" s="239">
        <v>22295305</v>
      </c>
      <c r="DA161" s="239">
        <v>5016444</v>
      </c>
      <c r="DB161" s="239">
        <v>557383</v>
      </c>
      <c r="DC161" s="239">
        <v>55738263</v>
      </c>
      <c r="DD161" s="239">
        <v>-525707</v>
      </c>
      <c r="DE161" s="239">
        <v>-420565</v>
      </c>
      <c r="DF161" s="239">
        <v>-94627</v>
      </c>
      <c r="DG161" s="239">
        <v>-10514</v>
      </c>
      <c r="DH161" s="239">
        <v>-1051413</v>
      </c>
      <c r="DI161" s="239">
        <v>-3320449</v>
      </c>
      <c r="DJ161" s="239">
        <v>-2656358</v>
      </c>
      <c r="DK161" s="239">
        <v>-597681</v>
      </c>
      <c r="DL161" s="239">
        <v>-66408</v>
      </c>
      <c r="DM161" s="239">
        <v>-6640896</v>
      </c>
      <c r="DN161" s="835">
        <v>0.5</v>
      </c>
      <c r="DO161" s="835">
        <v>0.4</v>
      </c>
      <c r="DP161" s="835">
        <v>0.09</v>
      </c>
      <c r="DQ161" s="835">
        <v>0.01</v>
      </c>
      <c r="DR161" s="835">
        <v>1</v>
      </c>
      <c r="DS161" s="214" t="s">
        <v>1158</v>
      </c>
      <c r="DU161" s="214">
        <v>0</v>
      </c>
    </row>
    <row r="162" spans="1:125" s="214" customFormat="1" x14ac:dyDescent="0.2">
      <c r="A162" s="215"/>
      <c r="B162" s="602" t="s">
        <v>407</v>
      </c>
      <c r="C162" s="602" t="s">
        <v>406</v>
      </c>
      <c r="D162" s="239">
        <v>6406511</v>
      </c>
      <c r="E162" s="239">
        <v>5125208</v>
      </c>
      <c r="F162" s="239">
        <v>1153172</v>
      </c>
      <c r="G162" s="239">
        <v>128130</v>
      </c>
      <c r="H162" s="239">
        <v>12813021</v>
      </c>
      <c r="I162" s="239">
        <v>0</v>
      </c>
      <c r="J162" s="239">
        <v>0</v>
      </c>
      <c r="K162" s="239">
        <v>6406511</v>
      </c>
      <c r="L162" s="239">
        <v>92673</v>
      </c>
      <c r="M162" s="239">
        <v>92673</v>
      </c>
      <c r="N162" s="239">
        <v>0</v>
      </c>
      <c r="O162" s="239">
        <v>0</v>
      </c>
      <c r="P162" s="239">
        <v>755602</v>
      </c>
      <c r="Q162" s="239">
        <v>0</v>
      </c>
      <c r="R162" s="239">
        <v>755602</v>
      </c>
      <c r="S162" s="239">
        <v>0</v>
      </c>
      <c r="T162" s="239">
        <v>0</v>
      </c>
      <c r="U162" s="239">
        <v>0</v>
      </c>
      <c r="V162" s="239">
        <v>0</v>
      </c>
      <c r="W162" s="239">
        <v>0</v>
      </c>
      <c r="X162" s="239">
        <v>0</v>
      </c>
      <c r="Y162" s="239">
        <v>0</v>
      </c>
      <c r="Z162" s="239">
        <v>0</v>
      </c>
      <c r="AA162" s="239">
        <v>0</v>
      </c>
      <c r="AB162" s="239">
        <v>0</v>
      </c>
      <c r="AC162" s="239">
        <v>937649</v>
      </c>
      <c r="AD162" s="239">
        <v>208417</v>
      </c>
      <c r="AE162" s="239">
        <v>23157</v>
      </c>
      <c r="AF162" s="239">
        <v>1169223</v>
      </c>
      <c r="AG162" s="239">
        <v>316301</v>
      </c>
      <c r="AH162" s="239">
        <v>253040</v>
      </c>
      <c r="AI162" s="239">
        <v>56934</v>
      </c>
      <c r="AJ162" s="239">
        <v>6326</v>
      </c>
      <c r="AK162" s="239">
        <v>632601</v>
      </c>
      <c r="AL162" s="239">
        <v>-154834</v>
      </c>
      <c r="AM162" s="239">
        <v>-123867</v>
      </c>
      <c r="AN162" s="239">
        <v>-27870</v>
      </c>
      <c r="AO162" s="239">
        <v>-3097</v>
      </c>
      <c r="AP162" s="239">
        <v>-309668</v>
      </c>
      <c r="AQ162" s="239">
        <v>-142000</v>
      </c>
      <c r="AR162" s="239">
        <v>-113600</v>
      </c>
      <c r="AS162" s="239">
        <v>-25560</v>
      </c>
      <c r="AT162" s="239">
        <v>-2840</v>
      </c>
      <c r="AU162" s="239">
        <v>-284000</v>
      </c>
      <c r="AV162" s="239">
        <v>19745</v>
      </c>
      <c r="AW162" s="239">
        <v>15796</v>
      </c>
      <c r="AX162" s="239">
        <v>3554</v>
      </c>
      <c r="AY162" s="239">
        <v>395</v>
      </c>
      <c r="AZ162" s="239">
        <v>39490</v>
      </c>
      <c r="BA162" s="239">
        <v>-56745</v>
      </c>
      <c r="BB162" s="239">
        <v>-45396</v>
      </c>
      <c r="BC162" s="239">
        <v>-10214</v>
      </c>
      <c r="BD162" s="239">
        <v>-1135</v>
      </c>
      <c r="BE162" s="239">
        <v>-113490</v>
      </c>
      <c r="BF162" s="239">
        <v>-179000</v>
      </c>
      <c r="BG162" s="239">
        <v>-143200</v>
      </c>
      <c r="BH162" s="239">
        <v>-32220</v>
      </c>
      <c r="BI162" s="239">
        <v>-3580</v>
      </c>
      <c r="BJ162" s="239">
        <v>-358000</v>
      </c>
      <c r="BK162" s="239">
        <v>-560903</v>
      </c>
      <c r="BL162" s="239">
        <v>-448722</v>
      </c>
      <c r="BM162" s="239">
        <v>-100963</v>
      </c>
      <c r="BN162" s="239">
        <v>-11218</v>
      </c>
      <c r="BO162" s="239">
        <v>-1121806</v>
      </c>
      <c r="BP162" s="239">
        <v>158393</v>
      </c>
      <c r="BQ162" s="239">
        <v>126715</v>
      </c>
      <c r="BR162" s="239">
        <v>28511</v>
      </c>
      <c r="BS162" s="239">
        <v>3168</v>
      </c>
      <c r="BT162" s="239">
        <v>316787</v>
      </c>
      <c r="BU162" s="239">
        <v>-319065</v>
      </c>
      <c r="BV162" s="239">
        <v>-255252</v>
      </c>
      <c r="BW162" s="239">
        <v>-57432</v>
      </c>
      <c r="BX162" s="239">
        <v>-6381</v>
      </c>
      <c r="BY162" s="239">
        <v>-638130</v>
      </c>
      <c r="BZ162" s="239">
        <v>-721575</v>
      </c>
      <c r="CA162" s="239">
        <v>-577259</v>
      </c>
      <c r="CB162" s="239">
        <v>-129884</v>
      </c>
      <c r="CC162" s="239">
        <v>-14431</v>
      </c>
      <c r="CD162" s="239">
        <v>-1443149</v>
      </c>
      <c r="CE162" s="239">
        <v>-538397</v>
      </c>
      <c r="CF162" s="239">
        <v>-430718</v>
      </c>
      <c r="CG162" s="239">
        <v>-96912</v>
      </c>
      <c r="CH162" s="239">
        <v>-10768</v>
      </c>
      <c r="CI162" s="239">
        <v>-1076795</v>
      </c>
      <c r="CJ162" s="239">
        <v>-442903</v>
      </c>
      <c r="CK162" s="239">
        <v>-354323</v>
      </c>
      <c r="CL162" s="239">
        <v>-79723</v>
      </c>
      <c r="CM162" s="239">
        <v>-8858</v>
      </c>
      <c r="CN162" s="239">
        <v>-885807</v>
      </c>
      <c r="CO162" s="239">
        <v>-95494</v>
      </c>
      <c r="CP162" s="239">
        <v>-76395</v>
      </c>
      <c r="CQ162" s="239">
        <v>-17189</v>
      </c>
      <c r="CR162" s="239">
        <v>-1910</v>
      </c>
      <c r="CS162" s="239">
        <v>-190988</v>
      </c>
      <c r="CT162" s="239">
        <v>6352864</v>
      </c>
      <c r="CU162" s="239">
        <v>5082292</v>
      </c>
      <c r="CV162" s="239">
        <v>1143516</v>
      </c>
      <c r="CW162" s="239">
        <v>127057</v>
      </c>
      <c r="CX162" s="239">
        <v>12705729</v>
      </c>
      <c r="CY162" s="239">
        <v>6406511</v>
      </c>
      <c r="CZ162" s="239">
        <v>5125208</v>
      </c>
      <c r="DA162" s="239">
        <v>1153172</v>
      </c>
      <c r="DB162" s="239">
        <v>128130</v>
      </c>
      <c r="DC162" s="239">
        <v>12813021</v>
      </c>
      <c r="DD162" s="239">
        <v>53647</v>
      </c>
      <c r="DE162" s="239">
        <v>42916</v>
      </c>
      <c r="DF162" s="239">
        <v>9656</v>
      </c>
      <c r="DG162" s="239">
        <v>1073</v>
      </c>
      <c r="DH162" s="239">
        <v>107292</v>
      </c>
      <c r="DI162" s="239">
        <v>-41847</v>
      </c>
      <c r="DJ162" s="239">
        <v>-33479</v>
      </c>
      <c r="DK162" s="239">
        <v>-7533</v>
      </c>
      <c r="DL162" s="239">
        <v>-837</v>
      </c>
      <c r="DM162" s="239">
        <v>-83696</v>
      </c>
      <c r="DN162" s="835">
        <v>0.5</v>
      </c>
      <c r="DO162" s="835">
        <v>0.4</v>
      </c>
      <c r="DP162" s="835">
        <v>0.09</v>
      </c>
      <c r="DQ162" s="835">
        <v>0.01</v>
      </c>
      <c r="DR162" s="835">
        <v>1</v>
      </c>
      <c r="DS162" s="214" t="s">
        <v>1158</v>
      </c>
      <c r="DU162" s="214">
        <v>0</v>
      </c>
    </row>
    <row r="163" spans="1:125" s="214" customFormat="1" x14ac:dyDescent="0.2">
      <c r="B163" s="602" t="s">
        <v>409</v>
      </c>
      <c r="C163" s="602" t="s">
        <v>408</v>
      </c>
      <c r="D163" s="239">
        <v>8079709</v>
      </c>
      <c r="E163" s="239">
        <v>6463768</v>
      </c>
      <c r="F163" s="239">
        <v>1454348</v>
      </c>
      <c r="G163" s="239">
        <v>161594</v>
      </c>
      <c r="H163" s="239">
        <v>16159419</v>
      </c>
      <c r="I163" s="239">
        <v>0</v>
      </c>
      <c r="J163" s="239">
        <v>0</v>
      </c>
      <c r="K163" s="239">
        <v>8079709</v>
      </c>
      <c r="L163" s="239">
        <v>106758</v>
      </c>
      <c r="M163" s="239">
        <v>106758</v>
      </c>
      <c r="N163" s="239">
        <v>0</v>
      </c>
      <c r="O163" s="239">
        <v>0</v>
      </c>
      <c r="P163" s="239">
        <v>7899</v>
      </c>
      <c r="Q163" s="239">
        <v>0</v>
      </c>
      <c r="R163" s="239">
        <v>7899</v>
      </c>
      <c r="S163" s="239">
        <v>0</v>
      </c>
      <c r="T163" s="239">
        <v>0</v>
      </c>
      <c r="U163" s="239">
        <v>0</v>
      </c>
      <c r="V163" s="239">
        <v>0</v>
      </c>
      <c r="W163" s="239">
        <v>0</v>
      </c>
      <c r="X163" s="239">
        <v>0</v>
      </c>
      <c r="Y163" s="239">
        <v>0</v>
      </c>
      <c r="Z163" s="239">
        <v>0</v>
      </c>
      <c r="AA163" s="239">
        <v>0</v>
      </c>
      <c r="AB163" s="239">
        <v>0</v>
      </c>
      <c r="AC163" s="239">
        <v>1127721</v>
      </c>
      <c r="AD163" s="239">
        <v>253710</v>
      </c>
      <c r="AE163" s="239">
        <v>28190</v>
      </c>
      <c r="AF163" s="239">
        <v>1409621</v>
      </c>
      <c r="AG163" s="239">
        <v>227310</v>
      </c>
      <c r="AH163" s="239">
        <v>181848</v>
      </c>
      <c r="AI163" s="239">
        <v>40916</v>
      </c>
      <c r="AJ163" s="239">
        <v>4546</v>
      </c>
      <c r="AK163" s="239">
        <v>454620</v>
      </c>
      <c r="AL163" s="239">
        <v>-59096</v>
      </c>
      <c r="AM163" s="239">
        <v>-47277</v>
      </c>
      <c r="AN163" s="239">
        <v>-10637</v>
      </c>
      <c r="AO163" s="239">
        <v>-1182</v>
      </c>
      <c r="AP163" s="239">
        <v>-118192</v>
      </c>
      <c r="AQ163" s="239">
        <v>-76241</v>
      </c>
      <c r="AR163" s="239">
        <v>-60994</v>
      </c>
      <c r="AS163" s="239">
        <v>-13724</v>
      </c>
      <c r="AT163" s="239">
        <v>-1525</v>
      </c>
      <c r="AU163" s="239">
        <v>-152484</v>
      </c>
      <c r="AV163" s="239">
        <v>72382</v>
      </c>
      <c r="AW163" s="239">
        <v>57906</v>
      </c>
      <c r="AX163" s="239">
        <v>13029</v>
      </c>
      <c r="AY163" s="239">
        <v>1448</v>
      </c>
      <c r="AZ163" s="239">
        <v>144765</v>
      </c>
      <c r="BA163" s="239">
        <v>25253</v>
      </c>
      <c r="BB163" s="239">
        <v>20202</v>
      </c>
      <c r="BC163" s="239">
        <v>4546</v>
      </c>
      <c r="BD163" s="239">
        <v>505</v>
      </c>
      <c r="BE163" s="239">
        <v>50506</v>
      </c>
      <c r="BF163" s="239">
        <v>21394</v>
      </c>
      <c r="BG163" s="239">
        <v>17114</v>
      </c>
      <c r="BH163" s="239">
        <v>3851</v>
      </c>
      <c r="BI163" s="239">
        <v>428</v>
      </c>
      <c r="BJ163" s="239">
        <v>42787</v>
      </c>
      <c r="BK163" s="239">
        <v>-1998841.4000000004</v>
      </c>
      <c r="BL163" s="239">
        <v>-1599073</v>
      </c>
      <c r="BM163" s="239">
        <v>-359791</v>
      </c>
      <c r="BN163" s="239">
        <v>-39977</v>
      </c>
      <c r="BO163" s="239">
        <v>-3997682.4000000004</v>
      </c>
      <c r="BP163" s="239">
        <v>1025722</v>
      </c>
      <c r="BQ163" s="239">
        <v>820578</v>
      </c>
      <c r="BR163" s="239">
        <v>184630</v>
      </c>
      <c r="BS163" s="239">
        <v>20514</v>
      </c>
      <c r="BT163" s="239">
        <v>2051444</v>
      </c>
      <c r="BU163" s="239">
        <v>-191942</v>
      </c>
      <c r="BV163" s="239">
        <v>-153554</v>
      </c>
      <c r="BW163" s="239">
        <v>-34550</v>
      </c>
      <c r="BX163" s="239">
        <v>-3839</v>
      </c>
      <c r="BY163" s="239">
        <v>-383885</v>
      </c>
      <c r="BZ163" s="239">
        <v>-1165061.4000000004</v>
      </c>
      <c r="CA163" s="239">
        <v>-932049</v>
      </c>
      <c r="CB163" s="239">
        <v>-209711</v>
      </c>
      <c r="CC163" s="239">
        <v>-23302</v>
      </c>
      <c r="CD163" s="239">
        <v>-2330123.4000000004</v>
      </c>
      <c r="CE163" s="239">
        <v>599351.5</v>
      </c>
      <c r="CF163" s="239">
        <v>479481.2</v>
      </c>
      <c r="CG163" s="239">
        <v>107883.27</v>
      </c>
      <c r="CH163" s="239">
        <v>11987.03</v>
      </c>
      <c r="CI163" s="239">
        <v>1198703</v>
      </c>
      <c r="CJ163" s="239">
        <v>-126114</v>
      </c>
      <c r="CK163" s="239">
        <v>-100891</v>
      </c>
      <c r="CL163" s="239">
        <v>-22701</v>
      </c>
      <c r="CM163" s="239">
        <v>-2522</v>
      </c>
      <c r="CN163" s="239">
        <v>-252228</v>
      </c>
      <c r="CO163" s="239">
        <v>725465.5</v>
      </c>
      <c r="CP163" s="239">
        <v>580372.19999999995</v>
      </c>
      <c r="CQ163" s="239">
        <v>130584.27</v>
      </c>
      <c r="CR163" s="239">
        <v>14509.03</v>
      </c>
      <c r="CS163" s="239">
        <v>1450931</v>
      </c>
      <c r="CT163" s="239">
        <v>7603112</v>
      </c>
      <c r="CU163" s="239">
        <v>6082489</v>
      </c>
      <c r="CV163" s="239">
        <v>1368560</v>
      </c>
      <c r="CW163" s="239">
        <v>152062</v>
      </c>
      <c r="CX163" s="239">
        <v>15206223</v>
      </c>
      <c r="CY163" s="239">
        <v>8079709</v>
      </c>
      <c r="CZ163" s="239">
        <v>6463768</v>
      </c>
      <c r="DA163" s="239">
        <v>1454348</v>
      </c>
      <c r="DB163" s="239">
        <v>161594</v>
      </c>
      <c r="DC163" s="239">
        <v>16159419</v>
      </c>
      <c r="DD163" s="239">
        <v>476597</v>
      </c>
      <c r="DE163" s="239">
        <v>381279</v>
      </c>
      <c r="DF163" s="239">
        <v>85788</v>
      </c>
      <c r="DG163" s="239">
        <v>9532</v>
      </c>
      <c r="DH163" s="239">
        <v>953196</v>
      </c>
      <c r="DI163" s="239">
        <v>1202062.5</v>
      </c>
      <c r="DJ163" s="239">
        <v>961651.19999999995</v>
      </c>
      <c r="DK163" s="239">
        <v>216372.27000000002</v>
      </c>
      <c r="DL163" s="239">
        <v>24041.03</v>
      </c>
      <c r="DM163" s="239">
        <v>2404127</v>
      </c>
      <c r="DN163" s="835">
        <v>0.5</v>
      </c>
      <c r="DO163" s="835">
        <v>0.4</v>
      </c>
      <c r="DP163" s="835">
        <v>0.09</v>
      </c>
      <c r="DQ163" s="835">
        <v>0.01</v>
      </c>
      <c r="DR163" s="835">
        <v>1</v>
      </c>
      <c r="DS163" s="214" t="s">
        <v>1158</v>
      </c>
      <c r="DU163" s="214">
        <v>0</v>
      </c>
    </row>
    <row r="164" spans="1:125" s="214" customFormat="1" x14ac:dyDescent="0.2">
      <c r="B164" s="602" t="s">
        <v>411</v>
      </c>
      <c r="C164" s="602" t="s">
        <v>410</v>
      </c>
      <c r="D164" s="239">
        <v>0</v>
      </c>
      <c r="E164" s="239">
        <v>329610103</v>
      </c>
      <c r="F164" s="239">
        <v>0</v>
      </c>
      <c r="G164" s="239">
        <v>3329395</v>
      </c>
      <c r="H164" s="239">
        <v>332939498</v>
      </c>
      <c r="I164" s="239">
        <v>0</v>
      </c>
      <c r="J164" s="239">
        <v>0</v>
      </c>
      <c r="K164" s="239">
        <v>0</v>
      </c>
      <c r="L164" s="239">
        <v>1123710</v>
      </c>
      <c r="M164" s="239">
        <v>1123710</v>
      </c>
      <c r="N164" s="239">
        <v>0</v>
      </c>
      <c r="O164" s="239">
        <v>0</v>
      </c>
      <c r="P164" s="239">
        <v>0</v>
      </c>
      <c r="Q164" s="239">
        <v>0</v>
      </c>
      <c r="R164" s="239">
        <v>0</v>
      </c>
      <c r="S164" s="239">
        <v>0</v>
      </c>
      <c r="T164" s="239">
        <v>0</v>
      </c>
      <c r="U164" s="239">
        <v>0</v>
      </c>
      <c r="V164" s="239">
        <v>0</v>
      </c>
      <c r="W164" s="239">
        <v>0</v>
      </c>
      <c r="X164" s="239">
        <v>0</v>
      </c>
      <c r="Y164" s="239">
        <v>0</v>
      </c>
      <c r="Z164" s="239">
        <v>0</v>
      </c>
      <c r="AA164" s="239">
        <v>0</v>
      </c>
      <c r="AB164" s="239">
        <v>0</v>
      </c>
      <c r="AC164" s="239">
        <v>20167581</v>
      </c>
      <c r="AD164" s="239">
        <v>0</v>
      </c>
      <c r="AE164" s="239">
        <v>195154</v>
      </c>
      <c r="AF164" s="239">
        <v>20362735</v>
      </c>
      <c r="AG164" s="239">
        <v>0</v>
      </c>
      <c r="AH164" s="239">
        <v>41617897</v>
      </c>
      <c r="AI164" s="239">
        <v>0</v>
      </c>
      <c r="AJ164" s="239">
        <v>420383</v>
      </c>
      <c r="AK164" s="239">
        <v>42038280</v>
      </c>
      <c r="AL164" s="239">
        <v>0</v>
      </c>
      <c r="AM164" s="239">
        <v>-11007197</v>
      </c>
      <c r="AN164" s="239">
        <v>0</v>
      </c>
      <c r="AO164" s="239">
        <v>-111184</v>
      </c>
      <c r="AP164" s="239">
        <v>-11118381</v>
      </c>
      <c r="AQ164" s="239">
        <v>0</v>
      </c>
      <c r="AR164" s="239">
        <v>-15307310</v>
      </c>
      <c r="AS164" s="239">
        <v>0</v>
      </c>
      <c r="AT164" s="239">
        <v>-154619</v>
      </c>
      <c r="AU164" s="239">
        <v>-15461929</v>
      </c>
      <c r="AV164" s="239">
        <v>0</v>
      </c>
      <c r="AW164" s="239">
        <v>3075320</v>
      </c>
      <c r="AX164" s="239">
        <v>0</v>
      </c>
      <c r="AY164" s="239">
        <v>31064</v>
      </c>
      <c r="AZ164" s="239">
        <v>3106384</v>
      </c>
      <c r="BA164" s="239">
        <v>0</v>
      </c>
      <c r="BB164" s="239">
        <v>-10357551</v>
      </c>
      <c r="BC164" s="239">
        <v>0</v>
      </c>
      <c r="BD164" s="239">
        <v>-104622</v>
      </c>
      <c r="BE164" s="239">
        <v>-10462173</v>
      </c>
      <c r="BF164" s="239">
        <v>0</v>
      </c>
      <c r="BG164" s="239">
        <v>-22589541</v>
      </c>
      <c r="BH164" s="239">
        <v>0</v>
      </c>
      <c r="BI164" s="239">
        <v>-228177</v>
      </c>
      <c r="BJ164" s="239">
        <v>-22817718</v>
      </c>
      <c r="BK164" s="239">
        <v>0</v>
      </c>
      <c r="BL164" s="239">
        <v>-93216362</v>
      </c>
      <c r="BM164" s="239">
        <v>0</v>
      </c>
      <c r="BN164" s="239">
        <v>-941579</v>
      </c>
      <c r="BO164" s="239">
        <v>-94157941</v>
      </c>
      <c r="BP164" s="239">
        <v>0</v>
      </c>
      <c r="BQ164" s="239">
        <v>26602318</v>
      </c>
      <c r="BR164" s="239">
        <v>0</v>
      </c>
      <c r="BS164" s="239">
        <v>268710</v>
      </c>
      <c r="BT164" s="239">
        <v>26871028</v>
      </c>
      <c r="BU164" s="239">
        <v>0</v>
      </c>
      <c r="BV164" s="239">
        <v>-13950226</v>
      </c>
      <c r="BW164" s="239">
        <v>0</v>
      </c>
      <c r="BX164" s="239">
        <v>-140911</v>
      </c>
      <c r="BY164" s="239">
        <v>-14091137</v>
      </c>
      <c r="BZ164" s="239">
        <v>0</v>
      </c>
      <c r="CA164" s="239">
        <v>-80564270</v>
      </c>
      <c r="CB164" s="239">
        <v>0</v>
      </c>
      <c r="CC164" s="239">
        <v>-813780</v>
      </c>
      <c r="CD164" s="239">
        <v>-81378050</v>
      </c>
      <c r="CE164" s="239">
        <v>21430671</v>
      </c>
      <c r="CF164" s="239">
        <v>21002058</v>
      </c>
      <c r="CG164" s="239">
        <v>0</v>
      </c>
      <c r="CH164" s="239">
        <v>428613</v>
      </c>
      <c r="CI164" s="239">
        <v>42861342</v>
      </c>
      <c r="CJ164" s="239">
        <v>14933933</v>
      </c>
      <c r="CK164" s="239">
        <v>14635254</v>
      </c>
      <c r="CL164" s="239">
        <v>0</v>
      </c>
      <c r="CM164" s="239">
        <v>298679</v>
      </c>
      <c r="CN164" s="239">
        <v>29867866</v>
      </c>
      <c r="CO164" s="239">
        <v>6496738</v>
      </c>
      <c r="CP164" s="239">
        <v>6366804</v>
      </c>
      <c r="CQ164" s="239">
        <v>0</v>
      </c>
      <c r="CR164" s="239">
        <v>129934</v>
      </c>
      <c r="CS164" s="239">
        <v>12993476</v>
      </c>
      <c r="CT164" s="239">
        <v>0</v>
      </c>
      <c r="CU164" s="239">
        <v>321401751</v>
      </c>
      <c r="CV164" s="239">
        <v>0</v>
      </c>
      <c r="CW164" s="239">
        <v>3246482</v>
      </c>
      <c r="CX164" s="239">
        <v>324648233</v>
      </c>
      <c r="CY164" s="239">
        <v>0</v>
      </c>
      <c r="CZ164" s="239">
        <v>329610103</v>
      </c>
      <c r="DA164" s="239">
        <v>0</v>
      </c>
      <c r="DB164" s="239">
        <v>3329395</v>
      </c>
      <c r="DC164" s="239">
        <v>332939498</v>
      </c>
      <c r="DD164" s="239">
        <v>0</v>
      </c>
      <c r="DE164" s="239">
        <v>8208352</v>
      </c>
      <c r="DF164" s="239">
        <v>0</v>
      </c>
      <c r="DG164" s="239">
        <v>82913</v>
      </c>
      <c r="DH164" s="239">
        <v>8291265</v>
      </c>
      <c r="DI164" s="239">
        <v>6496738</v>
      </c>
      <c r="DJ164" s="239">
        <v>14575156</v>
      </c>
      <c r="DK164" s="239">
        <v>0</v>
      </c>
      <c r="DL164" s="239">
        <v>212847</v>
      </c>
      <c r="DM164" s="239">
        <v>21284741</v>
      </c>
      <c r="DN164" s="835">
        <v>0</v>
      </c>
      <c r="DO164" s="835">
        <v>0.99</v>
      </c>
      <c r="DP164" s="835">
        <v>0</v>
      </c>
      <c r="DQ164" s="835">
        <v>0.01</v>
      </c>
      <c r="DR164" s="835">
        <v>1</v>
      </c>
      <c r="DS164" s="214" t="s">
        <v>1160</v>
      </c>
      <c r="DU164" s="214">
        <v>0</v>
      </c>
    </row>
    <row r="165" spans="1:125" s="214" customFormat="1" x14ac:dyDescent="0.2">
      <c r="B165" s="602" t="s">
        <v>413</v>
      </c>
      <c r="C165" s="602" t="s">
        <v>412</v>
      </c>
      <c r="D165" s="239">
        <v>12867246</v>
      </c>
      <c r="E165" s="239">
        <v>10293796</v>
      </c>
      <c r="F165" s="239">
        <v>2316104</v>
      </c>
      <c r="G165" s="239">
        <v>257345</v>
      </c>
      <c r="H165" s="239">
        <v>25734491</v>
      </c>
      <c r="I165" s="239">
        <v>0</v>
      </c>
      <c r="J165" s="239">
        <v>0</v>
      </c>
      <c r="K165" s="239">
        <v>12867246</v>
      </c>
      <c r="L165" s="239">
        <v>126789</v>
      </c>
      <c r="M165" s="239">
        <v>126789</v>
      </c>
      <c r="N165" s="239">
        <v>0</v>
      </c>
      <c r="O165" s="239">
        <v>0</v>
      </c>
      <c r="P165" s="239">
        <v>65923</v>
      </c>
      <c r="Q165" s="239">
        <v>0</v>
      </c>
      <c r="R165" s="239">
        <v>65923</v>
      </c>
      <c r="S165" s="239">
        <v>0</v>
      </c>
      <c r="T165" s="239">
        <v>0</v>
      </c>
      <c r="U165" s="239">
        <v>0</v>
      </c>
      <c r="V165" s="239">
        <v>0</v>
      </c>
      <c r="W165" s="239">
        <v>0</v>
      </c>
      <c r="X165" s="239">
        <v>0</v>
      </c>
      <c r="Y165" s="239">
        <v>0</v>
      </c>
      <c r="Z165" s="239">
        <v>0</v>
      </c>
      <c r="AA165" s="239">
        <v>0</v>
      </c>
      <c r="AB165" s="239">
        <v>0</v>
      </c>
      <c r="AC165" s="239">
        <v>1017772</v>
      </c>
      <c r="AD165" s="239">
        <v>228775</v>
      </c>
      <c r="AE165" s="239">
        <v>25419</v>
      </c>
      <c r="AF165" s="239">
        <v>1271966</v>
      </c>
      <c r="AG165" s="239">
        <v>236989</v>
      </c>
      <c r="AH165" s="239">
        <v>189591</v>
      </c>
      <c r="AI165" s="239">
        <v>42658</v>
      </c>
      <c r="AJ165" s="239">
        <v>4740</v>
      </c>
      <c r="AK165" s="239">
        <v>473978</v>
      </c>
      <c r="AL165" s="239">
        <v>-74672</v>
      </c>
      <c r="AM165" s="239">
        <v>-59738</v>
      </c>
      <c r="AN165" s="239">
        <v>-13441</v>
      </c>
      <c r="AO165" s="239">
        <v>-1493</v>
      </c>
      <c r="AP165" s="239">
        <v>-149344</v>
      </c>
      <c r="AQ165" s="239">
        <v>-318314</v>
      </c>
      <c r="AR165" s="239">
        <v>-254652</v>
      </c>
      <c r="AS165" s="239">
        <v>-57297</v>
      </c>
      <c r="AT165" s="239">
        <v>-6366</v>
      </c>
      <c r="AU165" s="239">
        <v>-636629</v>
      </c>
      <c r="AV165" s="239">
        <v>227974</v>
      </c>
      <c r="AW165" s="239">
        <v>182380</v>
      </c>
      <c r="AX165" s="239">
        <v>41036</v>
      </c>
      <c r="AY165" s="239">
        <v>4560</v>
      </c>
      <c r="AZ165" s="239">
        <v>455950</v>
      </c>
      <c r="BA165" s="239">
        <v>-128379</v>
      </c>
      <c r="BB165" s="239">
        <v>-102703</v>
      </c>
      <c r="BC165" s="239">
        <v>-23108</v>
      </c>
      <c r="BD165" s="239">
        <v>-2568</v>
      </c>
      <c r="BE165" s="239">
        <v>-256758</v>
      </c>
      <c r="BF165" s="239">
        <v>-218719</v>
      </c>
      <c r="BG165" s="239">
        <v>-174975</v>
      </c>
      <c r="BH165" s="239">
        <v>-39369</v>
      </c>
      <c r="BI165" s="239">
        <v>-4374</v>
      </c>
      <c r="BJ165" s="239">
        <v>-437437</v>
      </c>
      <c r="BK165" s="239">
        <v>-1127965</v>
      </c>
      <c r="BL165" s="239">
        <v>-902372</v>
      </c>
      <c r="BM165" s="239">
        <v>-203034</v>
      </c>
      <c r="BN165" s="239">
        <v>-22559</v>
      </c>
      <c r="BO165" s="239">
        <v>-2255930</v>
      </c>
      <c r="BP165" s="239">
        <v>1178072</v>
      </c>
      <c r="BQ165" s="239">
        <v>942458</v>
      </c>
      <c r="BR165" s="239">
        <v>212053</v>
      </c>
      <c r="BS165" s="239">
        <v>23561</v>
      </c>
      <c r="BT165" s="239">
        <v>2356144</v>
      </c>
      <c r="BU165" s="239">
        <v>-1376325</v>
      </c>
      <c r="BV165" s="239">
        <v>-1101060</v>
      </c>
      <c r="BW165" s="239">
        <v>-247739</v>
      </c>
      <c r="BX165" s="239">
        <v>-27527</v>
      </c>
      <c r="BY165" s="239">
        <v>-2752651</v>
      </c>
      <c r="BZ165" s="239">
        <v>-1326218</v>
      </c>
      <c r="CA165" s="239">
        <v>-1060974</v>
      </c>
      <c r="CB165" s="239">
        <v>-238720</v>
      </c>
      <c r="CC165" s="239">
        <v>-26525</v>
      </c>
      <c r="CD165" s="239">
        <v>-2652437</v>
      </c>
      <c r="CE165" s="239">
        <v>795806</v>
      </c>
      <c r="CF165" s="239">
        <v>636645</v>
      </c>
      <c r="CG165" s="239">
        <v>143245</v>
      </c>
      <c r="CH165" s="239">
        <v>15916</v>
      </c>
      <c r="CI165" s="239">
        <v>1591612</v>
      </c>
      <c r="CJ165" s="239">
        <v>643691</v>
      </c>
      <c r="CK165" s="239">
        <v>514952</v>
      </c>
      <c r="CL165" s="239">
        <v>115864</v>
      </c>
      <c r="CM165" s="239">
        <v>12874</v>
      </c>
      <c r="CN165" s="239">
        <v>1287381</v>
      </c>
      <c r="CO165" s="239">
        <v>152115</v>
      </c>
      <c r="CP165" s="239">
        <v>121693</v>
      </c>
      <c r="CQ165" s="239">
        <v>27381</v>
      </c>
      <c r="CR165" s="239">
        <v>3042</v>
      </c>
      <c r="CS165" s="239">
        <v>304231</v>
      </c>
      <c r="CT165" s="239">
        <v>14101583</v>
      </c>
      <c r="CU165" s="239">
        <v>11281266</v>
      </c>
      <c r="CV165" s="239">
        <v>2538285</v>
      </c>
      <c r="CW165" s="239">
        <v>282032</v>
      </c>
      <c r="CX165" s="239">
        <v>28203166</v>
      </c>
      <c r="CY165" s="239">
        <v>12867246</v>
      </c>
      <c r="CZ165" s="239">
        <v>10293796</v>
      </c>
      <c r="DA165" s="239">
        <v>2316104</v>
      </c>
      <c r="DB165" s="239">
        <v>257345</v>
      </c>
      <c r="DC165" s="239">
        <v>25734491</v>
      </c>
      <c r="DD165" s="239">
        <v>-1234337</v>
      </c>
      <c r="DE165" s="239">
        <v>-987470</v>
      </c>
      <c r="DF165" s="239">
        <v>-222181</v>
      </c>
      <c r="DG165" s="239">
        <v>-24687</v>
      </c>
      <c r="DH165" s="239">
        <v>-2468675</v>
      </c>
      <c r="DI165" s="239">
        <v>-1082222</v>
      </c>
      <c r="DJ165" s="239">
        <v>-865777</v>
      </c>
      <c r="DK165" s="239">
        <v>-194800</v>
      </c>
      <c r="DL165" s="239">
        <v>-21645</v>
      </c>
      <c r="DM165" s="239">
        <v>-2164444</v>
      </c>
      <c r="DN165" s="835">
        <v>0.5</v>
      </c>
      <c r="DO165" s="835">
        <v>0.4</v>
      </c>
      <c r="DP165" s="835">
        <v>0.09</v>
      </c>
      <c r="DQ165" s="835">
        <v>0.01</v>
      </c>
      <c r="DR165" s="835">
        <v>1</v>
      </c>
      <c r="DS165" s="214" t="s">
        <v>1158</v>
      </c>
      <c r="DU165" s="214">
        <v>0</v>
      </c>
    </row>
    <row r="166" spans="1:125" s="214" customFormat="1" x14ac:dyDescent="0.2">
      <c r="B166" s="602" t="s">
        <v>415</v>
      </c>
      <c r="C166" s="602" t="s">
        <v>414</v>
      </c>
      <c r="D166" s="239">
        <v>38341463</v>
      </c>
      <c r="E166" s="239">
        <v>37574633</v>
      </c>
      <c r="F166" s="239">
        <v>0</v>
      </c>
      <c r="G166" s="239">
        <v>766829</v>
      </c>
      <c r="H166" s="239">
        <v>76682925</v>
      </c>
      <c r="I166" s="239">
        <v>0</v>
      </c>
      <c r="J166" s="239">
        <v>0</v>
      </c>
      <c r="K166" s="239">
        <v>38341463</v>
      </c>
      <c r="L166" s="239">
        <v>273476</v>
      </c>
      <c r="M166" s="239">
        <v>273476</v>
      </c>
      <c r="N166" s="239">
        <v>0</v>
      </c>
      <c r="O166" s="239">
        <v>0</v>
      </c>
      <c r="P166" s="239">
        <v>0</v>
      </c>
      <c r="Q166" s="239">
        <v>0</v>
      </c>
      <c r="R166" s="239">
        <v>0</v>
      </c>
      <c r="S166" s="239">
        <v>0</v>
      </c>
      <c r="T166" s="239">
        <v>0</v>
      </c>
      <c r="U166" s="239">
        <v>0</v>
      </c>
      <c r="V166" s="239">
        <v>0</v>
      </c>
      <c r="W166" s="239">
        <v>0</v>
      </c>
      <c r="X166" s="239">
        <v>0</v>
      </c>
      <c r="Y166" s="239">
        <v>0</v>
      </c>
      <c r="Z166" s="239">
        <v>0</v>
      </c>
      <c r="AA166" s="239">
        <v>0</v>
      </c>
      <c r="AB166" s="239">
        <v>0</v>
      </c>
      <c r="AC166" s="239">
        <v>3210315</v>
      </c>
      <c r="AD166" s="239">
        <v>0</v>
      </c>
      <c r="AE166" s="239">
        <v>65517</v>
      </c>
      <c r="AF166" s="239">
        <v>3275832</v>
      </c>
      <c r="AG166" s="239">
        <v>3301951</v>
      </c>
      <c r="AH166" s="239">
        <v>3235912</v>
      </c>
      <c r="AI166" s="239">
        <v>0</v>
      </c>
      <c r="AJ166" s="239">
        <v>66039</v>
      </c>
      <c r="AK166" s="239">
        <v>6603902</v>
      </c>
      <c r="AL166" s="239">
        <v>-1671338</v>
      </c>
      <c r="AM166" s="239">
        <v>-1637912</v>
      </c>
      <c r="AN166" s="239">
        <v>0</v>
      </c>
      <c r="AO166" s="239">
        <v>-33427</v>
      </c>
      <c r="AP166" s="239">
        <v>-3342677</v>
      </c>
      <c r="AQ166" s="239">
        <v>-1462352</v>
      </c>
      <c r="AR166" s="239">
        <v>-1433105</v>
      </c>
      <c r="AS166" s="239">
        <v>0</v>
      </c>
      <c r="AT166" s="239">
        <v>-29247</v>
      </c>
      <c r="AU166" s="239">
        <v>-2924704</v>
      </c>
      <c r="AV166" s="239">
        <v>311473</v>
      </c>
      <c r="AW166" s="239">
        <v>305243</v>
      </c>
      <c r="AX166" s="239">
        <v>0</v>
      </c>
      <c r="AY166" s="239">
        <v>6229</v>
      </c>
      <c r="AZ166" s="239">
        <v>622945</v>
      </c>
      <c r="BA166" s="239">
        <v>-818019</v>
      </c>
      <c r="BB166" s="239">
        <v>-801658</v>
      </c>
      <c r="BC166" s="239">
        <v>0</v>
      </c>
      <c r="BD166" s="239">
        <v>-16360</v>
      </c>
      <c r="BE166" s="239">
        <v>-1636037</v>
      </c>
      <c r="BF166" s="239">
        <v>-1968898</v>
      </c>
      <c r="BG166" s="239">
        <v>-1929520</v>
      </c>
      <c r="BH166" s="239">
        <v>0</v>
      </c>
      <c r="BI166" s="239">
        <v>-39378</v>
      </c>
      <c r="BJ166" s="239">
        <v>-3937796</v>
      </c>
      <c r="BK166" s="239">
        <v>-6046094</v>
      </c>
      <c r="BL166" s="239">
        <v>-5925172</v>
      </c>
      <c r="BM166" s="239">
        <v>0</v>
      </c>
      <c r="BN166" s="239">
        <v>-120922</v>
      </c>
      <c r="BO166" s="239">
        <v>-12092188</v>
      </c>
      <c r="BP166" s="239">
        <v>0</v>
      </c>
      <c r="BQ166" s="239">
        <v>0</v>
      </c>
      <c r="BR166" s="239">
        <v>0</v>
      </c>
      <c r="BS166" s="239">
        <v>0</v>
      </c>
      <c r="BT166" s="239">
        <v>0</v>
      </c>
      <c r="BU166" s="239">
        <v>-1137512</v>
      </c>
      <c r="BV166" s="239">
        <v>-1114762</v>
      </c>
      <c r="BW166" s="239">
        <v>0</v>
      </c>
      <c r="BX166" s="239">
        <v>-22750</v>
      </c>
      <c r="BY166" s="239">
        <v>-2275024</v>
      </c>
      <c r="BZ166" s="239">
        <v>-7183606</v>
      </c>
      <c r="CA166" s="239">
        <v>-7039934</v>
      </c>
      <c r="CB166" s="239">
        <v>0</v>
      </c>
      <c r="CC166" s="239">
        <v>-143672</v>
      </c>
      <c r="CD166" s="239">
        <v>-14367212</v>
      </c>
      <c r="CE166" s="239">
        <v>-2077465</v>
      </c>
      <c r="CF166" s="239">
        <v>-2035915</v>
      </c>
      <c r="CG166" s="239">
        <v>0</v>
      </c>
      <c r="CH166" s="239">
        <v>-41549</v>
      </c>
      <c r="CI166" s="239">
        <v>-4154929</v>
      </c>
      <c r="CJ166" s="239">
        <v>-1547273</v>
      </c>
      <c r="CK166" s="239">
        <v>-1516327</v>
      </c>
      <c r="CL166" s="239">
        <v>0</v>
      </c>
      <c r="CM166" s="239">
        <v>-30945</v>
      </c>
      <c r="CN166" s="239">
        <v>-3094545</v>
      </c>
      <c r="CO166" s="239">
        <v>-530192</v>
      </c>
      <c r="CP166" s="239">
        <v>-519588</v>
      </c>
      <c r="CQ166" s="239">
        <v>0</v>
      </c>
      <c r="CR166" s="239">
        <v>-10604</v>
      </c>
      <c r="CS166" s="239">
        <v>-1060384</v>
      </c>
      <c r="CT166" s="239">
        <v>41851694</v>
      </c>
      <c r="CU166" s="239">
        <v>41014660</v>
      </c>
      <c r="CV166" s="239">
        <v>0</v>
      </c>
      <c r="CW166" s="239">
        <v>837034</v>
      </c>
      <c r="CX166" s="239">
        <v>83703388</v>
      </c>
      <c r="CY166" s="239">
        <v>38341463</v>
      </c>
      <c r="CZ166" s="239">
        <v>37574633</v>
      </c>
      <c r="DA166" s="239">
        <v>0</v>
      </c>
      <c r="DB166" s="239">
        <v>766829</v>
      </c>
      <c r="DC166" s="239">
        <v>76682925</v>
      </c>
      <c r="DD166" s="239">
        <v>-3510231</v>
      </c>
      <c r="DE166" s="239">
        <v>-3440027</v>
      </c>
      <c r="DF166" s="239">
        <v>0</v>
      </c>
      <c r="DG166" s="239">
        <v>-70205</v>
      </c>
      <c r="DH166" s="239">
        <v>-7020463</v>
      </c>
      <c r="DI166" s="239">
        <v>-4040423</v>
      </c>
      <c r="DJ166" s="239">
        <v>-3959615</v>
      </c>
      <c r="DK166" s="239">
        <v>0</v>
      </c>
      <c r="DL166" s="239">
        <v>-80809</v>
      </c>
      <c r="DM166" s="239">
        <v>-8080847</v>
      </c>
      <c r="DN166" s="835">
        <v>0.5</v>
      </c>
      <c r="DO166" s="835">
        <v>0.49</v>
      </c>
      <c r="DP166" s="835">
        <v>0</v>
      </c>
      <c r="DQ166" s="835">
        <v>0.01</v>
      </c>
      <c r="DR166" s="835">
        <v>1</v>
      </c>
      <c r="DS166" s="214" t="s">
        <v>746</v>
      </c>
      <c r="DU166" s="214">
        <v>0</v>
      </c>
    </row>
    <row r="167" spans="1:125" s="214" customFormat="1" x14ac:dyDescent="0.2">
      <c r="B167" s="602" t="s">
        <v>417</v>
      </c>
      <c r="C167" s="602" t="s">
        <v>416</v>
      </c>
      <c r="D167" s="239">
        <v>6826774</v>
      </c>
      <c r="E167" s="239">
        <v>5461418</v>
      </c>
      <c r="F167" s="239">
        <v>1228819</v>
      </c>
      <c r="G167" s="239">
        <v>136535</v>
      </c>
      <c r="H167" s="239">
        <v>13653546</v>
      </c>
      <c r="I167" s="239">
        <v>0</v>
      </c>
      <c r="J167" s="239">
        <v>0</v>
      </c>
      <c r="K167" s="239">
        <v>6826774</v>
      </c>
      <c r="L167" s="239">
        <v>62450</v>
      </c>
      <c r="M167" s="239">
        <v>62450</v>
      </c>
      <c r="N167" s="239">
        <v>0</v>
      </c>
      <c r="O167" s="239">
        <v>0</v>
      </c>
      <c r="P167" s="239">
        <v>144590</v>
      </c>
      <c r="Q167" s="239">
        <v>0</v>
      </c>
      <c r="R167" s="239">
        <v>144590</v>
      </c>
      <c r="S167" s="239">
        <v>0</v>
      </c>
      <c r="T167" s="239">
        <v>0</v>
      </c>
      <c r="U167" s="239">
        <v>0</v>
      </c>
      <c r="V167" s="239">
        <v>0</v>
      </c>
      <c r="W167" s="239">
        <v>0</v>
      </c>
      <c r="X167" s="239">
        <v>0</v>
      </c>
      <c r="Y167" s="239">
        <v>0</v>
      </c>
      <c r="Z167" s="239">
        <v>0</v>
      </c>
      <c r="AA167" s="239">
        <v>0</v>
      </c>
      <c r="AB167" s="239">
        <v>0</v>
      </c>
      <c r="AC167" s="239">
        <v>647212</v>
      </c>
      <c r="AD167" s="239">
        <v>145133</v>
      </c>
      <c r="AE167" s="239">
        <v>16125</v>
      </c>
      <c r="AF167" s="239">
        <v>808470</v>
      </c>
      <c r="AG167" s="239">
        <v>229124</v>
      </c>
      <c r="AH167" s="239">
        <v>183300</v>
      </c>
      <c r="AI167" s="239">
        <v>41243</v>
      </c>
      <c r="AJ167" s="239">
        <v>4583</v>
      </c>
      <c r="AK167" s="239">
        <v>458250</v>
      </c>
      <c r="AL167" s="239">
        <v>-57268</v>
      </c>
      <c r="AM167" s="239">
        <v>-45814</v>
      </c>
      <c r="AN167" s="239">
        <v>-10308</v>
      </c>
      <c r="AO167" s="239">
        <v>-1145</v>
      </c>
      <c r="AP167" s="239">
        <v>-114535</v>
      </c>
      <c r="AQ167" s="239">
        <v>-61764.110000000015</v>
      </c>
      <c r="AR167" s="239">
        <v>-49411</v>
      </c>
      <c r="AS167" s="239">
        <v>-11117</v>
      </c>
      <c r="AT167" s="239">
        <v>-1235</v>
      </c>
      <c r="AU167" s="239">
        <v>-123527.11000000002</v>
      </c>
      <c r="AV167" s="239">
        <v>61764</v>
      </c>
      <c r="AW167" s="239">
        <v>49411</v>
      </c>
      <c r="AX167" s="239">
        <v>11117</v>
      </c>
      <c r="AY167" s="239">
        <v>1235</v>
      </c>
      <c r="AZ167" s="239">
        <v>123527</v>
      </c>
      <c r="BA167" s="239">
        <v>-91300</v>
      </c>
      <c r="BB167" s="239">
        <v>-73040</v>
      </c>
      <c r="BC167" s="239">
        <v>-16434</v>
      </c>
      <c r="BD167" s="239">
        <v>-1826</v>
      </c>
      <c r="BE167" s="239">
        <v>-182600</v>
      </c>
      <c r="BF167" s="239">
        <v>-91300.110000000015</v>
      </c>
      <c r="BG167" s="239">
        <v>-73040</v>
      </c>
      <c r="BH167" s="239">
        <v>-16434</v>
      </c>
      <c r="BI167" s="239">
        <v>-1826</v>
      </c>
      <c r="BJ167" s="239">
        <v>-182600.11000000002</v>
      </c>
      <c r="BK167" s="239">
        <v>-462494.18999999994</v>
      </c>
      <c r="BL167" s="239">
        <v>-369995</v>
      </c>
      <c r="BM167" s="239">
        <v>-83249</v>
      </c>
      <c r="BN167" s="239">
        <v>-9250</v>
      </c>
      <c r="BO167" s="239">
        <v>-924988.19</v>
      </c>
      <c r="BP167" s="239">
        <v>364289</v>
      </c>
      <c r="BQ167" s="239">
        <v>291432</v>
      </c>
      <c r="BR167" s="239">
        <v>65572</v>
      </c>
      <c r="BS167" s="239">
        <v>7286</v>
      </c>
      <c r="BT167" s="239">
        <v>728579</v>
      </c>
      <c r="BU167" s="239">
        <v>-321580</v>
      </c>
      <c r="BV167" s="239">
        <v>-257264</v>
      </c>
      <c r="BW167" s="239">
        <v>-57884</v>
      </c>
      <c r="BX167" s="239">
        <v>-6432</v>
      </c>
      <c r="BY167" s="239">
        <v>-643160</v>
      </c>
      <c r="BZ167" s="239">
        <v>-419785.18999999994</v>
      </c>
      <c r="CA167" s="239">
        <v>-335827</v>
      </c>
      <c r="CB167" s="239">
        <v>-75561</v>
      </c>
      <c r="CC167" s="239">
        <v>-8396</v>
      </c>
      <c r="CD167" s="239">
        <v>-839569.19</v>
      </c>
      <c r="CE167" s="239">
        <v>-15744.599999999627</v>
      </c>
      <c r="CF167" s="239">
        <v>-12593</v>
      </c>
      <c r="CG167" s="239">
        <v>-2833</v>
      </c>
      <c r="CH167" s="239">
        <v>-314</v>
      </c>
      <c r="CI167" s="239">
        <v>-31484.599999999627</v>
      </c>
      <c r="CJ167" s="239">
        <v>154462</v>
      </c>
      <c r="CK167" s="239">
        <v>123570</v>
      </c>
      <c r="CL167" s="239">
        <v>27803</v>
      </c>
      <c r="CM167" s="239">
        <v>3089</v>
      </c>
      <c r="CN167" s="239">
        <v>308924</v>
      </c>
      <c r="CO167" s="239">
        <v>-170206.59999999963</v>
      </c>
      <c r="CP167" s="239">
        <v>-136163</v>
      </c>
      <c r="CQ167" s="239">
        <v>-30636</v>
      </c>
      <c r="CR167" s="239">
        <v>-3403</v>
      </c>
      <c r="CS167" s="239">
        <v>-340408.59999999963</v>
      </c>
      <c r="CT167" s="239">
        <v>6699272</v>
      </c>
      <c r="CU167" s="239">
        <v>5359417</v>
      </c>
      <c r="CV167" s="239">
        <v>1205869</v>
      </c>
      <c r="CW167" s="239">
        <v>133985</v>
      </c>
      <c r="CX167" s="239">
        <v>13398543</v>
      </c>
      <c r="CY167" s="239">
        <v>6826774</v>
      </c>
      <c r="CZ167" s="239">
        <v>5461418</v>
      </c>
      <c r="DA167" s="239">
        <v>1228819</v>
      </c>
      <c r="DB167" s="239">
        <v>136535</v>
      </c>
      <c r="DC167" s="239">
        <v>13653546</v>
      </c>
      <c r="DD167" s="239">
        <v>127502</v>
      </c>
      <c r="DE167" s="239">
        <v>102001</v>
      </c>
      <c r="DF167" s="239">
        <v>22950</v>
      </c>
      <c r="DG167" s="239">
        <v>2550</v>
      </c>
      <c r="DH167" s="239">
        <v>255003</v>
      </c>
      <c r="DI167" s="239">
        <v>-42704.599999999627</v>
      </c>
      <c r="DJ167" s="239">
        <v>-34162</v>
      </c>
      <c r="DK167" s="239">
        <v>-7686</v>
      </c>
      <c r="DL167" s="239">
        <v>-853</v>
      </c>
      <c r="DM167" s="239">
        <v>-85405.599999999627</v>
      </c>
      <c r="DN167" s="835">
        <v>0.5</v>
      </c>
      <c r="DO167" s="835">
        <v>0.4</v>
      </c>
      <c r="DP167" s="835">
        <v>0.09</v>
      </c>
      <c r="DQ167" s="835">
        <v>0.01</v>
      </c>
      <c r="DR167" s="835">
        <v>1</v>
      </c>
      <c r="DS167" s="214" t="s">
        <v>1158</v>
      </c>
      <c r="DU167" s="214">
        <v>0</v>
      </c>
    </row>
    <row r="168" spans="1:125" s="214" customFormat="1" x14ac:dyDescent="0.2">
      <c r="B168" s="602" t="s">
        <v>419</v>
      </c>
      <c r="C168" s="602" t="s">
        <v>418</v>
      </c>
      <c r="D168" s="239">
        <v>18784561</v>
      </c>
      <c r="E168" s="239">
        <v>15027649</v>
      </c>
      <c r="F168" s="239">
        <v>3381221</v>
      </c>
      <c r="G168" s="239">
        <v>375691</v>
      </c>
      <c r="H168" s="239">
        <v>37569122</v>
      </c>
      <c r="I168" s="239">
        <v>0</v>
      </c>
      <c r="J168" s="239">
        <v>0</v>
      </c>
      <c r="K168" s="239">
        <v>18784561</v>
      </c>
      <c r="L168" s="239">
        <v>165853</v>
      </c>
      <c r="M168" s="239">
        <v>165853</v>
      </c>
      <c r="N168" s="239">
        <v>0</v>
      </c>
      <c r="O168" s="239">
        <v>0</v>
      </c>
      <c r="P168" s="239">
        <v>135318</v>
      </c>
      <c r="Q168" s="239">
        <v>0</v>
      </c>
      <c r="R168" s="239">
        <v>135318</v>
      </c>
      <c r="S168" s="239">
        <v>0</v>
      </c>
      <c r="T168" s="239">
        <v>0</v>
      </c>
      <c r="U168" s="239">
        <v>0</v>
      </c>
      <c r="V168" s="239">
        <v>0</v>
      </c>
      <c r="W168" s="239">
        <v>0</v>
      </c>
      <c r="X168" s="239">
        <v>0</v>
      </c>
      <c r="Y168" s="239">
        <v>0</v>
      </c>
      <c r="Z168" s="239">
        <v>0</v>
      </c>
      <c r="AA168" s="239">
        <v>0</v>
      </c>
      <c r="AB168" s="239">
        <v>0</v>
      </c>
      <c r="AC168" s="239">
        <v>1653523</v>
      </c>
      <c r="AD168" s="239">
        <v>371585</v>
      </c>
      <c r="AE168" s="239">
        <v>41287</v>
      </c>
      <c r="AF168" s="239">
        <v>2066395</v>
      </c>
      <c r="AG168" s="239">
        <v>274373</v>
      </c>
      <c r="AH168" s="239">
        <v>219498</v>
      </c>
      <c r="AI168" s="239">
        <v>49387</v>
      </c>
      <c r="AJ168" s="239">
        <v>5487</v>
      </c>
      <c r="AK168" s="239">
        <v>548745</v>
      </c>
      <c r="AL168" s="239">
        <v>-715884</v>
      </c>
      <c r="AM168" s="239">
        <v>-572707</v>
      </c>
      <c r="AN168" s="239">
        <v>-128859</v>
      </c>
      <c r="AO168" s="239">
        <v>-14318</v>
      </c>
      <c r="AP168" s="239">
        <v>-1431768</v>
      </c>
      <c r="AQ168" s="239">
        <v>-204088</v>
      </c>
      <c r="AR168" s="239">
        <v>-163270</v>
      </c>
      <c r="AS168" s="239">
        <v>-36736</v>
      </c>
      <c r="AT168" s="239">
        <v>-4082</v>
      </c>
      <c r="AU168" s="239">
        <v>-408176</v>
      </c>
      <c r="AV168" s="239">
        <v>52102</v>
      </c>
      <c r="AW168" s="239">
        <v>41682</v>
      </c>
      <c r="AX168" s="239">
        <v>9378</v>
      </c>
      <c r="AY168" s="239">
        <v>1042</v>
      </c>
      <c r="AZ168" s="239">
        <v>104204</v>
      </c>
      <c r="BA168" s="239">
        <v>-484</v>
      </c>
      <c r="BB168" s="239">
        <v>-387</v>
      </c>
      <c r="BC168" s="239">
        <v>-87</v>
      </c>
      <c r="BD168" s="239">
        <v>-10</v>
      </c>
      <c r="BE168" s="239">
        <v>-968</v>
      </c>
      <c r="BF168" s="239">
        <v>-152470</v>
      </c>
      <c r="BG168" s="239">
        <v>-121975</v>
      </c>
      <c r="BH168" s="239">
        <v>-27445</v>
      </c>
      <c r="BI168" s="239">
        <v>-3050</v>
      </c>
      <c r="BJ168" s="239">
        <v>-304940</v>
      </c>
      <c r="BK168" s="239">
        <v>-1947012</v>
      </c>
      <c r="BL168" s="239">
        <v>-1557610</v>
      </c>
      <c r="BM168" s="239">
        <v>-350462</v>
      </c>
      <c r="BN168" s="239">
        <v>-38940</v>
      </c>
      <c r="BO168" s="239">
        <v>-3894024</v>
      </c>
      <c r="BP168" s="239">
        <v>339821</v>
      </c>
      <c r="BQ168" s="239">
        <v>271856</v>
      </c>
      <c r="BR168" s="239">
        <v>61168</v>
      </c>
      <c r="BS168" s="239">
        <v>6796</v>
      </c>
      <c r="BT168" s="239">
        <v>679641</v>
      </c>
      <c r="BU168" s="239">
        <v>1204340</v>
      </c>
      <c r="BV168" s="239">
        <v>963472</v>
      </c>
      <c r="BW168" s="239">
        <v>216781</v>
      </c>
      <c r="BX168" s="239">
        <v>24087</v>
      </c>
      <c r="BY168" s="239">
        <v>2408680</v>
      </c>
      <c r="BZ168" s="239">
        <v>-402851</v>
      </c>
      <c r="CA168" s="239">
        <v>-322282</v>
      </c>
      <c r="CB168" s="239">
        <v>-72513</v>
      </c>
      <c r="CC168" s="239">
        <v>-8057</v>
      </c>
      <c r="CD168" s="239">
        <v>-805703</v>
      </c>
      <c r="CE168" s="239">
        <v>-224345</v>
      </c>
      <c r="CF168" s="239">
        <v>-179476</v>
      </c>
      <c r="CG168" s="239">
        <v>-40382</v>
      </c>
      <c r="CH168" s="239">
        <v>-4487</v>
      </c>
      <c r="CI168" s="239">
        <v>-448690</v>
      </c>
      <c r="CJ168" s="239">
        <v>775837</v>
      </c>
      <c r="CK168" s="239">
        <v>620670</v>
      </c>
      <c r="CL168" s="239">
        <v>139651</v>
      </c>
      <c r="CM168" s="239">
        <v>15517</v>
      </c>
      <c r="CN168" s="239">
        <v>1551675</v>
      </c>
      <c r="CO168" s="239">
        <v>-1000182</v>
      </c>
      <c r="CP168" s="239">
        <v>-800146</v>
      </c>
      <c r="CQ168" s="239">
        <v>-180033</v>
      </c>
      <c r="CR168" s="239">
        <v>-20004</v>
      </c>
      <c r="CS168" s="239">
        <v>-2000365</v>
      </c>
      <c r="CT168" s="239">
        <v>16778958</v>
      </c>
      <c r="CU168" s="239">
        <v>13423167</v>
      </c>
      <c r="CV168" s="239">
        <v>3020213</v>
      </c>
      <c r="CW168" s="239">
        <v>335579</v>
      </c>
      <c r="CX168" s="239">
        <v>33557917</v>
      </c>
      <c r="CY168" s="239">
        <v>18784561</v>
      </c>
      <c r="CZ168" s="239">
        <v>15027649</v>
      </c>
      <c r="DA168" s="239">
        <v>3381221</v>
      </c>
      <c r="DB168" s="239">
        <v>375691</v>
      </c>
      <c r="DC168" s="239">
        <v>37569122</v>
      </c>
      <c r="DD168" s="239">
        <v>2005603</v>
      </c>
      <c r="DE168" s="239">
        <v>1604482</v>
      </c>
      <c r="DF168" s="239">
        <v>361008</v>
      </c>
      <c r="DG168" s="239">
        <v>40112</v>
      </c>
      <c r="DH168" s="239">
        <v>4011205</v>
      </c>
      <c r="DI168" s="239">
        <v>1005421</v>
      </c>
      <c r="DJ168" s="239">
        <v>804336</v>
      </c>
      <c r="DK168" s="239">
        <v>180975</v>
      </c>
      <c r="DL168" s="239">
        <v>20108</v>
      </c>
      <c r="DM168" s="239">
        <v>2010840</v>
      </c>
      <c r="DN168" s="835">
        <v>0.5</v>
      </c>
      <c r="DO168" s="835">
        <v>0.4</v>
      </c>
      <c r="DP168" s="835">
        <v>0.09</v>
      </c>
      <c r="DQ168" s="835">
        <v>0.01</v>
      </c>
      <c r="DR168" s="835">
        <v>1</v>
      </c>
      <c r="DS168" s="214" t="s">
        <v>1158</v>
      </c>
      <c r="DU168" s="214">
        <v>0</v>
      </c>
    </row>
    <row r="169" spans="1:125" s="214" customFormat="1" x14ac:dyDescent="0.2">
      <c r="B169" s="602" t="s">
        <v>421</v>
      </c>
      <c r="C169" s="602" t="s">
        <v>420</v>
      </c>
      <c r="D169" s="239">
        <v>28750090</v>
      </c>
      <c r="E169" s="239">
        <v>26136446</v>
      </c>
      <c r="F169" s="239">
        <v>32234950</v>
      </c>
      <c r="G169" s="239">
        <v>0</v>
      </c>
      <c r="H169" s="239">
        <v>87121486</v>
      </c>
      <c r="I169" s="239">
        <v>0</v>
      </c>
      <c r="J169" s="239">
        <v>0</v>
      </c>
      <c r="K169" s="239">
        <v>28750090</v>
      </c>
      <c r="L169" s="239">
        <v>264360</v>
      </c>
      <c r="M169" s="239">
        <v>264360</v>
      </c>
      <c r="N169" s="239">
        <v>0</v>
      </c>
      <c r="O169" s="239">
        <v>0</v>
      </c>
      <c r="P169" s="239">
        <v>0</v>
      </c>
      <c r="Q169" s="239">
        <v>0</v>
      </c>
      <c r="R169" s="239">
        <v>0</v>
      </c>
      <c r="S169" s="239">
        <v>0</v>
      </c>
      <c r="T169" s="239">
        <v>0</v>
      </c>
      <c r="U169" s="239">
        <v>0</v>
      </c>
      <c r="V169" s="239">
        <v>0</v>
      </c>
      <c r="W169" s="239">
        <v>0</v>
      </c>
      <c r="X169" s="239">
        <v>0</v>
      </c>
      <c r="Y169" s="239">
        <v>0</v>
      </c>
      <c r="Z169" s="239">
        <v>0</v>
      </c>
      <c r="AA169" s="239">
        <v>0</v>
      </c>
      <c r="AB169" s="239">
        <v>0</v>
      </c>
      <c r="AC169" s="239">
        <v>1569869</v>
      </c>
      <c r="AD169" s="239">
        <v>1936172</v>
      </c>
      <c r="AE169" s="239">
        <v>0</v>
      </c>
      <c r="AF169" s="239">
        <v>3506041</v>
      </c>
      <c r="AG169" s="239">
        <v>953374</v>
      </c>
      <c r="AH169" s="239">
        <v>866704</v>
      </c>
      <c r="AI169" s="239">
        <v>1068934</v>
      </c>
      <c r="AJ169" s="239">
        <v>0</v>
      </c>
      <c r="AK169" s="239">
        <v>2889012</v>
      </c>
      <c r="AL169" s="239">
        <v>-987486</v>
      </c>
      <c r="AM169" s="239">
        <v>-897715</v>
      </c>
      <c r="AN169" s="239">
        <v>-1107181</v>
      </c>
      <c r="AO169" s="239">
        <v>0</v>
      </c>
      <c r="AP169" s="239">
        <v>-2992382</v>
      </c>
      <c r="AQ169" s="239">
        <v>-795346</v>
      </c>
      <c r="AR169" s="239">
        <v>-723042</v>
      </c>
      <c r="AS169" s="239">
        <v>-891751</v>
      </c>
      <c r="AT169" s="239">
        <v>0</v>
      </c>
      <c r="AU169" s="239">
        <v>-2410139</v>
      </c>
      <c r="AV169" s="239">
        <v>125588</v>
      </c>
      <c r="AW169" s="239">
        <v>114170</v>
      </c>
      <c r="AX169" s="239">
        <v>140810</v>
      </c>
      <c r="AY169" s="239">
        <v>0</v>
      </c>
      <c r="AZ169" s="239">
        <v>380568</v>
      </c>
      <c r="BA169" s="239">
        <v>-378155</v>
      </c>
      <c r="BB169" s="239">
        <v>-343778</v>
      </c>
      <c r="BC169" s="239">
        <v>-423993</v>
      </c>
      <c r="BD169" s="239">
        <v>0</v>
      </c>
      <c r="BE169" s="239">
        <v>-1145926</v>
      </c>
      <c r="BF169" s="239">
        <v>-1047913</v>
      </c>
      <c r="BG169" s="239">
        <v>-952650</v>
      </c>
      <c r="BH169" s="239">
        <v>-1174934</v>
      </c>
      <c r="BI169" s="239">
        <v>0</v>
      </c>
      <c r="BJ169" s="239">
        <v>-3175497</v>
      </c>
      <c r="BK169" s="239">
        <v>-2310000</v>
      </c>
      <c r="BL169" s="239">
        <v>-2100000</v>
      </c>
      <c r="BM169" s="239">
        <v>-2590000</v>
      </c>
      <c r="BN169" s="239">
        <v>0</v>
      </c>
      <c r="BO169" s="239">
        <v>-7000000</v>
      </c>
      <c r="BP169" s="239">
        <v>776660</v>
      </c>
      <c r="BQ169" s="239">
        <v>706054</v>
      </c>
      <c r="BR169" s="239">
        <v>870800</v>
      </c>
      <c r="BS169" s="239">
        <v>0</v>
      </c>
      <c r="BT169" s="239">
        <v>2353514</v>
      </c>
      <c r="BU169" s="239">
        <v>-425278</v>
      </c>
      <c r="BV169" s="239">
        <v>-386616</v>
      </c>
      <c r="BW169" s="239">
        <v>-476827</v>
      </c>
      <c r="BX169" s="239">
        <v>0</v>
      </c>
      <c r="BY169" s="239">
        <v>-1288721</v>
      </c>
      <c r="BZ169" s="239">
        <v>-1958618</v>
      </c>
      <c r="CA169" s="239">
        <v>-1780562</v>
      </c>
      <c r="CB169" s="239">
        <v>-2196027</v>
      </c>
      <c r="CC169" s="239">
        <v>0</v>
      </c>
      <c r="CD169" s="239">
        <v>-5935207</v>
      </c>
      <c r="CE169" s="239">
        <v>-448919</v>
      </c>
      <c r="CF169" s="239">
        <v>-269350</v>
      </c>
      <c r="CG169" s="239">
        <v>-179568</v>
      </c>
      <c r="CH169" s="239">
        <v>0</v>
      </c>
      <c r="CI169" s="239">
        <v>-897837</v>
      </c>
      <c r="CJ169" s="239">
        <v>634146</v>
      </c>
      <c r="CK169" s="239">
        <v>380488</v>
      </c>
      <c r="CL169" s="239">
        <v>253658</v>
      </c>
      <c r="CM169" s="239">
        <v>0</v>
      </c>
      <c r="CN169" s="239">
        <v>1268292</v>
      </c>
      <c r="CO169" s="239">
        <v>-1083065</v>
      </c>
      <c r="CP169" s="239">
        <v>-649838</v>
      </c>
      <c r="CQ169" s="239">
        <v>-433226</v>
      </c>
      <c r="CR169" s="239">
        <v>0</v>
      </c>
      <c r="CS169" s="239">
        <v>-2166129</v>
      </c>
      <c r="CT169" s="239">
        <v>29040752</v>
      </c>
      <c r="CU169" s="239">
        <v>26400683</v>
      </c>
      <c r="CV169" s="239">
        <v>32560842</v>
      </c>
      <c r="CW169" s="239">
        <v>0</v>
      </c>
      <c r="CX169" s="239">
        <v>88002277</v>
      </c>
      <c r="CY169" s="239">
        <v>28750090</v>
      </c>
      <c r="CZ169" s="239">
        <v>26136446</v>
      </c>
      <c r="DA169" s="239">
        <v>32234950</v>
      </c>
      <c r="DB169" s="239">
        <v>0</v>
      </c>
      <c r="DC169" s="239">
        <v>87121486</v>
      </c>
      <c r="DD169" s="239">
        <v>-290662</v>
      </c>
      <c r="DE169" s="239">
        <v>-264237</v>
      </c>
      <c r="DF169" s="239">
        <v>-325892</v>
      </c>
      <c r="DG169" s="239">
        <v>0</v>
      </c>
      <c r="DH169" s="239">
        <v>-880791</v>
      </c>
      <c r="DI169" s="239">
        <v>-1373727</v>
      </c>
      <c r="DJ169" s="239">
        <v>-914075</v>
      </c>
      <c r="DK169" s="239">
        <v>-759118</v>
      </c>
      <c r="DL169" s="239">
        <v>0</v>
      </c>
      <c r="DM169" s="239">
        <v>-3046920</v>
      </c>
      <c r="DN169" s="835">
        <v>0.33</v>
      </c>
      <c r="DO169" s="835">
        <v>0.3</v>
      </c>
      <c r="DP169" s="835">
        <v>0.37</v>
      </c>
      <c r="DQ169" s="835">
        <v>0</v>
      </c>
      <c r="DR169" s="835">
        <v>1</v>
      </c>
      <c r="DS169" s="214" t="s">
        <v>1159</v>
      </c>
      <c r="DU169" s="214">
        <v>0</v>
      </c>
    </row>
    <row r="170" spans="1:125" s="214" customFormat="1" x14ac:dyDescent="0.2">
      <c r="B170" s="602" t="s">
        <v>423</v>
      </c>
      <c r="C170" s="602" t="s">
        <v>422</v>
      </c>
      <c r="D170" s="239">
        <v>7053908</v>
      </c>
      <c r="E170" s="239">
        <v>5643127</v>
      </c>
      <c r="F170" s="239">
        <v>1269704</v>
      </c>
      <c r="G170" s="239">
        <v>141078</v>
      </c>
      <c r="H170" s="239">
        <v>14107817</v>
      </c>
      <c r="I170" s="239">
        <v>0</v>
      </c>
      <c r="J170" s="239">
        <v>0</v>
      </c>
      <c r="K170" s="239">
        <v>7053908</v>
      </c>
      <c r="L170" s="239">
        <v>107103</v>
      </c>
      <c r="M170" s="239">
        <v>107103</v>
      </c>
      <c r="N170" s="239">
        <v>0</v>
      </c>
      <c r="O170" s="239">
        <v>0</v>
      </c>
      <c r="P170" s="239">
        <v>86158</v>
      </c>
      <c r="Q170" s="239">
        <v>29066</v>
      </c>
      <c r="R170" s="239">
        <v>115224</v>
      </c>
      <c r="S170" s="239">
        <v>0</v>
      </c>
      <c r="T170" s="239">
        <v>0</v>
      </c>
      <c r="U170" s="239">
        <v>0</v>
      </c>
      <c r="V170" s="239">
        <v>0</v>
      </c>
      <c r="W170" s="239">
        <v>0</v>
      </c>
      <c r="X170" s="239">
        <v>0</v>
      </c>
      <c r="Y170" s="239">
        <v>0</v>
      </c>
      <c r="Z170" s="239">
        <v>0</v>
      </c>
      <c r="AA170" s="239">
        <v>0</v>
      </c>
      <c r="AB170" s="239">
        <v>0</v>
      </c>
      <c r="AC170" s="239">
        <v>1136327</v>
      </c>
      <c r="AD170" s="239">
        <v>255818</v>
      </c>
      <c r="AE170" s="239">
        <v>28375</v>
      </c>
      <c r="AF170" s="239">
        <v>1420520</v>
      </c>
      <c r="AG170" s="239">
        <v>136829</v>
      </c>
      <c r="AH170" s="239">
        <v>109464</v>
      </c>
      <c r="AI170" s="239">
        <v>24629</v>
      </c>
      <c r="AJ170" s="239">
        <v>2737</v>
      </c>
      <c r="AK170" s="239">
        <v>273659</v>
      </c>
      <c r="AL170" s="239">
        <v>-187731</v>
      </c>
      <c r="AM170" s="239">
        <v>-150185</v>
      </c>
      <c r="AN170" s="239">
        <v>-33792</v>
      </c>
      <c r="AO170" s="239">
        <v>-3755</v>
      </c>
      <c r="AP170" s="239">
        <v>-375463</v>
      </c>
      <c r="AQ170" s="239">
        <v>-79387</v>
      </c>
      <c r="AR170" s="239">
        <v>-63510</v>
      </c>
      <c r="AS170" s="239">
        <v>-14290</v>
      </c>
      <c r="AT170" s="239">
        <v>-1588</v>
      </c>
      <c r="AU170" s="239">
        <v>-158775</v>
      </c>
      <c r="AV170" s="239">
        <v>63293</v>
      </c>
      <c r="AW170" s="239">
        <v>50635</v>
      </c>
      <c r="AX170" s="239">
        <v>11393</v>
      </c>
      <c r="AY170" s="239">
        <v>1266</v>
      </c>
      <c r="AZ170" s="239">
        <v>126587</v>
      </c>
      <c r="BA170" s="239">
        <v>-68747</v>
      </c>
      <c r="BB170" s="239">
        <v>-54998</v>
      </c>
      <c r="BC170" s="239">
        <v>-12375</v>
      </c>
      <c r="BD170" s="239">
        <v>-1375</v>
      </c>
      <c r="BE170" s="239">
        <v>-137495</v>
      </c>
      <c r="BF170" s="239">
        <v>-84841</v>
      </c>
      <c r="BG170" s="239">
        <v>-67873</v>
      </c>
      <c r="BH170" s="239">
        <v>-15272</v>
      </c>
      <c r="BI170" s="239">
        <v>-1697</v>
      </c>
      <c r="BJ170" s="239">
        <v>-169683</v>
      </c>
      <c r="BK170" s="239">
        <v>-204736</v>
      </c>
      <c r="BL170" s="239">
        <v>-163788</v>
      </c>
      <c r="BM170" s="239">
        <v>-36852</v>
      </c>
      <c r="BN170" s="239">
        <v>-4095</v>
      </c>
      <c r="BO170" s="239">
        <v>-409471</v>
      </c>
      <c r="BP170" s="239">
        <v>204736</v>
      </c>
      <c r="BQ170" s="239">
        <v>163788</v>
      </c>
      <c r="BR170" s="239">
        <v>36852</v>
      </c>
      <c r="BS170" s="239">
        <v>4095</v>
      </c>
      <c r="BT170" s="239">
        <v>409471</v>
      </c>
      <c r="BU170" s="239">
        <v>-259000</v>
      </c>
      <c r="BV170" s="239">
        <v>-207200</v>
      </c>
      <c r="BW170" s="239">
        <v>-46620</v>
      </c>
      <c r="BX170" s="239">
        <v>-5180</v>
      </c>
      <c r="BY170" s="239">
        <v>-518000</v>
      </c>
      <c r="BZ170" s="239">
        <v>-259000</v>
      </c>
      <c r="CA170" s="239">
        <v>-207200</v>
      </c>
      <c r="CB170" s="239">
        <v>-46620</v>
      </c>
      <c r="CC170" s="239">
        <v>-5180</v>
      </c>
      <c r="CD170" s="239">
        <v>-518000</v>
      </c>
      <c r="CE170" s="239">
        <v>-178195</v>
      </c>
      <c r="CF170" s="239">
        <v>-142556</v>
      </c>
      <c r="CG170" s="239">
        <v>-32076</v>
      </c>
      <c r="CH170" s="239">
        <v>-3564</v>
      </c>
      <c r="CI170" s="239">
        <v>-356391</v>
      </c>
      <c r="CJ170" s="239">
        <v>-147830</v>
      </c>
      <c r="CK170" s="239">
        <v>-118264</v>
      </c>
      <c r="CL170" s="239">
        <v>-26609</v>
      </c>
      <c r="CM170" s="239">
        <v>-2957</v>
      </c>
      <c r="CN170" s="239">
        <v>-295660</v>
      </c>
      <c r="CO170" s="239">
        <v>-30365</v>
      </c>
      <c r="CP170" s="239">
        <v>-24292</v>
      </c>
      <c r="CQ170" s="239">
        <v>-5467</v>
      </c>
      <c r="CR170" s="239">
        <v>-607</v>
      </c>
      <c r="CS170" s="239">
        <v>-60731</v>
      </c>
      <c r="CT170" s="239">
        <v>7409489</v>
      </c>
      <c r="CU170" s="239">
        <v>5927591</v>
      </c>
      <c r="CV170" s="239">
        <v>1333708</v>
      </c>
      <c r="CW170" s="239">
        <v>148190</v>
      </c>
      <c r="CX170" s="239">
        <v>14818978</v>
      </c>
      <c r="CY170" s="239">
        <v>7053908</v>
      </c>
      <c r="CZ170" s="239">
        <v>5643127</v>
      </c>
      <c r="DA170" s="239">
        <v>1269704</v>
      </c>
      <c r="DB170" s="239">
        <v>141078</v>
      </c>
      <c r="DC170" s="239">
        <v>14107817</v>
      </c>
      <c r="DD170" s="239">
        <v>-355581</v>
      </c>
      <c r="DE170" s="239">
        <v>-284464</v>
      </c>
      <c r="DF170" s="239">
        <v>-64004</v>
      </c>
      <c r="DG170" s="239">
        <v>-7112</v>
      </c>
      <c r="DH170" s="239">
        <v>-711161</v>
      </c>
      <c r="DI170" s="239">
        <v>-385946</v>
      </c>
      <c r="DJ170" s="239">
        <v>-308756</v>
      </c>
      <c r="DK170" s="239">
        <v>-69471</v>
      </c>
      <c r="DL170" s="239">
        <v>-7719</v>
      </c>
      <c r="DM170" s="239">
        <v>-771892</v>
      </c>
      <c r="DN170" s="835">
        <v>0.5</v>
      </c>
      <c r="DO170" s="835">
        <v>0.4</v>
      </c>
      <c r="DP170" s="835">
        <v>0.09</v>
      </c>
      <c r="DQ170" s="835">
        <v>0.01</v>
      </c>
      <c r="DR170" s="835">
        <v>1</v>
      </c>
      <c r="DS170" s="214" t="s">
        <v>1158</v>
      </c>
      <c r="DU170" s="214">
        <v>0</v>
      </c>
    </row>
    <row r="171" spans="1:125" s="214" customFormat="1" x14ac:dyDescent="0.2">
      <c r="B171" s="602" t="s">
        <v>425</v>
      </c>
      <c r="C171" s="602" t="s">
        <v>424</v>
      </c>
      <c r="D171" s="239">
        <v>10042087</v>
      </c>
      <c r="E171" s="239">
        <v>8033670</v>
      </c>
      <c r="F171" s="239">
        <v>2008418</v>
      </c>
      <c r="G171" s="239">
        <v>0</v>
      </c>
      <c r="H171" s="239">
        <v>20084175</v>
      </c>
      <c r="I171" s="239">
        <v>0</v>
      </c>
      <c r="J171" s="239">
        <v>0</v>
      </c>
      <c r="K171" s="239">
        <v>10042087</v>
      </c>
      <c r="L171" s="239">
        <v>127118</v>
      </c>
      <c r="M171" s="239">
        <v>127118</v>
      </c>
      <c r="N171" s="239">
        <v>0</v>
      </c>
      <c r="O171" s="239">
        <v>0</v>
      </c>
      <c r="P171" s="239">
        <v>152885</v>
      </c>
      <c r="Q171" s="239">
        <v>181857</v>
      </c>
      <c r="R171" s="239">
        <v>334742</v>
      </c>
      <c r="S171" s="239">
        <v>0</v>
      </c>
      <c r="T171" s="239">
        <v>0</v>
      </c>
      <c r="U171" s="239">
        <v>0</v>
      </c>
      <c r="V171" s="239">
        <v>0</v>
      </c>
      <c r="W171" s="239">
        <v>0</v>
      </c>
      <c r="X171" s="239">
        <v>0</v>
      </c>
      <c r="Y171" s="239">
        <v>0</v>
      </c>
      <c r="Z171" s="239">
        <v>0</v>
      </c>
      <c r="AA171" s="239">
        <v>0</v>
      </c>
      <c r="AB171" s="239">
        <v>0</v>
      </c>
      <c r="AC171" s="239">
        <v>1126818</v>
      </c>
      <c r="AD171" s="239">
        <v>283862</v>
      </c>
      <c r="AE171" s="239">
        <v>0</v>
      </c>
      <c r="AF171" s="239">
        <v>1410680</v>
      </c>
      <c r="AG171" s="239">
        <v>103243</v>
      </c>
      <c r="AH171" s="239">
        <v>82594</v>
      </c>
      <c r="AI171" s="239">
        <v>20649</v>
      </c>
      <c r="AJ171" s="239">
        <v>0</v>
      </c>
      <c r="AK171" s="239">
        <v>206486</v>
      </c>
      <c r="AL171" s="239">
        <v>-40464</v>
      </c>
      <c r="AM171" s="239">
        <v>-32372</v>
      </c>
      <c r="AN171" s="239">
        <v>-8093</v>
      </c>
      <c r="AO171" s="239">
        <v>0</v>
      </c>
      <c r="AP171" s="239">
        <v>-80929</v>
      </c>
      <c r="AQ171" s="239">
        <v>-67500</v>
      </c>
      <c r="AR171" s="239">
        <v>-54000</v>
      </c>
      <c r="AS171" s="239">
        <v>-13500</v>
      </c>
      <c r="AT171" s="239">
        <v>0</v>
      </c>
      <c r="AU171" s="239">
        <v>-135000</v>
      </c>
      <c r="AV171" s="239">
        <v>43105</v>
      </c>
      <c r="AW171" s="239">
        <v>34484</v>
      </c>
      <c r="AX171" s="239">
        <v>8621</v>
      </c>
      <c r="AY171" s="239">
        <v>0</v>
      </c>
      <c r="AZ171" s="239">
        <v>86210</v>
      </c>
      <c r="BA171" s="239">
        <v>-5000</v>
      </c>
      <c r="BB171" s="239">
        <v>-4000</v>
      </c>
      <c r="BC171" s="239">
        <v>-1000</v>
      </c>
      <c r="BD171" s="239">
        <v>0</v>
      </c>
      <c r="BE171" s="239">
        <v>-10000</v>
      </c>
      <c r="BF171" s="239">
        <v>-29395</v>
      </c>
      <c r="BG171" s="239">
        <v>-23516</v>
      </c>
      <c r="BH171" s="239">
        <v>-5879</v>
      </c>
      <c r="BI171" s="239">
        <v>0</v>
      </c>
      <c r="BJ171" s="239">
        <v>-58790</v>
      </c>
      <c r="BK171" s="239">
        <v>-880852</v>
      </c>
      <c r="BL171" s="239">
        <v>-704681</v>
      </c>
      <c r="BM171" s="239">
        <v>-176170</v>
      </c>
      <c r="BN171" s="239">
        <v>0</v>
      </c>
      <c r="BO171" s="239">
        <v>-1761703</v>
      </c>
      <c r="BP171" s="239">
        <v>1288150</v>
      </c>
      <c r="BQ171" s="239">
        <v>1030520</v>
      </c>
      <c r="BR171" s="239">
        <v>257630</v>
      </c>
      <c r="BS171" s="239">
        <v>0</v>
      </c>
      <c r="BT171" s="239">
        <v>2576300</v>
      </c>
      <c r="BU171" s="239">
        <v>-1131377</v>
      </c>
      <c r="BV171" s="239">
        <v>-905101</v>
      </c>
      <c r="BW171" s="239">
        <v>-226275</v>
      </c>
      <c r="BX171" s="239">
        <v>0</v>
      </c>
      <c r="BY171" s="239">
        <v>-2262753</v>
      </c>
      <c r="BZ171" s="239">
        <v>-724079</v>
      </c>
      <c r="CA171" s="239">
        <v>-579262</v>
      </c>
      <c r="CB171" s="239">
        <v>-144815</v>
      </c>
      <c r="CC171" s="239">
        <v>0</v>
      </c>
      <c r="CD171" s="239">
        <v>-1448156</v>
      </c>
      <c r="CE171" s="239">
        <v>-113612</v>
      </c>
      <c r="CF171" s="239">
        <v>-90889</v>
      </c>
      <c r="CG171" s="239">
        <v>-22722</v>
      </c>
      <c r="CH171" s="239">
        <v>0</v>
      </c>
      <c r="CI171" s="239">
        <v>-227223</v>
      </c>
      <c r="CJ171" s="239">
        <v>-171365</v>
      </c>
      <c r="CK171" s="239">
        <v>-137092</v>
      </c>
      <c r="CL171" s="239">
        <v>-34273</v>
      </c>
      <c r="CM171" s="239">
        <v>0</v>
      </c>
      <c r="CN171" s="239">
        <v>-342730</v>
      </c>
      <c r="CO171" s="239">
        <v>57753</v>
      </c>
      <c r="CP171" s="239">
        <v>46203</v>
      </c>
      <c r="CQ171" s="239">
        <v>11551</v>
      </c>
      <c r="CR171" s="239">
        <v>0</v>
      </c>
      <c r="CS171" s="239">
        <v>115507</v>
      </c>
      <c r="CT171" s="239">
        <v>11489875</v>
      </c>
      <c r="CU171" s="239">
        <v>9191900</v>
      </c>
      <c r="CV171" s="239">
        <v>2297975</v>
      </c>
      <c r="CW171" s="239">
        <v>0</v>
      </c>
      <c r="CX171" s="239">
        <v>22979750</v>
      </c>
      <c r="CY171" s="239">
        <v>10042087</v>
      </c>
      <c r="CZ171" s="239">
        <v>8033670</v>
      </c>
      <c r="DA171" s="239">
        <v>2008418</v>
      </c>
      <c r="DB171" s="239">
        <v>0</v>
      </c>
      <c r="DC171" s="239">
        <v>20084175</v>
      </c>
      <c r="DD171" s="239">
        <v>-1447788</v>
      </c>
      <c r="DE171" s="239">
        <v>-1158230</v>
      </c>
      <c r="DF171" s="239">
        <v>-289557</v>
      </c>
      <c r="DG171" s="239">
        <v>0</v>
      </c>
      <c r="DH171" s="239">
        <v>-2895575</v>
      </c>
      <c r="DI171" s="239">
        <v>-1390035</v>
      </c>
      <c r="DJ171" s="239">
        <v>-1112027</v>
      </c>
      <c r="DK171" s="239">
        <v>-278006</v>
      </c>
      <c r="DL171" s="239">
        <v>0</v>
      </c>
      <c r="DM171" s="239">
        <v>-2780068</v>
      </c>
      <c r="DN171" s="835">
        <v>0.5</v>
      </c>
      <c r="DO171" s="835">
        <v>0.4</v>
      </c>
      <c r="DP171" s="835">
        <v>0.1</v>
      </c>
      <c r="DQ171" s="835">
        <v>0</v>
      </c>
      <c r="DR171" s="835">
        <v>1</v>
      </c>
      <c r="DS171" s="214" t="s">
        <v>1158</v>
      </c>
      <c r="DU171" s="214">
        <v>0</v>
      </c>
    </row>
    <row r="172" spans="1:125" s="214" customFormat="1" x14ac:dyDescent="0.2">
      <c r="B172" s="602" t="s">
        <v>427</v>
      </c>
      <c r="C172" s="602" t="s">
        <v>426</v>
      </c>
      <c r="D172" s="239">
        <v>22763546</v>
      </c>
      <c r="E172" s="239">
        <v>18210836</v>
      </c>
      <c r="F172" s="239">
        <v>4552709</v>
      </c>
      <c r="G172" s="239">
        <v>0</v>
      </c>
      <c r="H172" s="239">
        <v>45527091</v>
      </c>
      <c r="I172" s="239">
        <v>0</v>
      </c>
      <c r="J172" s="239">
        <v>0</v>
      </c>
      <c r="K172" s="239">
        <v>22763546</v>
      </c>
      <c r="L172" s="239">
        <v>172939</v>
      </c>
      <c r="M172" s="239">
        <v>172939</v>
      </c>
      <c r="N172" s="239">
        <v>0</v>
      </c>
      <c r="O172" s="239">
        <v>0</v>
      </c>
      <c r="P172" s="239">
        <v>0</v>
      </c>
      <c r="Q172" s="239">
        <v>0</v>
      </c>
      <c r="R172" s="239">
        <v>0</v>
      </c>
      <c r="S172" s="239">
        <v>0</v>
      </c>
      <c r="T172" s="239">
        <v>0</v>
      </c>
      <c r="U172" s="239">
        <v>0</v>
      </c>
      <c r="V172" s="239">
        <v>0</v>
      </c>
      <c r="W172" s="239">
        <v>0</v>
      </c>
      <c r="X172" s="239">
        <v>0</v>
      </c>
      <c r="Y172" s="239">
        <v>0</v>
      </c>
      <c r="Z172" s="239">
        <v>0</v>
      </c>
      <c r="AA172" s="239">
        <v>0</v>
      </c>
      <c r="AB172" s="239">
        <v>0</v>
      </c>
      <c r="AC172" s="239">
        <v>1631456</v>
      </c>
      <c r="AD172" s="239">
        <v>407863</v>
      </c>
      <c r="AE172" s="239">
        <v>0</v>
      </c>
      <c r="AF172" s="239">
        <v>2039319</v>
      </c>
      <c r="AG172" s="239">
        <v>1005466</v>
      </c>
      <c r="AH172" s="239">
        <v>804373</v>
      </c>
      <c r="AI172" s="239">
        <v>201093</v>
      </c>
      <c r="AJ172" s="239">
        <v>0</v>
      </c>
      <c r="AK172" s="239">
        <v>2010932</v>
      </c>
      <c r="AL172" s="239">
        <v>-639630</v>
      </c>
      <c r="AM172" s="239">
        <v>-511704</v>
      </c>
      <c r="AN172" s="239">
        <v>-127926</v>
      </c>
      <c r="AO172" s="239">
        <v>0</v>
      </c>
      <c r="AP172" s="239">
        <v>-1279260</v>
      </c>
      <c r="AQ172" s="239">
        <v>-667897</v>
      </c>
      <c r="AR172" s="239">
        <v>-534318</v>
      </c>
      <c r="AS172" s="239">
        <v>-133580</v>
      </c>
      <c r="AT172" s="239">
        <v>0</v>
      </c>
      <c r="AU172" s="239">
        <v>-1335795</v>
      </c>
      <c r="AV172" s="239">
        <v>202841</v>
      </c>
      <c r="AW172" s="239">
        <v>162273</v>
      </c>
      <c r="AX172" s="239">
        <v>40568</v>
      </c>
      <c r="AY172" s="239">
        <v>0</v>
      </c>
      <c r="AZ172" s="239">
        <v>405682</v>
      </c>
      <c r="BA172" s="239">
        <v>-139803</v>
      </c>
      <c r="BB172" s="239">
        <v>-111843</v>
      </c>
      <c r="BC172" s="239">
        <v>-27961</v>
      </c>
      <c r="BD172" s="239">
        <v>0</v>
      </c>
      <c r="BE172" s="239">
        <v>-279607</v>
      </c>
      <c r="BF172" s="239">
        <v>-604859</v>
      </c>
      <c r="BG172" s="239">
        <v>-483888</v>
      </c>
      <c r="BH172" s="239">
        <v>-120973</v>
      </c>
      <c r="BI172" s="239">
        <v>0</v>
      </c>
      <c r="BJ172" s="239">
        <v>-1209720</v>
      </c>
      <c r="BK172" s="239">
        <v>-3255561</v>
      </c>
      <c r="BL172" s="239">
        <v>-2604449</v>
      </c>
      <c r="BM172" s="239">
        <v>-651112</v>
      </c>
      <c r="BN172" s="239">
        <v>0</v>
      </c>
      <c r="BO172" s="239">
        <v>-6511122</v>
      </c>
      <c r="BP172" s="239">
        <v>1171333</v>
      </c>
      <c r="BQ172" s="239">
        <v>937067</v>
      </c>
      <c r="BR172" s="239">
        <v>234267</v>
      </c>
      <c r="BS172" s="239">
        <v>0</v>
      </c>
      <c r="BT172" s="239">
        <v>2342667</v>
      </c>
      <c r="BU172" s="239">
        <v>202851</v>
      </c>
      <c r="BV172" s="239">
        <v>162281</v>
      </c>
      <c r="BW172" s="239">
        <v>40570</v>
      </c>
      <c r="BX172" s="239">
        <v>0</v>
      </c>
      <c r="BY172" s="239">
        <v>405702</v>
      </c>
      <c r="BZ172" s="239">
        <v>-1881377</v>
      </c>
      <c r="CA172" s="239">
        <v>-1505101</v>
      </c>
      <c r="CB172" s="239">
        <v>-376275</v>
      </c>
      <c r="CC172" s="239">
        <v>0</v>
      </c>
      <c r="CD172" s="239">
        <v>-3762753</v>
      </c>
      <c r="CE172" s="239">
        <v>-1821436</v>
      </c>
      <c r="CF172" s="239">
        <v>-1457150</v>
      </c>
      <c r="CG172" s="239">
        <v>-364287</v>
      </c>
      <c r="CH172" s="239">
        <v>0</v>
      </c>
      <c r="CI172" s="239">
        <v>-3642873</v>
      </c>
      <c r="CJ172" s="239">
        <v>-1901142</v>
      </c>
      <c r="CK172" s="239">
        <v>-1520914</v>
      </c>
      <c r="CL172" s="239">
        <v>-380229</v>
      </c>
      <c r="CM172" s="239">
        <v>0</v>
      </c>
      <c r="CN172" s="239">
        <v>-3802285</v>
      </c>
      <c r="CO172" s="239">
        <v>79706</v>
      </c>
      <c r="CP172" s="239">
        <v>63764</v>
      </c>
      <c r="CQ172" s="239">
        <v>15942</v>
      </c>
      <c r="CR172" s="239">
        <v>0</v>
      </c>
      <c r="CS172" s="239">
        <v>159412</v>
      </c>
      <c r="CT172" s="239">
        <v>22178690</v>
      </c>
      <c r="CU172" s="239">
        <v>17742952</v>
      </c>
      <c r="CV172" s="239">
        <v>4435738</v>
      </c>
      <c r="CW172" s="239">
        <v>0</v>
      </c>
      <c r="CX172" s="239">
        <v>44357380</v>
      </c>
      <c r="CY172" s="239">
        <v>22763546</v>
      </c>
      <c r="CZ172" s="239">
        <v>18210836</v>
      </c>
      <c r="DA172" s="239">
        <v>4552709</v>
      </c>
      <c r="DB172" s="239">
        <v>0</v>
      </c>
      <c r="DC172" s="239">
        <v>45527091</v>
      </c>
      <c r="DD172" s="239">
        <v>584856</v>
      </c>
      <c r="DE172" s="239">
        <v>467884</v>
      </c>
      <c r="DF172" s="239">
        <v>116971</v>
      </c>
      <c r="DG172" s="239">
        <v>0</v>
      </c>
      <c r="DH172" s="239">
        <v>1169711</v>
      </c>
      <c r="DI172" s="239">
        <v>664562</v>
      </c>
      <c r="DJ172" s="239">
        <v>531648</v>
      </c>
      <c r="DK172" s="239">
        <v>132913</v>
      </c>
      <c r="DL172" s="239">
        <v>0</v>
      </c>
      <c r="DM172" s="239">
        <v>1329123</v>
      </c>
      <c r="DN172" s="835">
        <v>0.5</v>
      </c>
      <c r="DO172" s="835">
        <v>0.4</v>
      </c>
      <c r="DP172" s="835">
        <v>0.1</v>
      </c>
      <c r="DQ172" s="835">
        <v>0</v>
      </c>
      <c r="DR172" s="835">
        <v>1</v>
      </c>
      <c r="DS172" s="214" t="s">
        <v>1158</v>
      </c>
      <c r="DU172" s="214">
        <v>0</v>
      </c>
    </row>
    <row r="173" spans="1:125" s="214" customFormat="1" x14ac:dyDescent="0.2">
      <c r="B173" s="602" t="s">
        <v>429</v>
      </c>
      <c r="C173" s="602" t="s">
        <v>428</v>
      </c>
      <c r="D173" s="239">
        <v>15778848</v>
      </c>
      <c r="E173" s="239">
        <v>15463271</v>
      </c>
      <c r="F173" s="239">
        <v>0</v>
      </c>
      <c r="G173" s="239">
        <v>315577</v>
      </c>
      <c r="H173" s="239">
        <v>31557696</v>
      </c>
      <c r="I173" s="239">
        <v>98786</v>
      </c>
      <c r="J173" s="239">
        <v>98786</v>
      </c>
      <c r="K173" s="239">
        <v>15680062</v>
      </c>
      <c r="L173" s="239">
        <v>172412</v>
      </c>
      <c r="M173" s="239">
        <v>172412</v>
      </c>
      <c r="N173" s="239">
        <v>10623</v>
      </c>
      <c r="O173" s="239">
        <v>10623</v>
      </c>
      <c r="P173" s="239">
        <v>0</v>
      </c>
      <c r="Q173" s="239">
        <v>0</v>
      </c>
      <c r="R173" s="239">
        <v>0</v>
      </c>
      <c r="S173" s="239">
        <v>98785.948497854071</v>
      </c>
      <c r="T173" s="239">
        <v>0</v>
      </c>
      <c r="U173" s="239">
        <v>0</v>
      </c>
      <c r="V173" s="239">
        <v>98785.948497854071</v>
      </c>
      <c r="W173" s="239">
        <v>0</v>
      </c>
      <c r="X173" s="239">
        <v>0</v>
      </c>
      <c r="Y173" s="239">
        <v>0</v>
      </c>
      <c r="Z173" s="239">
        <v>0</v>
      </c>
      <c r="AA173" s="239">
        <v>0</v>
      </c>
      <c r="AB173" s="239">
        <v>0</v>
      </c>
      <c r="AC173" s="239">
        <v>1769674</v>
      </c>
      <c r="AD173" s="239">
        <v>0</v>
      </c>
      <c r="AE173" s="239">
        <v>32167</v>
      </c>
      <c r="AF173" s="239">
        <v>1801841</v>
      </c>
      <c r="AG173" s="239">
        <v>4113502</v>
      </c>
      <c r="AH173" s="239">
        <v>4031231</v>
      </c>
      <c r="AI173" s="239">
        <v>0</v>
      </c>
      <c r="AJ173" s="239">
        <v>82270</v>
      </c>
      <c r="AK173" s="239">
        <v>8227003</v>
      </c>
      <c r="AL173" s="239">
        <v>-984824</v>
      </c>
      <c r="AM173" s="239">
        <v>-965127</v>
      </c>
      <c r="AN173" s="239">
        <v>0</v>
      </c>
      <c r="AO173" s="239">
        <v>-19696</v>
      </c>
      <c r="AP173" s="239">
        <v>-1969647</v>
      </c>
      <c r="AQ173" s="239">
        <v>-2835790</v>
      </c>
      <c r="AR173" s="239">
        <v>-2779075</v>
      </c>
      <c r="AS173" s="239">
        <v>0</v>
      </c>
      <c r="AT173" s="239">
        <v>-56716</v>
      </c>
      <c r="AU173" s="239">
        <v>-5671581</v>
      </c>
      <c r="AV173" s="239">
        <v>273989</v>
      </c>
      <c r="AW173" s="239">
        <v>268510</v>
      </c>
      <c r="AX173" s="239">
        <v>0</v>
      </c>
      <c r="AY173" s="239">
        <v>5480</v>
      </c>
      <c r="AZ173" s="239">
        <v>547979</v>
      </c>
      <c r="BA173" s="239">
        <v>-135898</v>
      </c>
      <c r="BB173" s="239">
        <v>-133180</v>
      </c>
      <c r="BC173" s="239">
        <v>0</v>
      </c>
      <c r="BD173" s="239">
        <v>-2718</v>
      </c>
      <c r="BE173" s="239">
        <v>-271796</v>
      </c>
      <c r="BF173" s="239">
        <v>-2697699</v>
      </c>
      <c r="BG173" s="239">
        <v>-2643745</v>
      </c>
      <c r="BH173" s="239">
        <v>0</v>
      </c>
      <c r="BI173" s="239">
        <v>-53954</v>
      </c>
      <c r="BJ173" s="239">
        <v>-5395398</v>
      </c>
      <c r="BK173" s="239">
        <v>-750000</v>
      </c>
      <c r="BL173" s="239">
        <v>-735000</v>
      </c>
      <c r="BM173" s="239">
        <v>0</v>
      </c>
      <c r="BN173" s="239">
        <v>-15000</v>
      </c>
      <c r="BO173" s="239">
        <v>-1500000</v>
      </c>
      <c r="BP173" s="239">
        <v>750000</v>
      </c>
      <c r="BQ173" s="239">
        <v>735000</v>
      </c>
      <c r="BR173" s="239">
        <v>0</v>
      </c>
      <c r="BS173" s="239">
        <v>15000</v>
      </c>
      <c r="BT173" s="239">
        <v>1500000</v>
      </c>
      <c r="BU173" s="239">
        <v>-2081927</v>
      </c>
      <c r="BV173" s="239">
        <v>-2040289</v>
      </c>
      <c r="BW173" s="239">
        <v>0</v>
      </c>
      <c r="BX173" s="239">
        <v>-41639</v>
      </c>
      <c r="BY173" s="239">
        <v>-4163855</v>
      </c>
      <c r="BZ173" s="239">
        <v>-2081927</v>
      </c>
      <c r="CA173" s="239">
        <v>-2040289</v>
      </c>
      <c r="CB173" s="239">
        <v>0</v>
      </c>
      <c r="CC173" s="239">
        <v>-41639</v>
      </c>
      <c r="CD173" s="239">
        <v>-4163855</v>
      </c>
      <c r="CE173" s="239">
        <v>-856414</v>
      </c>
      <c r="CF173" s="239">
        <v>-839284</v>
      </c>
      <c r="CG173" s="239">
        <v>0</v>
      </c>
      <c r="CH173" s="239">
        <v>-17128</v>
      </c>
      <c r="CI173" s="239">
        <v>-1712826</v>
      </c>
      <c r="CJ173" s="239">
        <v>-804705</v>
      </c>
      <c r="CK173" s="239">
        <v>-788611</v>
      </c>
      <c r="CL173" s="239">
        <v>0</v>
      </c>
      <c r="CM173" s="239">
        <v>-16094</v>
      </c>
      <c r="CN173" s="239">
        <v>-1609410</v>
      </c>
      <c r="CO173" s="239">
        <v>-51709</v>
      </c>
      <c r="CP173" s="239">
        <v>-50673</v>
      </c>
      <c r="CQ173" s="239">
        <v>0</v>
      </c>
      <c r="CR173" s="239">
        <v>-1034</v>
      </c>
      <c r="CS173" s="239">
        <v>-103416</v>
      </c>
      <c r="CT173" s="239">
        <v>17194393</v>
      </c>
      <c r="CU173" s="239">
        <v>16850505</v>
      </c>
      <c r="CV173" s="239">
        <v>0</v>
      </c>
      <c r="CW173" s="239">
        <v>343888</v>
      </c>
      <c r="CX173" s="239">
        <v>34388786</v>
      </c>
      <c r="CY173" s="239">
        <v>15778848</v>
      </c>
      <c r="CZ173" s="239">
        <v>15463271</v>
      </c>
      <c r="DA173" s="239">
        <v>0</v>
      </c>
      <c r="DB173" s="239">
        <v>315577</v>
      </c>
      <c r="DC173" s="239">
        <v>31557696</v>
      </c>
      <c r="DD173" s="239">
        <v>-1415545</v>
      </c>
      <c r="DE173" s="239">
        <v>-1387234</v>
      </c>
      <c r="DF173" s="239">
        <v>0</v>
      </c>
      <c r="DG173" s="239">
        <v>-28311</v>
      </c>
      <c r="DH173" s="239">
        <v>-2831090</v>
      </c>
      <c r="DI173" s="239">
        <v>-1467254</v>
      </c>
      <c r="DJ173" s="239">
        <v>-1437907</v>
      </c>
      <c r="DK173" s="239">
        <v>0</v>
      </c>
      <c r="DL173" s="239">
        <v>-29345</v>
      </c>
      <c r="DM173" s="239">
        <v>-2934506</v>
      </c>
      <c r="DN173" s="835">
        <v>0.5</v>
      </c>
      <c r="DO173" s="835">
        <v>0.49</v>
      </c>
      <c r="DP173" s="835">
        <v>0</v>
      </c>
      <c r="DQ173" s="835">
        <v>0.01</v>
      </c>
      <c r="DR173" s="835">
        <v>1</v>
      </c>
      <c r="DS173" s="214" t="s">
        <v>746</v>
      </c>
      <c r="DU173" s="214">
        <v>0</v>
      </c>
    </row>
    <row r="174" spans="1:125" s="214" customFormat="1" x14ac:dyDescent="0.2">
      <c r="B174" s="602" t="s">
        <v>431</v>
      </c>
      <c r="C174" s="602" t="s">
        <v>430</v>
      </c>
      <c r="D174" s="239">
        <v>76033324</v>
      </c>
      <c r="E174" s="239">
        <v>74512657</v>
      </c>
      <c r="F174" s="239">
        <v>0</v>
      </c>
      <c r="G174" s="239">
        <v>1520666</v>
      </c>
      <c r="H174" s="239">
        <v>152066647</v>
      </c>
      <c r="I174" s="239">
        <v>0</v>
      </c>
      <c r="J174" s="239">
        <v>0</v>
      </c>
      <c r="K174" s="239">
        <v>76033324</v>
      </c>
      <c r="L174" s="239">
        <v>389838</v>
      </c>
      <c r="M174" s="239">
        <v>389838</v>
      </c>
      <c r="N174" s="239">
        <v>0</v>
      </c>
      <c r="O174" s="239">
        <v>0</v>
      </c>
      <c r="P174" s="239">
        <v>160996</v>
      </c>
      <c r="Q174" s="239">
        <v>0</v>
      </c>
      <c r="R174" s="239">
        <v>160996</v>
      </c>
      <c r="S174" s="239">
        <v>0</v>
      </c>
      <c r="T174" s="239">
        <v>0</v>
      </c>
      <c r="U174" s="239">
        <v>0</v>
      </c>
      <c r="V174" s="239">
        <v>0</v>
      </c>
      <c r="W174" s="239">
        <v>0</v>
      </c>
      <c r="X174" s="239">
        <v>0</v>
      </c>
      <c r="Y174" s="239">
        <v>0</v>
      </c>
      <c r="Z174" s="239">
        <v>0</v>
      </c>
      <c r="AA174" s="239">
        <v>0</v>
      </c>
      <c r="AB174" s="239">
        <v>0</v>
      </c>
      <c r="AC174" s="239">
        <v>3836685</v>
      </c>
      <c r="AD174" s="239">
        <v>0</v>
      </c>
      <c r="AE174" s="239">
        <v>78251</v>
      </c>
      <c r="AF174" s="239">
        <v>3914936</v>
      </c>
      <c r="AG174" s="239">
        <v>2376424</v>
      </c>
      <c r="AH174" s="239">
        <v>2328895</v>
      </c>
      <c r="AI174" s="239">
        <v>0</v>
      </c>
      <c r="AJ174" s="239">
        <v>47528</v>
      </c>
      <c r="AK174" s="239">
        <v>4752847</v>
      </c>
      <c r="AL174" s="239">
        <v>-1972102</v>
      </c>
      <c r="AM174" s="239">
        <v>-1932660</v>
      </c>
      <c r="AN174" s="239">
        <v>0</v>
      </c>
      <c r="AO174" s="239">
        <v>-39442</v>
      </c>
      <c r="AP174" s="239">
        <v>-3944204</v>
      </c>
      <c r="AQ174" s="239">
        <v>-850000</v>
      </c>
      <c r="AR174" s="239">
        <v>-833000</v>
      </c>
      <c r="AS174" s="239">
        <v>0</v>
      </c>
      <c r="AT174" s="239">
        <v>-17000</v>
      </c>
      <c r="AU174" s="239">
        <v>-1700000</v>
      </c>
      <c r="AV174" s="239">
        <v>405017</v>
      </c>
      <c r="AW174" s="239">
        <v>396916</v>
      </c>
      <c r="AX174" s="239">
        <v>0</v>
      </c>
      <c r="AY174" s="239">
        <v>8100</v>
      </c>
      <c r="AZ174" s="239">
        <v>810033</v>
      </c>
      <c r="BA174" s="239">
        <v>-1055017</v>
      </c>
      <c r="BB174" s="239">
        <v>-1033916</v>
      </c>
      <c r="BC174" s="239">
        <v>0</v>
      </c>
      <c r="BD174" s="239">
        <v>-21100</v>
      </c>
      <c r="BE174" s="239">
        <v>-2110033</v>
      </c>
      <c r="BF174" s="239">
        <v>-1500000</v>
      </c>
      <c r="BG174" s="239">
        <v>-1470000</v>
      </c>
      <c r="BH174" s="239">
        <v>0</v>
      </c>
      <c r="BI174" s="239">
        <v>-30000</v>
      </c>
      <c r="BJ174" s="239">
        <v>-3000000</v>
      </c>
      <c r="BK174" s="239">
        <v>-18532236</v>
      </c>
      <c r="BL174" s="239">
        <v>-18161592</v>
      </c>
      <c r="BM174" s="239">
        <v>0</v>
      </c>
      <c r="BN174" s="239">
        <v>-370645</v>
      </c>
      <c r="BO174" s="239">
        <v>-37064473</v>
      </c>
      <c r="BP174" s="239">
        <v>2707369</v>
      </c>
      <c r="BQ174" s="239">
        <v>2653221</v>
      </c>
      <c r="BR174" s="239">
        <v>0</v>
      </c>
      <c r="BS174" s="239">
        <v>54147</v>
      </c>
      <c r="BT174" s="239">
        <v>5414737</v>
      </c>
      <c r="BU174" s="239">
        <v>-10923354</v>
      </c>
      <c r="BV174" s="239">
        <v>-10704886</v>
      </c>
      <c r="BW174" s="239">
        <v>0</v>
      </c>
      <c r="BX174" s="239">
        <v>-218467</v>
      </c>
      <c r="BY174" s="239">
        <v>-21846707</v>
      </c>
      <c r="BZ174" s="239">
        <v>-26748221</v>
      </c>
      <c r="CA174" s="239">
        <v>-26213257</v>
      </c>
      <c r="CB174" s="239">
        <v>0</v>
      </c>
      <c r="CC174" s="239">
        <v>-534965</v>
      </c>
      <c r="CD174" s="239">
        <v>-53496443</v>
      </c>
      <c r="CE174" s="239">
        <v>-1018100</v>
      </c>
      <c r="CF174" s="239">
        <v>-997738</v>
      </c>
      <c r="CG174" s="239">
        <v>0</v>
      </c>
      <c r="CH174" s="239">
        <v>-20362</v>
      </c>
      <c r="CI174" s="239">
        <v>-2036200</v>
      </c>
      <c r="CJ174" s="239">
        <v>-1379315</v>
      </c>
      <c r="CK174" s="239">
        <v>-1351728</v>
      </c>
      <c r="CL174" s="239">
        <v>0</v>
      </c>
      <c r="CM174" s="239">
        <v>-27586</v>
      </c>
      <c r="CN174" s="239">
        <v>-2758629</v>
      </c>
      <c r="CO174" s="239">
        <v>361215</v>
      </c>
      <c r="CP174" s="239">
        <v>353990</v>
      </c>
      <c r="CQ174" s="239">
        <v>0</v>
      </c>
      <c r="CR174" s="239">
        <v>7224</v>
      </c>
      <c r="CS174" s="239">
        <v>722429</v>
      </c>
      <c r="CT174" s="239">
        <v>78273420</v>
      </c>
      <c r="CU174" s="239">
        <v>76707951</v>
      </c>
      <c r="CV174" s="239">
        <v>0</v>
      </c>
      <c r="CW174" s="239">
        <v>1565468</v>
      </c>
      <c r="CX174" s="239">
        <v>156546839</v>
      </c>
      <c r="CY174" s="239">
        <v>76033324</v>
      </c>
      <c r="CZ174" s="239">
        <v>74512657</v>
      </c>
      <c r="DA174" s="239">
        <v>0</v>
      </c>
      <c r="DB174" s="239">
        <v>1520666</v>
      </c>
      <c r="DC174" s="239">
        <v>152066647</v>
      </c>
      <c r="DD174" s="239">
        <v>-2240096</v>
      </c>
      <c r="DE174" s="239">
        <v>-2195294</v>
      </c>
      <c r="DF174" s="239">
        <v>0</v>
      </c>
      <c r="DG174" s="239">
        <v>-44802</v>
      </c>
      <c r="DH174" s="239">
        <v>-4480192</v>
      </c>
      <c r="DI174" s="239">
        <v>-1878881</v>
      </c>
      <c r="DJ174" s="239">
        <v>-1841304</v>
      </c>
      <c r="DK174" s="239">
        <v>0</v>
      </c>
      <c r="DL174" s="239">
        <v>-37578</v>
      </c>
      <c r="DM174" s="239">
        <v>-3757763</v>
      </c>
      <c r="DN174" s="835">
        <v>0.5</v>
      </c>
      <c r="DO174" s="835">
        <v>0.49</v>
      </c>
      <c r="DP174" s="835">
        <v>0</v>
      </c>
      <c r="DQ174" s="835">
        <v>0.01</v>
      </c>
      <c r="DR174" s="835">
        <v>1</v>
      </c>
      <c r="DS174" s="214" t="s">
        <v>746</v>
      </c>
      <c r="DU174" s="214">
        <v>0</v>
      </c>
    </row>
    <row r="175" spans="1:125" s="214" customFormat="1" x14ac:dyDescent="0.2">
      <c r="B175" s="602" t="s">
        <v>433</v>
      </c>
      <c r="C175" s="602" t="s">
        <v>432</v>
      </c>
      <c r="D175" s="239">
        <v>20432627</v>
      </c>
      <c r="E175" s="239">
        <v>16346101</v>
      </c>
      <c r="F175" s="239">
        <v>4086525</v>
      </c>
      <c r="G175" s="239">
        <v>0</v>
      </c>
      <c r="H175" s="239">
        <v>40865253</v>
      </c>
      <c r="I175" s="239">
        <v>0</v>
      </c>
      <c r="J175" s="239">
        <v>0</v>
      </c>
      <c r="K175" s="239">
        <v>20432627</v>
      </c>
      <c r="L175" s="239">
        <v>154884</v>
      </c>
      <c r="M175" s="239">
        <v>154884</v>
      </c>
      <c r="N175" s="239">
        <v>0</v>
      </c>
      <c r="O175" s="239">
        <v>0</v>
      </c>
      <c r="P175" s="239">
        <v>0</v>
      </c>
      <c r="Q175" s="239">
        <v>0</v>
      </c>
      <c r="R175" s="239">
        <v>0</v>
      </c>
      <c r="S175" s="239">
        <v>0</v>
      </c>
      <c r="T175" s="239">
        <v>0</v>
      </c>
      <c r="U175" s="239">
        <v>0</v>
      </c>
      <c r="V175" s="239">
        <v>0</v>
      </c>
      <c r="W175" s="239">
        <v>0</v>
      </c>
      <c r="X175" s="239">
        <v>0</v>
      </c>
      <c r="Y175" s="239">
        <v>0</v>
      </c>
      <c r="Z175" s="239">
        <v>0</v>
      </c>
      <c r="AA175" s="239">
        <v>0</v>
      </c>
      <c r="AB175" s="239">
        <v>0</v>
      </c>
      <c r="AC175" s="239">
        <v>1315695</v>
      </c>
      <c r="AD175" s="239">
        <v>328924</v>
      </c>
      <c r="AE175" s="239">
        <v>0</v>
      </c>
      <c r="AF175" s="239">
        <v>1644619</v>
      </c>
      <c r="AG175" s="239">
        <v>1300782</v>
      </c>
      <c r="AH175" s="239">
        <v>1040626</v>
      </c>
      <c r="AI175" s="239">
        <v>260157</v>
      </c>
      <c r="AJ175" s="239">
        <v>0</v>
      </c>
      <c r="AK175" s="239">
        <v>2601565</v>
      </c>
      <c r="AL175" s="239">
        <v>-1310324</v>
      </c>
      <c r="AM175" s="239">
        <v>-1048260</v>
      </c>
      <c r="AN175" s="239">
        <v>-262065</v>
      </c>
      <c r="AO175" s="239">
        <v>0</v>
      </c>
      <c r="AP175" s="239">
        <v>-2620649</v>
      </c>
      <c r="AQ175" s="239">
        <v>-295000</v>
      </c>
      <c r="AR175" s="239">
        <v>-236000</v>
      </c>
      <c r="AS175" s="239">
        <v>-59000</v>
      </c>
      <c r="AT175" s="239">
        <v>0</v>
      </c>
      <c r="AU175" s="239">
        <v>-590000</v>
      </c>
      <c r="AV175" s="239">
        <v>54748</v>
      </c>
      <c r="AW175" s="239">
        <v>43798</v>
      </c>
      <c r="AX175" s="239">
        <v>10950</v>
      </c>
      <c r="AY175" s="239">
        <v>0</v>
      </c>
      <c r="AZ175" s="239">
        <v>109496</v>
      </c>
      <c r="BA175" s="239">
        <v>-95000</v>
      </c>
      <c r="BB175" s="239">
        <v>-76000</v>
      </c>
      <c r="BC175" s="239">
        <v>-19000</v>
      </c>
      <c r="BD175" s="239">
        <v>0</v>
      </c>
      <c r="BE175" s="239">
        <v>-190000</v>
      </c>
      <c r="BF175" s="239">
        <v>-335252</v>
      </c>
      <c r="BG175" s="239">
        <v>-268202</v>
      </c>
      <c r="BH175" s="239">
        <v>-67050</v>
      </c>
      <c r="BI175" s="239">
        <v>0</v>
      </c>
      <c r="BJ175" s="239">
        <v>-670504</v>
      </c>
      <c r="BK175" s="239">
        <v>-1934181</v>
      </c>
      <c r="BL175" s="239">
        <v>-1547345</v>
      </c>
      <c r="BM175" s="239">
        <v>-386836</v>
      </c>
      <c r="BN175" s="239">
        <v>0</v>
      </c>
      <c r="BO175" s="239">
        <v>-3868362</v>
      </c>
      <c r="BP175" s="239">
        <v>192000</v>
      </c>
      <c r="BQ175" s="239">
        <v>153600</v>
      </c>
      <c r="BR175" s="239">
        <v>38400</v>
      </c>
      <c r="BS175" s="239">
        <v>0</v>
      </c>
      <c r="BT175" s="239">
        <v>384000</v>
      </c>
      <c r="BU175" s="239">
        <v>-1157819</v>
      </c>
      <c r="BV175" s="239">
        <v>-926255</v>
      </c>
      <c r="BW175" s="239">
        <v>-231564</v>
      </c>
      <c r="BX175" s="239">
        <v>0</v>
      </c>
      <c r="BY175" s="239">
        <v>-2315638</v>
      </c>
      <c r="BZ175" s="239">
        <v>-2900000</v>
      </c>
      <c r="CA175" s="239">
        <v>-2320000</v>
      </c>
      <c r="CB175" s="239">
        <v>-580000</v>
      </c>
      <c r="CC175" s="239">
        <v>0</v>
      </c>
      <c r="CD175" s="239">
        <v>-5800000</v>
      </c>
      <c r="CE175" s="239">
        <v>-1103669</v>
      </c>
      <c r="CF175" s="239">
        <v>-882936</v>
      </c>
      <c r="CG175" s="239">
        <v>-220735</v>
      </c>
      <c r="CH175" s="239">
        <v>0</v>
      </c>
      <c r="CI175" s="239">
        <v>-2207340</v>
      </c>
      <c r="CJ175" s="239">
        <v>-194401</v>
      </c>
      <c r="CK175" s="239">
        <v>-155520</v>
      </c>
      <c r="CL175" s="239">
        <v>-38880</v>
      </c>
      <c r="CM175" s="239">
        <v>0</v>
      </c>
      <c r="CN175" s="239">
        <v>-388801</v>
      </c>
      <c r="CO175" s="239">
        <v>-909268</v>
      </c>
      <c r="CP175" s="239">
        <v>-727416</v>
      </c>
      <c r="CQ175" s="239">
        <v>-181855</v>
      </c>
      <c r="CR175" s="239">
        <v>0</v>
      </c>
      <c r="CS175" s="239">
        <v>-1818539</v>
      </c>
      <c r="CT175" s="239">
        <v>22773831</v>
      </c>
      <c r="CU175" s="239">
        <v>18219065</v>
      </c>
      <c r="CV175" s="239">
        <v>4554766</v>
      </c>
      <c r="CW175" s="239">
        <v>0</v>
      </c>
      <c r="CX175" s="239">
        <v>45547662</v>
      </c>
      <c r="CY175" s="239">
        <v>20432627</v>
      </c>
      <c r="CZ175" s="239">
        <v>16346101</v>
      </c>
      <c r="DA175" s="239">
        <v>4086525</v>
      </c>
      <c r="DB175" s="239">
        <v>0</v>
      </c>
      <c r="DC175" s="239">
        <v>40865253</v>
      </c>
      <c r="DD175" s="239">
        <v>-2341204</v>
      </c>
      <c r="DE175" s="239">
        <v>-1872964</v>
      </c>
      <c r="DF175" s="239">
        <v>-468241</v>
      </c>
      <c r="DG175" s="239">
        <v>0</v>
      </c>
      <c r="DH175" s="239">
        <v>-4682409</v>
      </c>
      <c r="DI175" s="239">
        <v>-3250472</v>
      </c>
      <c r="DJ175" s="239">
        <v>-2600380</v>
      </c>
      <c r="DK175" s="239">
        <v>-650096</v>
      </c>
      <c r="DL175" s="239">
        <v>0</v>
      </c>
      <c r="DM175" s="239">
        <v>-6500948</v>
      </c>
      <c r="DN175" s="835">
        <v>0.5</v>
      </c>
      <c r="DO175" s="835">
        <v>0.4</v>
      </c>
      <c r="DP175" s="835">
        <v>0.1</v>
      </c>
      <c r="DQ175" s="835">
        <v>0</v>
      </c>
      <c r="DR175" s="835">
        <v>1</v>
      </c>
      <c r="DS175" s="214" t="s">
        <v>1158</v>
      </c>
      <c r="DU175" s="214">
        <v>0</v>
      </c>
    </row>
    <row r="176" spans="1:125" s="214" customFormat="1" x14ac:dyDescent="0.2">
      <c r="B176" s="602" t="s">
        <v>435</v>
      </c>
      <c r="C176" s="602" t="s">
        <v>434</v>
      </c>
      <c r="D176" s="239">
        <v>31998953</v>
      </c>
      <c r="E176" s="239">
        <v>25599163</v>
      </c>
      <c r="F176" s="239">
        <v>5759812</v>
      </c>
      <c r="G176" s="239">
        <v>639979</v>
      </c>
      <c r="H176" s="239">
        <v>63997907</v>
      </c>
      <c r="I176" s="239">
        <v>0</v>
      </c>
      <c r="J176" s="239">
        <v>0</v>
      </c>
      <c r="K176" s="239">
        <v>31998953</v>
      </c>
      <c r="L176" s="239">
        <v>278159</v>
      </c>
      <c r="M176" s="239">
        <v>278159</v>
      </c>
      <c r="N176" s="239">
        <v>0</v>
      </c>
      <c r="O176" s="239">
        <v>0</v>
      </c>
      <c r="P176" s="239">
        <v>11909</v>
      </c>
      <c r="Q176" s="239">
        <v>0</v>
      </c>
      <c r="R176" s="239">
        <v>11909</v>
      </c>
      <c r="S176" s="239">
        <v>0</v>
      </c>
      <c r="T176" s="239">
        <v>0</v>
      </c>
      <c r="U176" s="239">
        <v>0</v>
      </c>
      <c r="V176" s="239">
        <v>0</v>
      </c>
      <c r="W176" s="239">
        <v>0</v>
      </c>
      <c r="X176" s="239">
        <v>0</v>
      </c>
      <c r="Y176" s="239">
        <v>0</v>
      </c>
      <c r="Z176" s="239">
        <v>0</v>
      </c>
      <c r="AA176" s="239">
        <v>0</v>
      </c>
      <c r="AB176" s="239">
        <v>0</v>
      </c>
      <c r="AC176" s="239">
        <v>2667554</v>
      </c>
      <c r="AD176" s="239">
        <v>600160</v>
      </c>
      <c r="AE176" s="239">
        <v>66684</v>
      </c>
      <c r="AF176" s="239">
        <v>3334398</v>
      </c>
      <c r="AG176" s="239">
        <v>567139</v>
      </c>
      <c r="AH176" s="239">
        <v>453711</v>
      </c>
      <c r="AI176" s="239">
        <v>102085</v>
      </c>
      <c r="AJ176" s="239">
        <v>11343</v>
      </c>
      <c r="AK176" s="239">
        <v>1134278</v>
      </c>
      <c r="AL176" s="239">
        <v>-1355856</v>
      </c>
      <c r="AM176" s="239">
        <v>-1084684</v>
      </c>
      <c r="AN176" s="239">
        <v>-244054</v>
      </c>
      <c r="AO176" s="239">
        <v>-27117</v>
      </c>
      <c r="AP176" s="239">
        <v>-2711711</v>
      </c>
      <c r="AQ176" s="239">
        <v>-223380</v>
      </c>
      <c r="AR176" s="239">
        <v>-178704</v>
      </c>
      <c r="AS176" s="239">
        <v>-40208</v>
      </c>
      <c r="AT176" s="239">
        <v>-4468</v>
      </c>
      <c r="AU176" s="239">
        <v>-446760</v>
      </c>
      <c r="AV176" s="239">
        <v>159075</v>
      </c>
      <c r="AW176" s="239">
        <v>127260</v>
      </c>
      <c r="AX176" s="239">
        <v>28633</v>
      </c>
      <c r="AY176" s="239">
        <v>3181</v>
      </c>
      <c r="AZ176" s="239">
        <v>318149</v>
      </c>
      <c r="BA176" s="239">
        <v>-99999</v>
      </c>
      <c r="BB176" s="239">
        <v>-79999</v>
      </c>
      <c r="BC176" s="239">
        <v>-18000</v>
      </c>
      <c r="BD176" s="239">
        <v>-2000</v>
      </c>
      <c r="BE176" s="239">
        <v>-199998</v>
      </c>
      <c r="BF176" s="239">
        <v>-164304</v>
      </c>
      <c r="BG176" s="239">
        <v>-131443</v>
      </c>
      <c r="BH176" s="239">
        <v>-29575</v>
      </c>
      <c r="BI176" s="239">
        <v>-3287</v>
      </c>
      <c r="BJ176" s="239">
        <v>-328609</v>
      </c>
      <c r="BK176" s="239">
        <v>-2982500</v>
      </c>
      <c r="BL176" s="239">
        <v>-2386000</v>
      </c>
      <c r="BM176" s="239">
        <v>-536850</v>
      </c>
      <c r="BN176" s="239">
        <v>-59650</v>
      </c>
      <c r="BO176" s="239">
        <v>-5965000</v>
      </c>
      <c r="BP176" s="239">
        <v>324769</v>
      </c>
      <c r="BQ176" s="239">
        <v>259815</v>
      </c>
      <c r="BR176" s="239">
        <v>58458</v>
      </c>
      <c r="BS176" s="239">
        <v>6495</v>
      </c>
      <c r="BT176" s="239">
        <v>649537</v>
      </c>
      <c r="BU176" s="239">
        <v>-1549769</v>
      </c>
      <c r="BV176" s="239">
        <v>-1239815</v>
      </c>
      <c r="BW176" s="239">
        <v>-278958</v>
      </c>
      <c r="BX176" s="239">
        <v>-30995</v>
      </c>
      <c r="BY176" s="239">
        <v>-3099537</v>
      </c>
      <c r="BZ176" s="239">
        <v>-4207500</v>
      </c>
      <c r="CA176" s="239">
        <v>-3366000</v>
      </c>
      <c r="CB176" s="239">
        <v>-757350</v>
      </c>
      <c r="CC176" s="239">
        <v>-84150</v>
      </c>
      <c r="CD176" s="239">
        <v>-8415000</v>
      </c>
      <c r="CE176" s="239">
        <v>466432</v>
      </c>
      <c r="CF176" s="239">
        <v>373146</v>
      </c>
      <c r="CG176" s="239">
        <v>83958</v>
      </c>
      <c r="CH176" s="239">
        <v>9329</v>
      </c>
      <c r="CI176" s="239">
        <v>932865</v>
      </c>
      <c r="CJ176" s="239">
        <v>-432066</v>
      </c>
      <c r="CK176" s="239">
        <v>-345652</v>
      </c>
      <c r="CL176" s="239">
        <v>-77772</v>
      </c>
      <c r="CM176" s="239">
        <v>-8641</v>
      </c>
      <c r="CN176" s="239">
        <v>-864131</v>
      </c>
      <c r="CO176" s="239">
        <v>898498</v>
      </c>
      <c r="CP176" s="239">
        <v>718798</v>
      </c>
      <c r="CQ176" s="239">
        <v>161730</v>
      </c>
      <c r="CR176" s="239">
        <v>17970</v>
      </c>
      <c r="CS176" s="239">
        <v>1796996</v>
      </c>
      <c r="CT176" s="239">
        <v>31998693</v>
      </c>
      <c r="CU176" s="239">
        <v>25598954</v>
      </c>
      <c r="CV176" s="239">
        <v>5759765</v>
      </c>
      <c r="CW176" s="239">
        <v>639974</v>
      </c>
      <c r="CX176" s="239">
        <v>63997386</v>
      </c>
      <c r="CY176" s="239">
        <v>31998953</v>
      </c>
      <c r="CZ176" s="239">
        <v>25599163</v>
      </c>
      <c r="DA176" s="239">
        <v>5759812</v>
      </c>
      <c r="DB176" s="239">
        <v>639979</v>
      </c>
      <c r="DC176" s="239">
        <v>63997907</v>
      </c>
      <c r="DD176" s="239">
        <v>260</v>
      </c>
      <c r="DE176" s="239">
        <v>209</v>
      </c>
      <c r="DF176" s="239">
        <v>47</v>
      </c>
      <c r="DG176" s="239">
        <v>5</v>
      </c>
      <c r="DH176" s="239">
        <v>521</v>
      </c>
      <c r="DI176" s="239">
        <v>898758</v>
      </c>
      <c r="DJ176" s="239">
        <v>719007</v>
      </c>
      <c r="DK176" s="239">
        <v>161777</v>
      </c>
      <c r="DL176" s="239">
        <v>17975</v>
      </c>
      <c r="DM176" s="239">
        <v>1797517</v>
      </c>
      <c r="DN176" s="835">
        <v>0.5</v>
      </c>
      <c r="DO176" s="835">
        <v>0.4</v>
      </c>
      <c r="DP176" s="835">
        <v>0.09</v>
      </c>
      <c r="DQ176" s="835">
        <v>0.01</v>
      </c>
      <c r="DR176" s="835">
        <v>1</v>
      </c>
      <c r="DS176" s="214" t="s">
        <v>1158</v>
      </c>
      <c r="DU176" s="214">
        <v>0</v>
      </c>
    </row>
    <row r="177" spans="2:125" s="214" customFormat="1" x14ac:dyDescent="0.2">
      <c r="B177" s="602" t="s">
        <v>437</v>
      </c>
      <c r="C177" s="602" t="s">
        <v>436</v>
      </c>
      <c r="D177" s="239">
        <v>20641636</v>
      </c>
      <c r="E177" s="239">
        <v>16513308</v>
      </c>
      <c r="F177" s="239">
        <v>3715494</v>
      </c>
      <c r="G177" s="239">
        <v>412833</v>
      </c>
      <c r="H177" s="239">
        <v>41283271</v>
      </c>
      <c r="I177" s="239">
        <v>0</v>
      </c>
      <c r="J177" s="239">
        <v>0</v>
      </c>
      <c r="K177" s="239">
        <v>20641636</v>
      </c>
      <c r="L177" s="239">
        <v>164307</v>
      </c>
      <c r="M177" s="239">
        <v>164307</v>
      </c>
      <c r="N177" s="239">
        <v>0</v>
      </c>
      <c r="O177" s="239">
        <v>0</v>
      </c>
      <c r="P177" s="239">
        <v>597251</v>
      </c>
      <c r="Q177" s="239">
        <v>116020</v>
      </c>
      <c r="R177" s="239">
        <v>713271</v>
      </c>
      <c r="S177" s="239">
        <v>0</v>
      </c>
      <c r="T177" s="239">
        <v>0</v>
      </c>
      <c r="U177" s="239">
        <v>0</v>
      </c>
      <c r="V177" s="239">
        <v>0</v>
      </c>
      <c r="W177" s="239">
        <v>0</v>
      </c>
      <c r="X177" s="239">
        <v>0</v>
      </c>
      <c r="Y177" s="239">
        <v>0</v>
      </c>
      <c r="Z177" s="239">
        <v>0</v>
      </c>
      <c r="AA177" s="239">
        <v>0</v>
      </c>
      <c r="AB177" s="239">
        <v>0</v>
      </c>
      <c r="AC177" s="239">
        <v>1476443</v>
      </c>
      <c r="AD177" s="239">
        <v>331924</v>
      </c>
      <c r="AE177" s="239">
        <v>36686</v>
      </c>
      <c r="AF177" s="239">
        <v>1845053</v>
      </c>
      <c r="AG177" s="239">
        <v>671864</v>
      </c>
      <c r="AH177" s="239">
        <v>537491</v>
      </c>
      <c r="AI177" s="239">
        <v>120935</v>
      </c>
      <c r="AJ177" s="239">
        <v>13437</v>
      </c>
      <c r="AK177" s="239">
        <v>1343727</v>
      </c>
      <c r="AL177" s="239">
        <v>-285859</v>
      </c>
      <c r="AM177" s="239">
        <v>-228688</v>
      </c>
      <c r="AN177" s="239">
        <v>-51455</v>
      </c>
      <c r="AO177" s="239">
        <v>-5717</v>
      </c>
      <c r="AP177" s="239">
        <v>-571719</v>
      </c>
      <c r="AQ177" s="239">
        <v>-188314</v>
      </c>
      <c r="AR177" s="239">
        <v>-150651</v>
      </c>
      <c r="AS177" s="239">
        <v>-33896</v>
      </c>
      <c r="AT177" s="239">
        <v>-3766</v>
      </c>
      <c r="AU177" s="239">
        <v>-376627</v>
      </c>
      <c r="AV177" s="239">
        <v>103180</v>
      </c>
      <c r="AW177" s="239">
        <v>82545</v>
      </c>
      <c r="AX177" s="239">
        <v>18573</v>
      </c>
      <c r="AY177" s="239">
        <v>2064</v>
      </c>
      <c r="AZ177" s="239">
        <v>206362</v>
      </c>
      <c r="BA177" s="239">
        <v>-99355</v>
      </c>
      <c r="BB177" s="239">
        <v>-79484</v>
      </c>
      <c r="BC177" s="239">
        <v>-17884</v>
      </c>
      <c r="BD177" s="239">
        <v>-1987</v>
      </c>
      <c r="BE177" s="239">
        <v>-198710</v>
      </c>
      <c r="BF177" s="239">
        <v>-184489</v>
      </c>
      <c r="BG177" s="239">
        <v>-147590</v>
      </c>
      <c r="BH177" s="239">
        <v>-33207</v>
      </c>
      <c r="BI177" s="239">
        <v>-3689</v>
      </c>
      <c r="BJ177" s="239">
        <v>-368975</v>
      </c>
      <c r="BK177" s="239">
        <v>-4481292</v>
      </c>
      <c r="BL177" s="239">
        <v>-3585033</v>
      </c>
      <c r="BM177" s="239">
        <v>-806632</v>
      </c>
      <c r="BN177" s="239">
        <v>-89626</v>
      </c>
      <c r="BO177" s="239">
        <v>-8962583</v>
      </c>
      <c r="BP177" s="239">
        <v>916801</v>
      </c>
      <c r="BQ177" s="239">
        <v>733441</v>
      </c>
      <c r="BR177" s="239">
        <v>165024</v>
      </c>
      <c r="BS177" s="239">
        <v>18336</v>
      </c>
      <c r="BT177" s="239">
        <v>1833602</v>
      </c>
      <c r="BU177" s="239">
        <v>0</v>
      </c>
      <c r="BV177" s="239">
        <v>0</v>
      </c>
      <c r="BW177" s="239">
        <v>0</v>
      </c>
      <c r="BX177" s="239">
        <v>0</v>
      </c>
      <c r="BY177" s="239">
        <v>0</v>
      </c>
      <c r="BZ177" s="239">
        <v>-3564491</v>
      </c>
      <c r="CA177" s="239">
        <v>-2851592</v>
      </c>
      <c r="CB177" s="239">
        <v>-641608</v>
      </c>
      <c r="CC177" s="239">
        <v>-71290</v>
      </c>
      <c r="CD177" s="239">
        <v>-7128981</v>
      </c>
      <c r="CE177" s="239">
        <v>-2201753</v>
      </c>
      <c r="CF177" s="239">
        <v>-1761401</v>
      </c>
      <c r="CG177" s="239">
        <v>-396316</v>
      </c>
      <c r="CH177" s="239">
        <v>-44035</v>
      </c>
      <c r="CI177" s="239">
        <v>-4403505</v>
      </c>
      <c r="CJ177" s="239">
        <v>-2196234</v>
      </c>
      <c r="CK177" s="239">
        <v>-1756988</v>
      </c>
      <c r="CL177" s="239">
        <v>-395322</v>
      </c>
      <c r="CM177" s="239">
        <v>-43925</v>
      </c>
      <c r="CN177" s="239">
        <v>-4392469</v>
      </c>
      <c r="CO177" s="239">
        <v>-5519</v>
      </c>
      <c r="CP177" s="239">
        <v>-4413</v>
      </c>
      <c r="CQ177" s="239">
        <v>-994</v>
      </c>
      <c r="CR177" s="239">
        <v>-110</v>
      </c>
      <c r="CS177" s="239">
        <v>-11036</v>
      </c>
      <c r="CT177" s="239">
        <v>21013974</v>
      </c>
      <c r="CU177" s="239">
        <v>16811179</v>
      </c>
      <c r="CV177" s="239">
        <v>3782515</v>
      </c>
      <c r="CW177" s="239">
        <v>420279</v>
      </c>
      <c r="CX177" s="239">
        <v>42027947</v>
      </c>
      <c r="CY177" s="239">
        <v>20641636</v>
      </c>
      <c r="CZ177" s="239">
        <v>16513308</v>
      </c>
      <c r="DA177" s="239">
        <v>3715494</v>
      </c>
      <c r="DB177" s="239">
        <v>412833</v>
      </c>
      <c r="DC177" s="239">
        <v>41283271</v>
      </c>
      <c r="DD177" s="239">
        <v>-372338</v>
      </c>
      <c r="DE177" s="239">
        <v>-297871</v>
      </c>
      <c r="DF177" s="239">
        <v>-67021</v>
      </c>
      <c r="DG177" s="239">
        <v>-7446</v>
      </c>
      <c r="DH177" s="239">
        <v>-744676</v>
      </c>
      <c r="DI177" s="239">
        <v>-377857</v>
      </c>
      <c r="DJ177" s="239">
        <v>-302284</v>
      </c>
      <c r="DK177" s="239">
        <v>-68015</v>
      </c>
      <c r="DL177" s="239">
        <v>-7556</v>
      </c>
      <c r="DM177" s="239">
        <v>-755712</v>
      </c>
      <c r="DN177" s="835">
        <v>0.5</v>
      </c>
      <c r="DO177" s="835">
        <v>0.4</v>
      </c>
      <c r="DP177" s="835">
        <v>0.09</v>
      </c>
      <c r="DQ177" s="835">
        <v>0.01</v>
      </c>
      <c r="DR177" s="835">
        <v>1</v>
      </c>
      <c r="DS177" s="214" t="s">
        <v>1158</v>
      </c>
      <c r="DU177" s="214">
        <v>0</v>
      </c>
    </row>
    <row r="178" spans="2:125" s="214" customFormat="1" x14ac:dyDescent="0.2">
      <c r="B178" s="602" t="s">
        <v>439</v>
      </c>
      <c r="C178" s="602" t="s">
        <v>1065</v>
      </c>
      <c r="D178" s="239">
        <v>67077464</v>
      </c>
      <c r="E178" s="239">
        <v>65735915</v>
      </c>
      <c r="F178" s="239">
        <v>0</v>
      </c>
      <c r="G178" s="239">
        <v>1341549</v>
      </c>
      <c r="H178" s="239">
        <v>134154928</v>
      </c>
      <c r="I178" s="239">
        <v>0</v>
      </c>
      <c r="J178" s="239">
        <v>0</v>
      </c>
      <c r="K178" s="239">
        <v>67077464</v>
      </c>
      <c r="L178" s="239">
        <v>463069</v>
      </c>
      <c r="M178" s="239">
        <v>463069</v>
      </c>
      <c r="N178" s="239">
        <v>1966079</v>
      </c>
      <c r="O178" s="239">
        <v>1966079</v>
      </c>
      <c r="P178" s="239">
        <v>0</v>
      </c>
      <c r="Q178" s="239">
        <v>0</v>
      </c>
      <c r="R178" s="239">
        <v>0</v>
      </c>
      <c r="S178" s="239">
        <v>0</v>
      </c>
      <c r="T178" s="239">
        <v>0</v>
      </c>
      <c r="U178" s="239">
        <v>0</v>
      </c>
      <c r="V178" s="239">
        <v>0</v>
      </c>
      <c r="W178" s="239">
        <v>0</v>
      </c>
      <c r="X178" s="239">
        <v>0</v>
      </c>
      <c r="Y178" s="239">
        <v>0</v>
      </c>
      <c r="Z178" s="239">
        <v>0</v>
      </c>
      <c r="AA178" s="239">
        <v>0</v>
      </c>
      <c r="AB178" s="239">
        <v>0</v>
      </c>
      <c r="AC178" s="239">
        <v>4356109</v>
      </c>
      <c r="AD178" s="239">
        <v>0</v>
      </c>
      <c r="AE178" s="239">
        <v>86139</v>
      </c>
      <c r="AF178" s="239">
        <v>4442248</v>
      </c>
      <c r="AG178" s="239">
        <v>4695151</v>
      </c>
      <c r="AH178" s="239">
        <v>4601247</v>
      </c>
      <c r="AI178" s="239">
        <v>0</v>
      </c>
      <c r="AJ178" s="239">
        <v>93903</v>
      </c>
      <c r="AK178" s="239">
        <v>9390301</v>
      </c>
      <c r="AL178" s="239">
        <v>-2991582</v>
      </c>
      <c r="AM178" s="239">
        <v>-2931750</v>
      </c>
      <c r="AN178" s="239">
        <v>0</v>
      </c>
      <c r="AO178" s="239">
        <v>-59832</v>
      </c>
      <c r="AP178" s="239">
        <v>-5983164</v>
      </c>
      <c r="AQ178" s="239">
        <v>-1883155</v>
      </c>
      <c r="AR178" s="239">
        <v>-1845492</v>
      </c>
      <c r="AS178" s="239">
        <v>0</v>
      </c>
      <c r="AT178" s="239">
        <v>-37663</v>
      </c>
      <c r="AU178" s="239">
        <v>-3766310</v>
      </c>
      <c r="AV178" s="239">
        <v>588589</v>
      </c>
      <c r="AW178" s="239">
        <v>576817</v>
      </c>
      <c r="AX178" s="239">
        <v>0</v>
      </c>
      <c r="AY178" s="239">
        <v>11772</v>
      </c>
      <c r="AZ178" s="239">
        <v>1177178</v>
      </c>
      <c r="BA178" s="239">
        <v>-975734</v>
      </c>
      <c r="BB178" s="239">
        <v>-956219</v>
      </c>
      <c r="BC178" s="239">
        <v>0</v>
      </c>
      <c r="BD178" s="239">
        <v>-19515</v>
      </c>
      <c r="BE178" s="239">
        <v>-1951468</v>
      </c>
      <c r="BF178" s="239">
        <v>-2270300</v>
      </c>
      <c r="BG178" s="239">
        <v>-2224894</v>
      </c>
      <c r="BH178" s="239">
        <v>0</v>
      </c>
      <c r="BI178" s="239">
        <v>-45406</v>
      </c>
      <c r="BJ178" s="239">
        <v>-4540600</v>
      </c>
      <c r="BK178" s="239">
        <v>-10656723</v>
      </c>
      <c r="BL178" s="239">
        <v>-10443588</v>
      </c>
      <c r="BM178" s="239">
        <v>0</v>
      </c>
      <c r="BN178" s="239">
        <v>-213134</v>
      </c>
      <c r="BO178" s="239">
        <v>-21313445</v>
      </c>
      <c r="BP178" s="239">
        <v>6274683</v>
      </c>
      <c r="BQ178" s="239">
        <v>6149189</v>
      </c>
      <c r="BR178" s="239">
        <v>0</v>
      </c>
      <c r="BS178" s="239">
        <v>125494</v>
      </c>
      <c r="BT178" s="239">
        <v>12549366</v>
      </c>
      <c r="BU178" s="239">
        <v>-4482059</v>
      </c>
      <c r="BV178" s="239">
        <v>-4392418</v>
      </c>
      <c r="BW178" s="239">
        <v>0</v>
      </c>
      <c r="BX178" s="239">
        <v>-89641</v>
      </c>
      <c r="BY178" s="239">
        <v>-8964118</v>
      </c>
      <c r="BZ178" s="239">
        <v>-8864099</v>
      </c>
      <c r="CA178" s="239">
        <v>-8686817</v>
      </c>
      <c r="CB178" s="239">
        <v>0</v>
      </c>
      <c r="CC178" s="239">
        <v>-177281</v>
      </c>
      <c r="CD178" s="239">
        <v>-17728197</v>
      </c>
      <c r="CE178" s="239">
        <v>-8897500</v>
      </c>
      <c r="CF178" s="239">
        <v>-8719550</v>
      </c>
      <c r="CG178" s="239">
        <v>0</v>
      </c>
      <c r="CH178" s="239">
        <v>-177950</v>
      </c>
      <c r="CI178" s="239">
        <v>-17795000</v>
      </c>
      <c r="CJ178" s="239">
        <v>-7988117</v>
      </c>
      <c r="CK178" s="239">
        <v>-7828354</v>
      </c>
      <c r="CL178" s="239">
        <v>0</v>
      </c>
      <c r="CM178" s="239">
        <v>-159762</v>
      </c>
      <c r="CN178" s="239">
        <v>-15976233</v>
      </c>
      <c r="CO178" s="239">
        <v>-909383</v>
      </c>
      <c r="CP178" s="239">
        <v>-891196</v>
      </c>
      <c r="CQ178" s="239">
        <v>0</v>
      </c>
      <c r="CR178" s="239">
        <v>-18188</v>
      </c>
      <c r="CS178" s="239">
        <v>-1818767</v>
      </c>
      <c r="CT178" s="239">
        <v>68273119</v>
      </c>
      <c r="CU178" s="239">
        <v>66907656</v>
      </c>
      <c r="CV178" s="239">
        <v>0</v>
      </c>
      <c r="CW178" s="239">
        <v>1365462</v>
      </c>
      <c r="CX178" s="239">
        <v>136546237</v>
      </c>
      <c r="CY178" s="239">
        <v>67077464</v>
      </c>
      <c r="CZ178" s="239">
        <v>65735915</v>
      </c>
      <c r="DA178" s="239">
        <v>0</v>
      </c>
      <c r="DB178" s="239">
        <v>1341549</v>
      </c>
      <c r="DC178" s="239">
        <v>134154928</v>
      </c>
      <c r="DD178" s="239">
        <v>-1195655</v>
      </c>
      <c r="DE178" s="239">
        <v>-1171741</v>
      </c>
      <c r="DF178" s="239">
        <v>0</v>
      </c>
      <c r="DG178" s="239">
        <v>-23913</v>
      </c>
      <c r="DH178" s="239">
        <v>-2391309</v>
      </c>
      <c r="DI178" s="239">
        <v>-2105038</v>
      </c>
      <c r="DJ178" s="239">
        <v>-2062937</v>
      </c>
      <c r="DK178" s="239">
        <v>0</v>
      </c>
      <c r="DL178" s="239">
        <v>-42101</v>
      </c>
      <c r="DM178" s="239">
        <v>-4210076</v>
      </c>
      <c r="DN178" s="835">
        <v>0.5</v>
      </c>
      <c r="DO178" s="835">
        <v>0.49</v>
      </c>
      <c r="DP178" s="835">
        <v>0</v>
      </c>
      <c r="DQ178" s="835">
        <v>0.01</v>
      </c>
      <c r="DR178" s="835">
        <v>1</v>
      </c>
      <c r="DS178" s="214" t="s">
        <v>1160</v>
      </c>
      <c r="DU178" s="214">
        <v>0</v>
      </c>
    </row>
    <row r="179" spans="2:125" s="214" customFormat="1" x14ac:dyDescent="0.2">
      <c r="B179" s="602" t="s">
        <v>441</v>
      </c>
      <c r="C179" s="602" t="s">
        <v>440</v>
      </c>
      <c r="D179" s="239">
        <v>15280917</v>
      </c>
      <c r="E179" s="239">
        <v>12224733</v>
      </c>
      <c r="F179" s="239">
        <v>2750565</v>
      </c>
      <c r="G179" s="239">
        <v>305618</v>
      </c>
      <c r="H179" s="239">
        <v>30561833</v>
      </c>
      <c r="I179" s="239">
        <v>0</v>
      </c>
      <c r="J179" s="239">
        <v>0</v>
      </c>
      <c r="K179" s="239">
        <v>15280917</v>
      </c>
      <c r="L179" s="239">
        <v>137513</v>
      </c>
      <c r="M179" s="239">
        <v>137513</v>
      </c>
      <c r="N179" s="239">
        <v>0</v>
      </c>
      <c r="O179" s="239">
        <v>0</v>
      </c>
      <c r="P179" s="239">
        <v>0</v>
      </c>
      <c r="Q179" s="239">
        <v>0</v>
      </c>
      <c r="R179" s="239">
        <v>0</v>
      </c>
      <c r="S179" s="239">
        <v>0</v>
      </c>
      <c r="T179" s="239">
        <v>0</v>
      </c>
      <c r="U179" s="239">
        <v>0</v>
      </c>
      <c r="V179" s="239">
        <v>0</v>
      </c>
      <c r="W179" s="239">
        <v>0</v>
      </c>
      <c r="X179" s="239">
        <v>0</v>
      </c>
      <c r="Y179" s="239">
        <v>0</v>
      </c>
      <c r="Z179" s="239">
        <v>0</v>
      </c>
      <c r="AA179" s="239">
        <v>0</v>
      </c>
      <c r="AB179" s="239">
        <v>0</v>
      </c>
      <c r="AC179" s="239">
        <v>1331963</v>
      </c>
      <c r="AD179" s="239">
        <v>299692</v>
      </c>
      <c r="AE179" s="239">
        <v>33300</v>
      </c>
      <c r="AF179" s="239">
        <v>1664955</v>
      </c>
      <c r="AG179" s="239">
        <v>1009198</v>
      </c>
      <c r="AH179" s="239">
        <v>807358</v>
      </c>
      <c r="AI179" s="239">
        <v>181656</v>
      </c>
      <c r="AJ179" s="239">
        <v>20184</v>
      </c>
      <c r="AK179" s="239">
        <v>2018396</v>
      </c>
      <c r="AL179" s="239">
        <v>-514527</v>
      </c>
      <c r="AM179" s="239">
        <v>-411622</v>
      </c>
      <c r="AN179" s="239">
        <v>-92615</v>
      </c>
      <c r="AO179" s="239">
        <v>-10291</v>
      </c>
      <c r="AP179" s="239">
        <v>-1029055</v>
      </c>
      <c r="AQ179" s="239">
        <v>-383545</v>
      </c>
      <c r="AR179" s="239">
        <v>-306836</v>
      </c>
      <c r="AS179" s="239">
        <v>-69038</v>
      </c>
      <c r="AT179" s="239">
        <v>-7671</v>
      </c>
      <c r="AU179" s="239">
        <v>-767090</v>
      </c>
      <c r="AV179" s="239">
        <v>229676</v>
      </c>
      <c r="AW179" s="239">
        <v>183741</v>
      </c>
      <c r="AX179" s="239">
        <v>41342</v>
      </c>
      <c r="AY179" s="239">
        <v>4594</v>
      </c>
      <c r="AZ179" s="239">
        <v>459353</v>
      </c>
      <c r="BA179" s="239">
        <v>-143853</v>
      </c>
      <c r="BB179" s="239">
        <v>-115082</v>
      </c>
      <c r="BC179" s="239">
        <v>-25894</v>
      </c>
      <c r="BD179" s="239">
        <v>-2877</v>
      </c>
      <c r="BE179" s="239">
        <v>-287706</v>
      </c>
      <c r="BF179" s="239">
        <v>-297722</v>
      </c>
      <c r="BG179" s="239">
        <v>-238177</v>
      </c>
      <c r="BH179" s="239">
        <v>-53590</v>
      </c>
      <c r="BI179" s="239">
        <v>-5954</v>
      </c>
      <c r="BJ179" s="239">
        <v>-595443</v>
      </c>
      <c r="BK179" s="239">
        <v>-906069</v>
      </c>
      <c r="BL179" s="239">
        <v>-724855</v>
      </c>
      <c r="BM179" s="239">
        <v>-163092</v>
      </c>
      <c r="BN179" s="239">
        <v>-18121</v>
      </c>
      <c r="BO179" s="239">
        <v>-1812137</v>
      </c>
      <c r="BP179" s="239">
        <v>570006</v>
      </c>
      <c r="BQ179" s="239">
        <v>456005</v>
      </c>
      <c r="BR179" s="239">
        <v>102601</v>
      </c>
      <c r="BS179" s="239">
        <v>11400</v>
      </c>
      <c r="BT179" s="239">
        <v>1140012</v>
      </c>
      <c r="BU179" s="239">
        <v>-2011476</v>
      </c>
      <c r="BV179" s="239">
        <v>-1609182</v>
      </c>
      <c r="BW179" s="239">
        <v>-362066</v>
      </c>
      <c r="BX179" s="239">
        <v>-40230</v>
      </c>
      <c r="BY179" s="239">
        <v>-4022954</v>
      </c>
      <c r="BZ179" s="239">
        <v>-2347539</v>
      </c>
      <c r="CA179" s="239">
        <v>-1878032</v>
      </c>
      <c r="CB179" s="239">
        <v>-422557</v>
      </c>
      <c r="CC179" s="239">
        <v>-46951</v>
      </c>
      <c r="CD179" s="239">
        <v>-4695079</v>
      </c>
      <c r="CE179" s="239">
        <v>-65729</v>
      </c>
      <c r="CF179" s="239">
        <v>-52581</v>
      </c>
      <c r="CG179" s="239">
        <v>-11831</v>
      </c>
      <c r="CH179" s="239">
        <v>-1314</v>
      </c>
      <c r="CI179" s="239">
        <v>-131455</v>
      </c>
      <c r="CJ179" s="239">
        <v>24318</v>
      </c>
      <c r="CK179" s="239">
        <v>19454</v>
      </c>
      <c r="CL179" s="239">
        <v>4377</v>
      </c>
      <c r="CM179" s="239">
        <v>486</v>
      </c>
      <c r="CN179" s="239">
        <v>48635</v>
      </c>
      <c r="CO179" s="239">
        <v>-90047</v>
      </c>
      <c r="CP179" s="239">
        <v>-72035</v>
      </c>
      <c r="CQ179" s="239">
        <v>-16208</v>
      </c>
      <c r="CR179" s="239">
        <v>-1800</v>
      </c>
      <c r="CS179" s="239">
        <v>-180090</v>
      </c>
      <c r="CT179" s="239">
        <v>16182436</v>
      </c>
      <c r="CU179" s="239">
        <v>12945948</v>
      </c>
      <c r="CV179" s="239">
        <v>2912838</v>
      </c>
      <c r="CW179" s="239">
        <v>323649</v>
      </c>
      <c r="CX179" s="239">
        <v>32364871</v>
      </c>
      <c r="CY179" s="239">
        <v>15280917</v>
      </c>
      <c r="CZ179" s="239">
        <v>12224733</v>
      </c>
      <c r="DA179" s="239">
        <v>2750565</v>
      </c>
      <c r="DB179" s="239">
        <v>305618</v>
      </c>
      <c r="DC179" s="239">
        <v>30561833</v>
      </c>
      <c r="DD179" s="239">
        <v>-901519</v>
      </c>
      <c r="DE179" s="239">
        <v>-721215</v>
      </c>
      <c r="DF179" s="239">
        <v>-162273</v>
      </c>
      <c r="DG179" s="239">
        <v>-18031</v>
      </c>
      <c r="DH179" s="239">
        <v>-1803038</v>
      </c>
      <c r="DI179" s="239">
        <v>-991566</v>
      </c>
      <c r="DJ179" s="239">
        <v>-793250</v>
      </c>
      <c r="DK179" s="239">
        <v>-178481</v>
      </c>
      <c r="DL179" s="239">
        <v>-19831</v>
      </c>
      <c r="DM179" s="239">
        <v>-1983128</v>
      </c>
      <c r="DN179" s="835">
        <v>0.5</v>
      </c>
      <c r="DO179" s="835">
        <v>0.4</v>
      </c>
      <c r="DP179" s="835">
        <v>0.09</v>
      </c>
      <c r="DQ179" s="835">
        <v>0.01</v>
      </c>
      <c r="DR179" s="835">
        <v>1</v>
      </c>
      <c r="DS179" s="214" t="s">
        <v>1158</v>
      </c>
      <c r="DU179" s="214">
        <v>0</v>
      </c>
    </row>
    <row r="180" spans="2:125" s="214" customFormat="1" x14ac:dyDescent="0.2">
      <c r="B180" s="602" t="s">
        <v>443</v>
      </c>
      <c r="C180" s="602" t="s">
        <v>442</v>
      </c>
      <c r="D180" s="239">
        <v>48445404</v>
      </c>
      <c r="E180" s="239">
        <v>44041277</v>
      </c>
      <c r="F180" s="239">
        <v>54317575</v>
      </c>
      <c r="G180" s="239">
        <v>0</v>
      </c>
      <c r="H180" s="239">
        <v>146804256</v>
      </c>
      <c r="I180" s="239">
        <v>0</v>
      </c>
      <c r="J180" s="239">
        <v>0</v>
      </c>
      <c r="K180" s="239">
        <v>48445404</v>
      </c>
      <c r="L180" s="239">
        <v>381427</v>
      </c>
      <c r="M180" s="239">
        <v>381427</v>
      </c>
      <c r="N180" s="239">
        <v>576599</v>
      </c>
      <c r="O180" s="239">
        <v>576599</v>
      </c>
      <c r="P180" s="239">
        <v>0</v>
      </c>
      <c r="Q180" s="239">
        <v>0</v>
      </c>
      <c r="R180" s="239">
        <v>0</v>
      </c>
      <c r="S180" s="239">
        <v>0</v>
      </c>
      <c r="T180" s="239">
        <v>0</v>
      </c>
      <c r="U180" s="239">
        <v>0</v>
      </c>
      <c r="V180" s="239">
        <v>0</v>
      </c>
      <c r="W180" s="239">
        <v>0</v>
      </c>
      <c r="X180" s="239">
        <v>0</v>
      </c>
      <c r="Y180" s="239">
        <v>0</v>
      </c>
      <c r="Z180" s="239">
        <v>0</v>
      </c>
      <c r="AA180" s="239">
        <v>0</v>
      </c>
      <c r="AB180" s="239">
        <v>0</v>
      </c>
      <c r="AC180" s="239">
        <v>2954710</v>
      </c>
      <c r="AD180" s="239">
        <v>3620214</v>
      </c>
      <c r="AE180" s="239">
        <v>0</v>
      </c>
      <c r="AF180" s="239">
        <v>6574924</v>
      </c>
      <c r="AG180" s="239">
        <v>1892075</v>
      </c>
      <c r="AH180" s="239">
        <v>1720069</v>
      </c>
      <c r="AI180" s="239">
        <v>2121418</v>
      </c>
      <c r="AJ180" s="239">
        <v>0</v>
      </c>
      <c r="AK180" s="239">
        <v>5733562</v>
      </c>
      <c r="AL180" s="239">
        <v>-2607081</v>
      </c>
      <c r="AM180" s="239">
        <v>-2370073</v>
      </c>
      <c r="AN180" s="239">
        <v>-2923090</v>
      </c>
      <c r="AO180" s="239">
        <v>0</v>
      </c>
      <c r="AP180" s="239">
        <v>-7900244</v>
      </c>
      <c r="AQ180" s="239">
        <v>-907826.55999999959</v>
      </c>
      <c r="AR180" s="239">
        <v>-825297</v>
      </c>
      <c r="AS180" s="239">
        <v>-1017866</v>
      </c>
      <c r="AT180" s="239">
        <v>0</v>
      </c>
      <c r="AU180" s="239">
        <v>-2750989.5599999996</v>
      </c>
      <c r="AV180" s="239">
        <v>71161</v>
      </c>
      <c r="AW180" s="239">
        <v>64691</v>
      </c>
      <c r="AX180" s="239">
        <v>79786</v>
      </c>
      <c r="AY180" s="239">
        <v>0</v>
      </c>
      <c r="AZ180" s="239">
        <v>215638</v>
      </c>
      <c r="BA180" s="239">
        <v>28833</v>
      </c>
      <c r="BB180" s="239">
        <v>26212</v>
      </c>
      <c r="BC180" s="239">
        <v>32328</v>
      </c>
      <c r="BD180" s="239">
        <v>0</v>
      </c>
      <c r="BE180" s="239">
        <v>87373</v>
      </c>
      <c r="BF180" s="239">
        <v>-807832.55999999959</v>
      </c>
      <c r="BG180" s="239">
        <v>-734394</v>
      </c>
      <c r="BH180" s="239">
        <v>-905752</v>
      </c>
      <c r="BI180" s="239">
        <v>0</v>
      </c>
      <c r="BJ180" s="239">
        <v>-2447978.5599999996</v>
      </c>
      <c r="BK180" s="239">
        <v>-1679249</v>
      </c>
      <c r="BL180" s="239">
        <v>-1526590</v>
      </c>
      <c r="BM180" s="239">
        <v>-1882795</v>
      </c>
      <c r="BN180" s="239">
        <v>0</v>
      </c>
      <c r="BO180" s="239">
        <v>-5088634</v>
      </c>
      <c r="BP180" s="239">
        <v>186873</v>
      </c>
      <c r="BQ180" s="239">
        <v>169884</v>
      </c>
      <c r="BR180" s="239">
        <v>209524</v>
      </c>
      <c r="BS180" s="239">
        <v>0</v>
      </c>
      <c r="BT180" s="239">
        <v>566281</v>
      </c>
      <c r="BU180" s="239">
        <v>-3296275</v>
      </c>
      <c r="BV180" s="239">
        <v>-2996614</v>
      </c>
      <c r="BW180" s="239">
        <v>-3695824</v>
      </c>
      <c r="BX180" s="239">
        <v>0</v>
      </c>
      <c r="BY180" s="239">
        <v>-9988713</v>
      </c>
      <c r="BZ180" s="239">
        <v>-4788651</v>
      </c>
      <c r="CA180" s="239">
        <v>-4353320</v>
      </c>
      <c r="CB180" s="239">
        <v>-5369095</v>
      </c>
      <c r="CC180" s="239">
        <v>0</v>
      </c>
      <c r="CD180" s="239">
        <v>-14511066</v>
      </c>
      <c r="CE180" s="239">
        <v>-2733757</v>
      </c>
      <c r="CF180" s="239">
        <v>-1640254</v>
      </c>
      <c r="CG180" s="239">
        <v>-1093503</v>
      </c>
      <c r="CH180" s="239">
        <v>0</v>
      </c>
      <c r="CI180" s="239">
        <v>-5467514</v>
      </c>
      <c r="CJ180" s="239">
        <v>-4281562</v>
      </c>
      <c r="CK180" s="239">
        <v>-2568938</v>
      </c>
      <c r="CL180" s="239">
        <v>-1712625</v>
      </c>
      <c r="CM180" s="239">
        <v>0</v>
      </c>
      <c r="CN180" s="239">
        <v>-8563125</v>
      </c>
      <c r="CO180" s="239">
        <v>1547805</v>
      </c>
      <c r="CP180" s="239">
        <v>928684</v>
      </c>
      <c r="CQ180" s="239">
        <v>619122</v>
      </c>
      <c r="CR180" s="239">
        <v>0</v>
      </c>
      <c r="CS180" s="239">
        <v>3095611</v>
      </c>
      <c r="CT180" s="239">
        <v>48636433</v>
      </c>
      <c r="CU180" s="239">
        <v>44214939</v>
      </c>
      <c r="CV180" s="239">
        <v>54531758</v>
      </c>
      <c r="CW180" s="239">
        <v>0</v>
      </c>
      <c r="CX180" s="239">
        <v>147383130</v>
      </c>
      <c r="CY180" s="239">
        <v>48445404</v>
      </c>
      <c r="CZ180" s="239">
        <v>44041277</v>
      </c>
      <c r="DA180" s="239">
        <v>54317575</v>
      </c>
      <c r="DB180" s="239">
        <v>0</v>
      </c>
      <c r="DC180" s="239">
        <v>146804256</v>
      </c>
      <c r="DD180" s="239">
        <v>-191029</v>
      </c>
      <c r="DE180" s="239">
        <v>-173662</v>
      </c>
      <c r="DF180" s="239">
        <v>-214183</v>
      </c>
      <c r="DG180" s="239">
        <v>0</v>
      </c>
      <c r="DH180" s="239">
        <v>-578874</v>
      </c>
      <c r="DI180" s="239">
        <v>1356776</v>
      </c>
      <c r="DJ180" s="239">
        <v>755022</v>
      </c>
      <c r="DK180" s="239">
        <v>404939</v>
      </c>
      <c r="DL180" s="239">
        <v>0</v>
      </c>
      <c r="DM180" s="239">
        <v>2516737</v>
      </c>
      <c r="DN180" s="835">
        <v>0.33</v>
      </c>
      <c r="DO180" s="835">
        <v>0.3</v>
      </c>
      <c r="DP180" s="835">
        <v>0.37</v>
      </c>
      <c r="DQ180" s="835">
        <v>0</v>
      </c>
      <c r="DR180" s="835">
        <v>1</v>
      </c>
      <c r="DS180" s="214" t="s">
        <v>1159</v>
      </c>
      <c r="DU180" s="214">
        <v>0</v>
      </c>
    </row>
    <row r="181" spans="2:125" s="214" customFormat="1" x14ac:dyDescent="0.2">
      <c r="B181" s="602" t="s">
        <v>445</v>
      </c>
      <c r="C181" s="602" t="s">
        <v>444</v>
      </c>
      <c r="D181" s="239">
        <v>14865930</v>
      </c>
      <c r="E181" s="239">
        <v>11892745</v>
      </c>
      <c r="F181" s="239">
        <v>2675868</v>
      </c>
      <c r="G181" s="239">
        <v>297319</v>
      </c>
      <c r="H181" s="239">
        <v>29731862</v>
      </c>
      <c r="I181" s="239">
        <v>0</v>
      </c>
      <c r="J181" s="239">
        <v>0</v>
      </c>
      <c r="K181" s="239">
        <v>14865930</v>
      </c>
      <c r="L181" s="239">
        <v>201008</v>
      </c>
      <c r="M181" s="239">
        <v>201008</v>
      </c>
      <c r="N181" s="239">
        <v>0</v>
      </c>
      <c r="O181" s="239">
        <v>0</v>
      </c>
      <c r="P181" s="239">
        <v>358395</v>
      </c>
      <c r="Q181" s="239">
        <v>0</v>
      </c>
      <c r="R181" s="239">
        <v>358395</v>
      </c>
      <c r="S181" s="239">
        <v>0</v>
      </c>
      <c r="T181" s="239">
        <v>0</v>
      </c>
      <c r="U181" s="239">
        <v>0</v>
      </c>
      <c r="V181" s="239">
        <v>0</v>
      </c>
      <c r="W181" s="239">
        <v>0</v>
      </c>
      <c r="X181" s="239">
        <v>0</v>
      </c>
      <c r="Y181" s="239">
        <v>0</v>
      </c>
      <c r="Z181" s="239">
        <v>0</v>
      </c>
      <c r="AA181" s="239">
        <v>0</v>
      </c>
      <c r="AB181" s="239">
        <v>0</v>
      </c>
      <c r="AC181" s="239">
        <v>2148632</v>
      </c>
      <c r="AD181" s="239">
        <v>482229</v>
      </c>
      <c r="AE181" s="239">
        <v>53580</v>
      </c>
      <c r="AF181" s="239">
        <v>2684441</v>
      </c>
      <c r="AG181" s="239">
        <v>627073</v>
      </c>
      <c r="AH181" s="239">
        <v>501658</v>
      </c>
      <c r="AI181" s="239">
        <v>112873</v>
      </c>
      <c r="AJ181" s="239">
        <v>12541</v>
      </c>
      <c r="AK181" s="239">
        <v>1254145</v>
      </c>
      <c r="AL181" s="239">
        <v>-478079</v>
      </c>
      <c r="AM181" s="239">
        <v>-382464</v>
      </c>
      <c r="AN181" s="239">
        <v>-86054</v>
      </c>
      <c r="AO181" s="239">
        <v>-9562</v>
      </c>
      <c r="AP181" s="239">
        <v>-956159</v>
      </c>
      <c r="AQ181" s="239">
        <v>-423186</v>
      </c>
      <c r="AR181" s="239">
        <v>-338549</v>
      </c>
      <c r="AS181" s="239">
        <v>-76174</v>
      </c>
      <c r="AT181" s="239">
        <v>-8464</v>
      </c>
      <c r="AU181" s="239">
        <v>-846373</v>
      </c>
      <c r="AV181" s="239">
        <v>157639</v>
      </c>
      <c r="AW181" s="239">
        <v>126112</v>
      </c>
      <c r="AX181" s="239">
        <v>28375</v>
      </c>
      <c r="AY181" s="239">
        <v>3153</v>
      </c>
      <c r="AZ181" s="239">
        <v>315279</v>
      </c>
      <c r="BA181" s="239">
        <v>-98806</v>
      </c>
      <c r="BB181" s="239">
        <v>-79044</v>
      </c>
      <c r="BC181" s="239">
        <v>-17785</v>
      </c>
      <c r="BD181" s="239">
        <v>-1976</v>
      </c>
      <c r="BE181" s="239">
        <v>-197611</v>
      </c>
      <c r="BF181" s="239">
        <v>-364353</v>
      </c>
      <c r="BG181" s="239">
        <v>-291481</v>
      </c>
      <c r="BH181" s="239">
        <v>-65584</v>
      </c>
      <c r="BI181" s="239">
        <v>-7287</v>
      </c>
      <c r="BJ181" s="239">
        <v>-728705</v>
      </c>
      <c r="BK181" s="239">
        <v>-504528</v>
      </c>
      <c r="BL181" s="239">
        <v>-403622</v>
      </c>
      <c r="BM181" s="239">
        <v>-90815</v>
      </c>
      <c r="BN181" s="239">
        <v>-10091</v>
      </c>
      <c r="BO181" s="239">
        <v>-1009056</v>
      </c>
      <c r="BP181" s="239">
        <v>204001</v>
      </c>
      <c r="BQ181" s="239">
        <v>163201</v>
      </c>
      <c r="BR181" s="239">
        <v>36720</v>
      </c>
      <c r="BS181" s="239">
        <v>4080</v>
      </c>
      <c r="BT181" s="239">
        <v>408002</v>
      </c>
      <c r="BU181" s="239">
        <v>-275017</v>
      </c>
      <c r="BV181" s="239">
        <v>-220014</v>
      </c>
      <c r="BW181" s="239">
        <v>-49503</v>
      </c>
      <c r="BX181" s="239">
        <v>-5500</v>
      </c>
      <c r="BY181" s="239">
        <v>-550034</v>
      </c>
      <c r="BZ181" s="239">
        <v>-575544</v>
      </c>
      <c r="CA181" s="239">
        <v>-460435</v>
      </c>
      <c r="CB181" s="239">
        <v>-103598</v>
      </c>
      <c r="CC181" s="239">
        <v>-11511</v>
      </c>
      <c r="CD181" s="239">
        <v>-1151088</v>
      </c>
      <c r="CE181" s="239">
        <v>-1401166</v>
      </c>
      <c r="CF181" s="239">
        <v>-1120932</v>
      </c>
      <c r="CG181" s="239">
        <v>-252210</v>
      </c>
      <c r="CH181" s="239">
        <v>-28023</v>
      </c>
      <c r="CI181" s="239">
        <v>-2802331</v>
      </c>
      <c r="CJ181" s="239">
        <v>-1299475</v>
      </c>
      <c r="CK181" s="239">
        <v>-1039580</v>
      </c>
      <c r="CL181" s="239">
        <v>-233906</v>
      </c>
      <c r="CM181" s="239">
        <v>-25990</v>
      </c>
      <c r="CN181" s="239">
        <v>-2598951</v>
      </c>
      <c r="CO181" s="239">
        <v>-101691</v>
      </c>
      <c r="CP181" s="239">
        <v>-81352</v>
      </c>
      <c r="CQ181" s="239">
        <v>-18304</v>
      </c>
      <c r="CR181" s="239">
        <v>-2033</v>
      </c>
      <c r="CS181" s="239">
        <v>-203380</v>
      </c>
      <c r="CT181" s="239">
        <v>15507291</v>
      </c>
      <c r="CU181" s="239">
        <v>12405833</v>
      </c>
      <c r="CV181" s="239">
        <v>2791312</v>
      </c>
      <c r="CW181" s="239">
        <v>310146</v>
      </c>
      <c r="CX181" s="239">
        <v>31014582</v>
      </c>
      <c r="CY181" s="239">
        <v>14865930</v>
      </c>
      <c r="CZ181" s="239">
        <v>11892745</v>
      </c>
      <c r="DA181" s="239">
        <v>2675868</v>
      </c>
      <c r="DB181" s="239">
        <v>297319</v>
      </c>
      <c r="DC181" s="239">
        <v>29731862</v>
      </c>
      <c r="DD181" s="239">
        <v>-641361</v>
      </c>
      <c r="DE181" s="239">
        <v>-513088</v>
      </c>
      <c r="DF181" s="239">
        <v>-115444</v>
      </c>
      <c r="DG181" s="239">
        <v>-12827</v>
      </c>
      <c r="DH181" s="239">
        <v>-1282720</v>
      </c>
      <c r="DI181" s="239">
        <v>-743052</v>
      </c>
      <c r="DJ181" s="239">
        <v>-594440</v>
      </c>
      <c r="DK181" s="239">
        <v>-133748</v>
      </c>
      <c r="DL181" s="239">
        <v>-14860</v>
      </c>
      <c r="DM181" s="239">
        <v>-1486100</v>
      </c>
      <c r="DN181" s="835">
        <v>0.5</v>
      </c>
      <c r="DO181" s="835">
        <v>0.4</v>
      </c>
      <c r="DP181" s="835">
        <v>0.09</v>
      </c>
      <c r="DQ181" s="835">
        <v>0.01</v>
      </c>
      <c r="DR181" s="835">
        <v>1</v>
      </c>
      <c r="DS181" s="214" t="s">
        <v>1158</v>
      </c>
      <c r="DU181" s="214">
        <v>0</v>
      </c>
    </row>
    <row r="182" spans="2:125" s="214" customFormat="1" x14ac:dyDescent="0.2">
      <c r="B182" s="602" t="s">
        <v>447</v>
      </c>
      <c r="C182" s="602" t="s">
        <v>446</v>
      </c>
      <c r="D182" s="239">
        <v>5796209</v>
      </c>
      <c r="E182" s="239">
        <v>4636966</v>
      </c>
      <c r="F182" s="239">
        <v>1043317</v>
      </c>
      <c r="G182" s="239">
        <v>115924</v>
      </c>
      <c r="H182" s="239">
        <v>11592416</v>
      </c>
      <c r="I182" s="239">
        <v>0</v>
      </c>
      <c r="J182" s="239">
        <v>0</v>
      </c>
      <c r="K182" s="239">
        <v>5796209</v>
      </c>
      <c r="L182" s="239">
        <v>92680</v>
      </c>
      <c r="M182" s="239">
        <v>92680</v>
      </c>
      <c r="N182" s="239">
        <v>0</v>
      </c>
      <c r="O182" s="239">
        <v>0</v>
      </c>
      <c r="P182" s="239">
        <v>167952</v>
      </c>
      <c r="Q182" s="239">
        <v>0</v>
      </c>
      <c r="R182" s="239">
        <v>167952</v>
      </c>
      <c r="S182" s="239">
        <v>0</v>
      </c>
      <c r="T182" s="239">
        <v>0</v>
      </c>
      <c r="U182" s="239">
        <v>0</v>
      </c>
      <c r="V182" s="239">
        <v>0</v>
      </c>
      <c r="W182" s="239">
        <v>0</v>
      </c>
      <c r="X182" s="239">
        <v>0</v>
      </c>
      <c r="Y182" s="239">
        <v>0</v>
      </c>
      <c r="Z182" s="239">
        <v>0</v>
      </c>
      <c r="AA182" s="239">
        <v>0</v>
      </c>
      <c r="AB182" s="239">
        <v>0</v>
      </c>
      <c r="AC182" s="239">
        <v>965213</v>
      </c>
      <c r="AD182" s="239">
        <v>216603</v>
      </c>
      <c r="AE182" s="239">
        <v>24068</v>
      </c>
      <c r="AF182" s="239">
        <v>1205884</v>
      </c>
      <c r="AG182" s="239">
        <v>188389</v>
      </c>
      <c r="AH182" s="239">
        <v>150712</v>
      </c>
      <c r="AI182" s="239">
        <v>33910</v>
      </c>
      <c r="AJ182" s="239">
        <v>3768</v>
      </c>
      <c r="AK182" s="239">
        <v>376779</v>
      </c>
      <c r="AL182" s="239">
        <v>-26597</v>
      </c>
      <c r="AM182" s="239">
        <v>-21277</v>
      </c>
      <c r="AN182" s="239">
        <v>-4787</v>
      </c>
      <c r="AO182" s="239">
        <v>-532</v>
      </c>
      <c r="AP182" s="239">
        <v>-53193</v>
      </c>
      <c r="AQ182" s="239">
        <v>-246000</v>
      </c>
      <c r="AR182" s="239">
        <v>-196800</v>
      </c>
      <c r="AS182" s="239">
        <v>-44280</v>
      </c>
      <c r="AT182" s="239">
        <v>-4920</v>
      </c>
      <c r="AU182" s="239">
        <v>-492000</v>
      </c>
      <c r="AV182" s="239">
        <v>19570</v>
      </c>
      <c r="AW182" s="239">
        <v>15655</v>
      </c>
      <c r="AX182" s="239">
        <v>3522</v>
      </c>
      <c r="AY182" s="239">
        <v>391</v>
      </c>
      <c r="AZ182" s="239">
        <v>39138</v>
      </c>
      <c r="BA182" s="239">
        <v>47430</v>
      </c>
      <c r="BB182" s="239">
        <v>37945</v>
      </c>
      <c r="BC182" s="239">
        <v>8538</v>
      </c>
      <c r="BD182" s="239">
        <v>949</v>
      </c>
      <c r="BE182" s="239">
        <v>94862</v>
      </c>
      <c r="BF182" s="239">
        <v>-179000</v>
      </c>
      <c r="BG182" s="239">
        <v>-143200</v>
      </c>
      <c r="BH182" s="239">
        <v>-32220</v>
      </c>
      <c r="BI182" s="239">
        <v>-3580</v>
      </c>
      <c r="BJ182" s="239">
        <v>-358000</v>
      </c>
      <c r="BK182" s="239">
        <v>-821816</v>
      </c>
      <c r="BL182" s="239">
        <v>-657452</v>
      </c>
      <c r="BM182" s="239">
        <v>-147927</v>
      </c>
      <c r="BN182" s="239">
        <v>-16436</v>
      </c>
      <c r="BO182" s="239">
        <v>-1643631</v>
      </c>
      <c r="BP182" s="239">
        <v>453503</v>
      </c>
      <c r="BQ182" s="239">
        <v>362802</v>
      </c>
      <c r="BR182" s="239">
        <v>81630</v>
      </c>
      <c r="BS182" s="239">
        <v>9070</v>
      </c>
      <c r="BT182" s="239">
        <v>907005</v>
      </c>
      <c r="BU182" s="239">
        <v>-1053503</v>
      </c>
      <c r="BV182" s="239">
        <v>-842802</v>
      </c>
      <c r="BW182" s="239">
        <v>-189630</v>
      </c>
      <c r="BX182" s="239">
        <v>-21070</v>
      </c>
      <c r="BY182" s="239">
        <v>-2107005</v>
      </c>
      <c r="BZ182" s="239">
        <v>-1421816</v>
      </c>
      <c r="CA182" s="239">
        <v>-1137452</v>
      </c>
      <c r="CB182" s="239">
        <v>-255927</v>
      </c>
      <c r="CC182" s="239">
        <v>-28436</v>
      </c>
      <c r="CD182" s="239">
        <v>-2843631</v>
      </c>
      <c r="CE182" s="239">
        <v>-498097</v>
      </c>
      <c r="CF182" s="239">
        <v>-398477</v>
      </c>
      <c r="CG182" s="239">
        <v>-89658</v>
      </c>
      <c r="CH182" s="239">
        <v>-9961</v>
      </c>
      <c r="CI182" s="239">
        <v>-996193</v>
      </c>
      <c r="CJ182" s="239">
        <v>-217752</v>
      </c>
      <c r="CK182" s="239">
        <v>-174202</v>
      </c>
      <c r="CL182" s="239">
        <v>-39195</v>
      </c>
      <c r="CM182" s="239">
        <v>-4355</v>
      </c>
      <c r="CN182" s="239">
        <v>-435504</v>
      </c>
      <c r="CO182" s="239">
        <v>-280345</v>
      </c>
      <c r="CP182" s="239">
        <v>-224275</v>
      </c>
      <c r="CQ182" s="239">
        <v>-50463</v>
      </c>
      <c r="CR182" s="239">
        <v>-5606</v>
      </c>
      <c r="CS182" s="239">
        <v>-560689</v>
      </c>
      <c r="CT182" s="239">
        <v>6124253</v>
      </c>
      <c r="CU182" s="239">
        <v>4899403</v>
      </c>
      <c r="CV182" s="239">
        <v>1102366</v>
      </c>
      <c r="CW182" s="239">
        <v>122485</v>
      </c>
      <c r="CX182" s="239">
        <v>12248507</v>
      </c>
      <c r="CY182" s="239">
        <v>5796209</v>
      </c>
      <c r="CZ182" s="239">
        <v>4636966</v>
      </c>
      <c r="DA182" s="239">
        <v>1043317</v>
      </c>
      <c r="DB182" s="239">
        <v>115924</v>
      </c>
      <c r="DC182" s="239">
        <v>11592416</v>
      </c>
      <c r="DD182" s="239">
        <v>-328044</v>
      </c>
      <c r="DE182" s="239">
        <v>-262437</v>
      </c>
      <c r="DF182" s="239">
        <v>-59049</v>
      </c>
      <c r="DG182" s="239">
        <v>-6561</v>
      </c>
      <c r="DH182" s="239">
        <v>-656091</v>
      </c>
      <c r="DI182" s="239">
        <v>-608389</v>
      </c>
      <c r="DJ182" s="239">
        <v>-486712</v>
      </c>
      <c r="DK182" s="239">
        <v>-109512</v>
      </c>
      <c r="DL182" s="239">
        <v>-12167</v>
      </c>
      <c r="DM182" s="239">
        <v>-1216780</v>
      </c>
      <c r="DN182" s="835">
        <v>0.5</v>
      </c>
      <c r="DO182" s="835">
        <v>0.4</v>
      </c>
      <c r="DP182" s="835">
        <v>0.09</v>
      </c>
      <c r="DQ182" s="835">
        <v>0.01</v>
      </c>
      <c r="DR182" s="835">
        <v>1</v>
      </c>
      <c r="DS182" s="214" t="s">
        <v>1158</v>
      </c>
      <c r="DU182" s="214">
        <v>0</v>
      </c>
    </row>
    <row r="183" spans="2:125" s="214" customFormat="1" x14ac:dyDescent="0.2">
      <c r="B183" s="602" t="s">
        <v>449</v>
      </c>
      <c r="C183" s="602" t="s">
        <v>448</v>
      </c>
      <c r="D183" s="239">
        <v>7532270</v>
      </c>
      <c r="E183" s="239">
        <v>6025815</v>
      </c>
      <c r="F183" s="239">
        <v>1355808</v>
      </c>
      <c r="G183" s="239">
        <v>150645</v>
      </c>
      <c r="H183" s="239">
        <v>15064538</v>
      </c>
      <c r="I183" s="239">
        <v>0</v>
      </c>
      <c r="J183" s="239">
        <v>0</v>
      </c>
      <c r="K183" s="239">
        <v>7532270</v>
      </c>
      <c r="L183" s="239">
        <v>98640</v>
      </c>
      <c r="M183" s="239">
        <v>98640</v>
      </c>
      <c r="N183" s="239">
        <v>0</v>
      </c>
      <c r="O183" s="239">
        <v>0</v>
      </c>
      <c r="P183" s="239">
        <v>0</v>
      </c>
      <c r="Q183" s="239">
        <v>0</v>
      </c>
      <c r="R183" s="239">
        <v>0</v>
      </c>
      <c r="S183" s="239">
        <v>0</v>
      </c>
      <c r="T183" s="239">
        <v>0</v>
      </c>
      <c r="U183" s="239">
        <v>0</v>
      </c>
      <c r="V183" s="239">
        <v>0</v>
      </c>
      <c r="W183" s="239">
        <v>0</v>
      </c>
      <c r="X183" s="239">
        <v>0</v>
      </c>
      <c r="Y183" s="239">
        <v>0</v>
      </c>
      <c r="Z183" s="239">
        <v>0</v>
      </c>
      <c r="AA183" s="239">
        <v>0</v>
      </c>
      <c r="AB183" s="239">
        <v>0</v>
      </c>
      <c r="AC183" s="239">
        <v>930258</v>
      </c>
      <c r="AD183" s="239">
        <v>209307</v>
      </c>
      <c r="AE183" s="239">
        <v>23258</v>
      </c>
      <c r="AF183" s="239">
        <v>1162823</v>
      </c>
      <c r="AG183" s="239">
        <v>439581</v>
      </c>
      <c r="AH183" s="239">
        <v>351664</v>
      </c>
      <c r="AI183" s="239">
        <v>79124</v>
      </c>
      <c r="AJ183" s="239">
        <v>8792</v>
      </c>
      <c r="AK183" s="239">
        <v>879161</v>
      </c>
      <c r="AL183" s="239">
        <v>-94033</v>
      </c>
      <c r="AM183" s="239">
        <v>-75227</v>
      </c>
      <c r="AN183" s="239">
        <v>-16926</v>
      </c>
      <c r="AO183" s="239">
        <v>-1881</v>
      </c>
      <c r="AP183" s="239">
        <v>-188067</v>
      </c>
      <c r="AQ183" s="239">
        <v>-139903</v>
      </c>
      <c r="AR183" s="239">
        <v>-111922</v>
      </c>
      <c r="AS183" s="239">
        <v>-25183</v>
      </c>
      <c r="AT183" s="239">
        <v>-2798</v>
      </c>
      <c r="AU183" s="239">
        <v>-279806</v>
      </c>
      <c r="AV183" s="239">
        <v>38746</v>
      </c>
      <c r="AW183" s="239">
        <v>30997</v>
      </c>
      <c r="AX183" s="239">
        <v>6974</v>
      </c>
      <c r="AY183" s="239">
        <v>775</v>
      </c>
      <c r="AZ183" s="239">
        <v>77492</v>
      </c>
      <c r="BA183" s="239">
        <v>-31494</v>
      </c>
      <c r="BB183" s="239">
        <v>-25195</v>
      </c>
      <c r="BC183" s="239">
        <v>-5669</v>
      </c>
      <c r="BD183" s="239">
        <v>-630</v>
      </c>
      <c r="BE183" s="239">
        <v>-62988</v>
      </c>
      <c r="BF183" s="239">
        <v>-132651</v>
      </c>
      <c r="BG183" s="239">
        <v>-106120</v>
      </c>
      <c r="BH183" s="239">
        <v>-23878</v>
      </c>
      <c r="BI183" s="239">
        <v>-2653</v>
      </c>
      <c r="BJ183" s="239">
        <v>-265302</v>
      </c>
      <c r="BK183" s="239">
        <v>-1288045.2000000002</v>
      </c>
      <c r="BL183" s="239">
        <v>-1030436</v>
      </c>
      <c r="BM183" s="239">
        <v>-231848</v>
      </c>
      <c r="BN183" s="239">
        <v>-25761</v>
      </c>
      <c r="BO183" s="239">
        <v>-2576090.2000000002</v>
      </c>
      <c r="BP183" s="239">
        <v>772369</v>
      </c>
      <c r="BQ183" s="239">
        <v>617895</v>
      </c>
      <c r="BR183" s="239">
        <v>139026</v>
      </c>
      <c r="BS183" s="239">
        <v>15447</v>
      </c>
      <c r="BT183" s="239">
        <v>1544737</v>
      </c>
      <c r="BU183" s="239">
        <v>-1474912</v>
      </c>
      <c r="BV183" s="239">
        <v>-1179930</v>
      </c>
      <c r="BW183" s="239">
        <v>-265484</v>
      </c>
      <c r="BX183" s="239">
        <v>-29498</v>
      </c>
      <c r="BY183" s="239">
        <v>-2949824</v>
      </c>
      <c r="BZ183" s="239">
        <v>-1990588.2000000002</v>
      </c>
      <c r="CA183" s="239">
        <v>-1592471</v>
      </c>
      <c r="CB183" s="239">
        <v>-358306</v>
      </c>
      <c r="CC183" s="239">
        <v>-39812</v>
      </c>
      <c r="CD183" s="239">
        <v>-3981177.2</v>
      </c>
      <c r="CE183" s="239">
        <v>-952863</v>
      </c>
      <c r="CF183" s="239">
        <v>-762290</v>
      </c>
      <c r="CG183" s="239">
        <v>-171515</v>
      </c>
      <c r="CH183" s="239">
        <v>-19057</v>
      </c>
      <c r="CI183" s="239">
        <v>-1905725</v>
      </c>
      <c r="CJ183" s="239">
        <v>-799257</v>
      </c>
      <c r="CK183" s="239">
        <v>-639406</v>
      </c>
      <c r="CL183" s="239">
        <v>-143866</v>
      </c>
      <c r="CM183" s="239">
        <v>-15985</v>
      </c>
      <c r="CN183" s="239">
        <v>-1598514</v>
      </c>
      <c r="CO183" s="239">
        <v>-153606</v>
      </c>
      <c r="CP183" s="239">
        <v>-122884</v>
      </c>
      <c r="CQ183" s="239">
        <v>-27649</v>
      </c>
      <c r="CR183" s="239">
        <v>-3072</v>
      </c>
      <c r="CS183" s="239">
        <v>-307211</v>
      </c>
      <c r="CT183" s="239">
        <v>8370970</v>
      </c>
      <c r="CU183" s="239">
        <v>6696776</v>
      </c>
      <c r="CV183" s="239">
        <v>1506775</v>
      </c>
      <c r="CW183" s="239">
        <v>167419</v>
      </c>
      <c r="CX183" s="239">
        <v>16741940</v>
      </c>
      <c r="CY183" s="239">
        <v>7532270</v>
      </c>
      <c r="CZ183" s="239">
        <v>6025815</v>
      </c>
      <c r="DA183" s="239">
        <v>1355808</v>
      </c>
      <c r="DB183" s="239">
        <v>150645</v>
      </c>
      <c r="DC183" s="239">
        <v>15064538</v>
      </c>
      <c r="DD183" s="239">
        <v>-838700</v>
      </c>
      <c r="DE183" s="239">
        <v>-670961</v>
      </c>
      <c r="DF183" s="239">
        <v>-150967</v>
      </c>
      <c r="DG183" s="239">
        <v>-16774</v>
      </c>
      <c r="DH183" s="239">
        <v>-1677402</v>
      </c>
      <c r="DI183" s="239">
        <v>-992306</v>
      </c>
      <c r="DJ183" s="239">
        <v>-793845</v>
      </c>
      <c r="DK183" s="239">
        <v>-178616</v>
      </c>
      <c r="DL183" s="239">
        <v>-19846</v>
      </c>
      <c r="DM183" s="239">
        <v>-1984613</v>
      </c>
      <c r="DN183" s="835">
        <v>0.5</v>
      </c>
      <c r="DO183" s="835">
        <v>0.4</v>
      </c>
      <c r="DP183" s="835">
        <v>0.09</v>
      </c>
      <c r="DQ183" s="835">
        <v>0.01</v>
      </c>
      <c r="DR183" s="835">
        <v>1</v>
      </c>
      <c r="DS183" s="214" t="s">
        <v>1158</v>
      </c>
      <c r="DU183" s="214">
        <v>0</v>
      </c>
    </row>
    <row r="184" spans="2:125" s="214" customFormat="1" x14ac:dyDescent="0.2">
      <c r="B184" s="602" t="s">
        <v>451</v>
      </c>
      <c r="C184" s="602" t="s">
        <v>450</v>
      </c>
      <c r="D184" s="239">
        <v>29588789</v>
      </c>
      <c r="E184" s="239">
        <v>28997014</v>
      </c>
      <c r="F184" s="239">
        <v>0</v>
      </c>
      <c r="G184" s="239">
        <v>591776</v>
      </c>
      <c r="H184" s="239">
        <v>59177579</v>
      </c>
      <c r="I184" s="239">
        <v>203595</v>
      </c>
      <c r="J184" s="239">
        <v>203595</v>
      </c>
      <c r="K184" s="239">
        <v>29385194</v>
      </c>
      <c r="L184" s="239">
        <v>226742</v>
      </c>
      <c r="M184" s="239">
        <v>226742</v>
      </c>
      <c r="N184" s="239">
        <v>0</v>
      </c>
      <c r="O184" s="239">
        <v>0</v>
      </c>
      <c r="P184" s="239">
        <v>112883</v>
      </c>
      <c r="Q184" s="239">
        <v>0</v>
      </c>
      <c r="R184" s="239">
        <v>112883</v>
      </c>
      <c r="S184" s="239">
        <v>203595.03433476394</v>
      </c>
      <c r="T184" s="239">
        <v>0</v>
      </c>
      <c r="U184" s="239">
        <v>0</v>
      </c>
      <c r="V184" s="239">
        <v>203595.03433476394</v>
      </c>
      <c r="W184" s="239">
        <v>0</v>
      </c>
      <c r="X184" s="239">
        <v>0</v>
      </c>
      <c r="Y184" s="239">
        <v>0</v>
      </c>
      <c r="Z184" s="239">
        <v>0</v>
      </c>
      <c r="AA184" s="239">
        <v>0</v>
      </c>
      <c r="AB184" s="239">
        <v>0</v>
      </c>
      <c r="AC184" s="239">
        <v>2123860</v>
      </c>
      <c r="AD184" s="239">
        <v>0</v>
      </c>
      <c r="AE184" s="239">
        <v>43309</v>
      </c>
      <c r="AF184" s="239">
        <v>2167169</v>
      </c>
      <c r="AG184" s="239">
        <v>3206100</v>
      </c>
      <c r="AH184" s="239">
        <v>3141978</v>
      </c>
      <c r="AI184" s="239">
        <v>0</v>
      </c>
      <c r="AJ184" s="239">
        <v>64122</v>
      </c>
      <c r="AK184" s="239">
        <v>6412200</v>
      </c>
      <c r="AL184" s="239">
        <v>-1682232</v>
      </c>
      <c r="AM184" s="239">
        <v>-1648588</v>
      </c>
      <c r="AN184" s="239">
        <v>0</v>
      </c>
      <c r="AO184" s="239">
        <v>-33645</v>
      </c>
      <c r="AP184" s="239">
        <v>-3364465</v>
      </c>
      <c r="AQ184" s="239">
        <v>-1171553</v>
      </c>
      <c r="AR184" s="239">
        <v>-1148122</v>
      </c>
      <c r="AS184" s="239">
        <v>0</v>
      </c>
      <c r="AT184" s="239">
        <v>-23431</v>
      </c>
      <c r="AU184" s="239">
        <v>-2343106</v>
      </c>
      <c r="AV184" s="239">
        <v>267990</v>
      </c>
      <c r="AW184" s="239">
        <v>262631</v>
      </c>
      <c r="AX184" s="239">
        <v>0</v>
      </c>
      <c r="AY184" s="239">
        <v>5360</v>
      </c>
      <c r="AZ184" s="239">
        <v>535981</v>
      </c>
      <c r="BA184" s="239">
        <v>-397904</v>
      </c>
      <c r="BB184" s="239">
        <v>-389945</v>
      </c>
      <c r="BC184" s="239">
        <v>0</v>
      </c>
      <c r="BD184" s="239">
        <v>-7958</v>
      </c>
      <c r="BE184" s="239">
        <v>-795807</v>
      </c>
      <c r="BF184" s="239">
        <v>-1301467</v>
      </c>
      <c r="BG184" s="239">
        <v>-1275436</v>
      </c>
      <c r="BH184" s="239">
        <v>0</v>
      </c>
      <c r="BI184" s="239">
        <v>-26029</v>
      </c>
      <c r="BJ184" s="239">
        <v>-2602932</v>
      </c>
      <c r="BK184" s="239">
        <v>-7553906</v>
      </c>
      <c r="BL184" s="239">
        <v>-7402828</v>
      </c>
      <c r="BM184" s="239">
        <v>0</v>
      </c>
      <c r="BN184" s="239">
        <v>-151078</v>
      </c>
      <c r="BO184" s="239">
        <v>-15107812</v>
      </c>
      <c r="BP184" s="239">
        <v>1179599</v>
      </c>
      <c r="BQ184" s="239">
        <v>1156007</v>
      </c>
      <c r="BR184" s="239">
        <v>0</v>
      </c>
      <c r="BS184" s="239">
        <v>23592</v>
      </c>
      <c r="BT184" s="239">
        <v>2359198</v>
      </c>
      <c r="BU184" s="239">
        <v>694986</v>
      </c>
      <c r="BV184" s="239">
        <v>681086</v>
      </c>
      <c r="BW184" s="239">
        <v>0</v>
      </c>
      <c r="BX184" s="239">
        <v>13900</v>
      </c>
      <c r="BY184" s="239">
        <v>1389972</v>
      </c>
      <c r="BZ184" s="239">
        <v>-5679321</v>
      </c>
      <c r="CA184" s="239">
        <v>-5565735</v>
      </c>
      <c r="CB184" s="239">
        <v>0</v>
      </c>
      <c r="CC184" s="239">
        <v>-113586</v>
      </c>
      <c r="CD184" s="239">
        <v>-11358642</v>
      </c>
      <c r="CE184" s="239">
        <v>-433105</v>
      </c>
      <c r="CF184" s="239">
        <v>-424442</v>
      </c>
      <c r="CG184" s="239">
        <v>0</v>
      </c>
      <c r="CH184" s="239">
        <v>-8662</v>
      </c>
      <c r="CI184" s="239">
        <v>-866209</v>
      </c>
      <c r="CJ184" s="239">
        <v>-1197013</v>
      </c>
      <c r="CK184" s="239">
        <v>-1173073</v>
      </c>
      <c r="CL184" s="239">
        <v>0</v>
      </c>
      <c r="CM184" s="239">
        <v>-23940</v>
      </c>
      <c r="CN184" s="239">
        <v>-2394026</v>
      </c>
      <c r="CO184" s="239">
        <v>763908</v>
      </c>
      <c r="CP184" s="239">
        <v>748631</v>
      </c>
      <c r="CQ184" s="239">
        <v>0</v>
      </c>
      <c r="CR184" s="239">
        <v>15278</v>
      </c>
      <c r="CS184" s="239">
        <v>1527817</v>
      </c>
      <c r="CT184" s="239">
        <v>28453548</v>
      </c>
      <c r="CU184" s="239">
        <v>27884478</v>
      </c>
      <c r="CV184" s="239">
        <v>0</v>
      </c>
      <c r="CW184" s="239">
        <v>569071</v>
      </c>
      <c r="CX184" s="239">
        <v>56907097</v>
      </c>
      <c r="CY184" s="239">
        <v>29588789</v>
      </c>
      <c r="CZ184" s="239">
        <v>28997014</v>
      </c>
      <c r="DA184" s="239">
        <v>0</v>
      </c>
      <c r="DB184" s="239">
        <v>591776</v>
      </c>
      <c r="DC184" s="239">
        <v>59177579</v>
      </c>
      <c r="DD184" s="239">
        <v>1135241</v>
      </c>
      <c r="DE184" s="239">
        <v>1112536</v>
      </c>
      <c r="DF184" s="239">
        <v>0</v>
      </c>
      <c r="DG184" s="239">
        <v>22705</v>
      </c>
      <c r="DH184" s="239">
        <v>2270482</v>
      </c>
      <c r="DI184" s="239">
        <v>1899149</v>
      </c>
      <c r="DJ184" s="239">
        <v>1861167</v>
      </c>
      <c r="DK184" s="239">
        <v>0</v>
      </c>
      <c r="DL184" s="239">
        <v>37983</v>
      </c>
      <c r="DM184" s="239">
        <v>3798299</v>
      </c>
      <c r="DN184" s="835">
        <v>0.5</v>
      </c>
      <c r="DO184" s="835">
        <v>0.49</v>
      </c>
      <c r="DP184" s="835">
        <v>0</v>
      </c>
      <c r="DQ184" s="835">
        <v>0.01</v>
      </c>
      <c r="DR184" s="835">
        <v>1</v>
      </c>
      <c r="DS184" s="214" t="s">
        <v>746</v>
      </c>
      <c r="DU184" s="214">
        <v>0</v>
      </c>
    </row>
    <row r="185" spans="2:125" s="214" customFormat="1" x14ac:dyDescent="0.2">
      <c r="B185" s="602" t="s">
        <v>453</v>
      </c>
      <c r="C185" s="602" t="s">
        <v>452</v>
      </c>
      <c r="D185" s="239">
        <v>18080331</v>
      </c>
      <c r="E185" s="239">
        <v>14464264</v>
      </c>
      <c r="F185" s="239">
        <v>3616066</v>
      </c>
      <c r="G185" s="239">
        <v>0</v>
      </c>
      <c r="H185" s="239">
        <v>36160661</v>
      </c>
      <c r="I185" s="239">
        <v>0</v>
      </c>
      <c r="J185" s="239">
        <v>0</v>
      </c>
      <c r="K185" s="239">
        <v>18080331</v>
      </c>
      <c r="L185" s="239">
        <v>179886</v>
      </c>
      <c r="M185" s="239">
        <v>179886</v>
      </c>
      <c r="N185" s="239">
        <v>0</v>
      </c>
      <c r="O185" s="239">
        <v>0</v>
      </c>
      <c r="P185" s="239">
        <v>30587</v>
      </c>
      <c r="Q185" s="239">
        <v>0</v>
      </c>
      <c r="R185" s="239">
        <v>30587</v>
      </c>
      <c r="S185" s="239">
        <v>0</v>
      </c>
      <c r="T185" s="239">
        <v>0</v>
      </c>
      <c r="U185" s="239">
        <v>0</v>
      </c>
      <c r="V185" s="239">
        <v>0</v>
      </c>
      <c r="W185" s="239">
        <v>0</v>
      </c>
      <c r="X185" s="239">
        <v>0</v>
      </c>
      <c r="Y185" s="239">
        <v>0</v>
      </c>
      <c r="Z185" s="239">
        <v>0</v>
      </c>
      <c r="AA185" s="239">
        <v>0</v>
      </c>
      <c r="AB185" s="239">
        <v>0</v>
      </c>
      <c r="AC185" s="239">
        <v>1715672</v>
      </c>
      <c r="AD185" s="239">
        <v>428803</v>
      </c>
      <c r="AE185" s="239">
        <v>0</v>
      </c>
      <c r="AF185" s="239">
        <v>2144475</v>
      </c>
      <c r="AG185" s="239">
        <v>576681</v>
      </c>
      <c r="AH185" s="239">
        <v>461344</v>
      </c>
      <c r="AI185" s="239">
        <v>115336</v>
      </c>
      <c r="AJ185" s="239">
        <v>0</v>
      </c>
      <c r="AK185" s="239">
        <v>1153361</v>
      </c>
      <c r="AL185" s="239">
        <v>-329820</v>
      </c>
      <c r="AM185" s="239">
        <v>-263856</v>
      </c>
      <c r="AN185" s="239">
        <v>-65964</v>
      </c>
      <c r="AO185" s="239">
        <v>0</v>
      </c>
      <c r="AP185" s="239">
        <v>-659640</v>
      </c>
      <c r="AQ185" s="239">
        <v>-287780</v>
      </c>
      <c r="AR185" s="239">
        <v>-230224</v>
      </c>
      <c r="AS185" s="239">
        <v>-57556</v>
      </c>
      <c r="AT185" s="239">
        <v>0</v>
      </c>
      <c r="AU185" s="239">
        <v>-575560</v>
      </c>
      <c r="AV185" s="239">
        <v>195568</v>
      </c>
      <c r="AW185" s="239">
        <v>156454</v>
      </c>
      <c r="AX185" s="239">
        <v>39114</v>
      </c>
      <c r="AY185" s="239">
        <v>0</v>
      </c>
      <c r="AZ185" s="239">
        <v>391136</v>
      </c>
      <c r="BA185" s="239">
        <v>-224691</v>
      </c>
      <c r="BB185" s="239">
        <v>-179753</v>
      </c>
      <c r="BC185" s="239">
        <v>-44938</v>
      </c>
      <c r="BD185" s="239">
        <v>0</v>
      </c>
      <c r="BE185" s="239">
        <v>-449382</v>
      </c>
      <c r="BF185" s="239">
        <v>-316903</v>
      </c>
      <c r="BG185" s="239">
        <v>-253523</v>
      </c>
      <c r="BH185" s="239">
        <v>-63380</v>
      </c>
      <c r="BI185" s="239">
        <v>0</v>
      </c>
      <c r="BJ185" s="239">
        <v>-633806</v>
      </c>
      <c r="BK185" s="239">
        <v>-1160436</v>
      </c>
      <c r="BL185" s="239">
        <v>-928349</v>
      </c>
      <c r="BM185" s="239">
        <v>-232087</v>
      </c>
      <c r="BN185" s="239">
        <v>0</v>
      </c>
      <c r="BO185" s="239">
        <v>-2320872</v>
      </c>
      <c r="BP185" s="239">
        <v>400308</v>
      </c>
      <c r="BQ185" s="239">
        <v>320246</v>
      </c>
      <c r="BR185" s="239">
        <v>80062</v>
      </c>
      <c r="BS185" s="239">
        <v>0</v>
      </c>
      <c r="BT185" s="239">
        <v>800616</v>
      </c>
      <c r="BU185" s="239">
        <v>-647521</v>
      </c>
      <c r="BV185" s="239">
        <v>-518016</v>
      </c>
      <c r="BW185" s="239">
        <v>-129504</v>
      </c>
      <c r="BX185" s="239">
        <v>0</v>
      </c>
      <c r="BY185" s="239">
        <v>-1295041</v>
      </c>
      <c r="BZ185" s="239">
        <v>-1407649</v>
      </c>
      <c r="CA185" s="239">
        <v>-1126119</v>
      </c>
      <c r="CB185" s="239">
        <v>-281529</v>
      </c>
      <c r="CC185" s="239">
        <v>0</v>
      </c>
      <c r="CD185" s="239">
        <v>-2815297</v>
      </c>
      <c r="CE185" s="239">
        <v>-1025085</v>
      </c>
      <c r="CF185" s="239">
        <v>-820067</v>
      </c>
      <c r="CG185" s="239">
        <v>-205018</v>
      </c>
      <c r="CH185" s="239">
        <v>0</v>
      </c>
      <c r="CI185" s="239">
        <v>-2050170</v>
      </c>
      <c r="CJ185" s="239">
        <v>-926287</v>
      </c>
      <c r="CK185" s="239">
        <v>-741029</v>
      </c>
      <c r="CL185" s="239">
        <v>-185257</v>
      </c>
      <c r="CM185" s="239">
        <v>0</v>
      </c>
      <c r="CN185" s="239">
        <v>-1852573</v>
      </c>
      <c r="CO185" s="239">
        <v>-98798</v>
      </c>
      <c r="CP185" s="239">
        <v>-79038</v>
      </c>
      <c r="CQ185" s="239">
        <v>-19761</v>
      </c>
      <c r="CR185" s="239">
        <v>0</v>
      </c>
      <c r="CS185" s="239">
        <v>-197597</v>
      </c>
      <c r="CT185" s="239">
        <v>18761962</v>
      </c>
      <c r="CU185" s="239">
        <v>15009570</v>
      </c>
      <c r="CV185" s="239">
        <v>3752393</v>
      </c>
      <c r="CW185" s="239">
        <v>0</v>
      </c>
      <c r="CX185" s="239">
        <v>37523925</v>
      </c>
      <c r="CY185" s="239">
        <v>18080331</v>
      </c>
      <c r="CZ185" s="239">
        <v>14464264</v>
      </c>
      <c r="DA185" s="239">
        <v>3616066</v>
      </c>
      <c r="DB185" s="239">
        <v>0</v>
      </c>
      <c r="DC185" s="239">
        <v>36160661</v>
      </c>
      <c r="DD185" s="239">
        <v>-681631</v>
      </c>
      <c r="DE185" s="239">
        <v>-545306</v>
      </c>
      <c r="DF185" s="239">
        <v>-136327</v>
      </c>
      <c r="DG185" s="239">
        <v>0</v>
      </c>
      <c r="DH185" s="239">
        <v>-1363264</v>
      </c>
      <c r="DI185" s="239">
        <v>-780429</v>
      </c>
      <c r="DJ185" s="239">
        <v>-624344</v>
      </c>
      <c r="DK185" s="239">
        <v>-156088</v>
      </c>
      <c r="DL185" s="239">
        <v>0</v>
      </c>
      <c r="DM185" s="239">
        <v>-1560861</v>
      </c>
      <c r="DN185" s="835">
        <v>0.5</v>
      </c>
      <c r="DO185" s="835">
        <v>0.4</v>
      </c>
      <c r="DP185" s="835">
        <v>0.1</v>
      </c>
      <c r="DQ185" s="835">
        <v>0</v>
      </c>
      <c r="DR185" s="835">
        <v>1</v>
      </c>
      <c r="DS185" s="214" t="s">
        <v>1158</v>
      </c>
      <c r="DU185" s="214">
        <v>0</v>
      </c>
    </row>
    <row r="186" spans="2:125" s="214" customFormat="1" x14ac:dyDescent="0.2">
      <c r="B186" s="602" t="s">
        <v>455</v>
      </c>
      <c r="C186" s="602" t="s">
        <v>454</v>
      </c>
      <c r="D186" s="239">
        <v>11830128</v>
      </c>
      <c r="E186" s="239">
        <v>9464102</v>
      </c>
      <c r="F186" s="239">
        <v>2366026</v>
      </c>
      <c r="G186" s="239">
        <v>0</v>
      </c>
      <c r="H186" s="239">
        <v>23660256</v>
      </c>
      <c r="I186" s="239">
        <v>0</v>
      </c>
      <c r="J186" s="239">
        <v>0</v>
      </c>
      <c r="K186" s="239">
        <v>11830128</v>
      </c>
      <c r="L186" s="239">
        <v>124359</v>
      </c>
      <c r="M186" s="239">
        <v>124359</v>
      </c>
      <c r="N186" s="239">
        <v>0</v>
      </c>
      <c r="O186" s="239">
        <v>0</v>
      </c>
      <c r="P186" s="239">
        <v>1544314</v>
      </c>
      <c r="Q186" s="239">
        <v>133587</v>
      </c>
      <c r="R186" s="239">
        <v>1677901</v>
      </c>
      <c r="S186" s="239">
        <v>0</v>
      </c>
      <c r="T186" s="239">
        <v>0</v>
      </c>
      <c r="U186" s="239">
        <v>0</v>
      </c>
      <c r="V186" s="239">
        <v>0</v>
      </c>
      <c r="W186" s="239">
        <v>0</v>
      </c>
      <c r="X186" s="239">
        <v>0</v>
      </c>
      <c r="Y186" s="239">
        <v>0</v>
      </c>
      <c r="Z186" s="239">
        <v>0</v>
      </c>
      <c r="AA186" s="239">
        <v>0</v>
      </c>
      <c r="AB186" s="239">
        <v>0</v>
      </c>
      <c r="AC186" s="239">
        <v>1206702</v>
      </c>
      <c r="AD186" s="239">
        <v>297883</v>
      </c>
      <c r="AE186" s="239">
        <v>0</v>
      </c>
      <c r="AF186" s="239">
        <v>1504585</v>
      </c>
      <c r="AG186" s="239">
        <v>261153</v>
      </c>
      <c r="AH186" s="239">
        <v>208922</v>
      </c>
      <c r="AI186" s="239">
        <v>52231</v>
      </c>
      <c r="AJ186" s="239">
        <v>0</v>
      </c>
      <c r="AK186" s="239">
        <v>522306</v>
      </c>
      <c r="AL186" s="239">
        <v>-524372</v>
      </c>
      <c r="AM186" s="239">
        <v>-419498</v>
      </c>
      <c r="AN186" s="239">
        <v>-104875</v>
      </c>
      <c r="AO186" s="239">
        <v>0</v>
      </c>
      <c r="AP186" s="239">
        <v>-1048745</v>
      </c>
      <c r="AQ186" s="239">
        <v>-85096</v>
      </c>
      <c r="AR186" s="239">
        <v>-68077</v>
      </c>
      <c r="AS186" s="239">
        <v>-17019</v>
      </c>
      <c r="AT186" s="239">
        <v>0</v>
      </c>
      <c r="AU186" s="239">
        <v>-170192</v>
      </c>
      <c r="AV186" s="239">
        <v>45885</v>
      </c>
      <c r="AW186" s="239">
        <v>36708</v>
      </c>
      <c r="AX186" s="239">
        <v>9177</v>
      </c>
      <c r="AY186" s="239">
        <v>0</v>
      </c>
      <c r="AZ186" s="239">
        <v>91770</v>
      </c>
      <c r="BA186" s="239">
        <v>-27587</v>
      </c>
      <c r="BB186" s="239">
        <v>-22069</v>
      </c>
      <c r="BC186" s="239">
        <v>-5517</v>
      </c>
      <c r="BD186" s="239">
        <v>0</v>
      </c>
      <c r="BE186" s="239">
        <v>-55173</v>
      </c>
      <c r="BF186" s="239">
        <v>-66798</v>
      </c>
      <c r="BG186" s="239">
        <v>-53438</v>
      </c>
      <c r="BH186" s="239">
        <v>-13359</v>
      </c>
      <c r="BI186" s="239">
        <v>0</v>
      </c>
      <c r="BJ186" s="239">
        <v>-133595</v>
      </c>
      <c r="BK186" s="239">
        <v>-1864360</v>
      </c>
      <c r="BL186" s="239">
        <v>-1491488</v>
      </c>
      <c r="BM186" s="239">
        <v>-372872</v>
      </c>
      <c r="BN186" s="239">
        <v>0</v>
      </c>
      <c r="BO186" s="239">
        <v>-3728720</v>
      </c>
      <c r="BP186" s="239">
        <v>224008</v>
      </c>
      <c r="BQ186" s="239">
        <v>179207</v>
      </c>
      <c r="BR186" s="239">
        <v>44802</v>
      </c>
      <c r="BS186" s="239">
        <v>0</v>
      </c>
      <c r="BT186" s="239">
        <v>448017</v>
      </c>
      <c r="BU186" s="239">
        <v>-706396</v>
      </c>
      <c r="BV186" s="239">
        <v>-565117</v>
      </c>
      <c r="BW186" s="239">
        <v>-141279</v>
      </c>
      <c r="BX186" s="239">
        <v>0</v>
      </c>
      <c r="BY186" s="239">
        <v>-1412792</v>
      </c>
      <c r="BZ186" s="239">
        <v>-2346748</v>
      </c>
      <c r="CA186" s="239">
        <v>-1877398</v>
      </c>
      <c r="CB186" s="239">
        <v>-469349</v>
      </c>
      <c r="CC186" s="239">
        <v>0</v>
      </c>
      <c r="CD186" s="239">
        <v>-4693495</v>
      </c>
      <c r="CE186" s="239">
        <v>-967169</v>
      </c>
      <c r="CF186" s="239">
        <v>-773735</v>
      </c>
      <c r="CG186" s="239">
        <v>-193434</v>
      </c>
      <c r="CH186" s="239">
        <v>0</v>
      </c>
      <c r="CI186" s="239">
        <v>-1934338</v>
      </c>
      <c r="CJ186" s="239">
        <v>-1023966</v>
      </c>
      <c r="CK186" s="239">
        <v>-819173</v>
      </c>
      <c r="CL186" s="239">
        <v>-204793</v>
      </c>
      <c r="CM186" s="239">
        <v>0</v>
      </c>
      <c r="CN186" s="239">
        <v>-2047932</v>
      </c>
      <c r="CO186" s="239">
        <v>56797</v>
      </c>
      <c r="CP186" s="239">
        <v>45438</v>
      </c>
      <c r="CQ186" s="239">
        <v>11359</v>
      </c>
      <c r="CR186" s="239">
        <v>0</v>
      </c>
      <c r="CS186" s="239">
        <v>113594</v>
      </c>
      <c r="CT186" s="239">
        <v>12208689</v>
      </c>
      <c r="CU186" s="239">
        <v>9766952</v>
      </c>
      <c r="CV186" s="239">
        <v>2441738</v>
      </c>
      <c r="CW186" s="239">
        <v>0</v>
      </c>
      <c r="CX186" s="239">
        <v>24417379</v>
      </c>
      <c r="CY186" s="239">
        <v>11830128</v>
      </c>
      <c r="CZ186" s="239">
        <v>9464102</v>
      </c>
      <c r="DA186" s="239">
        <v>2366026</v>
      </c>
      <c r="DB186" s="239">
        <v>0</v>
      </c>
      <c r="DC186" s="239">
        <v>23660256</v>
      </c>
      <c r="DD186" s="239">
        <v>-378561</v>
      </c>
      <c r="DE186" s="239">
        <v>-302850</v>
      </c>
      <c r="DF186" s="239">
        <v>-75712</v>
      </c>
      <c r="DG186" s="239">
        <v>0</v>
      </c>
      <c r="DH186" s="239">
        <v>-757123</v>
      </c>
      <c r="DI186" s="239">
        <v>-321764</v>
      </c>
      <c r="DJ186" s="239">
        <v>-257412</v>
      </c>
      <c r="DK186" s="239">
        <v>-64353</v>
      </c>
      <c r="DL186" s="239">
        <v>0</v>
      </c>
      <c r="DM186" s="239">
        <v>-643529</v>
      </c>
      <c r="DN186" s="835">
        <v>0.5</v>
      </c>
      <c r="DO186" s="835">
        <v>0.4</v>
      </c>
      <c r="DP186" s="835">
        <v>0.1</v>
      </c>
      <c r="DQ186" s="835">
        <v>0</v>
      </c>
      <c r="DR186" s="835">
        <v>1</v>
      </c>
      <c r="DS186" s="214" t="s">
        <v>1158</v>
      </c>
      <c r="DU186" s="214">
        <v>0</v>
      </c>
    </row>
    <row r="187" spans="2:125" s="214" customFormat="1" x14ac:dyDescent="0.2">
      <c r="B187" s="602" t="s">
        <v>457</v>
      </c>
      <c r="C187" s="602" t="s">
        <v>456</v>
      </c>
      <c r="D187" s="239">
        <v>28393685</v>
      </c>
      <c r="E187" s="239">
        <v>27825811</v>
      </c>
      <c r="F187" s="239">
        <v>0</v>
      </c>
      <c r="G187" s="239">
        <v>567874</v>
      </c>
      <c r="H187" s="239">
        <v>56787370</v>
      </c>
      <c r="I187" s="239">
        <v>14690</v>
      </c>
      <c r="J187" s="239">
        <v>14690</v>
      </c>
      <c r="K187" s="239">
        <v>28378995</v>
      </c>
      <c r="L187" s="239">
        <v>238111</v>
      </c>
      <c r="M187" s="239">
        <v>238111</v>
      </c>
      <c r="N187" s="239">
        <v>1116229</v>
      </c>
      <c r="O187" s="239">
        <v>1116229</v>
      </c>
      <c r="P187" s="239">
        <v>2531277</v>
      </c>
      <c r="Q187" s="239">
        <v>0</v>
      </c>
      <c r="R187" s="239">
        <v>2531277</v>
      </c>
      <c r="S187" s="239">
        <v>14690.405579399141</v>
      </c>
      <c r="T187" s="239">
        <v>0</v>
      </c>
      <c r="U187" s="239">
        <v>0</v>
      </c>
      <c r="V187" s="239">
        <v>14690.405579399141</v>
      </c>
      <c r="W187" s="239">
        <v>0</v>
      </c>
      <c r="X187" s="239">
        <v>0</v>
      </c>
      <c r="Y187" s="239">
        <v>0</v>
      </c>
      <c r="Z187" s="239">
        <v>0</v>
      </c>
      <c r="AA187" s="239">
        <v>0</v>
      </c>
      <c r="AB187" s="239">
        <v>0</v>
      </c>
      <c r="AC187" s="239">
        <v>2459854</v>
      </c>
      <c r="AD187" s="239">
        <v>0</v>
      </c>
      <c r="AE187" s="239">
        <v>48952</v>
      </c>
      <c r="AF187" s="239">
        <v>2508806</v>
      </c>
      <c r="AG187" s="239">
        <v>2312865</v>
      </c>
      <c r="AH187" s="239">
        <v>2266607</v>
      </c>
      <c r="AI187" s="239">
        <v>0</v>
      </c>
      <c r="AJ187" s="239">
        <v>46257</v>
      </c>
      <c r="AK187" s="239">
        <v>4625729</v>
      </c>
      <c r="AL187" s="239">
        <v>-1484326</v>
      </c>
      <c r="AM187" s="239">
        <v>-1454639</v>
      </c>
      <c r="AN187" s="239">
        <v>0</v>
      </c>
      <c r="AO187" s="239">
        <v>-29687</v>
      </c>
      <c r="AP187" s="239">
        <v>-2968652</v>
      </c>
      <c r="AQ187" s="239">
        <v>-872000</v>
      </c>
      <c r="AR187" s="239">
        <v>-854560</v>
      </c>
      <c r="AS187" s="239">
        <v>0</v>
      </c>
      <c r="AT187" s="239">
        <v>-17440</v>
      </c>
      <c r="AU187" s="239">
        <v>-1744000</v>
      </c>
      <c r="AV187" s="239">
        <v>423719</v>
      </c>
      <c r="AW187" s="239">
        <v>415245</v>
      </c>
      <c r="AX187" s="239">
        <v>0</v>
      </c>
      <c r="AY187" s="239">
        <v>8474</v>
      </c>
      <c r="AZ187" s="239">
        <v>847438</v>
      </c>
      <c r="BA187" s="239">
        <v>-108719</v>
      </c>
      <c r="BB187" s="239">
        <v>-106545</v>
      </c>
      <c r="BC187" s="239">
        <v>0</v>
      </c>
      <c r="BD187" s="239">
        <v>-2174</v>
      </c>
      <c r="BE187" s="239">
        <v>-217438</v>
      </c>
      <c r="BF187" s="239">
        <v>-557000</v>
      </c>
      <c r="BG187" s="239">
        <v>-545860</v>
      </c>
      <c r="BH187" s="239">
        <v>0</v>
      </c>
      <c r="BI187" s="239">
        <v>-11140</v>
      </c>
      <c r="BJ187" s="239">
        <v>-1114000</v>
      </c>
      <c r="BK187" s="239">
        <v>-4928500</v>
      </c>
      <c r="BL187" s="239">
        <v>-4829930</v>
      </c>
      <c r="BM187" s="239">
        <v>0</v>
      </c>
      <c r="BN187" s="239">
        <v>-98570</v>
      </c>
      <c r="BO187" s="239">
        <v>-9857000</v>
      </c>
      <c r="BP187" s="239">
        <v>3749089</v>
      </c>
      <c r="BQ187" s="239">
        <v>3674108</v>
      </c>
      <c r="BR187" s="239">
        <v>0</v>
      </c>
      <c r="BS187" s="239">
        <v>74982</v>
      </c>
      <c r="BT187" s="239">
        <v>7498179</v>
      </c>
      <c r="BU187" s="239">
        <v>-8094589</v>
      </c>
      <c r="BV187" s="239">
        <v>-7932698</v>
      </c>
      <c r="BW187" s="239">
        <v>0</v>
      </c>
      <c r="BX187" s="239">
        <v>-161892</v>
      </c>
      <c r="BY187" s="239">
        <v>-16189179</v>
      </c>
      <c r="BZ187" s="239">
        <v>-9274000</v>
      </c>
      <c r="CA187" s="239">
        <v>-9088520</v>
      </c>
      <c r="CB187" s="239">
        <v>0</v>
      </c>
      <c r="CC187" s="239">
        <v>-185480</v>
      </c>
      <c r="CD187" s="239">
        <v>-18548000</v>
      </c>
      <c r="CE187" s="239">
        <v>-4591947.5</v>
      </c>
      <c r="CF187" s="239">
        <v>-4500108.55</v>
      </c>
      <c r="CG187" s="239">
        <v>0</v>
      </c>
      <c r="CH187" s="239">
        <v>-91838.95</v>
      </c>
      <c r="CI187" s="239">
        <v>-9183895</v>
      </c>
      <c r="CJ187" s="239">
        <v>-1322043</v>
      </c>
      <c r="CK187" s="239">
        <v>-1295603</v>
      </c>
      <c r="CL187" s="239">
        <v>0</v>
      </c>
      <c r="CM187" s="239">
        <v>-26441</v>
      </c>
      <c r="CN187" s="239">
        <v>-2644087</v>
      </c>
      <c r="CO187" s="239">
        <v>-3269904.5</v>
      </c>
      <c r="CP187" s="239">
        <v>-3204505.55</v>
      </c>
      <c r="CQ187" s="239">
        <v>0</v>
      </c>
      <c r="CR187" s="239">
        <v>-65397.95</v>
      </c>
      <c r="CS187" s="239">
        <v>-6539808</v>
      </c>
      <c r="CT187" s="239">
        <v>38227523</v>
      </c>
      <c r="CU187" s="239">
        <v>37462972</v>
      </c>
      <c r="CV187" s="239">
        <v>0</v>
      </c>
      <c r="CW187" s="239">
        <v>764550</v>
      </c>
      <c r="CX187" s="239">
        <v>76455045</v>
      </c>
      <c r="CY187" s="239">
        <v>28393685</v>
      </c>
      <c r="CZ187" s="239">
        <v>27825811</v>
      </c>
      <c r="DA187" s="239">
        <v>0</v>
      </c>
      <c r="DB187" s="239">
        <v>567874</v>
      </c>
      <c r="DC187" s="239">
        <v>56787370</v>
      </c>
      <c r="DD187" s="239">
        <v>-9833838</v>
      </c>
      <c r="DE187" s="239">
        <v>-9637161</v>
      </c>
      <c r="DF187" s="239">
        <v>0</v>
      </c>
      <c r="DG187" s="239">
        <v>-196676</v>
      </c>
      <c r="DH187" s="239">
        <v>-19667675</v>
      </c>
      <c r="DI187" s="239">
        <v>-13103742.5</v>
      </c>
      <c r="DJ187" s="239">
        <v>-12841666.550000001</v>
      </c>
      <c r="DK187" s="239">
        <v>0</v>
      </c>
      <c r="DL187" s="239">
        <v>-262073.95</v>
      </c>
      <c r="DM187" s="239">
        <v>-26207483</v>
      </c>
      <c r="DN187" s="835">
        <v>0.5</v>
      </c>
      <c r="DO187" s="835">
        <v>0.49</v>
      </c>
      <c r="DP187" s="835">
        <v>0</v>
      </c>
      <c r="DQ187" s="835">
        <v>0.01</v>
      </c>
      <c r="DR187" s="835">
        <v>1</v>
      </c>
      <c r="DS187" s="214" t="s">
        <v>746</v>
      </c>
      <c r="DU187" s="214">
        <v>0</v>
      </c>
    </row>
    <row r="188" spans="2:125" s="214" customFormat="1" x14ac:dyDescent="0.2">
      <c r="B188" s="602" t="s">
        <v>459</v>
      </c>
      <c r="C188" s="602" t="s">
        <v>458</v>
      </c>
      <c r="D188" s="239">
        <v>12197616</v>
      </c>
      <c r="E188" s="239">
        <v>9758093</v>
      </c>
      <c r="F188" s="239">
        <v>2439523</v>
      </c>
      <c r="G188" s="239">
        <v>0</v>
      </c>
      <c r="H188" s="239">
        <v>24395232</v>
      </c>
      <c r="I188" s="239">
        <v>209299</v>
      </c>
      <c r="J188" s="239">
        <v>209299</v>
      </c>
      <c r="K188" s="239">
        <v>11988317</v>
      </c>
      <c r="L188" s="239">
        <v>247838</v>
      </c>
      <c r="M188" s="239">
        <v>247838</v>
      </c>
      <c r="N188" s="239">
        <v>121565</v>
      </c>
      <c r="O188" s="239">
        <v>121565</v>
      </c>
      <c r="P188" s="239">
        <v>672679</v>
      </c>
      <c r="Q188" s="239">
        <v>0</v>
      </c>
      <c r="R188" s="239">
        <v>672679</v>
      </c>
      <c r="S188" s="239">
        <v>209299.45493562231</v>
      </c>
      <c r="T188" s="239">
        <v>0</v>
      </c>
      <c r="U188" s="239">
        <v>0</v>
      </c>
      <c r="V188" s="239">
        <v>209299.45493562231</v>
      </c>
      <c r="W188" s="239">
        <v>0</v>
      </c>
      <c r="X188" s="239">
        <v>0</v>
      </c>
      <c r="Y188" s="239">
        <v>0</v>
      </c>
      <c r="Z188" s="239">
        <v>0</v>
      </c>
      <c r="AA188" s="239">
        <v>0</v>
      </c>
      <c r="AB188" s="239">
        <v>0</v>
      </c>
      <c r="AC188" s="239">
        <v>2179316</v>
      </c>
      <c r="AD188" s="239">
        <v>535080</v>
      </c>
      <c r="AE188" s="239">
        <v>0</v>
      </c>
      <c r="AF188" s="239">
        <v>2714396</v>
      </c>
      <c r="AG188" s="239">
        <v>176010</v>
      </c>
      <c r="AH188" s="239">
        <v>140808</v>
      </c>
      <c r="AI188" s="239">
        <v>35202</v>
      </c>
      <c r="AJ188" s="239">
        <v>0</v>
      </c>
      <c r="AK188" s="239">
        <v>352020</v>
      </c>
      <c r="AL188" s="239">
        <v>-239417</v>
      </c>
      <c r="AM188" s="239">
        <v>-191534</v>
      </c>
      <c r="AN188" s="239">
        <v>-47884</v>
      </c>
      <c r="AO188" s="239">
        <v>0</v>
      </c>
      <c r="AP188" s="239">
        <v>-478835</v>
      </c>
      <c r="AQ188" s="239">
        <v>-95083</v>
      </c>
      <c r="AR188" s="239">
        <v>-76067</v>
      </c>
      <c r="AS188" s="239">
        <v>-19017</v>
      </c>
      <c r="AT188" s="239">
        <v>0</v>
      </c>
      <c r="AU188" s="239">
        <v>-190167</v>
      </c>
      <c r="AV188" s="239">
        <v>23197</v>
      </c>
      <c r="AW188" s="239">
        <v>18558</v>
      </c>
      <c r="AX188" s="239">
        <v>4639</v>
      </c>
      <c r="AY188" s="239">
        <v>0</v>
      </c>
      <c r="AZ188" s="239">
        <v>46394</v>
      </c>
      <c r="BA188" s="239">
        <v>-42512</v>
      </c>
      <c r="BB188" s="239">
        <v>-34010</v>
      </c>
      <c r="BC188" s="239">
        <v>-8502</v>
      </c>
      <c r="BD188" s="239">
        <v>0</v>
      </c>
      <c r="BE188" s="239">
        <v>-85024</v>
      </c>
      <c r="BF188" s="239">
        <v>-114398</v>
      </c>
      <c r="BG188" s="239">
        <v>-91519</v>
      </c>
      <c r="BH188" s="239">
        <v>-22880</v>
      </c>
      <c r="BI188" s="239">
        <v>0</v>
      </c>
      <c r="BJ188" s="239">
        <v>-228797</v>
      </c>
      <c r="BK188" s="239">
        <v>-953697</v>
      </c>
      <c r="BL188" s="239">
        <v>-762957</v>
      </c>
      <c r="BM188" s="239">
        <v>-190739</v>
      </c>
      <c r="BN188" s="239">
        <v>0</v>
      </c>
      <c r="BO188" s="239">
        <v>-1907393</v>
      </c>
      <c r="BP188" s="239">
        <v>737093</v>
      </c>
      <c r="BQ188" s="239">
        <v>589674</v>
      </c>
      <c r="BR188" s="239">
        <v>147419</v>
      </c>
      <c r="BS188" s="239">
        <v>0</v>
      </c>
      <c r="BT188" s="239">
        <v>1474186</v>
      </c>
      <c r="BU188" s="239">
        <v>-1154604</v>
      </c>
      <c r="BV188" s="239">
        <v>-923684</v>
      </c>
      <c r="BW188" s="239">
        <v>-230921</v>
      </c>
      <c r="BX188" s="239">
        <v>0</v>
      </c>
      <c r="BY188" s="239">
        <v>-2309209</v>
      </c>
      <c r="BZ188" s="239">
        <v>-1371208</v>
      </c>
      <c r="CA188" s="239">
        <v>-1096967</v>
      </c>
      <c r="CB188" s="239">
        <v>-274241</v>
      </c>
      <c r="CC188" s="239">
        <v>0</v>
      </c>
      <c r="CD188" s="239">
        <v>-2742416</v>
      </c>
      <c r="CE188" s="239">
        <v>-311971</v>
      </c>
      <c r="CF188" s="239">
        <v>-249575</v>
      </c>
      <c r="CG188" s="239">
        <v>-62394</v>
      </c>
      <c r="CH188" s="239">
        <v>0</v>
      </c>
      <c r="CI188" s="239">
        <v>-623940</v>
      </c>
      <c r="CJ188" s="239">
        <v>-241531</v>
      </c>
      <c r="CK188" s="239">
        <v>-193224</v>
      </c>
      <c r="CL188" s="239">
        <v>-48306</v>
      </c>
      <c r="CM188" s="239">
        <v>0</v>
      </c>
      <c r="CN188" s="239">
        <v>-483061</v>
      </c>
      <c r="CO188" s="239">
        <v>-70440</v>
      </c>
      <c r="CP188" s="239">
        <v>-56351</v>
      </c>
      <c r="CQ188" s="239">
        <v>-14088</v>
      </c>
      <c r="CR188" s="239">
        <v>0</v>
      </c>
      <c r="CS188" s="239">
        <v>-140879</v>
      </c>
      <c r="CT188" s="239">
        <v>12616286</v>
      </c>
      <c r="CU188" s="239">
        <v>10093029</v>
      </c>
      <c r="CV188" s="239">
        <v>2523257</v>
      </c>
      <c r="CW188" s="239">
        <v>0</v>
      </c>
      <c r="CX188" s="239">
        <v>25232572</v>
      </c>
      <c r="CY188" s="239">
        <v>12197616</v>
      </c>
      <c r="CZ188" s="239">
        <v>9758093</v>
      </c>
      <c r="DA188" s="239">
        <v>2439523</v>
      </c>
      <c r="DB188" s="239">
        <v>0</v>
      </c>
      <c r="DC188" s="239">
        <v>24395232</v>
      </c>
      <c r="DD188" s="239">
        <v>-418670</v>
      </c>
      <c r="DE188" s="239">
        <v>-334936</v>
      </c>
      <c r="DF188" s="239">
        <v>-83734</v>
      </c>
      <c r="DG188" s="239">
        <v>0</v>
      </c>
      <c r="DH188" s="239">
        <v>-837340</v>
      </c>
      <c r="DI188" s="239">
        <v>-489110</v>
      </c>
      <c r="DJ188" s="239">
        <v>-391287</v>
      </c>
      <c r="DK188" s="239">
        <v>-97822</v>
      </c>
      <c r="DL188" s="239">
        <v>0</v>
      </c>
      <c r="DM188" s="239">
        <v>-978219</v>
      </c>
      <c r="DN188" s="835">
        <v>0.5</v>
      </c>
      <c r="DO188" s="835">
        <v>0.4</v>
      </c>
      <c r="DP188" s="835">
        <v>0.1</v>
      </c>
      <c r="DQ188" s="835">
        <v>0</v>
      </c>
      <c r="DR188" s="835">
        <v>1</v>
      </c>
      <c r="DS188" s="214" t="s">
        <v>1158</v>
      </c>
      <c r="DU188" s="214">
        <v>0</v>
      </c>
    </row>
    <row r="189" spans="2:125" s="214" customFormat="1" x14ac:dyDescent="0.2">
      <c r="B189" s="602" t="s">
        <v>461</v>
      </c>
      <c r="C189" s="602" t="s">
        <v>460</v>
      </c>
      <c r="D189" s="239">
        <v>28779209</v>
      </c>
      <c r="E189" s="239">
        <v>28203625</v>
      </c>
      <c r="F189" s="239">
        <v>0</v>
      </c>
      <c r="G189" s="239">
        <v>575584</v>
      </c>
      <c r="H189" s="239">
        <v>57558418</v>
      </c>
      <c r="I189" s="239">
        <v>850129</v>
      </c>
      <c r="J189" s="239">
        <v>850129</v>
      </c>
      <c r="K189" s="239">
        <v>27929080</v>
      </c>
      <c r="L189" s="239">
        <v>261366</v>
      </c>
      <c r="M189" s="239">
        <v>261366</v>
      </c>
      <c r="N189" s="239">
        <v>361783</v>
      </c>
      <c r="O189" s="239">
        <v>361783</v>
      </c>
      <c r="P189" s="239">
        <v>165376</v>
      </c>
      <c r="Q189" s="239">
        <v>0</v>
      </c>
      <c r="R189" s="239">
        <v>165376</v>
      </c>
      <c r="S189" s="239">
        <v>0</v>
      </c>
      <c r="T189" s="239">
        <v>0</v>
      </c>
      <c r="U189" s="239">
        <v>0</v>
      </c>
      <c r="V189" s="239">
        <v>0</v>
      </c>
      <c r="W189" s="239">
        <v>0</v>
      </c>
      <c r="X189" s="239">
        <v>0</v>
      </c>
      <c r="Y189" s="239">
        <v>0</v>
      </c>
      <c r="Z189" s="239">
        <v>0</v>
      </c>
      <c r="AA189" s="239">
        <v>850129</v>
      </c>
      <c r="AB189" s="239">
        <v>850129</v>
      </c>
      <c r="AC189" s="239">
        <v>2896786</v>
      </c>
      <c r="AD189" s="239">
        <v>0</v>
      </c>
      <c r="AE189" s="239">
        <v>57968</v>
      </c>
      <c r="AF189" s="239">
        <v>2954754</v>
      </c>
      <c r="AG189" s="239">
        <v>1792829</v>
      </c>
      <c r="AH189" s="239">
        <v>1756973</v>
      </c>
      <c r="AI189" s="239">
        <v>0</v>
      </c>
      <c r="AJ189" s="239">
        <v>35857</v>
      </c>
      <c r="AK189" s="239">
        <v>3585659</v>
      </c>
      <c r="AL189" s="239">
        <v>-1292452</v>
      </c>
      <c r="AM189" s="239">
        <v>-1266603</v>
      </c>
      <c r="AN189" s="239">
        <v>0</v>
      </c>
      <c r="AO189" s="239">
        <v>-25849</v>
      </c>
      <c r="AP189" s="239">
        <v>-2584904</v>
      </c>
      <c r="AQ189" s="239">
        <v>-1047068.2999999998</v>
      </c>
      <c r="AR189" s="239">
        <v>-1026126</v>
      </c>
      <c r="AS189" s="239">
        <v>0</v>
      </c>
      <c r="AT189" s="239">
        <v>-20941</v>
      </c>
      <c r="AU189" s="239">
        <v>-2094135.2999999998</v>
      </c>
      <c r="AV189" s="239">
        <v>388027</v>
      </c>
      <c r="AW189" s="239">
        <v>380266</v>
      </c>
      <c r="AX189" s="239">
        <v>0</v>
      </c>
      <c r="AY189" s="239">
        <v>7761</v>
      </c>
      <c r="AZ189" s="239">
        <v>776054</v>
      </c>
      <c r="BA189" s="239">
        <v>-240096</v>
      </c>
      <c r="BB189" s="239">
        <v>-235294</v>
      </c>
      <c r="BC189" s="239">
        <v>0</v>
      </c>
      <c r="BD189" s="239">
        <v>-4802</v>
      </c>
      <c r="BE189" s="239">
        <v>-480192</v>
      </c>
      <c r="BF189" s="239">
        <v>-899137.29999999981</v>
      </c>
      <c r="BG189" s="239">
        <v>-881154</v>
      </c>
      <c r="BH189" s="239">
        <v>0</v>
      </c>
      <c r="BI189" s="239">
        <v>-17982</v>
      </c>
      <c r="BJ189" s="239">
        <v>-1798273.2999999998</v>
      </c>
      <c r="BK189" s="239">
        <v>-1542148.4</v>
      </c>
      <c r="BL189" s="239">
        <v>-1511305</v>
      </c>
      <c r="BM189" s="239">
        <v>0</v>
      </c>
      <c r="BN189" s="239">
        <v>-30843</v>
      </c>
      <c r="BO189" s="239">
        <v>-3084296.4</v>
      </c>
      <c r="BP189" s="239">
        <v>394535</v>
      </c>
      <c r="BQ189" s="239">
        <v>386644</v>
      </c>
      <c r="BR189" s="239">
        <v>0</v>
      </c>
      <c r="BS189" s="239">
        <v>7891</v>
      </c>
      <c r="BT189" s="239">
        <v>789070</v>
      </c>
      <c r="BU189" s="239">
        <v>-1594675</v>
      </c>
      <c r="BV189" s="239">
        <v>-1562781</v>
      </c>
      <c r="BW189" s="239">
        <v>0</v>
      </c>
      <c r="BX189" s="239">
        <v>-31893</v>
      </c>
      <c r="BY189" s="239">
        <v>-3189349</v>
      </c>
      <c r="BZ189" s="239">
        <v>-2742288.4</v>
      </c>
      <c r="CA189" s="239">
        <v>-2687442</v>
      </c>
      <c r="CB189" s="239">
        <v>0</v>
      </c>
      <c r="CC189" s="239">
        <v>-54845</v>
      </c>
      <c r="CD189" s="239">
        <v>-5484575.4000000004</v>
      </c>
      <c r="CE189" s="239">
        <v>495005</v>
      </c>
      <c r="CF189" s="239">
        <v>485105</v>
      </c>
      <c r="CG189" s="239">
        <v>0</v>
      </c>
      <c r="CH189" s="239">
        <v>9900</v>
      </c>
      <c r="CI189" s="239">
        <v>990010</v>
      </c>
      <c r="CJ189" s="239">
        <v>485789</v>
      </c>
      <c r="CK189" s="239">
        <v>476074</v>
      </c>
      <c r="CL189" s="239">
        <v>0</v>
      </c>
      <c r="CM189" s="239">
        <v>9716</v>
      </c>
      <c r="CN189" s="239">
        <v>971579</v>
      </c>
      <c r="CO189" s="239">
        <v>9216</v>
      </c>
      <c r="CP189" s="239">
        <v>9031</v>
      </c>
      <c r="CQ189" s="239">
        <v>0</v>
      </c>
      <c r="CR189" s="239">
        <v>184</v>
      </c>
      <c r="CS189" s="239">
        <v>18431</v>
      </c>
      <c r="CT189" s="239">
        <v>27954925</v>
      </c>
      <c r="CU189" s="239">
        <v>28196154</v>
      </c>
      <c r="CV189" s="239">
        <v>0</v>
      </c>
      <c r="CW189" s="239">
        <v>575432</v>
      </c>
      <c r="CX189" s="239">
        <v>56726511</v>
      </c>
      <c r="CY189" s="239">
        <v>27929080</v>
      </c>
      <c r="CZ189" s="239">
        <v>28203625</v>
      </c>
      <c r="DA189" s="239">
        <v>0</v>
      </c>
      <c r="DB189" s="239">
        <v>575584</v>
      </c>
      <c r="DC189" s="239">
        <v>56708289</v>
      </c>
      <c r="DD189" s="239">
        <v>-9111</v>
      </c>
      <c r="DE189" s="239">
        <v>-8928.7800000000007</v>
      </c>
      <c r="DF189" s="239">
        <v>0</v>
      </c>
      <c r="DG189" s="239">
        <v>-182.22</v>
      </c>
      <c r="DH189" s="239">
        <v>-18222</v>
      </c>
      <c r="DI189" s="239">
        <v>105</v>
      </c>
      <c r="DJ189" s="239">
        <v>102.21999999999935</v>
      </c>
      <c r="DK189" s="239">
        <v>0</v>
      </c>
      <c r="DL189" s="239">
        <v>1.7800000000000011</v>
      </c>
      <c r="DM189" s="239">
        <v>209</v>
      </c>
      <c r="DN189" s="835">
        <v>0.5</v>
      </c>
      <c r="DO189" s="835">
        <v>0.49</v>
      </c>
      <c r="DP189" s="835">
        <v>0</v>
      </c>
      <c r="DQ189" s="835">
        <v>0.01</v>
      </c>
      <c r="DR189" s="835">
        <v>1</v>
      </c>
      <c r="DS189" s="214" t="s">
        <v>746</v>
      </c>
      <c r="DU189" s="214">
        <v>1</v>
      </c>
    </row>
    <row r="190" spans="2:125" s="214" customFormat="1" x14ac:dyDescent="0.2">
      <c r="B190" s="602" t="s">
        <v>463</v>
      </c>
      <c r="C190" s="602" t="s">
        <v>462</v>
      </c>
      <c r="D190" s="239">
        <v>27206686</v>
      </c>
      <c r="E190" s="239">
        <v>26662553</v>
      </c>
      <c r="F190" s="239">
        <v>0</v>
      </c>
      <c r="G190" s="239">
        <v>544134</v>
      </c>
      <c r="H190" s="239">
        <v>54413373</v>
      </c>
      <c r="I190" s="239">
        <v>15385</v>
      </c>
      <c r="J190" s="239">
        <v>15385</v>
      </c>
      <c r="K190" s="239">
        <v>27191301</v>
      </c>
      <c r="L190" s="239">
        <v>226812</v>
      </c>
      <c r="M190" s="239">
        <v>226812</v>
      </c>
      <c r="N190" s="239">
        <v>137545</v>
      </c>
      <c r="O190" s="239">
        <v>137545</v>
      </c>
      <c r="P190" s="239">
        <v>0</v>
      </c>
      <c r="Q190" s="239">
        <v>0</v>
      </c>
      <c r="R190" s="239">
        <v>0</v>
      </c>
      <c r="S190" s="239">
        <v>15384.680257510729</v>
      </c>
      <c r="T190" s="239">
        <v>0</v>
      </c>
      <c r="U190" s="239">
        <v>0</v>
      </c>
      <c r="V190" s="239">
        <v>15384.680257510729</v>
      </c>
      <c r="W190" s="239">
        <v>0</v>
      </c>
      <c r="X190" s="239">
        <v>0</v>
      </c>
      <c r="Y190" s="239">
        <v>0</v>
      </c>
      <c r="Z190" s="239">
        <v>0</v>
      </c>
      <c r="AA190" s="239">
        <v>0</v>
      </c>
      <c r="AB190" s="239">
        <v>0</v>
      </c>
      <c r="AC190" s="239">
        <v>2496519</v>
      </c>
      <c r="AD190" s="239">
        <v>0</v>
      </c>
      <c r="AE190" s="239">
        <v>50695</v>
      </c>
      <c r="AF190" s="239">
        <v>2547214</v>
      </c>
      <c r="AG190" s="239">
        <v>2489112</v>
      </c>
      <c r="AH190" s="239">
        <v>2439330</v>
      </c>
      <c r="AI190" s="239">
        <v>0</v>
      </c>
      <c r="AJ190" s="239">
        <v>49782</v>
      </c>
      <c r="AK190" s="239">
        <v>4978224</v>
      </c>
      <c r="AL190" s="239">
        <v>-687677</v>
      </c>
      <c r="AM190" s="239">
        <v>-673923</v>
      </c>
      <c r="AN190" s="239">
        <v>0</v>
      </c>
      <c r="AO190" s="239">
        <v>-13754</v>
      </c>
      <c r="AP190" s="239">
        <v>-1375354</v>
      </c>
      <c r="AQ190" s="239">
        <v>-1175040</v>
      </c>
      <c r="AR190" s="239">
        <v>-1151539</v>
      </c>
      <c r="AS190" s="239">
        <v>0</v>
      </c>
      <c r="AT190" s="239">
        <v>-23501</v>
      </c>
      <c r="AU190" s="239">
        <v>-2350080</v>
      </c>
      <c r="AV190" s="239">
        <v>161087</v>
      </c>
      <c r="AW190" s="239">
        <v>157865</v>
      </c>
      <c r="AX190" s="239">
        <v>0</v>
      </c>
      <c r="AY190" s="239">
        <v>3222</v>
      </c>
      <c r="AZ190" s="239">
        <v>322174</v>
      </c>
      <c r="BA190" s="239">
        <v>-344302</v>
      </c>
      <c r="BB190" s="239">
        <v>-337416</v>
      </c>
      <c r="BC190" s="239">
        <v>0</v>
      </c>
      <c r="BD190" s="239">
        <v>-6886</v>
      </c>
      <c r="BE190" s="239">
        <v>-688604</v>
      </c>
      <c r="BF190" s="239">
        <v>-1358255</v>
      </c>
      <c r="BG190" s="239">
        <v>-1331090</v>
      </c>
      <c r="BH190" s="239">
        <v>0</v>
      </c>
      <c r="BI190" s="239">
        <v>-27165</v>
      </c>
      <c r="BJ190" s="239">
        <v>-2716510</v>
      </c>
      <c r="BK190" s="239">
        <v>-1453189</v>
      </c>
      <c r="BL190" s="239">
        <v>-1424126</v>
      </c>
      <c r="BM190" s="239">
        <v>0</v>
      </c>
      <c r="BN190" s="239">
        <v>-29064</v>
      </c>
      <c r="BO190" s="239">
        <v>-2906379</v>
      </c>
      <c r="BP190" s="239">
        <v>0</v>
      </c>
      <c r="BQ190" s="239">
        <v>0</v>
      </c>
      <c r="BR190" s="239">
        <v>0</v>
      </c>
      <c r="BS190" s="239">
        <v>0</v>
      </c>
      <c r="BT190" s="239">
        <v>0</v>
      </c>
      <c r="BU190" s="239">
        <v>0</v>
      </c>
      <c r="BV190" s="239">
        <v>0</v>
      </c>
      <c r="BW190" s="239">
        <v>0</v>
      </c>
      <c r="BX190" s="239">
        <v>0</v>
      </c>
      <c r="BY190" s="239">
        <v>0</v>
      </c>
      <c r="BZ190" s="239">
        <v>-1453189</v>
      </c>
      <c r="CA190" s="239">
        <v>-1424126</v>
      </c>
      <c r="CB190" s="239">
        <v>0</v>
      </c>
      <c r="CC190" s="239">
        <v>-29064</v>
      </c>
      <c r="CD190" s="239">
        <v>-2906379</v>
      </c>
      <c r="CE190" s="239">
        <v>-842708</v>
      </c>
      <c r="CF190" s="239">
        <v>-825854</v>
      </c>
      <c r="CG190" s="239">
        <v>0</v>
      </c>
      <c r="CH190" s="239">
        <v>-16855</v>
      </c>
      <c r="CI190" s="239">
        <v>-1685417</v>
      </c>
      <c r="CJ190" s="239">
        <v>-524860</v>
      </c>
      <c r="CK190" s="239">
        <v>-514362</v>
      </c>
      <c r="CL190" s="239">
        <v>0</v>
      </c>
      <c r="CM190" s="239">
        <v>-10497</v>
      </c>
      <c r="CN190" s="239">
        <v>-1049719</v>
      </c>
      <c r="CO190" s="239">
        <v>-317848</v>
      </c>
      <c r="CP190" s="239">
        <v>-311492</v>
      </c>
      <c r="CQ190" s="239">
        <v>0</v>
      </c>
      <c r="CR190" s="239">
        <v>-6358</v>
      </c>
      <c r="CS190" s="239">
        <v>-635698</v>
      </c>
      <c r="CT190" s="239">
        <v>26853341</v>
      </c>
      <c r="CU190" s="239">
        <v>26316275</v>
      </c>
      <c r="CV190" s="239">
        <v>0</v>
      </c>
      <c r="CW190" s="239">
        <v>537067</v>
      </c>
      <c r="CX190" s="239">
        <v>53706683</v>
      </c>
      <c r="CY190" s="239">
        <v>27206686</v>
      </c>
      <c r="CZ190" s="239">
        <v>26662553</v>
      </c>
      <c r="DA190" s="239">
        <v>0</v>
      </c>
      <c r="DB190" s="239">
        <v>544134</v>
      </c>
      <c r="DC190" s="239">
        <v>54413373</v>
      </c>
      <c r="DD190" s="239">
        <v>353345</v>
      </c>
      <c r="DE190" s="239">
        <v>346278</v>
      </c>
      <c r="DF190" s="239">
        <v>0</v>
      </c>
      <c r="DG190" s="239">
        <v>7067</v>
      </c>
      <c r="DH190" s="239">
        <v>706690</v>
      </c>
      <c r="DI190" s="239">
        <v>35497</v>
      </c>
      <c r="DJ190" s="239">
        <v>34786</v>
      </c>
      <c r="DK190" s="239">
        <v>0</v>
      </c>
      <c r="DL190" s="239">
        <v>709</v>
      </c>
      <c r="DM190" s="239">
        <v>70992</v>
      </c>
      <c r="DN190" s="835">
        <v>0.5</v>
      </c>
      <c r="DO190" s="835">
        <v>0.49</v>
      </c>
      <c r="DP190" s="835">
        <v>0</v>
      </c>
      <c r="DQ190" s="835">
        <v>0.01</v>
      </c>
      <c r="DR190" s="835">
        <v>1</v>
      </c>
      <c r="DS190" s="214" t="s">
        <v>1160</v>
      </c>
      <c r="DU190" s="214">
        <v>0</v>
      </c>
    </row>
    <row r="191" spans="2:125" s="214" customFormat="1" x14ac:dyDescent="0.2">
      <c r="B191" s="602" t="s">
        <v>465</v>
      </c>
      <c r="C191" s="602" t="s">
        <v>464</v>
      </c>
      <c r="D191" s="239">
        <v>23022067</v>
      </c>
      <c r="E191" s="239">
        <v>18417653</v>
      </c>
      <c r="F191" s="239">
        <v>4604413</v>
      </c>
      <c r="G191" s="239">
        <v>0</v>
      </c>
      <c r="H191" s="239">
        <v>46044133</v>
      </c>
      <c r="I191" s="239">
        <v>0</v>
      </c>
      <c r="J191" s="239">
        <v>0</v>
      </c>
      <c r="K191" s="239">
        <v>23022067</v>
      </c>
      <c r="L191" s="239">
        <v>107553</v>
      </c>
      <c r="M191" s="239">
        <v>107553</v>
      </c>
      <c r="N191" s="239">
        <v>0</v>
      </c>
      <c r="O191" s="239">
        <v>0</v>
      </c>
      <c r="P191" s="239">
        <v>0</v>
      </c>
      <c r="Q191" s="239">
        <v>0</v>
      </c>
      <c r="R191" s="239">
        <v>0</v>
      </c>
      <c r="S191" s="239">
        <v>0</v>
      </c>
      <c r="T191" s="239">
        <v>0</v>
      </c>
      <c r="U191" s="239">
        <v>0</v>
      </c>
      <c r="V191" s="239">
        <v>0</v>
      </c>
      <c r="W191" s="239">
        <v>0</v>
      </c>
      <c r="X191" s="239">
        <v>0</v>
      </c>
      <c r="Y191" s="239">
        <v>0</v>
      </c>
      <c r="Z191" s="239">
        <v>0</v>
      </c>
      <c r="AA191" s="239">
        <v>0</v>
      </c>
      <c r="AB191" s="239">
        <v>0</v>
      </c>
      <c r="AC191" s="239">
        <v>1010608</v>
      </c>
      <c r="AD191" s="239">
        <v>252652</v>
      </c>
      <c r="AE191" s="239">
        <v>0</v>
      </c>
      <c r="AF191" s="239">
        <v>1263260</v>
      </c>
      <c r="AG191" s="239">
        <v>55221</v>
      </c>
      <c r="AH191" s="239">
        <v>44176</v>
      </c>
      <c r="AI191" s="239">
        <v>11044</v>
      </c>
      <c r="AJ191" s="239">
        <v>0</v>
      </c>
      <c r="AK191" s="239">
        <v>110441</v>
      </c>
      <c r="AL191" s="239">
        <v>-65171</v>
      </c>
      <c r="AM191" s="239">
        <v>-52136</v>
      </c>
      <c r="AN191" s="239">
        <v>-13034</v>
      </c>
      <c r="AO191" s="239">
        <v>0</v>
      </c>
      <c r="AP191" s="239">
        <v>-130341</v>
      </c>
      <c r="AQ191" s="239">
        <v>-36065</v>
      </c>
      <c r="AR191" s="239">
        <v>-28852</v>
      </c>
      <c r="AS191" s="239">
        <v>-7213</v>
      </c>
      <c r="AT191" s="239">
        <v>0</v>
      </c>
      <c r="AU191" s="239">
        <v>-72130</v>
      </c>
      <c r="AV191" s="239">
        <v>29067.42</v>
      </c>
      <c r="AW191" s="239">
        <v>23255</v>
      </c>
      <c r="AX191" s="239">
        <v>5814</v>
      </c>
      <c r="AY191" s="239">
        <v>0</v>
      </c>
      <c r="AZ191" s="239">
        <v>58136.42</v>
      </c>
      <c r="BA191" s="239">
        <v>-16169</v>
      </c>
      <c r="BB191" s="239">
        <v>-12936</v>
      </c>
      <c r="BC191" s="239">
        <v>-3234</v>
      </c>
      <c r="BD191" s="239">
        <v>0</v>
      </c>
      <c r="BE191" s="239">
        <v>-32339</v>
      </c>
      <c r="BF191" s="239">
        <v>-23166.58</v>
      </c>
      <c r="BG191" s="239">
        <v>-18533</v>
      </c>
      <c r="BH191" s="239">
        <v>-4633</v>
      </c>
      <c r="BI191" s="239">
        <v>0</v>
      </c>
      <c r="BJ191" s="239">
        <v>-46332.58</v>
      </c>
      <c r="BK191" s="239">
        <v>-2508662</v>
      </c>
      <c r="BL191" s="239">
        <v>-2006929</v>
      </c>
      <c r="BM191" s="239">
        <v>-501732</v>
      </c>
      <c r="BN191" s="239">
        <v>0</v>
      </c>
      <c r="BO191" s="239">
        <v>-5017323</v>
      </c>
      <c r="BP191" s="239">
        <v>496368</v>
      </c>
      <c r="BQ191" s="239">
        <v>397095</v>
      </c>
      <c r="BR191" s="239">
        <v>99274</v>
      </c>
      <c r="BS191" s="239">
        <v>0</v>
      </c>
      <c r="BT191" s="239">
        <v>992737</v>
      </c>
      <c r="BU191" s="239">
        <v>-1924336</v>
      </c>
      <c r="BV191" s="239">
        <v>-1539468</v>
      </c>
      <c r="BW191" s="239">
        <v>-384867</v>
      </c>
      <c r="BX191" s="239">
        <v>0</v>
      </c>
      <c r="BY191" s="239">
        <v>-3848671</v>
      </c>
      <c r="BZ191" s="239">
        <v>-3936630</v>
      </c>
      <c r="CA191" s="239">
        <v>-3149302</v>
      </c>
      <c r="CB191" s="239">
        <v>-787325</v>
      </c>
      <c r="CC191" s="239">
        <v>0</v>
      </c>
      <c r="CD191" s="239">
        <v>-7873257</v>
      </c>
      <c r="CE191" s="239">
        <v>-26267</v>
      </c>
      <c r="CF191" s="239">
        <v>-21015</v>
      </c>
      <c r="CG191" s="239">
        <v>-5256</v>
      </c>
      <c r="CH191" s="239">
        <v>0</v>
      </c>
      <c r="CI191" s="239">
        <v>-52538</v>
      </c>
      <c r="CJ191" s="239">
        <v>-731877</v>
      </c>
      <c r="CK191" s="239">
        <v>-585502</v>
      </c>
      <c r="CL191" s="239">
        <v>-146375</v>
      </c>
      <c r="CM191" s="239">
        <v>0</v>
      </c>
      <c r="CN191" s="239">
        <v>-1463754</v>
      </c>
      <c r="CO191" s="239">
        <v>705610</v>
      </c>
      <c r="CP191" s="239">
        <v>564487</v>
      </c>
      <c r="CQ191" s="239">
        <v>141119</v>
      </c>
      <c r="CR191" s="239">
        <v>0</v>
      </c>
      <c r="CS191" s="239">
        <v>1411216</v>
      </c>
      <c r="CT191" s="239">
        <v>21549763</v>
      </c>
      <c r="CU191" s="239">
        <v>17239811</v>
      </c>
      <c r="CV191" s="239">
        <v>4309953</v>
      </c>
      <c r="CW191" s="239">
        <v>0</v>
      </c>
      <c r="CX191" s="239">
        <v>43099527</v>
      </c>
      <c r="CY191" s="239">
        <v>23022067</v>
      </c>
      <c r="CZ191" s="239">
        <v>18417653</v>
      </c>
      <c r="DA191" s="239">
        <v>4604413</v>
      </c>
      <c r="DB191" s="239">
        <v>0</v>
      </c>
      <c r="DC191" s="239">
        <v>46044133</v>
      </c>
      <c r="DD191" s="239">
        <v>1472304</v>
      </c>
      <c r="DE191" s="239">
        <v>1177842</v>
      </c>
      <c r="DF191" s="239">
        <v>294460</v>
      </c>
      <c r="DG191" s="239">
        <v>0</v>
      </c>
      <c r="DH191" s="239">
        <v>2944606</v>
      </c>
      <c r="DI191" s="239">
        <v>2177914</v>
      </c>
      <c r="DJ191" s="239">
        <v>1742329</v>
      </c>
      <c r="DK191" s="239">
        <v>435579</v>
      </c>
      <c r="DL191" s="239">
        <v>0</v>
      </c>
      <c r="DM191" s="239">
        <v>4355822</v>
      </c>
      <c r="DN191" s="835">
        <v>0.5</v>
      </c>
      <c r="DO191" s="835">
        <v>0.4</v>
      </c>
      <c r="DP191" s="835">
        <v>0.1</v>
      </c>
      <c r="DQ191" s="835">
        <v>0</v>
      </c>
      <c r="DR191" s="835">
        <v>1</v>
      </c>
      <c r="DS191" s="214" t="s">
        <v>1158</v>
      </c>
      <c r="DU191" s="214">
        <v>0</v>
      </c>
    </row>
    <row r="192" spans="2:125" s="214" customFormat="1" x14ac:dyDescent="0.2">
      <c r="B192" s="602" t="s">
        <v>467</v>
      </c>
      <c r="C192" s="602" t="s">
        <v>466</v>
      </c>
      <c r="D192" s="239">
        <v>29125427</v>
      </c>
      <c r="E192" s="239">
        <v>23300342</v>
      </c>
      <c r="F192" s="239">
        <v>5242577</v>
      </c>
      <c r="G192" s="239">
        <v>582509</v>
      </c>
      <c r="H192" s="239">
        <v>58250855</v>
      </c>
      <c r="I192" s="239">
        <v>0</v>
      </c>
      <c r="J192" s="239">
        <v>0</v>
      </c>
      <c r="K192" s="239">
        <v>29125427</v>
      </c>
      <c r="L192" s="239">
        <v>145430</v>
      </c>
      <c r="M192" s="239">
        <v>145430</v>
      </c>
      <c r="N192" s="239">
        <v>0</v>
      </c>
      <c r="O192" s="239">
        <v>0</v>
      </c>
      <c r="P192" s="239">
        <v>204059</v>
      </c>
      <c r="Q192" s="239">
        <v>0</v>
      </c>
      <c r="R192" s="239">
        <v>204059</v>
      </c>
      <c r="S192" s="239">
        <v>0</v>
      </c>
      <c r="T192" s="239">
        <v>0</v>
      </c>
      <c r="U192" s="239">
        <v>0</v>
      </c>
      <c r="V192" s="239">
        <v>0</v>
      </c>
      <c r="W192" s="239">
        <v>0</v>
      </c>
      <c r="X192" s="239">
        <v>0</v>
      </c>
      <c r="Y192" s="239">
        <v>0</v>
      </c>
      <c r="Z192" s="239">
        <v>0</v>
      </c>
      <c r="AA192" s="239">
        <v>0</v>
      </c>
      <c r="AB192" s="239">
        <v>0</v>
      </c>
      <c r="AC192" s="239">
        <v>1357868</v>
      </c>
      <c r="AD192" s="239">
        <v>304831</v>
      </c>
      <c r="AE192" s="239">
        <v>33869</v>
      </c>
      <c r="AF192" s="239">
        <v>1696568</v>
      </c>
      <c r="AG192" s="239">
        <v>250389</v>
      </c>
      <c r="AH192" s="239">
        <v>200311</v>
      </c>
      <c r="AI192" s="239">
        <v>45070</v>
      </c>
      <c r="AJ192" s="239">
        <v>5008</v>
      </c>
      <c r="AK192" s="239">
        <v>500778</v>
      </c>
      <c r="AL192" s="239">
        <v>-549226</v>
      </c>
      <c r="AM192" s="239">
        <v>-439382</v>
      </c>
      <c r="AN192" s="239">
        <v>-98861</v>
      </c>
      <c r="AO192" s="239">
        <v>-10985</v>
      </c>
      <c r="AP192" s="239">
        <v>-1098454</v>
      </c>
      <c r="AQ192" s="239">
        <v>-129859.92000000004</v>
      </c>
      <c r="AR192" s="239">
        <v>-103888</v>
      </c>
      <c r="AS192" s="239">
        <v>-23375</v>
      </c>
      <c r="AT192" s="239">
        <v>-2597</v>
      </c>
      <c r="AU192" s="239">
        <v>-259719.92000000004</v>
      </c>
      <c r="AV192" s="239">
        <v>68529</v>
      </c>
      <c r="AW192" s="239">
        <v>54824</v>
      </c>
      <c r="AX192" s="239">
        <v>12335</v>
      </c>
      <c r="AY192" s="239">
        <v>1371</v>
      </c>
      <c r="AZ192" s="239">
        <v>137059</v>
      </c>
      <c r="BA192" s="239">
        <v>-75224</v>
      </c>
      <c r="BB192" s="239">
        <v>-60180</v>
      </c>
      <c r="BC192" s="239">
        <v>-13541</v>
      </c>
      <c r="BD192" s="239">
        <v>-1505</v>
      </c>
      <c r="BE192" s="239">
        <v>-150450</v>
      </c>
      <c r="BF192" s="239">
        <v>-136554.92000000004</v>
      </c>
      <c r="BG192" s="239">
        <v>-109244</v>
      </c>
      <c r="BH192" s="239">
        <v>-24581</v>
      </c>
      <c r="BI192" s="239">
        <v>-2731</v>
      </c>
      <c r="BJ192" s="239">
        <v>-273110.92000000004</v>
      </c>
      <c r="BK192" s="239">
        <v>-4275696</v>
      </c>
      <c r="BL192" s="239">
        <v>-3420557</v>
      </c>
      <c r="BM192" s="239">
        <v>-769625</v>
      </c>
      <c r="BN192" s="239">
        <v>-85514</v>
      </c>
      <c r="BO192" s="239">
        <v>-8551392</v>
      </c>
      <c r="BP192" s="239">
        <v>1277839</v>
      </c>
      <c r="BQ192" s="239">
        <v>1022271</v>
      </c>
      <c r="BR192" s="239">
        <v>230011</v>
      </c>
      <c r="BS192" s="239">
        <v>25557</v>
      </c>
      <c r="BT192" s="239">
        <v>2555678</v>
      </c>
      <c r="BU192" s="239">
        <v>540225</v>
      </c>
      <c r="BV192" s="239">
        <v>432179</v>
      </c>
      <c r="BW192" s="239">
        <v>97240</v>
      </c>
      <c r="BX192" s="239">
        <v>10804</v>
      </c>
      <c r="BY192" s="239">
        <v>1080448</v>
      </c>
      <c r="BZ192" s="239">
        <v>-2457632</v>
      </c>
      <c r="CA192" s="239">
        <v>-1966107</v>
      </c>
      <c r="CB192" s="239">
        <v>-442374</v>
      </c>
      <c r="CC192" s="239">
        <v>-49153</v>
      </c>
      <c r="CD192" s="239">
        <v>-4915266</v>
      </c>
      <c r="CE192" s="239">
        <v>-90877</v>
      </c>
      <c r="CF192" s="239">
        <v>-72700</v>
      </c>
      <c r="CG192" s="239">
        <v>-16358</v>
      </c>
      <c r="CH192" s="239">
        <v>-1817</v>
      </c>
      <c r="CI192" s="239">
        <v>-181752</v>
      </c>
      <c r="CJ192" s="239">
        <v>741148</v>
      </c>
      <c r="CK192" s="239">
        <v>592919</v>
      </c>
      <c r="CL192" s="239">
        <v>133407</v>
      </c>
      <c r="CM192" s="239">
        <v>14823</v>
      </c>
      <c r="CN192" s="239">
        <v>1482297</v>
      </c>
      <c r="CO192" s="239">
        <v>-832025</v>
      </c>
      <c r="CP192" s="239">
        <v>-665619</v>
      </c>
      <c r="CQ192" s="239">
        <v>-149765</v>
      </c>
      <c r="CR192" s="239">
        <v>-16640</v>
      </c>
      <c r="CS192" s="239">
        <v>-1664049</v>
      </c>
      <c r="CT192" s="239">
        <v>28752030</v>
      </c>
      <c r="CU192" s="239">
        <v>23001624</v>
      </c>
      <c r="CV192" s="239">
        <v>5175365</v>
      </c>
      <c r="CW192" s="239">
        <v>575041</v>
      </c>
      <c r="CX192" s="239">
        <v>57504060</v>
      </c>
      <c r="CY192" s="239">
        <v>29125427</v>
      </c>
      <c r="CZ192" s="239">
        <v>23300342</v>
      </c>
      <c r="DA192" s="239">
        <v>5242577</v>
      </c>
      <c r="DB192" s="239">
        <v>582509</v>
      </c>
      <c r="DC192" s="239">
        <v>58250855</v>
      </c>
      <c r="DD192" s="239">
        <v>373397</v>
      </c>
      <c r="DE192" s="239">
        <v>298718</v>
      </c>
      <c r="DF192" s="239">
        <v>67212</v>
      </c>
      <c r="DG192" s="239">
        <v>7468</v>
      </c>
      <c r="DH192" s="239">
        <v>746795</v>
      </c>
      <c r="DI192" s="239">
        <v>-458628</v>
      </c>
      <c r="DJ192" s="239">
        <v>-366901</v>
      </c>
      <c r="DK192" s="239">
        <v>-82553</v>
      </c>
      <c r="DL192" s="239">
        <v>-9172</v>
      </c>
      <c r="DM192" s="239">
        <v>-917254</v>
      </c>
      <c r="DN192" s="835">
        <v>0.5</v>
      </c>
      <c r="DO192" s="835">
        <v>0.4</v>
      </c>
      <c r="DP192" s="835">
        <v>0.09</v>
      </c>
      <c r="DQ192" s="835">
        <v>0.01</v>
      </c>
      <c r="DR192" s="835">
        <v>1</v>
      </c>
      <c r="DS192" s="214" t="s">
        <v>1158</v>
      </c>
      <c r="DU192" s="214">
        <v>0</v>
      </c>
    </row>
    <row r="193" spans="1:125" s="214" customFormat="1" x14ac:dyDescent="0.2">
      <c r="A193" s="215"/>
      <c r="B193" s="602" t="s">
        <v>469</v>
      </c>
      <c r="C193" s="602" t="s">
        <v>468</v>
      </c>
      <c r="D193" s="239">
        <v>46465962</v>
      </c>
      <c r="E193" s="239">
        <v>37172770</v>
      </c>
      <c r="F193" s="239">
        <v>9293192</v>
      </c>
      <c r="G193" s="239">
        <v>0</v>
      </c>
      <c r="H193" s="239">
        <v>92931924</v>
      </c>
      <c r="I193" s="239">
        <v>1081902</v>
      </c>
      <c r="J193" s="239">
        <v>1081902</v>
      </c>
      <c r="K193" s="239">
        <v>45384060</v>
      </c>
      <c r="L193" s="239">
        <v>282973</v>
      </c>
      <c r="M193" s="239">
        <v>282973</v>
      </c>
      <c r="N193" s="239">
        <v>1260524</v>
      </c>
      <c r="O193" s="239">
        <v>1260524</v>
      </c>
      <c r="P193" s="239">
        <v>0</v>
      </c>
      <c r="Q193" s="239">
        <v>0</v>
      </c>
      <c r="R193" s="239">
        <v>0</v>
      </c>
      <c r="S193" s="239">
        <v>1081902.2381974249</v>
      </c>
      <c r="T193" s="239">
        <v>0</v>
      </c>
      <c r="U193" s="239">
        <v>0</v>
      </c>
      <c r="V193" s="239">
        <v>1081902.2381974249</v>
      </c>
      <c r="W193" s="239">
        <v>0</v>
      </c>
      <c r="X193" s="239">
        <v>0</v>
      </c>
      <c r="Y193" s="239">
        <v>0</v>
      </c>
      <c r="Z193" s="239">
        <v>0</v>
      </c>
      <c r="AA193" s="239">
        <v>0</v>
      </c>
      <c r="AB193" s="239">
        <v>0</v>
      </c>
      <c r="AC193" s="239">
        <v>2269196</v>
      </c>
      <c r="AD193" s="239">
        <v>542151</v>
      </c>
      <c r="AE193" s="239">
        <v>0</v>
      </c>
      <c r="AF193" s="239">
        <v>2811347</v>
      </c>
      <c r="AG193" s="239">
        <v>2040677</v>
      </c>
      <c r="AH193" s="239">
        <v>1632542</v>
      </c>
      <c r="AI193" s="239">
        <v>408136</v>
      </c>
      <c r="AJ193" s="239">
        <v>0</v>
      </c>
      <c r="AK193" s="239">
        <v>4081355</v>
      </c>
      <c r="AL193" s="239">
        <v>-1161736</v>
      </c>
      <c r="AM193" s="239">
        <v>-929389</v>
      </c>
      <c r="AN193" s="239">
        <v>-232347</v>
      </c>
      <c r="AO193" s="239">
        <v>0</v>
      </c>
      <c r="AP193" s="239">
        <v>-2323472</v>
      </c>
      <c r="AQ193" s="239">
        <v>-309998.73</v>
      </c>
      <c r="AR193" s="239">
        <v>-247999</v>
      </c>
      <c r="AS193" s="239">
        <v>-62000</v>
      </c>
      <c r="AT193" s="239">
        <v>0</v>
      </c>
      <c r="AU193" s="239">
        <v>-619997.73</v>
      </c>
      <c r="AV193" s="239">
        <v>309999</v>
      </c>
      <c r="AW193" s="239">
        <v>247999</v>
      </c>
      <c r="AX193" s="239">
        <v>62000</v>
      </c>
      <c r="AY193" s="239">
        <v>0</v>
      </c>
      <c r="AZ193" s="239">
        <v>619998</v>
      </c>
      <c r="BA193" s="239">
        <v>-824580</v>
      </c>
      <c r="BB193" s="239">
        <v>-659664</v>
      </c>
      <c r="BC193" s="239">
        <v>-164916</v>
      </c>
      <c r="BD193" s="239">
        <v>0</v>
      </c>
      <c r="BE193" s="239">
        <v>-1649160</v>
      </c>
      <c r="BF193" s="239">
        <v>-824579.73</v>
      </c>
      <c r="BG193" s="239">
        <v>-659664</v>
      </c>
      <c r="BH193" s="239">
        <v>-164916</v>
      </c>
      <c r="BI193" s="239">
        <v>0</v>
      </c>
      <c r="BJ193" s="239">
        <v>-1649159.73</v>
      </c>
      <c r="BK193" s="239">
        <v>-5933485.4000000004</v>
      </c>
      <c r="BL193" s="239">
        <v>-4746788</v>
      </c>
      <c r="BM193" s="239">
        <v>-1186697</v>
      </c>
      <c r="BN193" s="239">
        <v>0</v>
      </c>
      <c r="BO193" s="239">
        <v>-11866970.4</v>
      </c>
      <c r="BP193" s="239">
        <v>547602</v>
      </c>
      <c r="BQ193" s="239">
        <v>438082</v>
      </c>
      <c r="BR193" s="239">
        <v>109521</v>
      </c>
      <c r="BS193" s="239">
        <v>0</v>
      </c>
      <c r="BT193" s="239">
        <v>1095205</v>
      </c>
      <c r="BU193" s="239">
        <v>-1829820</v>
      </c>
      <c r="BV193" s="239">
        <v>-1463856</v>
      </c>
      <c r="BW193" s="239">
        <v>-365964</v>
      </c>
      <c r="BX193" s="239">
        <v>0</v>
      </c>
      <c r="BY193" s="239">
        <v>-3659640</v>
      </c>
      <c r="BZ193" s="239">
        <v>-7215703.4000000004</v>
      </c>
      <c r="CA193" s="239">
        <v>-5772562</v>
      </c>
      <c r="CB193" s="239">
        <v>-1443140</v>
      </c>
      <c r="CC193" s="239">
        <v>0</v>
      </c>
      <c r="CD193" s="239">
        <v>-14431405.4</v>
      </c>
      <c r="CE193" s="239">
        <v>-2052278</v>
      </c>
      <c r="CF193" s="239">
        <v>-1641822</v>
      </c>
      <c r="CG193" s="239">
        <v>-410456</v>
      </c>
      <c r="CH193" s="239">
        <v>0</v>
      </c>
      <c r="CI193" s="239">
        <v>-4104556</v>
      </c>
      <c r="CJ193" s="239">
        <v>-1399396</v>
      </c>
      <c r="CK193" s="239">
        <v>-1119517</v>
      </c>
      <c r="CL193" s="239">
        <v>-279879</v>
      </c>
      <c r="CM193" s="239">
        <v>0</v>
      </c>
      <c r="CN193" s="239">
        <v>-2798792</v>
      </c>
      <c r="CO193" s="239">
        <v>-652882</v>
      </c>
      <c r="CP193" s="239">
        <v>-522305</v>
      </c>
      <c r="CQ193" s="239">
        <v>-130577</v>
      </c>
      <c r="CR193" s="239">
        <v>0</v>
      </c>
      <c r="CS193" s="239">
        <v>-1305764</v>
      </c>
      <c r="CT193" s="239">
        <v>46097975</v>
      </c>
      <c r="CU193" s="239">
        <v>36878380</v>
      </c>
      <c r="CV193" s="239">
        <v>9219595</v>
      </c>
      <c r="CW193" s="239">
        <v>0</v>
      </c>
      <c r="CX193" s="239">
        <v>92195950</v>
      </c>
      <c r="CY193" s="239">
        <v>46465962</v>
      </c>
      <c r="CZ193" s="239">
        <v>37172770</v>
      </c>
      <c r="DA193" s="239">
        <v>9293192</v>
      </c>
      <c r="DB193" s="239">
        <v>0</v>
      </c>
      <c r="DC193" s="239">
        <v>92931924</v>
      </c>
      <c r="DD193" s="239">
        <v>367987</v>
      </c>
      <c r="DE193" s="239">
        <v>294390</v>
      </c>
      <c r="DF193" s="239">
        <v>73597</v>
      </c>
      <c r="DG193" s="239">
        <v>0</v>
      </c>
      <c r="DH193" s="239">
        <v>735974</v>
      </c>
      <c r="DI193" s="239">
        <v>-284895</v>
      </c>
      <c r="DJ193" s="239">
        <v>-227915</v>
      </c>
      <c r="DK193" s="239">
        <v>-56980</v>
      </c>
      <c r="DL193" s="239">
        <v>0</v>
      </c>
      <c r="DM193" s="239">
        <v>-569790</v>
      </c>
      <c r="DN193" s="835">
        <v>0.5</v>
      </c>
      <c r="DO193" s="835">
        <v>0.4</v>
      </c>
      <c r="DP193" s="835">
        <v>0.1</v>
      </c>
      <c r="DQ193" s="835">
        <v>0</v>
      </c>
      <c r="DR193" s="835">
        <v>1</v>
      </c>
      <c r="DS193" s="214" t="s">
        <v>1158</v>
      </c>
      <c r="DU193" s="214">
        <v>0</v>
      </c>
    </row>
    <row r="194" spans="1:125" s="214" customFormat="1" x14ac:dyDescent="0.2">
      <c r="B194" s="602" t="s">
        <v>471</v>
      </c>
      <c r="C194" s="602" t="s">
        <v>470</v>
      </c>
      <c r="D194" s="239">
        <v>37585371</v>
      </c>
      <c r="E194" s="239">
        <v>37585371</v>
      </c>
      <c r="F194" s="239">
        <v>0</v>
      </c>
      <c r="G194" s="239">
        <v>0</v>
      </c>
      <c r="H194" s="239">
        <v>75170742</v>
      </c>
      <c r="I194" s="239">
        <v>182075</v>
      </c>
      <c r="J194" s="239">
        <v>182075</v>
      </c>
      <c r="K194" s="239">
        <v>37403296</v>
      </c>
      <c r="L194" s="239">
        <v>479269</v>
      </c>
      <c r="M194" s="239">
        <v>479269</v>
      </c>
      <c r="N194" s="239">
        <v>132378</v>
      </c>
      <c r="O194" s="239">
        <v>132378</v>
      </c>
      <c r="P194" s="239">
        <v>2981307</v>
      </c>
      <c r="Q194" s="239">
        <v>0</v>
      </c>
      <c r="R194" s="239">
        <v>2981307</v>
      </c>
      <c r="S194" s="239">
        <v>182074.54935622317</v>
      </c>
      <c r="T194" s="239">
        <v>0</v>
      </c>
      <c r="U194" s="239">
        <v>0</v>
      </c>
      <c r="V194" s="239">
        <v>182074.54935622317</v>
      </c>
      <c r="W194" s="239">
        <v>0</v>
      </c>
      <c r="X194" s="239">
        <v>0</v>
      </c>
      <c r="Y194" s="239">
        <v>0</v>
      </c>
      <c r="Z194" s="239">
        <v>0</v>
      </c>
      <c r="AA194" s="239">
        <v>0</v>
      </c>
      <c r="AB194" s="239">
        <v>0</v>
      </c>
      <c r="AC194" s="239">
        <v>5376255</v>
      </c>
      <c r="AD194" s="239">
        <v>0</v>
      </c>
      <c r="AE194" s="239">
        <v>0</v>
      </c>
      <c r="AF194" s="239">
        <v>5376255</v>
      </c>
      <c r="AG194" s="239">
        <v>1384493</v>
      </c>
      <c r="AH194" s="239">
        <v>1384493</v>
      </c>
      <c r="AI194" s="239">
        <v>0</v>
      </c>
      <c r="AJ194" s="239">
        <v>0</v>
      </c>
      <c r="AK194" s="239">
        <v>2768986</v>
      </c>
      <c r="AL194" s="239">
        <v>-484804</v>
      </c>
      <c r="AM194" s="239">
        <v>-484804</v>
      </c>
      <c r="AN194" s="239">
        <v>0</v>
      </c>
      <c r="AO194" s="239">
        <v>0</v>
      </c>
      <c r="AP194" s="239">
        <v>-969608</v>
      </c>
      <c r="AQ194" s="239">
        <v>-785225.3</v>
      </c>
      <c r="AR194" s="239">
        <v>-785225</v>
      </c>
      <c r="AS194" s="239">
        <v>0</v>
      </c>
      <c r="AT194" s="239">
        <v>0</v>
      </c>
      <c r="AU194" s="239">
        <v>-1570450.3</v>
      </c>
      <c r="AV194" s="239">
        <v>294190</v>
      </c>
      <c r="AW194" s="239">
        <v>294191</v>
      </c>
      <c r="AX194" s="239">
        <v>0</v>
      </c>
      <c r="AY194" s="239">
        <v>0</v>
      </c>
      <c r="AZ194" s="239">
        <v>588381</v>
      </c>
      <c r="BA194" s="239">
        <v>-31723</v>
      </c>
      <c r="BB194" s="239">
        <v>-31723</v>
      </c>
      <c r="BC194" s="239">
        <v>0</v>
      </c>
      <c r="BD194" s="239">
        <v>0</v>
      </c>
      <c r="BE194" s="239">
        <v>-63446</v>
      </c>
      <c r="BF194" s="239">
        <v>-522758.30000000005</v>
      </c>
      <c r="BG194" s="239">
        <v>-522757</v>
      </c>
      <c r="BH194" s="239">
        <v>0</v>
      </c>
      <c r="BI194" s="239">
        <v>0</v>
      </c>
      <c r="BJ194" s="239">
        <v>-1045515.3</v>
      </c>
      <c r="BK194" s="239">
        <v>-4229296</v>
      </c>
      <c r="BL194" s="239">
        <v>-4229296</v>
      </c>
      <c r="BM194" s="239">
        <v>0</v>
      </c>
      <c r="BN194" s="239">
        <v>0</v>
      </c>
      <c r="BO194" s="239">
        <v>-8458592</v>
      </c>
      <c r="BP194" s="239">
        <v>3483597</v>
      </c>
      <c r="BQ194" s="239">
        <v>3483598</v>
      </c>
      <c r="BR194" s="239">
        <v>0</v>
      </c>
      <c r="BS194" s="239">
        <v>0</v>
      </c>
      <c r="BT194" s="239">
        <v>6967195</v>
      </c>
      <c r="BU194" s="239">
        <v>-4115042</v>
      </c>
      <c r="BV194" s="239">
        <v>-4115043</v>
      </c>
      <c r="BW194" s="239">
        <v>0</v>
      </c>
      <c r="BX194" s="239">
        <v>0</v>
      </c>
      <c r="BY194" s="239">
        <v>-8230085</v>
      </c>
      <c r="BZ194" s="239">
        <v>-4860741</v>
      </c>
      <c r="CA194" s="239">
        <v>-4860741</v>
      </c>
      <c r="CB194" s="239">
        <v>0</v>
      </c>
      <c r="CC194" s="239">
        <v>0</v>
      </c>
      <c r="CD194" s="239">
        <v>-9721482</v>
      </c>
      <c r="CE194" s="239">
        <v>-1169438</v>
      </c>
      <c r="CF194" s="239">
        <v>-1169438</v>
      </c>
      <c r="CG194" s="239">
        <v>0</v>
      </c>
      <c r="CH194" s="239">
        <v>0</v>
      </c>
      <c r="CI194" s="239">
        <v>-2338876</v>
      </c>
      <c r="CJ194" s="239">
        <v>-692905</v>
      </c>
      <c r="CK194" s="239">
        <v>-692906</v>
      </c>
      <c r="CL194" s="239">
        <v>0</v>
      </c>
      <c r="CM194" s="239">
        <v>0</v>
      </c>
      <c r="CN194" s="239">
        <v>-1385811</v>
      </c>
      <c r="CO194" s="239">
        <v>-476533</v>
      </c>
      <c r="CP194" s="239">
        <v>-476532</v>
      </c>
      <c r="CQ194" s="239">
        <v>0</v>
      </c>
      <c r="CR194" s="239">
        <v>0</v>
      </c>
      <c r="CS194" s="239">
        <v>-953065</v>
      </c>
      <c r="CT194" s="239">
        <v>37708285</v>
      </c>
      <c r="CU194" s="239">
        <v>37708286</v>
      </c>
      <c r="CV194" s="239">
        <v>0</v>
      </c>
      <c r="CW194" s="239">
        <v>0</v>
      </c>
      <c r="CX194" s="239">
        <v>75416571</v>
      </c>
      <c r="CY194" s="239">
        <v>37585371</v>
      </c>
      <c r="CZ194" s="239">
        <v>37585371</v>
      </c>
      <c r="DA194" s="239">
        <v>0</v>
      </c>
      <c r="DB194" s="239">
        <v>0</v>
      </c>
      <c r="DC194" s="239">
        <v>75170742</v>
      </c>
      <c r="DD194" s="239">
        <v>-122914</v>
      </c>
      <c r="DE194" s="239">
        <v>-122915</v>
      </c>
      <c r="DF194" s="239">
        <v>0</v>
      </c>
      <c r="DG194" s="239">
        <v>0</v>
      </c>
      <c r="DH194" s="239">
        <v>-245829</v>
      </c>
      <c r="DI194" s="239">
        <v>-599447</v>
      </c>
      <c r="DJ194" s="239">
        <v>-599447</v>
      </c>
      <c r="DK194" s="239">
        <v>0</v>
      </c>
      <c r="DL194" s="239">
        <v>0</v>
      </c>
      <c r="DM194" s="239">
        <v>-1198894</v>
      </c>
      <c r="DN194" s="835">
        <v>0.5</v>
      </c>
      <c r="DO194" s="835">
        <v>0.5</v>
      </c>
      <c r="DP194" s="835">
        <v>0</v>
      </c>
      <c r="DQ194" s="835">
        <v>0</v>
      </c>
      <c r="DR194" s="835">
        <v>1</v>
      </c>
      <c r="DS194" s="214" t="s">
        <v>746</v>
      </c>
      <c r="DU194" s="214">
        <v>0</v>
      </c>
    </row>
    <row r="195" spans="1:125" s="214" customFormat="1" x14ac:dyDescent="0.2">
      <c r="B195" s="602" t="s">
        <v>473</v>
      </c>
      <c r="C195" s="602" t="s">
        <v>472</v>
      </c>
      <c r="D195" s="239">
        <v>36335977</v>
      </c>
      <c r="E195" s="239">
        <v>29068782</v>
      </c>
      <c r="F195" s="239">
        <v>7267195</v>
      </c>
      <c r="G195" s="239">
        <v>0</v>
      </c>
      <c r="H195" s="239">
        <v>72671954</v>
      </c>
      <c r="I195" s="239">
        <v>0</v>
      </c>
      <c r="J195" s="239">
        <v>0</v>
      </c>
      <c r="K195" s="239">
        <v>36335977</v>
      </c>
      <c r="L195" s="239">
        <v>270765</v>
      </c>
      <c r="M195" s="239">
        <v>270765</v>
      </c>
      <c r="N195" s="239">
        <v>0</v>
      </c>
      <c r="O195" s="239">
        <v>0</v>
      </c>
      <c r="P195" s="239">
        <v>0</v>
      </c>
      <c r="Q195" s="239">
        <v>0</v>
      </c>
      <c r="R195" s="239">
        <v>0</v>
      </c>
      <c r="S195" s="239">
        <v>0</v>
      </c>
      <c r="T195" s="239">
        <v>0</v>
      </c>
      <c r="U195" s="239">
        <v>0</v>
      </c>
      <c r="V195" s="239">
        <v>0</v>
      </c>
      <c r="W195" s="239">
        <v>0</v>
      </c>
      <c r="X195" s="239">
        <v>0</v>
      </c>
      <c r="Y195" s="239">
        <v>0</v>
      </c>
      <c r="Z195" s="239">
        <v>0</v>
      </c>
      <c r="AA195" s="239">
        <v>0</v>
      </c>
      <c r="AB195" s="239">
        <v>0</v>
      </c>
      <c r="AC195" s="239">
        <v>2273746</v>
      </c>
      <c r="AD195" s="239">
        <v>568436</v>
      </c>
      <c r="AE195" s="239">
        <v>0</v>
      </c>
      <c r="AF195" s="239">
        <v>2842182</v>
      </c>
      <c r="AG195" s="239">
        <v>1505798</v>
      </c>
      <c r="AH195" s="239">
        <v>1204638</v>
      </c>
      <c r="AI195" s="239">
        <v>301160</v>
      </c>
      <c r="AJ195" s="239">
        <v>0</v>
      </c>
      <c r="AK195" s="239">
        <v>3011596</v>
      </c>
      <c r="AL195" s="239">
        <v>-460742</v>
      </c>
      <c r="AM195" s="239">
        <v>-368594</v>
      </c>
      <c r="AN195" s="239">
        <v>-92149</v>
      </c>
      <c r="AO195" s="239">
        <v>0</v>
      </c>
      <c r="AP195" s="239">
        <v>-921485</v>
      </c>
      <c r="AQ195" s="239">
        <v>-1019258</v>
      </c>
      <c r="AR195" s="239">
        <v>-815407</v>
      </c>
      <c r="AS195" s="239">
        <v>-203852</v>
      </c>
      <c r="AT195" s="239">
        <v>0</v>
      </c>
      <c r="AU195" s="239">
        <v>-2038517</v>
      </c>
      <c r="AV195" s="239">
        <v>335444</v>
      </c>
      <c r="AW195" s="239">
        <v>268356</v>
      </c>
      <c r="AX195" s="239">
        <v>67089</v>
      </c>
      <c r="AY195" s="239">
        <v>0</v>
      </c>
      <c r="AZ195" s="239">
        <v>670889</v>
      </c>
      <c r="BA195" s="239">
        <v>-99335</v>
      </c>
      <c r="BB195" s="239">
        <v>-79468</v>
      </c>
      <c r="BC195" s="239">
        <v>-19867</v>
      </c>
      <c r="BD195" s="239">
        <v>0</v>
      </c>
      <c r="BE195" s="239">
        <v>-198670</v>
      </c>
      <c r="BF195" s="239">
        <v>-783149</v>
      </c>
      <c r="BG195" s="239">
        <v>-626519</v>
      </c>
      <c r="BH195" s="239">
        <v>-156630</v>
      </c>
      <c r="BI195" s="239">
        <v>0</v>
      </c>
      <c r="BJ195" s="239">
        <v>-1566298</v>
      </c>
      <c r="BK195" s="239">
        <v>-2702823</v>
      </c>
      <c r="BL195" s="239">
        <v>-2162258</v>
      </c>
      <c r="BM195" s="239">
        <v>-540565</v>
      </c>
      <c r="BN195" s="239">
        <v>0</v>
      </c>
      <c r="BO195" s="239">
        <v>-5405646</v>
      </c>
      <c r="BP195" s="239">
        <v>1399857</v>
      </c>
      <c r="BQ195" s="239">
        <v>1119886</v>
      </c>
      <c r="BR195" s="239">
        <v>279971</v>
      </c>
      <c r="BS195" s="239">
        <v>0</v>
      </c>
      <c r="BT195" s="239">
        <v>2799714</v>
      </c>
      <c r="BU195" s="239">
        <v>-1848267</v>
      </c>
      <c r="BV195" s="239">
        <v>-1478613</v>
      </c>
      <c r="BW195" s="239">
        <v>-369653</v>
      </c>
      <c r="BX195" s="239">
        <v>0</v>
      </c>
      <c r="BY195" s="239">
        <v>-3696533</v>
      </c>
      <c r="BZ195" s="239">
        <v>-3151233</v>
      </c>
      <c r="CA195" s="239">
        <v>-2520985</v>
      </c>
      <c r="CB195" s="239">
        <v>-630247</v>
      </c>
      <c r="CC195" s="239">
        <v>0</v>
      </c>
      <c r="CD195" s="239">
        <v>-6302465</v>
      </c>
      <c r="CE195" s="239">
        <v>-61335</v>
      </c>
      <c r="CF195" s="239">
        <v>-49069</v>
      </c>
      <c r="CG195" s="239">
        <v>-12268</v>
      </c>
      <c r="CH195" s="239">
        <v>0</v>
      </c>
      <c r="CI195" s="239">
        <v>-122672</v>
      </c>
      <c r="CJ195" s="239">
        <v>-164788</v>
      </c>
      <c r="CK195" s="239">
        <v>-131830</v>
      </c>
      <c r="CL195" s="239">
        <v>-32958</v>
      </c>
      <c r="CM195" s="239">
        <v>0</v>
      </c>
      <c r="CN195" s="239">
        <v>-329576</v>
      </c>
      <c r="CO195" s="239">
        <v>103453</v>
      </c>
      <c r="CP195" s="239">
        <v>82761</v>
      </c>
      <c r="CQ195" s="239">
        <v>20690</v>
      </c>
      <c r="CR195" s="239">
        <v>0</v>
      </c>
      <c r="CS195" s="239">
        <v>206904</v>
      </c>
      <c r="CT195" s="239">
        <v>37712395</v>
      </c>
      <c r="CU195" s="239">
        <v>30169916</v>
      </c>
      <c r="CV195" s="239">
        <v>7542479</v>
      </c>
      <c r="CW195" s="239">
        <v>0</v>
      </c>
      <c r="CX195" s="239">
        <v>75424790</v>
      </c>
      <c r="CY195" s="239">
        <v>36335977</v>
      </c>
      <c r="CZ195" s="239">
        <v>29068782</v>
      </c>
      <c r="DA195" s="239">
        <v>7267195</v>
      </c>
      <c r="DB195" s="239">
        <v>0</v>
      </c>
      <c r="DC195" s="239">
        <v>72671954</v>
      </c>
      <c r="DD195" s="239">
        <v>-1376418</v>
      </c>
      <c r="DE195" s="239">
        <v>-1101134</v>
      </c>
      <c r="DF195" s="239">
        <v>-275284</v>
      </c>
      <c r="DG195" s="239">
        <v>0</v>
      </c>
      <c r="DH195" s="239">
        <v>-2752836</v>
      </c>
      <c r="DI195" s="239">
        <v>-1272965</v>
      </c>
      <c r="DJ195" s="239">
        <v>-1018373</v>
      </c>
      <c r="DK195" s="239">
        <v>-254594</v>
      </c>
      <c r="DL195" s="239">
        <v>0</v>
      </c>
      <c r="DM195" s="239">
        <v>-2545932</v>
      </c>
      <c r="DN195" s="835">
        <v>0.5</v>
      </c>
      <c r="DO195" s="835">
        <v>0.4</v>
      </c>
      <c r="DP195" s="835">
        <v>0.1</v>
      </c>
      <c r="DQ195" s="835">
        <v>0</v>
      </c>
      <c r="DR195" s="835">
        <v>1</v>
      </c>
      <c r="DS195" s="214" t="s">
        <v>1158</v>
      </c>
      <c r="DU195" s="214">
        <v>0</v>
      </c>
    </row>
    <row r="196" spans="1:125" s="214" customFormat="1" x14ac:dyDescent="0.2">
      <c r="B196" s="602" t="s">
        <v>475</v>
      </c>
      <c r="C196" s="602" t="s">
        <v>474</v>
      </c>
      <c r="D196" s="239">
        <v>67894522</v>
      </c>
      <c r="E196" s="239">
        <v>66536631</v>
      </c>
      <c r="F196" s="239">
        <v>0</v>
      </c>
      <c r="G196" s="239">
        <v>1357890</v>
      </c>
      <c r="H196" s="239">
        <v>135789043</v>
      </c>
      <c r="I196" s="239">
        <v>0</v>
      </c>
      <c r="J196" s="239">
        <v>0</v>
      </c>
      <c r="K196" s="239">
        <v>67894522</v>
      </c>
      <c r="L196" s="239">
        <v>493121</v>
      </c>
      <c r="M196" s="239">
        <v>493121</v>
      </c>
      <c r="N196" s="239">
        <v>0</v>
      </c>
      <c r="O196" s="239">
        <v>0</v>
      </c>
      <c r="P196" s="239">
        <v>0</v>
      </c>
      <c r="Q196" s="239">
        <v>0</v>
      </c>
      <c r="R196" s="239">
        <v>0</v>
      </c>
      <c r="S196" s="239">
        <v>0</v>
      </c>
      <c r="T196" s="239">
        <v>0</v>
      </c>
      <c r="U196" s="239">
        <v>0</v>
      </c>
      <c r="V196" s="239">
        <v>0</v>
      </c>
      <c r="W196" s="239">
        <v>0</v>
      </c>
      <c r="X196" s="239">
        <v>0</v>
      </c>
      <c r="Y196" s="239">
        <v>0</v>
      </c>
      <c r="Z196" s="239">
        <v>0</v>
      </c>
      <c r="AA196" s="239">
        <v>0</v>
      </c>
      <c r="AB196" s="239">
        <v>0</v>
      </c>
      <c r="AC196" s="239">
        <v>4788705</v>
      </c>
      <c r="AD196" s="239">
        <v>0</v>
      </c>
      <c r="AE196" s="239">
        <v>87022</v>
      </c>
      <c r="AF196" s="239">
        <v>4875727</v>
      </c>
      <c r="AG196" s="239">
        <v>5516798</v>
      </c>
      <c r="AH196" s="239">
        <v>5406462</v>
      </c>
      <c r="AI196" s="239">
        <v>0</v>
      </c>
      <c r="AJ196" s="239">
        <v>110336</v>
      </c>
      <c r="AK196" s="239">
        <v>11033596</v>
      </c>
      <c r="AL196" s="239">
        <v>-2193248</v>
      </c>
      <c r="AM196" s="239">
        <v>-2149384</v>
      </c>
      <c r="AN196" s="239">
        <v>0</v>
      </c>
      <c r="AO196" s="239">
        <v>-43865</v>
      </c>
      <c r="AP196" s="239">
        <v>-4386497</v>
      </c>
      <c r="AQ196" s="239">
        <v>-3309724</v>
      </c>
      <c r="AR196" s="239">
        <v>-3243531</v>
      </c>
      <c r="AS196" s="239">
        <v>0</v>
      </c>
      <c r="AT196" s="239">
        <v>-66195</v>
      </c>
      <c r="AU196" s="239">
        <v>-6619450</v>
      </c>
      <c r="AV196" s="239">
        <v>793132</v>
      </c>
      <c r="AW196" s="239">
        <v>777270</v>
      </c>
      <c r="AX196" s="239">
        <v>0</v>
      </c>
      <c r="AY196" s="239">
        <v>15863</v>
      </c>
      <c r="AZ196" s="239">
        <v>1586265</v>
      </c>
      <c r="BA196" s="239">
        <v>-865782</v>
      </c>
      <c r="BB196" s="239">
        <v>-848467</v>
      </c>
      <c r="BC196" s="239">
        <v>0</v>
      </c>
      <c r="BD196" s="239">
        <v>-17316</v>
      </c>
      <c r="BE196" s="239">
        <v>-1731565</v>
      </c>
      <c r="BF196" s="239">
        <v>-3382374</v>
      </c>
      <c r="BG196" s="239">
        <v>-3314728</v>
      </c>
      <c r="BH196" s="239">
        <v>0</v>
      </c>
      <c r="BI196" s="239">
        <v>-67648</v>
      </c>
      <c r="BJ196" s="239">
        <v>-6764750</v>
      </c>
      <c r="BK196" s="239">
        <v>-9494433</v>
      </c>
      <c r="BL196" s="239">
        <v>-9304545</v>
      </c>
      <c r="BM196" s="239">
        <v>0</v>
      </c>
      <c r="BN196" s="239">
        <v>-189889</v>
      </c>
      <c r="BO196" s="239">
        <v>-18988867</v>
      </c>
      <c r="BP196" s="239">
        <v>3372072</v>
      </c>
      <c r="BQ196" s="239">
        <v>3304631</v>
      </c>
      <c r="BR196" s="239">
        <v>0</v>
      </c>
      <c r="BS196" s="239">
        <v>67441</v>
      </c>
      <c r="BT196" s="239">
        <v>6744144</v>
      </c>
      <c r="BU196" s="239">
        <v>-779435</v>
      </c>
      <c r="BV196" s="239">
        <v>-763847</v>
      </c>
      <c r="BW196" s="239">
        <v>0</v>
      </c>
      <c r="BX196" s="239">
        <v>-15589</v>
      </c>
      <c r="BY196" s="239">
        <v>-1558871</v>
      </c>
      <c r="BZ196" s="239">
        <v>-6901796</v>
      </c>
      <c r="CA196" s="239">
        <v>-6763761</v>
      </c>
      <c r="CB196" s="239">
        <v>0</v>
      </c>
      <c r="CC196" s="239">
        <v>-138037</v>
      </c>
      <c r="CD196" s="239">
        <v>-13803594</v>
      </c>
      <c r="CE196" s="239">
        <v>-3063372</v>
      </c>
      <c r="CF196" s="239">
        <v>-3002103</v>
      </c>
      <c r="CG196" s="239">
        <v>0</v>
      </c>
      <c r="CH196" s="239">
        <v>-61267</v>
      </c>
      <c r="CI196" s="239">
        <v>-6126742</v>
      </c>
      <c r="CJ196" s="239">
        <v>-4293798</v>
      </c>
      <c r="CK196" s="239">
        <v>-4207922</v>
      </c>
      <c r="CL196" s="239">
        <v>0</v>
      </c>
      <c r="CM196" s="239">
        <v>-85876</v>
      </c>
      <c r="CN196" s="239">
        <v>-8587596</v>
      </c>
      <c r="CO196" s="239">
        <v>1230426</v>
      </c>
      <c r="CP196" s="239">
        <v>1205819</v>
      </c>
      <c r="CQ196" s="239">
        <v>0</v>
      </c>
      <c r="CR196" s="239">
        <v>24609</v>
      </c>
      <c r="CS196" s="239">
        <v>2460854</v>
      </c>
      <c r="CT196" s="239">
        <v>68866308</v>
      </c>
      <c r="CU196" s="239">
        <v>67488982</v>
      </c>
      <c r="CV196" s="239">
        <v>0</v>
      </c>
      <c r="CW196" s="239">
        <v>1377326</v>
      </c>
      <c r="CX196" s="239">
        <v>137732616</v>
      </c>
      <c r="CY196" s="239">
        <v>67894522</v>
      </c>
      <c r="CZ196" s="239">
        <v>66536631</v>
      </c>
      <c r="DA196" s="239">
        <v>0</v>
      </c>
      <c r="DB196" s="239">
        <v>1357890</v>
      </c>
      <c r="DC196" s="239">
        <v>135789043</v>
      </c>
      <c r="DD196" s="239">
        <v>-971786</v>
      </c>
      <c r="DE196" s="239">
        <v>-952351</v>
      </c>
      <c r="DF196" s="239">
        <v>0</v>
      </c>
      <c r="DG196" s="239">
        <v>-19436</v>
      </c>
      <c r="DH196" s="239">
        <v>-1943573</v>
      </c>
      <c r="DI196" s="239">
        <v>258640</v>
      </c>
      <c r="DJ196" s="239">
        <v>253468</v>
      </c>
      <c r="DK196" s="239">
        <v>0</v>
      </c>
      <c r="DL196" s="239">
        <v>5173</v>
      </c>
      <c r="DM196" s="239">
        <v>517281</v>
      </c>
      <c r="DN196" s="835">
        <v>0.5</v>
      </c>
      <c r="DO196" s="835">
        <v>0.49</v>
      </c>
      <c r="DP196" s="835">
        <v>0</v>
      </c>
      <c r="DQ196" s="835">
        <v>0.01</v>
      </c>
      <c r="DR196" s="835">
        <v>1</v>
      </c>
      <c r="DS196" s="214" t="s">
        <v>746</v>
      </c>
      <c r="DU196" s="214">
        <v>0</v>
      </c>
    </row>
    <row r="197" spans="1:125" s="214" customFormat="1" x14ac:dyDescent="0.2">
      <c r="B197" s="602" t="s">
        <v>477</v>
      </c>
      <c r="C197" s="602" t="s">
        <v>476</v>
      </c>
      <c r="D197" s="239">
        <v>16495734</v>
      </c>
      <c r="E197" s="239">
        <v>13196588</v>
      </c>
      <c r="F197" s="239">
        <v>3299147</v>
      </c>
      <c r="G197" s="239">
        <v>0</v>
      </c>
      <c r="H197" s="239">
        <v>32991469</v>
      </c>
      <c r="I197" s="239">
        <v>0</v>
      </c>
      <c r="J197" s="239">
        <v>0</v>
      </c>
      <c r="K197" s="239">
        <v>16495734</v>
      </c>
      <c r="L197" s="239">
        <v>130142</v>
      </c>
      <c r="M197" s="239">
        <v>130142</v>
      </c>
      <c r="N197" s="239">
        <v>0</v>
      </c>
      <c r="O197" s="239">
        <v>0</v>
      </c>
      <c r="P197" s="239">
        <v>0</v>
      </c>
      <c r="Q197" s="239">
        <v>0</v>
      </c>
      <c r="R197" s="239">
        <v>0</v>
      </c>
      <c r="S197" s="239">
        <v>0</v>
      </c>
      <c r="T197" s="239">
        <v>0</v>
      </c>
      <c r="U197" s="239">
        <v>0</v>
      </c>
      <c r="V197" s="239">
        <v>0</v>
      </c>
      <c r="W197" s="239">
        <v>0</v>
      </c>
      <c r="X197" s="239">
        <v>0</v>
      </c>
      <c r="Y197" s="239">
        <v>0</v>
      </c>
      <c r="Z197" s="239">
        <v>0</v>
      </c>
      <c r="AA197" s="239">
        <v>0</v>
      </c>
      <c r="AB197" s="239">
        <v>0</v>
      </c>
      <c r="AC197" s="239">
        <v>1249859</v>
      </c>
      <c r="AD197" s="239">
        <v>312465</v>
      </c>
      <c r="AE197" s="239">
        <v>0</v>
      </c>
      <c r="AF197" s="239">
        <v>1562324</v>
      </c>
      <c r="AG197" s="239">
        <v>567397</v>
      </c>
      <c r="AH197" s="239">
        <v>453918</v>
      </c>
      <c r="AI197" s="239">
        <v>113479</v>
      </c>
      <c r="AJ197" s="239">
        <v>0</v>
      </c>
      <c r="AK197" s="239">
        <v>1134794</v>
      </c>
      <c r="AL197" s="239">
        <v>-21927</v>
      </c>
      <c r="AM197" s="239">
        <v>-17542</v>
      </c>
      <c r="AN197" s="239">
        <v>-4385</v>
      </c>
      <c r="AO197" s="239">
        <v>0</v>
      </c>
      <c r="AP197" s="239">
        <v>-43854</v>
      </c>
      <c r="AQ197" s="239">
        <v>-151550</v>
      </c>
      <c r="AR197" s="239">
        <v>-121240</v>
      </c>
      <c r="AS197" s="239">
        <v>-30310</v>
      </c>
      <c r="AT197" s="239">
        <v>0</v>
      </c>
      <c r="AU197" s="239">
        <v>-303100</v>
      </c>
      <c r="AV197" s="239">
        <v>113401</v>
      </c>
      <c r="AW197" s="239">
        <v>90720</v>
      </c>
      <c r="AX197" s="239">
        <v>22680</v>
      </c>
      <c r="AY197" s="239">
        <v>0</v>
      </c>
      <c r="AZ197" s="239">
        <v>226801</v>
      </c>
      <c r="BA197" s="239">
        <v>-154701</v>
      </c>
      <c r="BB197" s="239">
        <v>-123760</v>
      </c>
      <c r="BC197" s="239">
        <v>-30940</v>
      </c>
      <c r="BD197" s="239">
        <v>0</v>
      </c>
      <c r="BE197" s="239">
        <v>-309401</v>
      </c>
      <c r="BF197" s="239">
        <v>-192850</v>
      </c>
      <c r="BG197" s="239">
        <v>-154280</v>
      </c>
      <c r="BH197" s="239">
        <v>-38570</v>
      </c>
      <c r="BI197" s="239">
        <v>0</v>
      </c>
      <c r="BJ197" s="239">
        <v>-385700</v>
      </c>
      <c r="BK197" s="239">
        <v>-1753217.5</v>
      </c>
      <c r="BL197" s="239">
        <v>-1402575</v>
      </c>
      <c r="BM197" s="239">
        <v>-350644</v>
      </c>
      <c r="BN197" s="239">
        <v>0</v>
      </c>
      <c r="BO197" s="239">
        <v>-3506436.5</v>
      </c>
      <c r="BP197" s="239">
        <v>352842</v>
      </c>
      <c r="BQ197" s="239">
        <v>282274</v>
      </c>
      <c r="BR197" s="239">
        <v>70568</v>
      </c>
      <c r="BS197" s="239">
        <v>0</v>
      </c>
      <c r="BT197" s="239">
        <v>705684</v>
      </c>
      <c r="BU197" s="239">
        <v>-628500</v>
      </c>
      <c r="BV197" s="239">
        <v>-502800</v>
      </c>
      <c r="BW197" s="239">
        <v>-125700</v>
      </c>
      <c r="BX197" s="239">
        <v>0</v>
      </c>
      <c r="BY197" s="239">
        <v>-1257000</v>
      </c>
      <c r="BZ197" s="239">
        <v>-2028875.5</v>
      </c>
      <c r="CA197" s="239">
        <v>-1623101</v>
      </c>
      <c r="CB197" s="239">
        <v>-405776</v>
      </c>
      <c r="CC197" s="239">
        <v>0</v>
      </c>
      <c r="CD197" s="239">
        <v>-4057752.5</v>
      </c>
      <c r="CE197" s="239">
        <v>563249</v>
      </c>
      <c r="CF197" s="239">
        <v>450599</v>
      </c>
      <c r="CG197" s="239">
        <v>112649</v>
      </c>
      <c r="CH197" s="239">
        <v>0</v>
      </c>
      <c r="CI197" s="239">
        <v>1126497</v>
      </c>
      <c r="CJ197" s="239">
        <v>295849</v>
      </c>
      <c r="CK197" s="239">
        <v>236679</v>
      </c>
      <c r="CL197" s="239">
        <v>59170</v>
      </c>
      <c r="CM197" s="239">
        <v>0</v>
      </c>
      <c r="CN197" s="239">
        <v>591698</v>
      </c>
      <c r="CO197" s="239">
        <v>267400</v>
      </c>
      <c r="CP197" s="239">
        <v>213920</v>
      </c>
      <c r="CQ197" s="239">
        <v>53479</v>
      </c>
      <c r="CR197" s="239">
        <v>0</v>
      </c>
      <c r="CS197" s="239">
        <v>534799</v>
      </c>
      <c r="CT197" s="239">
        <v>16720826</v>
      </c>
      <c r="CU197" s="239">
        <v>13376660</v>
      </c>
      <c r="CV197" s="239">
        <v>3344165</v>
      </c>
      <c r="CW197" s="239">
        <v>0</v>
      </c>
      <c r="CX197" s="239">
        <v>33441651</v>
      </c>
      <c r="CY197" s="239">
        <v>16495734</v>
      </c>
      <c r="CZ197" s="239">
        <v>13196588</v>
      </c>
      <c r="DA197" s="239">
        <v>3299147</v>
      </c>
      <c r="DB197" s="239">
        <v>0</v>
      </c>
      <c r="DC197" s="239">
        <v>32991469</v>
      </c>
      <c r="DD197" s="239">
        <v>-225092</v>
      </c>
      <c r="DE197" s="239">
        <v>-180072</v>
      </c>
      <c r="DF197" s="239">
        <v>-45018</v>
      </c>
      <c r="DG197" s="239">
        <v>0</v>
      </c>
      <c r="DH197" s="239">
        <v>-450182</v>
      </c>
      <c r="DI197" s="239">
        <v>42308</v>
      </c>
      <c r="DJ197" s="239">
        <v>33848</v>
      </c>
      <c r="DK197" s="239">
        <v>8461</v>
      </c>
      <c r="DL197" s="239">
        <v>0</v>
      </c>
      <c r="DM197" s="239">
        <v>84617</v>
      </c>
      <c r="DN197" s="835">
        <v>0.5</v>
      </c>
      <c r="DO197" s="835">
        <v>0.4</v>
      </c>
      <c r="DP197" s="835">
        <v>0.1</v>
      </c>
      <c r="DQ197" s="835">
        <v>0</v>
      </c>
      <c r="DR197" s="835">
        <v>1</v>
      </c>
      <c r="DS197" s="214" t="s">
        <v>1158</v>
      </c>
      <c r="DU197" s="214">
        <v>0</v>
      </c>
    </row>
    <row r="198" spans="1:125" s="214" customFormat="1" x14ac:dyDescent="0.2">
      <c r="B198" s="602" t="s">
        <v>479</v>
      </c>
      <c r="C198" s="602" t="s">
        <v>478</v>
      </c>
      <c r="D198" s="239">
        <v>5897778</v>
      </c>
      <c r="E198" s="239">
        <v>4718222</v>
      </c>
      <c r="F198" s="239">
        <v>1061600</v>
      </c>
      <c r="G198" s="239">
        <v>117956</v>
      </c>
      <c r="H198" s="239">
        <v>11795556</v>
      </c>
      <c r="I198" s="239">
        <v>0</v>
      </c>
      <c r="J198" s="239">
        <v>0</v>
      </c>
      <c r="K198" s="239">
        <v>5897778</v>
      </c>
      <c r="L198" s="239">
        <v>55691</v>
      </c>
      <c r="M198" s="239">
        <v>55691</v>
      </c>
      <c r="N198" s="239">
        <v>0</v>
      </c>
      <c r="O198" s="239">
        <v>0</v>
      </c>
      <c r="P198" s="239">
        <v>8039</v>
      </c>
      <c r="Q198" s="239">
        <v>0</v>
      </c>
      <c r="R198" s="239">
        <v>8039</v>
      </c>
      <c r="S198" s="239">
        <v>0</v>
      </c>
      <c r="T198" s="239">
        <v>0</v>
      </c>
      <c r="U198" s="239">
        <v>0</v>
      </c>
      <c r="V198" s="239">
        <v>0</v>
      </c>
      <c r="W198" s="239">
        <v>0</v>
      </c>
      <c r="X198" s="239">
        <v>0</v>
      </c>
      <c r="Y198" s="239">
        <v>0</v>
      </c>
      <c r="Z198" s="239">
        <v>0</v>
      </c>
      <c r="AA198" s="239">
        <v>0</v>
      </c>
      <c r="AB198" s="239">
        <v>0</v>
      </c>
      <c r="AC198" s="239">
        <v>615195</v>
      </c>
      <c r="AD198" s="239">
        <v>138393</v>
      </c>
      <c r="AE198" s="239">
        <v>15377</v>
      </c>
      <c r="AF198" s="239">
        <v>768965</v>
      </c>
      <c r="AG198" s="239">
        <v>370570</v>
      </c>
      <c r="AH198" s="239">
        <v>296456</v>
      </c>
      <c r="AI198" s="239">
        <v>66703</v>
      </c>
      <c r="AJ198" s="239">
        <v>7411</v>
      </c>
      <c r="AK198" s="239">
        <v>741140</v>
      </c>
      <c r="AL198" s="239">
        <v>-257653</v>
      </c>
      <c r="AM198" s="239">
        <v>-206122</v>
      </c>
      <c r="AN198" s="239">
        <v>-46377</v>
      </c>
      <c r="AO198" s="239">
        <v>-5153</v>
      </c>
      <c r="AP198" s="239">
        <v>-515305</v>
      </c>
      <c r="AQ198" s="239">
        <v>-148201.20000000001</v>
      </c>
      <c r="AR198" s="239">
        <v>-118561</v>
      </c>
      <c r="AS198" s="239">
        <v>-26676</v>
      </c>
      <c r="AT198" s="239">
        <v>-2964</v>
      </c>
      <c r="AU198" s="239">
        <v>-296402.2</v>
      </c>
      <c r="AV198" s="239">
        <v>127875</v>
      </c>
      <c r="AW198" s="239">
        <v>102301</v>
      </c>
      <c r="AX198" s="239">
        <v>23018</v>
      </c>
      <c r="AY198" s="239">
        <v>2558</v>
      </c>
      <c r="AZ198" s="239">
        <v>255752</v>
      </c>
      <c r="BA198" s="239">
        <v>-130136</v>
      </c>
      <c r="BB198" s="239">
        <v>-104108</v>
      </c>
      <c r="BC198" s="239">
        <v>-23424</v>
      </c>
      <c r="BD198" s="239">
        <v>-2603</v>
      </c>
      <c r="BE198" s="239">
        <v>-260271</v>
      </c>
      <c r="BF198" s="239">
        <v>-150462.20000000001</v>
      </c>
      <c r="BG198" s="239">
        <v>-120368</v>
      </c>
      <c r="BH198" s="239">
        <v>-27082</v>
      </c>
      <c r="BI198" s="239">
        <v>-3009</v>
      </c>
      <c r="BJ198" s="239">
        <v>-300921.2</v>
      </c>
      <c r="BK198" s="239">
        <v>-719414</v>
      </c>
      <c r="BL198" s="239">
        <v>-575532</v>
      </c>
      <c r="BM198" s="239">
        <v>-129495</v>
      </c>
      <c r="BN198" s="239">
        <v>-14388</v>
      </c>
      <c r="BO198" s="239">
        <v>-1438829</v>
      </c>
      <c r="BP198" s="239">
        <v>180000</v>
      </c>
      <c r="BQ198" s="239">
        <v>144000</v>
      </c>
      <c r="BR198" s="239">
        <v>32400</v>
      </c>
      <c r="BS198" s="239">
        <v>3600</v>
      </c>
      <c r="BT198" s="239">
        <v>360000</v>
      </c>
      <c r="BU198" s="239">
        <v>-236241</v>
      </c>
      <c r="BV198" s="239">
        <v>-188992</v>
      </c>
      <c r="BW198" s="239">
        <v>-42523</v>
      </c>
      <c r="BX198" s="239">
        <v>-4725</v>
      </c>
      <c r="BY198" s="239">
        <v>-472481</v>
      </c>
      <c r="BZ198" s="239">
        <v>-775655</v>
      </c>
      <c r="CA198" s="239">
        <v>-620524</v>
      </c>
      <c r="CB198" s="239">
        <v>-139618</v>
      </c>
      <c r="CC198" s="239">
        <v>-15513</v>
      </c>
      <c r="CD198" s="239">
        <v>-1551310</v>
      </c>
      <c r="CE198" s="239">
        <v>-69145</v>
      </c>
      <c r="CF198" s="239">
        <v>-55315</v>
      </c>
      <c r="CG198" s="239">
        <v>-12446</v>
      </c>
      <c r="CH198" s="239">
        <v>-1383</v>
      </c>
      <c r="CI198" s="239">
        <v>-138289</v>
      </c>
      <c r="CJ198" s="239">
        <v>49792</v>
      </c>
      <c r="CK198" s="239">
        <v>39834</v>
      </c>
      <c r="CL198" s="239">
        <v>8963</v>
      </c>
      <c r="CM198" s="239">
        <v>996</v>
      </c>
      <c r="CN198" s="239">
        <v>99585</v>
      </c>
      <c r="CO198" s="239">
        <v>-118937</v>
      </c>
      <c r="CP198" s="239">
        <v>-95149</v>
      </c>
      <c r="CQ198" s="239">
        <v>-21409</v>
      </c>
      <c r="CR198" s="239">
        <v>-2379</v>
      </c>
      <c r="CS198" s="239">
        <v>-237874</v>
      </c>
      <c r="CT198" s="239">
        <v>6019635</v>
      </c>
      <c r="CU198" s="239">
        <v>4815708</v>
      </c>
      <c r="CV198" s="239">
        <v>1083534</v>
      </c>
      <c r="CW198" s="239">
        <v>120393</v>
      </c>
      <c r="CX198" s="239">
        <v>12039270</v>
      </c>
      <c r="CY198" s="239">
        <v>5897778</v>
      </c>
      <c r="CZ198" s="239">
        <v>4718222</v>
      </c>
      <c r="DA198" s="239">
        <v>1061600</v>
      </c>
      <c r="DB198" s="239">
        <v>117956</v>
      </c>
      <c r="DC198" s="239">
        <v>11795556</v>
      </c>
      <c r="DD198" s="239">
        <v>-121857</v>
      </c>
      <c r="DE198" s="239">
        <v>-97486</v>
      </c>
      <c r="DF198" s="239">
        <v>-21934</v>
      </c>
      <c r="DG198" s="239">
        <v>-2437</v>
      </c>
      <c r="DH198" s="239">
        <v>-243714</v>
      </c>
      <c r="DI198" s="239">
        <v>-240794</v>
      </c>
      <c r="DJ198" s="239">
        <v>-192635</v>
      </c>
      <c r="DK198" s="239">
        <v>-43343</v>
      </c>
      <c r="DL198" s="239">
        <v>-4816</v>
      </c>
      <c r="DM198" s="239">
        <v>-481588</v>
      </c>
      <c r="DN198" s="835">
        <v>0.5</v>
      </c>
      <c r="DO198" s="835">
        <v>0.4</v>
      </c>
      <c r="DP198" s="835">
        <v>0.09</v>
      </c>
      <c r="DQ198" s="835">
        <v>0.01</v>
      </c>
      <c r="DR198" s="835">
        <v>1</v>
      </c>
      <c r="DS198" s="214" t="s">
        <v>1158</v>
      </c>
      <c r="DU198" s="214">
        <v>0</v>
      </c>
    </row>
    <row r="199" spans="1:125" s="214" customFormat="1" x14ac:dyDescent="0.2">
      <c r="B199" s="602" t="s">
        <v>481</v>
      </c>
      <c r="C199" s="602" t="s">
        <v>480</v>
      </c>
      <c r="D199" s="239">
        <v>0</v>
      </c>
      <c r="E199" s="239">
        <v>54818288</v>
      </c>
      <c r="F199" s="239">
        <v>0</v>
      </c>
      <c r="G199" s="239">
        <v>553720</v>
      </c>
      <c r="H199" s="239">
        <v>55372008</v>
      </c>
      <c r="I199" s="239">
        <v>0</v>
      </c>
      <c r="J199" s="239">
        <v>0</v>
      </c>
      <c r="K199" s="239">
        <v>0</v>
      </c>
      <c r="L199" s="239">
        <v>307642</v>
      </c>
      <c r="M199" s="239">
        <v>307642</v>
      </c>
      <c r="N199" s="239">
        <v>0</v>
      </c>
      <c r="O199" s="239">
        <v>0</v>
      </c>
      <c r="P199" s="239">
        <v>0</v>
      </c>
      <c r="Q199" s="239">
        <v>0</v>
      </c>
      <c r="R199" s="239">
        <v>0</v>
      </c>
      <c r="S199" s="239">
        <v>0</v>
      </c>
      <c r="T199" s="239">
        <v>0</v>
      </c>
      <c r="U199" s="239">
        <v>0</v>
      </c>
      <c r="V199" s="239">
        <v>0</v>
      </c>
      <c r="W199" s="239">
        <v>0</v>
      </c>
      <c r="X199" s="239">
        <v>0</v>
      </c>
      <c r="Y199" s="239">
        <v>0</v>
      </c>
      <c r="Z199" s="239">
        <v>0</v>
      </c>
      <c r="AA199" s="239">
        <v>0</v>
      </c>
      <c r="AB199" s="239">
        <v>0</v>
      </c>
      <c r="AC199" s="239">
        <v>7450643</v>
      </c>
      <c r="AD199" s="239">
        <v>0</v>
      </c>
      <c r="AE199" s="239">
        <v>75259</v>
      </c>
      <c r="AF199" s="239">
        <v>7525902</v>
      </c>
      <c r="AG199" s="239">
        <v>0</v>
      </c>
      <c r="AH199" s="239">
        <v>6258227</v>
      </c>
      <c r="AI199" s="239">
        <v>0</v>
      </c>
      <c r="AJ199" s="239">
        <v>63214</v>
      </c>
      <c r="AK199" s="239">
        <v>6321441</v>
      </c>
      <c r="AL199" s="239">
        <v>0</v>
      </c>
      <c r="AM199" s="239">
        <v>-2242894</v>
      </c>
      <c r="AN199" s="239">
        <v>0</v>
      </c>
      <c r="AO199" s="239">
        <v>-22655</v>
      </c>
      <c r="AP199" s="239">
        <v>-2265549</v>
      </c>
      <c r="AQ199" s="239">
        <v>0</v>
      </c>
      <c r="AR199" s="239">
        <v>-3611535</v>
      </c>
      <c r="AS199" s="239">
        <v>0</v>
      </c>
      <c r="AT199" s="239">
        <v>-36480</v>
      </c>
      <c r="AU199" s="239">
        <v>-3648015</v>
      </c>
      <c r="AV199" s="239">
        <v>0</v>
      </c>
      <c r="AW199" s="239">
        <v>1421084</v>
      </c>
      <c r="AX199" s="239">
        <v>0</v>
      </c>
      <c r="AY199" s="239">
        <v>14354</v>
      </c>
      <c r="AZ199" s="239">
        <v>1435438</v>
      </c>
      <c r="BA199" s="239">
        <v>0</v>
      </c>
      <c r="BB199" s="239">
        <v>-1722967</v>
      </c>
      <c r="BC199" s="239">
        <v>0</v>
      </c>
      <c r="BD199" s="239">
        <v>-17404</v>
      </c>
      <c r="BE199" s="239">
        <v>-1740371</v>
      </c>
      <c r="BF199" s="239">
        <v>0</v>
      </c>
      <c r="BG199" s="239">
        <v>-3913418</v>
      </c>
      <c r="BH199" s="239">
        <v>0</v>
      </c>
      <c r="BI199" s="239">
        <v>-39530</v>
      </c>
      <c r="BJ199" s="239">
        <v>-3952948</v>
      </c>
      <c r="BK199" s="239">
        <v>0</v>
      </c>
      <c r="BL199" s="239">
        <v>-7602815</v>
      </c>
      <c r="BM199" s="239">
        <v>0</v>
      </c>
      <c r="BN199" s="239">
        <v>-76796</v>
      </c>
      <c r="BO199" s="239">
        <v>-7679611</v>
      </c>
      <c r="BP199" s="239">
        <v>0</v>
      </c>
      <c r="BQ199" s="239">
        <v>617998</v>
      </c>
      <c r="BR199" s="239">
        <v>0</v>
      </c>
      <c r="BS199" s="239">
        <v>6242</v>
      </c>
      <c r="BT199" s="239">
        <v>624240</v>
      </c>
      <c r="BU199" s="239">
        <v>0</v>
      </c>
      <c r="BV199" s="239">
        <v>-9180</v>
      </c>
      <c r="BW199" s="239">
        <v>0</v>
      </c>
      <c r="BX199" s="239">
        <v>-93</v>
      </c>
      <c r="BY199" s="239">
        <v>-9273</v>
      </c>
      <c r="BZ199" s="239">
        <v>0</v>
      </c>
      <c r="CA199" s="239">
        <v>-6993997</v>
      </c>
      <c r="CB199" s="239">
        <v>0</v>
      </c>
      <c r="CC199" s="239">
        <v>-70647</v>
      </c>
      <c r="CD199" s="239">
        <v>-7064644</v>
      </c>
      <c r="CE199" s="239">
        <v>-1323636</v>
      </c>
      <c r="CF199" s="239">
        <v>-1297163</v>
      </c>
      <c r="CG199" s="239">
        <v>0</v>
      </c>
      <c r="CH199" s="239">
        <v>-26472</v>
      </c>
      <c r="CI199" s="239">
        <v>-2647271</v>
      </c>
      <c r="CJ199" s="239">
        <v>0</v>
      </c>
      <c r="CK199" s="239">
        <v>0</v>
      </c>
      <c r="CL199" s="239">
        <v>0</v>
      </c>
      <c r="CM199" s="239">
        <v>0</v>
      </c>
      <c r="CN199" s="239">
        <v>0</v>
      </c>
      <c r="CO199" s="239">
        <v>-1323636</v>
      </c>
      <c r="CP199" s="239">
        <v>-1297163</v>
      </c>
      <c r="CQ199" s="239">
        <v>0</v>
      </c>
      <c r="CR199" s="239">
        <v>-26472</v>
      </c>
      <c r="CS199" s="239">
        <v>-2647271</v>
      </c>
      <c r="CT199" s="239">
        <v>0</v>
      </c>
      <c r="CU199" s="239">
        <v>53525755</v>
      </c>
      <c r="CV199" s="239">
        <v>0</v>
      </c>
      <c r="CW199" s="239">
        <v>540664</v>
      </c>
      <c r="CX199" s="239">
        <v>54066419</v>
      </c>
      <c r="CY199" s="239">
        <v>0</v>
      </c>
      <c r="CZ199" s="239">
        <v>54818288</v>
      </c>
      <c r="DA199" s="239">
        <v>0</v>
      </c>
      <c r="DB199" s="239">
        <v>553720</v>
      </c>
      <c r="DC199" s="239">
        <v>55372008</v>
      </c>
      <c r="DD199" s="239">
        <v>0</v>
      </c>
      <c r="DE199" s="239">
        <v>1292533</v>
      </c>
      <c r="DF199" s="239">
        <v>0</v>
      </c>
      <c r="DG199" s="239">
        <v>13056</v>
      </c>
      <c r="DH199" s="239">
        <v>1305589</v>
      </c>
      <c r="DI199" s="239">
        <v>-1323636</v>
      </c>
      <c r="DJ199" s="239">
        <v>-4630</v>
      </c>
      <c r="DK199" s="239">
        <v>0</v>
      </c>
      <c r="DL199" s="239">
        <v>-13416</v>
      </c>
      <c r="DM199" s="239">
        <v>-1341682</v>
      </c>
      <c r="DN199" s="835">
        <v>0</v>
      </c>
      <c r="DO199" s="835">
        <v>0.99</v>
      </c>
      <c r="DP199" s="835">
        <v>0</v>
      </c>
      <c r="DQ199" s="835">
        <v>0.01</v>
      </c>
      <c r="DR199" s="835">
        <v>1</v>
      </c>
      <c r="DS199" s="214" t="s">
        <v>1160</v>
      </c>
      <c r="DU199" s="214">
        <v>0</v>
      </c>
    </row>
    <row r="200" spans="1:125" s="214" customFormat="1" x14ac:dyDescent="0.2">
      <c r="B200" s="602" t="s">
        <v>483</v>
      </c>
      <c r="C200" s="602" t="s">
        <v>482</v>
      </c>
      <c r="D200" s="239">
        <v>45617187</v>
      </c>
      <c r="E200" s="239">
        <v>36493750</v>
      </c>
      <c r="F200" s="239">
        <v>9123437</v>
      </c>
      <c r="G200" s="239">
        <v>0</v>
      </c>
      <c r="H200" s="239">
        <v>91234374</v>
      </c>
      <c r="I200" s="239">
        <v>0</v>
      </c>
      <c r="J200" s="239">
        <v>0</v>
      </c>
      <c r="K200" s="239">
        <v>45617187</v>
      </c>
      <c r="L200" s="239">
        <v>218144</v>
      </c>
      <c r="M200" s="239">
        <v>218144</v>
      </c>
      <c r="N200" s="239">
        <v>0</v>
      </c>
      <c r="O200" s="239">
        <v>0</v>
      </c>
      <c r="P200" s="239">
        <v>11078</v>
      </c>
      <c r="Q200" s="239">
        <v>1509</v>
      </c>
      <c r="R200" s="239">
        <v>12587</v>
      </c>
      <c r="S200" s="239">
        <v>0</v>
      </c>
      <c r="T200" s="239">
        <v>0</v>
      </c>
      <c r="U200" s="239">
        <v>0</v>
      </c>
      <c r="V200" s="239">
        <v>0</v>
      </c>
      <c r="W200" s="239">
        <v>0</v>
      </c>
      <c r="X200" s="239">
        <v>0</v>
      </c>
      <c r="Y200" s="239">
        <v>0</v>
      </c>
      <c r="Z200" s="239">
        <v>0</v>
      </c>
      <c r="AA200" s="239">
        <v>0</v>
      </c>
      <c r="AB200" s="239">
        <v>0</v>
      </c>
      <c r="AC200" s="239">
        <v>1439694</v>
      </c>
      <c r="AD200" s="239">
        <v>359903</v>
      </c>
      <c r="AE200" s="239">
        <v>0</v>
      </c>
      <c r="AF200" s="239">
        <v>1799597</v>
      </c>
      <c r="AG200" s="239">
        <v>1884136</v>
      </c>
      <c r="AH200" s="239">
        <v>1507308</v>
      </c>
      <c r="AI200" s="239">
        <v>376827</v>
      </c>
      <c r="AJ200" s="239">
        <v>0</v>
      </c>
      <c r="AK200" s="239">
        <v>3768271</v>
      </c>
      <c r="AL200" s="239">
        <v>-1676692</v>
      </c>
      <c r="AM200" s="239">
        <v>-1341354</v>
      </c>
      <c r="AN200" s="239">
        <v>-335338</v>
      </c>
      <c r="AO200" s="239">
        <v>0</v>
      </c>
      <c r="AP200" s="239">
        <v>-3353384</v>
      </c>
      <c r="AQ200" s="239">
        <v>-565792</v>
      </c>
      <c r="AR200" s="239">
        <v>-452634</v>
      </c>
      <c r="AS200" s="239">
        <v>-113158</v>
      </c>
      <c r="AT200" s="239">
        <v>0</v>
      </c>
      <c r="AU200" s="239">
        <v>-1131584</v>
      </c>
      <c r="AV200" s="239">
        <v>0</v>
      </c>
      <c r="AW200" s="239">
        <v>0</v>
      </c>
      <c r="AX200" s="239">
        <v>0</v>
      </c>
      <c r="AY200" s="239">
        <v>0</v>
      </c>
      <c r="AZ200" s="239">
        <v>0</v>
      </c>
      <c r="BA200" s="239">
        <v>-236316</v>
      </c>
      <c r="BB200" s="239">
        <v>-189053</v>
      </c>
      <c r="BC200" s="239">
        <v>-47263</v>
      </c>
      <c r="BD200" s="239">
        <v>0</v>
      </c>
      <c r="BE200" s="239">
        <v>-472632</v>
      </c>
      <c r="BF200" s="239">
        <v>-802108</v>
      </c>
      <c r="BG200" s="239">
        <v>-641687</v>
      </c>
      <c r="BH200" s="239">
        <v>-160421</v>
      </c>
      <c r="BI200" s="239">
        <v>0</v>
      </c>
      <c r="BJ200" s="239">
        <v>-1604216</v>
      </c>
      <c r="BK200" s="239">
        <v>-6452042</v>
      </c>
      <c r="BL200" s="239">
        <v>-5161634</v>
      </c>
      <c r="BM200" s="239">
        <v>-1290409</v>
      </c>
      <c r="BN200" s="239">
        <v>0</v>
      </c>
      <c r="BO200" s="239">
        <v>-12904085</v>
      </c>
      <c r="BP200" s="239">
        <v>2563567</v>
      </c>
      <c r="BQ200" s="239">
        <v>2050853</v>
      </c>
      <c r="BR200" s="239">
        <v>512713</v>
      </c>
      <c r="BS200" s="239">
        <v>0</v>
      </c>
      <c r="BT200" s="239">
        <v>5127133</v>
      </c>
      <c r="BU200" s="239">
        <v>-1675064</v>
      </c>
      <c r="BV200" s="239">
        <v>-1340051</v>
      </c>
      <c r="BW200" s="239">
        <v>-335013</v>
      </c>
      <c r="BX200" s="239">
        <v>0</v>
      </c>
      <c r="BY200" s="239">
        <v>-3350128</v>
      </c>
      <c r="BZ200" s="239">
        <v>-5563539</v>
      </c>
      <c r="CA200" s="239">
        <v>-4450832</v>
      </c>
      <c r="CB200" s="239">
        <v>-1112709</v>
      </c>
      <c r="CC200" s="239">
        <v>0</v>
      </c>
      <c r="CD200" s="239">
        <v>-11127080</v>
      </c>
      <c r="CE200" s="239">
        <v>680012</v>
      </c>
      <c r="CF200" s="239">
        <v>544010</v>
      </c>
      <c r="CG200" s="239">
        <v>136003</v>
      </c>
      <c r="CH200" s="239">
        <v>0</v>
      </c>
      <c r="CI200" s="239">
        <v>1360025</v>
      </c>
      <c r="CJ200" s="239">
        <v>256917</v>
      </c>
      <c r="CK200" s="239">
        <v>205533</v>
      </c>
      <c r="CL200" s="239">
        <v>51383</v>
      </c>
      <c r="CM200" s="239">
        <v>0</v>
      </c>
      <c r="CN200" s="239">
        <v>513833</v>
      </c>
      <c r="CO200" s="239">
        <v>423095</v>
      </c>
      <c r="CP200" s="239">
        <v>338477</v>
      </c>
      <c r="CQ200" s="239">
        <v>84620</v>
      </c>
      <c r="CR200" s="239">
        <v>0</v>
      </c>
      <c r="CS200" s="239">
        <v>846192</v>
      </c>
      <c r="CT200" s="239">
        <v>45414246</v>
      </c>
      <c r="CU200" s="239">
        <v>36331396</v>
      </c>
      <c r="CV200" s="239">
        <v>9082849</v>
      </c>
      <c r="CW200" s="239">
        <v>0</v>
      </c>
      <c r="CX200" s="239">
        <v>90828491</v>
      </c>
      <c r="CY200" s="239">
        <v>45617187</v>
      </c>
      <c r="CZ200" s="239">
        <v>36493750</v>
      </c>
      <c r="DA200" s="239">
        <v>9123437</v>
      </c>
      <c r="DB200" s="239">
        <v>0</v>
      </c>
      <c r="DC200" s="239">
        <v>91234374</v>
      </c>
      <c r="DD200" s="239">
        <v>202941</v>
      </c>
      <c r="DE200" s="239">
        <v>162354</v>
      </c>
      <c r="DF200" s="239">
        <v>40588</v>
      </c>
      <c r="DG200" s="239">
        <v>0</v>
      </c>
      <c r="DH200" s="239">
        <v>405883</v>
      </c>
      <c r="DI200" s="239">
        <v>626036</v>
      </c>
      <c r="DJ200" s="239">
        <v>500831</v>
      </c>
      <c r="DK200" s="239">
        <v>125208</v>
      </c>
      <c r="DL200" s="239">
        <v>0</v>
      </c>
      <c r="DM200" s="239">
        <v>1252075</v>
      </c>
      <c r="DN200" s="835">
        <v>0.5</v>
      </c>
      <c r="DO200" s="835">
        <v>0.4</v>
      </c>
      <c r="DP200" s="835">
        <v>0.1</v>
      </c>
      <c r="DQ200" s="835">
        <v>0</v>
      </c>
      <c r="DR200" s="835">
        <v>1</v>
      </c>
      <c r="DS200" s="214" t="s">
        <v>1158</v>
      </c>
      <c r="DU200" s="214">
        <v>0</v>
      </c>
    </row>
    <row r="201" spans="1:125" s="214" customFormat="1" x14ac:dyDescent="0.2">
      <c r="B201" s="602" t="s">
        <v>485</v>
      </c>
      <c r="C201" s="602" t="s">
        <v>484</v>
      </c>
      <c r="D201" s="239">
        <v>8948666</v>
      </c>
      <c r="E201" s="239">
        <v>7158933</v>
      </c>
      <c r="F201" s="239">
        <v>1610760</v>
      </c>
      <c r="G201" s="239">
        <v>178973</v>
      </c>
      <c r="H201" s="239">
        <v>17897332</v>
      </c>
      <c r="I201" s="239">
        <v>0</v>
      </c>
      <c r="J201" s="239">
        <v>0</v>
      </c>
      <c r="K201" s="239">
        <v>8948666</v>
      </c>
      <c r="L201" s="239">
        <v>133965</v>
      </c>
      <c r="M201" s="239">
        <v>133965</v>
      </c>
      <c r="N201" s="239">
        <v>0</v>
      </c>
      <c r="O201" s="239">
        <v>0</v>
      </c>
      <c r="P201" s="239">
        <v>0</v>
      </c>
      <c r="Q201" s="239">
        <v>0</v>
      </c>
      <c r="R201" s="239">
        <v>0</v>
      </c>
      <c r="S201" s="239">
        <v>0</v>
      </c>
      <c r="T201" s="239">
        <v>0</v>
      </c>
      <c r="U201" s="239">
        <v>0</v>
      </c>
      <c r="V201" s="239">
        <v>0</v>
      </c>
      <c r="W201" s="239">
        <v>0</v>
      </c>
      <c r="X201" s="239">
        <v>0</v>
      </c>
      <c r="Y201" s="239">
        <v>0</v>
      </c>
      <c r="Z201" s="239">
        <v>0</v>
      </c>
      <c r="AA201" s="239">
        <v>0</v>
      </c>
      <c r="AB201" s="239">
        <v>0</v>
      </c>
      <c r="AC201" s="239">
        <v>1071057</v>
      </c>
      <c r="AD201" s="239">
        <v>240987</v>
      </c>
      <c r="AE201" s="239">
        <v>26776</v>
      </c>
      <c r="AF201" s="239">
        <v>1338820</v>
      </c>
      <c r="AG201" s="239">
        <v>300589</v>
      </c>
      <c r="AH201" s="239">
        <v>240471</v>
      </c>
      <c r="AI201" s="239">
        <v>54106</v>
      </c>
      <c r="AJ201" s="239">
        <v>6012</v>
      </c>
      <c r="AK201" s="239">
        <v>601178</v>
      </c>
      <c r="AL201" s="239">
        <v>-135236</v>
      </c>
      <c r="AM201" s="239">
        <v>-108189</v>
      </c>
      <c r="AN201" s="239">
        <v>-24342</v>
      </c>
      <c r="AO201" s="239">
        <v>-2705</v>
      </c>
      <c r="AP201" s="239">
        <v>-270472</v>
      </c>
      <c r="AQ201" s="239">
        <v>-340000</v>
      </c>
      <c r="AR201" s="239">
        <v>-272000</v>
      </c>
      <c r="AS201" s="239">
        <v>-61200</v>
      </c>
      <c r="AT201" s="239">
        <v>-6800</v>
      </c>
      <c r="AU201" s="239">
        <v>-680000</v>
      </c>
      <c r="AV201" s="239">
        <v>0</v>
      </c>
      <c r="AW201" s="239">
        <v>0</v>
      </c>
      <c r="AX201" s="239">
        <v>0</v>
      </c>
      <c r="AY201" s="239">
        <v>0</v>
      </c>
      <c r="AZ201" s="239">
        <v>0</v>
      </c>
      <c r="BA201" s="239">
        <v>15000</v>
      </c>
      <c r="BB201" s="239">
        <v>12000</v>
      </c>
      <c r="BC201" s="239">
        <v>2700</v>
      </c>
      <c r="BD201" s="239">
        <v>300</v>
      </c>
      <c r="BE201" s="239">
        <v>30000</v>
      </c>
      <c r="BF201" s="239">
        <v>-325000</v>
      </c>
      <c r="BG201" s="239">
        <v>-260000</v>
      </c>
      <c r="BH201" s="239">
        <v>-58500</v>
      </c>
      <c r="BI201" s="239">
        <v>-6500</v>
      </c>
      <c r="BJ201" s="239">
        <v>-650000</v>
      </c>
      <c r="BK201" s="239">
        <v>-1593500</v>
      </c>
      <c r="BL201" s="239">
        <v>-1274800</v>
      </c>
      <c r="BM201" s="239">
        <v>-286830</v>
      </c>
      <c r="BN201" s="239">
        <v>-31870</v>
      </c>
      <c r="BO201" s="239">
        <v>-3187000</v>
      </c>
      <c r="BP201" s="239">
        <v>308089</v>
      </c>
      <c r="BQ201" s="239">
        <v>246471</v>
      </c>
      <c r="BR201" s="239">
        <v>55456</v>
      </c>
      <c r="BS201" s="239">
        <v>6162</v>
      </c>
      <c r="BT201" s="239">
        <v>616178</v>
      </c>
      <c r="BU201" s="239">
        <v>-279089</v>
      </c>
      <c r="BV201" s="239">
        <v>-223271</v>
      </c>
      <c r="BW201" s="239">
        <v>-50236</v>
      </c>
      <c r="BX201" s="239">
        <v>-5582</v>
      </c>
      <c r="BY201" s="239">
        <v>-558178</v>
      </c>
      <c r="BZ201" s="239">
        <v>-1564500</v>
      </c>
      <c r="CA201" s="239">
        <v>-1251600</v>
      </c>
      <c r="CB201" s="239">
        <v>-281610</v>
      </c>
      <c r="CC201" s="239">
        <v>-31290</v>
      </c>
      <c r="CD201" s="239">
        <v>-3129000</v>
      </c>
      <c r="CE201" s="239">
        <v>-28337</v>
      </c>
      <c r="CF201" s="239">
        <v>-22668</v>
      </c>
      <c r="CG201" s="239">
        <v>-5100</v>
      </c>
      <c r="CH201" s="239">
        <v>-567</v>
      </c>
      <c r="CI201" s="239">
        <v>-56672</v>
      </c>
      <c r="CJ201" s="239">
        <v>-523931</v>
      </c>
      <c r="CK201" s="239">
        <v>-419146</v>
      </c>
      <c r="CL201" s="239">
        <v>-94308</v>
      </c>
      <c r="CM201" s="239">
        <v>-10479</v>
      </c>
      <c r="CN201" s="239">
        <v>-1047864</v>
      </c>
      <c r="CO201" s="239">
        <v>495594</v>
      </c>
      <c r="CP201" s="239">
        <v>396478</v>
      </c>
      <c r="CQ201" s="239">
        <v>89208</v>
      </c>
      <c r="CR201" s="239">
        <v>9912</v>
      </c>
      <c r="CS201" s="239">
        <v>991192</v>
      </c>
      <c r="CT201" s="239">
        <v>8500094</v>
      </c>
      <c r="CU201" s="239">
        <v>6800075</v>
      </c>
      <c r="CV201" s="239">
        <v>1530017</v>
      </c>
      <c r="CW201" s="239">
        <v>170002</v>
      </c>
      <c r="CX201" s="239">
        <v>17000188</v>
      </c>
      <c r="CY201" s="239">
        <v>8948666</v>
      </c>
      <c r="CZ201" s="239">
        <v>7158933</v>
      </c>
      <c r="DA201" s="239">
        <v>1610760</v>
      </c>
      <c r="DB201" s="239">
        <v>178973</v>
      </c>
      <c r="DC201" s="239">
        <v>17897332</v>
      </c>
      <c r="DD201" s="239">
        <v>448572</v>
      </c>
      <c r="DE201" s="239">
        <v>358858</v>
      </c>
      <c r="DF201" s="239">
        <v>80743</v>
      </c>
      <c r="DG201" s="239">
        <v>8971</v>
      </c>
      <c r="DH201" s="239">
        <v>897144</v>
      </c>
      <c r="DI201" s="239">
        <v>944166</v>
      </c>
      <c r="DJ201" s="239">
        <v>755336</v>
      </c>
      <c r="DK201" s="239">
        <v>169951</v>
      </c>
      <c r="DL201" s="239">
        <v>18883</v>
      </c>
      <c r="DM201" s="239">
        <v>1888336</v>
      </c>
      <c r="DN201" s="835">
        <v>0.5</v>
      </c>
      <c r="DO201" s="835">
        <v>0.4</v>
      </c>
      <c r="DP201" s="835">
        <v>0.09</v>
      </c>
      <c r="DQ201" s="835">
        <v>0.01</v>
      </c>
      <c r="DR201" s="835">
        <v>1</v>
      </c>
      <c r="DS201" s="214" t="s">
        <v>1158</v>
      </c>
      <c r="DU201" s="214">
        <v>0</v>
      </c>
    </row>
    <row r="202" spans="1:125" s="214" customFormat="1" x14ac:dyDescent="0.2">
      <c r="B202" s="602" t="s">
        <v>487</v>
      </c>
      <c r="C202" s="602" t="s">
        <v>486</v>
      </c>
      <c r="D202" s="239">
        <v>44800623</v>
      </c>
      <c r="E202" s="239">
        <v>43904611</v>
      </c>
      <c r="F202" s="239">
        <v>0</v>
      </c>
      <c r="G202" s="239">
        <v>896012</v>
      </c>
      <c r="H202" s="239">
        <v>89601246</v>
      </c>
      <c r="I202" s="239">
        <v>0</v>
      </c>
      <c r="J202" s="239">
        <v>0</v>
      </c>
      <c r="K202" s="239">
        <v>44800623</v>
      </c>
      <c r="L202" s="239">
        <v>268347</v>
      </c>
      <c r="M202" s="239">
        <v>268347</v>
      </c>
      <c r="N202" s="239">
        <v>0</v>
      </c>
      <c r="O202" s="239">
        <v>0</v>
      </c>
      <c r="P202" s="239">
        <v>326211</v>
      </c>
      <c r="Q202" s="239">
        <v>0</v>
      </c>
      <c r="R202" s="239">
        <v>326211</v>
      </c>
      <c r="S202" s="239">
        <v>0</v>
      </c>
      <c r="T202" s="239">
        <v>0</v>
      </c>
      <c r="U202" s="239">
        <v>0</v>
      </c>
      <c r="V202" s="239">
        <v>0</v>
      </c>
      <c r="W202" s="239">
        <v>0</v>
      </c>
      <c r="X202" s="239">
        <v>0</v>
      </c>
      <c r="Y202" s="239">
        <v>0</v>
      </c>
      <c r="Z202" s="239">
        <v>0</v>
      </c>
      <c r="AA202" s="239">
        <v>0</v>
      </c>
      <c r="AB202" s="239">
        <v>0</v>
      </c>
      <c r="AC202" s="239">
        <v>2809409</v>
      </c>
      <c r="AD202" s="239">
        <v>0</v>
      </c>
      <c r="AE202" s="239">
        <v>57235</v>
      </c>
      <c r="AF202" s="239">
        <v>2866644</v>
      </c>
      <c r="AG202" s="239">
        <v>4430480</v>
      </c>
      <c r="AH202" s="239">
        <v>4341871</v>
      </c>
      <c r="AI202" s="239">
        <v>0</v>
      </c>
      <c r="AJ202" s="239">
        <v>88610</v>
      </c>
      <c r="AK202" s="239">
        <v>8860961</v>
      </c>
      <c r="AL202" s="239">
        <v>-967899</v>
      </c>
      <c r="AM202" s="239">
        <v>-948541</v>
      </c>
      <c r="AN202" s="239">
        <v>0</v>
      </c>
      <c r="AO202" s="239">
        <v>-19358</v>
      </c>
      <c r="AP202" s="239">
        <v>-1935798</v>
      </c>
      <c r="AQ202" s="239">
        <v>-4230383</v>
      </c>
      <c r="AR202" s="239">
        <v>-4145775</v>
      </c>
      <c r="AS202" s="239">
        <v>0</v>
      </c>
      <c r="AT202" s="239">
        <v>-84608</v>
      </c>
      <c r="AU202" s="239">
        <v>-8460766</v>
      </c>
      <c r="AV202" s="239">
        <v>1971775</v>
      </c>
      <c r="AW202" s="239">
        <v>1932339</v>
      </c>
      <c r="AX202" s="239">
        <v>0</v>
      </c>
      <c r="AY202" s="239">
        <v>39435</v>
      </c>
      <c r="AZ202" s="239">
        <v>3943549</v>
      </c>
      <c r="BA202" s="239">
        <v>-189399</v>
      </c>
      <c r="BB202" s="239">
        <v>-185611</v>
      </c>
      <c r="BC202" s="239">
        <v>0</v>
      </c>
      <c r="BD202" s="239">
        <v>-3788</v>
      </c>
      <c r="BE202" s="239">
        <v>-378798</v>
      </c>
      <c r="BF202" s="239">
        <v>-2448007</v>
      </c>
      <c r="BG202" s="239">
        <v>-2399047</v>
      </c>
      <c r="BH202" s="239">
        <v>0</v>
      </c>
      <c r="BI202" s="239">
        <v>-48961</v>
      </c>
      <c r="BJ202" s="239">
        <v>-4896015</v>
      </c>
      <c r="BK202" s="239">
        <v>-4680428</v>
      </c>
      <c r="BL202" s="239">
        <v>-4586819</v>
      </c>
      <c r="BM202" s="239">
        <v>0</v>
      </c>
      <c r="BN202" s="239">
        <v>-93609</v>
      </c>
      <c r="BO202" s="239">
        <v>-9360856</v>
      </c>
      <c r="BP202" s="239">
        <v>1204289</v>
      </c>
      <c r="BQ202" s="239">
        <v>1180203</v>
      </c>
      <c r="BR202" s="239">
        <v>0</v>
      </c>
      <c r="BS202" s="239">
        <v>24086</v>
      </c>
      <c r="BT202" s="239">
        <v>2408578</v>
      </c>
      <c r="BU202" s="239">
        <v>-2161500</v>
      </c>
      <c r="BV202" s="239">
        <v>-2118270</v>
      </c>
      <c r="BW202" s="239">
        <v>0</v>
      </c>
      <c r="BX202" s="239">
        <v>-43230</v>
      </c>
      <c r="BY202" s="239">
        <v>-4323000</v>
      </c>
      <c r="BZ202" s="239">
        <v>-5637639</v>
      </c>
      <c r="CA202" s="239">
        <v>-5524886</v>
      </c>
      <c r="CB202" s="239">
        <v>0</v>
      </c>
      <c r="CC202" s="239">
        <v>-112753</v>
      </c>
      <c r="CD202" s="239">
        <v>-11275278</v>
      </c>
      <c r="CE202" s="239">
        <v>-1155576</v>
      </c>
      <c r="CF202" s="239">
        <v>-1132464</v>
      </c>
      <c r="CG202" s="239">
        <v>0</v>
      </c>
      <c r="CH202" s="239">
        <v>-23112</v>
      </c>
      <c r="CI202" s="239">
        <v>-2311152</v>
      </c>
      <c r="CJ202" s="239">
        <v>-1182000</v>
      </c>
      <c r="CK202" s="239">
        <v>-1158360</v>
      </c>
      <c r="CL202" s="239">
        <v>0</v>
      </c>
      <c r="CM202" s="239">
        <v>-23640</v>
      </c>
      <c r="CN202" s="239">
        <v>-2364000</v>
      </c>
      <c r="CO202" s="239">
        <v>26424</v>
      </c>
      <c r="CP202" s="239">
        <v>25896</v>
      </c>
      <c r="CQ202" s="239">
        <v>0</v>
      </c>
      <c r="CR202" s="239">
        <v>528</v>
      </c>
      <c r="CS202" s="239">
        <v>52848</v>
      </c>
      <c r="CT202" s="239">
        <v>44340500</v>
      </c>
      <c r="CU202" s="239">
        <v>43453690</v>
      </c>
      <c r="CV202" s="239">
        <v>0</v>
      </c>
      <c r="CW202" s="239">
        <v>886810</v>
      </c>
      <c r="CX202" s="239">
        <v>88681000</v>
      </c>
      <c r="CY202" s="239">
        <v>44800623</v>
      </c>
      <c r="CZ202" s="239">
        <v>43904611</v>
      </c>
      <c r="DA202" s="239">
        <v>0</v>
      </c>
      <c r="DB202" s="239">
        <v>896012</v>
      </c>
      <c r="DC202" s="239">
        <v>89601246</v>
      </c>
      <c r="DD202" s="239">
        <v>460123</v>
      </c>
      <c r="DE202" s="239">
        <v>450921</v>
      </c>
      <c r="DF202" s="239">
        <v>0</v>
      </c>
      <c r="DG202" s="239">
        <v>9202</v>
      </c>
      <c r="DH202" s="239">
        <v>920246</v>
      </c>
      <c r="DI202" s="239">
        <v>486547</v>
      </c>
      <c r="DJ202" s="239">
        <v>476817</v>
      </c>
      <c r="DK202" s="239">
        <v>0</v>
      </c>
      <c r="DL202" s="239">
        <v>9730</v>
      </c>
      <c r="DM202" s="239">
        <v>973094</v>
      </c>
      <c r="DN202" s="835">
        <v>0.5</v>
      </c>
      <c r="DO202" s="835">
        <v>0.49</v>
      </c>
      <c r="DP202" s="835">
        <v>0</v>
      </c>
      <c r="DQ202" s="835">
        <v>0.01</v>
      </c>
      <c r="DR202" s="835">
        <v>1</v>
      </c>
      <c r="DS202" s="214" t="s">
        <v>746</v>
      </c>
      <c r="DU202" s="214">
        <v>0</v>
      </c>
    </row>
    <row r="203" spans="1:125" s="214" customFormat="1" x14ac:dyDescent="0.2">
      <c r="B203" s="602" t="s">
        <v>489</v>
      </c>
      <c r="C203" s="602" t="s">
        <v>488</v>
      </c>
      <c r="D203" s="239">
        <v>39182962</v>
      </c>
      <c r="E203" s="239">
        <v>38399303</v>
      </c>
      <c r="F203" s="239">
        <v>0</v>
      </c>
      <c r="G203" s="239">
        <v>783659</v>
      </c>
      <c r="H203" s="239">
        <v>78365924</v>
      </c>
      <c r="I203" s="239">
        <v>0</v>
      </c>
      <c r="J203" s="239">
        <v>0</v>
      </c>
      <c r="K203" s="239">
        <v>39182962</v>
      </c>
      <c r="L203" s="239">
        <v>310944</v>
      </c>
      <c r="M203" s="239">
        <v>310944</v>
      </c>
      <c r="N203" s="239">
        <v>0</v>
      </c>
      <c r="O203" s="239">
        <v>0</v>
      </c>
      <c r="P203" s="239">
        <v>193866</v>
      </c>
      <c r="Q203" s="239">
        <v>0</v>
      </c>
      <c r="R203" s="239">
        <v>193866</v>
      </c>
      <c r="S203" s="239">
        <v>0</v>
      </c>
      <c r="T203" s="239">
        <v>0</v>
      </c>
      <c r="U203" s="239">
        <v>0</v>
      </c>
      <c r="V203" s="239">
        <v>0</v>
      </c>
      <c r="W203" s="239">
        <v>0</v>
      </c>
      <c r="X203" s="239">
        <v>0</v>
      </c>
      <c r="Y203" s="239">
        <v>0</v>
      </c>
      <c r="Z203" s="239">
        <v>0</v>
      </c>
      <c r="AA203" s="239">
        <v>0</v>
      </c>
      <c r="AB203" s="239">
        <v>0</v>
      </c>
      <c r="AC203" s="239">
        <v>3463165</v>
      </c>
      <c r="AD203" s="239">
        <v>0</v>
      </c>
      <c r="AE203" s="239">
        <v>70618</v>
      </c>
      <c r="AF203" s="239">
        <v>3533783</v>
      </c>
      <c r="AG203" s="239">
        <v>925323</v>
      </c>
      <c r="AH203" s="239">
        <v>906817</v>
      </c>
      <c r="AI203" s="239">
        <v>0</v>
      </c>
      <c r="AJ203" s="239">
        <v>18506</v>
      </c>
      <c r="AK203" s="239">
        <v>1850646</v>
      </c>
      <c r="AL203" s="239">
        <v>-828607</v>
      </c>
      <c r="AM203" s="239">
        <v>-812034</v>
      </c>
      <c r="AN203" s="239">
        <v>0</v>
      </c>
      <c r="AO203" s="239">
        <v>-16572</v>
      </c>
      <c r="AP203" s="239">
        <v>-1657213</v>
      </c>
      <c r="AQ203" s="239">
        <v>-315443.58999999997</v>
      </c>
      <c r="AR203" s="239">
        <v>-309134</v>
      </c>
      <c r="AS203" s="239">
        <v>0</v>
      </c>
      <c r="AT203" s="239">
        <v>-6309</v>
      </c>
      <c r="AU203" s="239">
        <v>-630886.59</v>
      </c>
      <c r="AV203" s="239">
        <v>252299</v>
      </c>
      <c r="AW203" s="239">
        <v>247254</v>
      </c>
      <c r="AX203" s="239">
        <v>0</v>
      </c>
      <c r="AY203" s="239">
        <v>5046</v>
      </c>
      <c r="AZ203" s="239">
        <v>504599</v>
      </c>
      <c r="BA203" s="239">
        <v>-118055</v>
      </c>
      <c r="BB203" s="239">
        <v>-115694</v>
      </c>
      <c r="BC203" s="239">
        <v>0</v>
      </c>
      <c r="BD203" s="239">
        <v>-2361</v>
      </c>
      <c r="BE203" s="239">
        <v>-236110</v>
      </c>
      <c r="BF203" s="239">
        <v>-181199.58999999997</v>
      </c>
      <c r="BG203" s="239">
        <v>-177574</v>
      </c>
      <c r="BH203" s="239">
        <v>0</v>
      </c>
      <c r="BI203" s="239">
        <v>-3624</v>
      </c>
      <c r="BJ203" s="239">
        <v>-362397.58999999997</v>
      </c>
      <c r="BK203" s="239">
        <v>-1080868</v>
      </c>
      <c r="BL203" s="239">
        <v>-1059251</v>
      </c>
      <c r="BM203" s="239">
        <v>0</v>
      </c>
      <c r="BN203" s="239">
        <v>-21617</v>
      </c>
      <c r="BO203" s="239">
        <v>-2161736</v>
      </c>
      <c r="BP203" s="239">
        <v>713052</v>
      </c>
      <c r="BQ203" s="239">
        <v>698791</v>
      </c>
      <c r="BR203" s="239">
        <v>0</v>
      </c>
      <c r="BS203" s="239">
        <v>14261</v>
      </c>
      <c r="BT203" s="239">
        <v>1426104</v>
      </c>
      <c r="BU203" s="239">
        <v>-3695149</v>
      </c>
      <c r="BV203" s="239">
        <v>-3621247</v>
      </c>
      <c r="BW203" s="239">
        <v>0</v>
      </c>
      <c r="BX203" s="239">
        <v>-73903</v>
      </c>
      <c r="BY203" s="239">
        <v>-7390299</v>
      </c>
      <c r="BZ203" s="239">
        <v>-4062965</v>
      </c>
      <c r="CA203" s="239">
        <v>-3981707</v>
      </c>
      <c r="CB203" s="239">
        <v>0</v>
      </c>
      <c r="CC203" s="239">
        <v>-81259</v>
      </c>
      <c r="CD203" s="239">
        <v>-8125931</v>
      </c>
      <c r="CE203" s="239">
        <v>-3302931.5</v>
      </c>
      <c r="CF203" s="239">
        <v>-3236872.87</v>
      </c>
      <c r="CG203" s="239">
        <v>0</v>
      </c>
      <c r="CH203" s="239">
        <v>-66058.63</v>
      </c>
      <c r="CI203" s="239">
        <v>-6605863</v>
      </c>
      <c r="CJ203" s="239">
        <v>-373282</v>
      </c>
      <c r="CK203" s="239">
        <v>-365817</v>
      </c>
      <c r="CL203" s="239">
        <v>0</v>
      </c>
      <c r="CM203" s="239">
        <v>-7466</v>
      </c>
      <c r="CN203" s="239">
        <v>-746565</v>
      </c>
      <c r="CO203" s="239">
        <v>-2929649.5</v>
      </c>
      <c r="CP203" s="239">
        <v>-2871055.87</v>
      </c>
      <c r="CQ203" s="239">
        <v>0</v>
      </c>
      <c r="CR203" s="239">
        <v>-58592.630000000005</v>
      </c>
      <c r="CS203" s="239">
        <v>-5859298</v>
      </c>
      <c r="CT203" s="239">
        <v>43824986</v>
      </c>
      <c r="CU203" s="239">
        <v>42948486</v>
      </c>
      <c r="CV203" s="239">
        <v>0</v>
      </c>
      <c r="CW203" s="239">
        <v>876500</v>
      </c>
      <c r="CX203" s="239">
        <v>87649972</v>
      </c>
      <c r="CY203" s="239">
        <v>39182962</v>
      </c>
      <c r="CZ203" s="239">
        <v>38399303</v>
      </c>
      <c r="DA203" s="239">
        <v>0</v>
      </c>
      <c r="DB203" s="239">
        <v>783659</v>
      </c>
      <c r="DC203" s="239">
        <v>78365924</v>
      </c>
      <c r="DD203" s="239">
        <v>-4642024</v>
      </c>
      <c r="DE203" s="239">
        <v>-4549183</v>
      </c>
      <c r="DF203" s="239">
        <v>0</v>
      </c>
      <c r="DG203" s="239">
        <v>-92841</v>
      </c>
      <c r="DH203" s="239">
        <v>-9284048</v>
      </c>
      <c r="DI203" s="239">
        <v>-7571673.5</v>
      </c>
      <c r="DJ203" s="239">
        <v>-7420238.8700000001</v>
      </c>
      <c r="DK203" s="239">
        <v>0</v>
      </c>
      <c r="DL203" s="239">
        <v>-151433.63</v>
      </c>
      <c r="DM203" s="239">
        <v>-15143346</v>
      </c>
      <c r="DN203" s="835">
        <v>0.5</v>
      </c>
      <c r="DO203" s="835">
        <v>0.49</v>
      </c>
      <c r="DP203" s="835">
        <v>0</v>
      </c>
      <c r="DQ203" s="835">
        <v>0.01</v>
      </c>
      <c r="DR203" s="835">
        <v>1</v>
      </c>
      <c r="DS203" s="214" t="s">
        <v>746</v>
      </c>
      <c r="DU203" s="214">
        <v>0</v>
      </c>
    </row>
    <row r="204" spans="1:125" s="214" customFormat="1" x14ac:dyDescent="0.2">
      <c r="B204" s="602" t="s">
        <v>491</v>
      </c>
      <c r="C204" s="602" t="s">
        <v>490</v>
      </c>
      <c r="D204" s="239">
        <v>30367212</v>
      </c>
      <c r="E204" s="239">
        <v>29759868</v>
      </c>
      <c r="F204" s="239">
        <v>0</v>
      </c>
      <c r="G204" s="239">
        <v>607344</v>
      </c>
      <c r="H204" s="239">
        <v>60734424</v>
      </c>
      <c r="I204" s="239">
        <v>0</v>
      </c>
      <c r="J204" s="239">
        <v>0</v>
      </c>
      <c r="K204" s="239">
        <v>30367212</v>
      </c>
      <c r="L204" s="239">
        <v>230423</v>
      </c>
      <c r="M204" s="239">
        <v>230423</v>
      </c>
      <c r="N204" s="239">
        <v>0</v>
      </c>
      <c r="O204" s="239">
        <v>0</v>
      </c>
      <c r="P204" s="239">
        <v>395</v>
      </c>
      <c r="Q204" s="239">
        <v>0</v>
      </c>
      <c r="R204" s="239">
        <v>395</v>
      </c>
      <c r="S204" s="239">
        <v>0</v>
      </c>
      <c r="T204" s="239">
        <v>0</v>
      </c>
      <c r="U204" s="239">
        <v>0</v>
      </c>
      <c r="V204" s="239">
        <v>0</v>
      </c>
      <c r="W204" s="239">
        <v>0</v>
      </c>
      <c r="X204" s="239">
        <v>0</v>
      </c>
      <c r="Y204" s="239">
        <v>0</v>
      </c>
      <c r="Z204" s="239">
        <v>0</v>
      </c>
      <c r="AA204" s="239">
        <v>0</v>
      </c>
      <c r="AB204" s="239">
        <v>0</v>
      </c>
      <c r="AC204" s="239">
        <v>2434457</v>
      </c>
      <c r="AD204" s="239">
        <v>0</v>
      </c>
      <c r="AE204" s="239">
        <v>49683</v>
      </c>
      <c r="AF204" s="239">
        <v>2484140</v>
      </c>
      <c r="AG204" s="239">
        <v>594291</v>
      </c>
      <c r="AH204" s="239">
        <v>582405</v>
      </c>
      <c r="AI204" s="239">
        <v>0</v>
      </c>
      <c r="AJ204" s="239">
        <v>11886</v>
      </c>
      <c r="AK204" s="239">
        <v>1188582</v>
      </c>
      <c r="AL204" s="239">
        <v>-665315</v>
      </c>
      <c r="AM204" s="239">
        <v>-652008</v>
      </c>
      <c r="AN204" s="239">
        <v>0</v>
      </c>
      <c r="AO204" s="239">
        <v>-13306</v>
      </c>
      <c r="AP204" s="239">
        <v>-1330629</v>
      </c>
      <c r="AQ204" s="239">
        <v>-220364</v>
      </c>
      <c r="AR204" s="239">
        <v>-215957</v>
      </c>
      <c r="AS204" s="239">
        <v>0</v>
      </c>
      <c r="AT204" s="239">
        <v>-4407</v>
      </c>
      <c r="AU204" s="239">
        <v>-440728</v>
      </c>
      <c r="AV204" s="239">
        <v>131046</v>
      </c>
      <c r="AW204" s="239">
        <v>128425</v>
      </c>
      <c r="AX204" s="239">
        <v>0</v>
      </c>
      <c r="AY204" s="239">
        <v>2621</v>
      </c>
      <c r="AZ204" s="239">
        <v>262092</v>
      </c>
      <c r="BA204" s="239">
        <v>-156633</v>
      </c>
      <c r="BB204" s="239">
        <v>-153501</v>
      </c>
      <c r="BC204" s="239">
        <v>0</v>
      </c>
      <c r="BD204" s="239">
        <v>-3133</v>
      </c>
      <c r="BE204" s="239">
        <v>-313267</v>
      </c>
      <c r="BF204" s="239">
        <v>-245951</v>
      </c>
      <c r="BG204" s="239">
        <v>-241033</v>
      </c>
      <c r="BH204" s="239">
        <v>0</v>
      </c>
      <c r="BI204" s="239">
        <v>-4919</v>
      </c>
      <c r="BJ204" s="239">
        <v>-491903</v>
      </c>
      <c r="BK204" s="239">
        <v>-2794012</v>
      </c>
      <c r="BL204" s="239">
        <v>-2738131</v>
      </c>
      <c r="BM204" s="239">
        <v>0</v>
      </c>
      <c r="BN204" s="239">
        <v>-55880</v>
      </c>
      <c r="BO204" s="239">
        <v>-5588023</v>
      </c>
      <c r="BP204" s="239">
        <v>1078305</v>
      </c>
      <c r="BQ204" s="239">
        <v>1056739</v>
      </c>
      <c r="BR204" s="239">
        <v>0</v>
      </c>
      <c r="BS204" s="239">
        <v>21566</v>
      </c>
      <c r="BT204" s="239">
        <v>2156610</v>
      </c>
      <c r="BU204" s="239">
        <v>-567405</v>
      </c>
      <c r="BV204" s="239">
        <v>-556056</v>
      </c>
      <c r="BW204" s="239">
        <v>0</v>
      </c>
      <c r="BX204" s="239">
        <v>-11348</v>
      </c>
      <c r="BY204" s="239">
        <v>-1134809</v>
      </c>
      <c r="BZ204" s="239">
        <v>-2283112</v>
      </c>
      <c r="CA204" s="239">
        <v>-2237448</v>
      </c>
      <c r="CB204" s="239">
        <v>0</v>
      </c>
      <c r="CC204" s="239">
        <v>-45662</v>
      </c>
      <c r="CD204" s="239">
        <v>-4566222</v>
      </c>
      <c r="CE204" s="239">
        <v>1200996</v>
      </c>
      <c r="CF204" s="239">
        <v>1176977</v>
      </c>
      <c r="CG204" s="239">
        <v>0</v>
      </c>
      <c r="CH204" s="239">
        <v>24021</v>
      </c>
      <c r="CI204" s="239">
        <v>2401994</v>
      </c>
      <c r="CJ204" s="239">
        <v>1182479</v>
      </c>
      <c r="CK204" s="239">
        <v>1158830</v>
      </c>
      <c r="CL204" s="239">
        <v>0</v>
      </c>
      <c r="CM204" s="239">
        <v>23650</v>
      </c>
      <c r="CN204" s="239">
        <v>2364959</v>
      </c>
      <c r="CO204" s="239">
        <v>18517</v>
      </c>
      <c r="CP204" s="239">
        <v>18147</v>
      </c>
      <c r="CQ204" s="239">
        <v>0</v>
      </c>
      <c r="CR204" s="239">
        <v>371</v>
      </c>
      <c r="CS204" s="239">
        <v>37035</v>
      </c>
      <c r="CT204" s="239">
        <v>28530293</v>
      </c>
      <c r="CU204" s="239">
        <v>27959687</v>
      </c>
      <c r="CV204" s="239">
        <v>0</v>
      </c>
      <c r="CW204" s="239">
        <v>570606</v>
      </c>
      <c r="CX204" s="239">
        <v>57060586</v>
      </c>
      <c r="CY204" s="239">
        <v>30367212</v>
      </c>
      <c r="CZ204" s="239">
        <v>29759868</v>
      </c>
      <c r="DA204" s="239">
        <v>0</v>
      </c>
      <c r="DB204" s="239">
        <v>607344</v>
      </c>
      <c r="DC204" s="239">
        <v>60734424</v>
      </c>
      <c r="DD204" s="239">
        <v>1836919</v>
      </c>
      <c r="DE204" s="239">
        <v>1800181</v>
      </c>
      <c r="DF204" s="239">
        <v>0</v>
      </c>
      <c r="DG204" s="239">
        <v>36738</v>
      </c>
      <c r="DH204" s="239">
        <v>3673838</v>
      </c>
      <c r="DI204" s="239">
        <v>1855436</v>
      </c>
      <c r="DJ204" s="239">
        <v>1818328</v>
      </c>
      <c r="DK204" s="239">
        <v>0</v>
      </c>
      <c r="DL204" s="239">
        <v>37109</v>
      </c>
      <c r="DM204" s="239">
        <v>3710873</v>
      </c>
      <c r="DN204" s="835">
        <v>0.5</v>
      </c>
      <c r="DO204" s="835">
        <v>0.49</v>
      </c>
      <c r="DP204" s="835">
        <v>0</v>
      </c>
      <c r="DQ204" s="835">
        <v>0.01</v>
      </c>
      <c r="DR204" s="835">
        <v>1</v>
      </c>
      <c r="DS204" s="214" t="s">
        <v>746</v>
      </c>
      <c r="DU204" s="214">
        <v>0</v>
      </c>
    </row>
    <row r="205" spans="1:125" s="214" customFormat="1" x14ac:dyDescent="0.2">
      <c r="B205" s="602" t="s">
        <v>493</v>
      </c>
      <c r="C205" s="602" t="s">
        <v>492</v>
      </c>
      <c r="D205" s="239">
        <v>40592055</v>
      </c>
      <c r="E205" s="239">
        <v>39780213</v>
      </c>
      <c r="F205" s="239">
        <v>0</v>
      </c>
      <c r="G205" s="239">
        <v>811841</v>
      </c>
      <c r="H205" s="239">
        <v>81184109</v>
      </c>
      <c r="I205" s="239">
        <v>0</v>
      </c>
      <c r="J205" s="239">
        <v>0</v>
      </c>
      <c r="K205" s="239">
        <v>40592055</v>
      </c>
      <c r="L205" s="239">
        <v>274758</v>
      </c>
      <c r="M205" s="239">
        <v>274758</v>
      </c>
      <c r="N205" s="239">
        <v>0</v>
      </c>
      <c r="O205" s="239">
        <v>0</v>
      </c>
      <c r="P205" s="239">
        <v>0</v>
      </c>
      <c r="Q205" s="239">
        <v>0</v>
      </c>
      <c r="R205" s="239">
        <v>0</v>
      </c>
      <c r="S205" s="239">
        <v>0</v>
      </c>
      <c r="T205" s="239">
        <v>0</v>
      </c>
      <c r="U205" s="239">
        <v>0</v>
      </c>
      <c r="V205" s="239">
        <v>0</v>
      </c>
      <c r="W205" s="239">
        <v>0</v>
      </c>
      <c r="X205" s="239">
        <v>0</v>
      </c>
      <c r="Y205" s="239">
        <v>0</v>
      </c>
      <c r="Z205" s="239">
        <v>0</v>
      </c>
      <c r="AA205" s="239">
        <v>0</v>
      </c>
      <c r="AB205" s="239">
        <v>0</v>
      </c>
      <c r="AC205" s="239">
        <v>2932502</v>
      </c>
      <c r="AD205" s="239">
        <v>0</v>
      </c>
      <c r="AE205" s="239">
        <v>59846</v>
      </c>
      <c r="AF205" s="239">
        <v>2992348</v>
      </c>
      <c r="AG205" s="239">
        <v>2589874</v>
      </c>
      <c r="AH205" s="239">
        <v>2538078</v>
      </c>
      <c r="AI205" s="239">
        <v>0</v>
      </c>
      <c r="AJ205" s="239">
        <v>51798</v>
      </c>
      <c r="AK205" s="239">
        <v>5179750</v>
      </c>
      <c r="AL205" s="239">
        <v>-3662791</v>
      </c>
      <c r="AM205" s="239">
        <v>-3589536</v>
      </c>
      <c r="AN205" s="239">
        <v>0</v>
      </c>
      <c r="AO205" s="239">
        <v>-73256</v>
      </c>
      <c r="AP205" s="239">
        <v>-7325583</v>
      </c>
      <c r="AQ205" s="239">
        <v>-1456500</v>
      </c>
      <c r="AR205" s="239">
        <v>-1427370</v>
      </c>
      <c r="AS205" s="239">
        <v>0</v>
      </c>
      <c r="AT205" s="239">
        <v>-29130</v>
      </c>
      <c r="AU205" s="239">
        <v>-2913000</v>
      </c>
      <c r="AV205" s="239">
        <v>274303</v>
      </c>
      <c r="AW205" s="239">
        <v>268817</v>
      </c>
      <c r="AX205" s="239">
        <v>0</v>
      </c>
      <c r="AY205" s="239">
        <v>5486</v>
      </c>
      <c r="AZ205" s="239">
        <v>548606</v>
      </c>
      <c r="BA205" s="239">
        <v>-517242</v>
      </c>
      <c r="BB205" s="239">
        <v>-506898</v>
      </c>
      <c r="BC205" s="239">
        <v>0</v>
      </c>
      <c r="BD205" s="239">
        <v>-10345</v>
      </c>
      <c r="BE205" s="239">
        <v>-1034485</v>
      </c>
      <c r="BF205" s="239">
        <v>-1699439</v>
      </c>
      <c r="BG205" s="239">
        <v>-1665451</v>
      </c>
      <c r="BH205" s="239">
        <v>0</v>
      </c>
      <c r="BI205" s="239">
        <v>-33989</v>
      </c>
      <c r="BJ205" s="239">
        <v>-3398879</v>
      </c>
      <c r="BK205" s="239">
        <v>-7204427</v>
      </c>
      <c r="BL205" s="239">
        <v>-7060339</v>
      </c>
      <c r="BM205" s="239">
        <v>0</v>
      </c>
      <c r="BN205" s="239">
        <v>-144089</v>
      </c>
      <c r="BO205" s="239">
        <v>-14408855</v>
      </c>
      <c r="BP205" s="239">
        <v>2002657</v>
      </c>
      <c r="BQ205" s="239">
        <v>1962604</v>
      </c>
      <c r="BR205" s="239">
        <v>0</v>
      </c>
      <c r="BS205" s="239">
        <v>40053</v>
      </c>
      <c r="BT205" s="239">
        <v>4005314</v>
      </c>
      <c r="BU205" s="239">
        <v>-2396029</v>
      </c>
      <c r="BV205" s="239">
        <v>-2348108</v>
      </c>
      <c r="BW205" s="239">
        <v>0</v>
      </c>
      <c r="BX205" s="239">
        <v>-47921</v>
      </c>
      <c r="BY205" s="239">
        <v>-4792058</v>
      </c>
      <c r="BZ205" s="239">
        <v>-7597799</v>
      </c>
      <c r="CA205" s="239">
        <v>-7445843</v>
      </c>
      <c r="CB205" s="239">
        <v>0</v>
      </c>
      <c r="CC205" s="239">
        <v>-151957</v>
      </c>
      <c r="CD205" s="239">
        <v>-15195599</v>
      </c>
      <c r="CE205" s="239">
        <v>1610703</v>
      </c>
      <c r="CF205" s="239">
        <v>1578489</v>
      </c>
      <c r="CG205" s="239">
        <v>0</v>
      </c>
      <c r="CH205" s="239">
        <v>32214</v>
      </c>
      <c r="CI205" s="239">
        <v>3221406</v>
      </c>
      <c r="CJ205" s="239">
        <v>1508631</v>
      </c>
      <c r="CK205" s="239">
        <v>1478458</v>
      </c>
      <c r="CL205" s="239">
        <v>0</v>
      </c>
      <c r="CM205" s="239">
        <v>30173</v>
      </c>
      <c r="CN205" s="239">
        <v>3017262</v>
      </c>
      <c r="CO205" s="239">
        <v>102072</v>
      </c>
      <c r="CP205" s="239">
        <v>100031</v>
      </c>
      <c r="CQ205" s="239">
        <v>0</v>
      </c>
      <c r="CR205" s="239">
        <v>2041</v>
      </c>
      <c r="CS205" s="239">
        <v>204144</v>
      </c>
      <c r="CT205" s="239">
        <v>40768527</v>
      </c>
      <c r="CU205" s="239">
        <v>39953157</v>
      </c>
      <c r="CV205" s="239">
        <v>0</v>
      </c>
      <c r="CW205" s="239">
        <v>815371</v>
      </c>
      <c r="CX205" s="239">
        <v>81537055</v>
      </c>
      <c r="CY205" s="239">
        <v>40592055</v>
      </c>
      <c r="CZ205" s="239">
        <v>39780213</v>
      </c>
      <c r="DA205" s="239">
        <v>0</v>
      </c>
      <c r="DB205" s="239">
        <v>811841</v>
      </c>
      <c r="DC205" s="239">
        <v>81184109</v>
      </c>
      <c r="DD205" s="239">
        <v>-176472</v>
      </c>
      <c r="DE205" s="239">
        <v>-172944</v>
      </c>
      <c r="DF205" s="239">
        <v>0</v>
      </c>
      <c r="DG205" s="239">
        <v>-3530</v>
      </c>
      <c r="DH205" s="239">
        <v>-352946</v>
      </c>
      <c r="DI205" s="239">
        <v>-74400</v>
      </c>
      <c r="DJ205" s="239">
        <v>-72913</v>
      </c>
      <c r="DK205" s="239">
        <v>0</v>
      </c>
      <c r="DL205" s="239">
        <v>-1489</v>
      </c>
      <c r="DM205" s="239">
        <v>-148802</v>
      </c>
      <c r="DN205" s="835">
        <v>0.5</v>
      </c>
      <c r="DO205" s="835">
        <v>0.49</v>
      </c>
      <c r="DP205" s="835">
        <v>0</v>
      </c>
      <c r="DQ205" s="835">
        <v>0.01</v>
      </c>
      <c r="DR205" s="835">
        <v>1</v>
      </c>
      <c r="DS205" s="214" t="s">
        <v>746</v>
      </c>
      <c r="DU205" s="214">
        <v>0</v>
      </c>
    </row>
    <row r="206" spans="1:125" s="214" customFormat="1" x14ac:dyDescent="0.2">
      <c r="B206" s="602" t="s">
        <v>495</v>
      </c>
      <c r="C206" s="602" t="s">
        <v>494</v>
      </c>
      <c r="D206" s="239">
        <v>25668736</v>
      </c>
      <c r="E206" s="239">
        <v>20534989</v>
      </c>
      <c r="F206" s="239">
        <v>4620372</v>
      </c>
      <c r="G206" s="239">
        <v>513375</v>
      </c>
      <c r="H206" s="239">
        <v>51337472</v>
      </c>
      <c r="I206" s="239">
        <v>0</v>
      </c>
      <c r="J206" s="239">
        <v>0</v>
      </c>
      <c r="K206" s="239">
        <v>25668736</v>
      </c>
      <c r="L206" s="239">
        <v>224997</v>
      </c>
      <c r="M206" s="239">
        <v>224997</v>
      </c>
      <c r="N206" s="239">
        <v>0</v>
      </c>
      <c r="O206" s="239">
        <v>0</v>
      </c>
      <c r="P206" s="239">
        <v>36337</v>
      </c>
      <c r="Q206" s="239">
        <v>0</v>
      </c>
      <c r="R206" s="239">
        <v>36337</v>
      </c>
      <c r="S206" s="239">
        <v>0</v>
      </c>
      <c r="T206" s="239">
        <v>0</v>
      </c>
      <c r="U206" s="239">
        <v>0</v>
      </c>
      <c r="V206" s="239">
        <v>0</v>
      </c>
      <c r="W206" s="239">
        <v>0</v>
      </c>
      <c r="X206" s="239">
        <v>0</v>
      </c>
      <c r="Y206" s="239">
        <v>0</v>
      </c>
      <c r="Z206" s="239">
        <v>0</v>
      </c>
      <c r="AA206" s="239">
        <v>0</v>
      </c>
      <c r="AB206" s="239">
        <v>0</v>
      </c>
      <c r="AC206" s="239">
        <v>1813738</v>
      </c>
      <c r="AD206" s="239">
        <v>407969</v>
      </c>
      <c r="AE206" s="239">
        <v>45329</v>
      </c>
      <c r="AF206" s="239">
        <v>2267036</v>
      </c>
      <c r="AG206" s="239">
        <v>3422476</v>
      </c>
      <c r="AH206" s="239">
        <v>2737981</v>
      </c>
      <c r="AI206" s="239">
        <v>616046</v>
      </c>
      <c r="AJ206" s="239">
        <v>68450</v>
      </c>
      <c r="AK206" s="239">
        <v>6844953</v>
      </c>
      <c r="AL206" s="239">
        <v>-836003</v>
      </c>
      <c r="AM206" s="239">
        <v>-668802</v>
      </c>
      <c r="AN206" s="239">
        <v>-150481</v>
      </c>
      <c r="AO206" s="239">
        <v>-16720</v>
      </c>
      <c r="AP206" s="239">
        <v>-1672006</v>
      </c>
      <c r="AQ206" s="239">
        <v>-1934668.7999999998</v>
      </c>
      <c r="AR206" s="239">
        <v>-1547734</v>
      </c>
      <c r="AS206" s="239">
        <v>-348240</v>
      </c>
      <c r="AT206" s="239">
        <v>-38693</v>
      </c>
      <c r="AU206" s="239">
        <v>-3869335.8</v>
      </c>
      <c r="AV206" s="239">
        <v>350919</v>
      </c>
      <c r="AW206" s="239">
        <v>280735</v>
      </c>
      <c r="AX206" s="239">
        <v>63165</v>
      </c>
      <c r="AY206" s="239">
        <v>7018</v>
      </c>
      <c r="AZ206" s="239">
        <v>701837</v>
      </c>
      <c r="BA206" s="239">
        <v>-639556</v>
      </c>
      <c r="BB206" s="239">
        <v>-511644</v>
      </c>
      <c r="BC206" s="239">
        <v>-115120</v>
      </c>
      <c r="BD206" s="239">
        <v>-12791</v>
      </c>
      <c r="BE206" s="239">
        <v>-1279111</v>
      </c>
      <c r="BF206" s="239">
        <v>-2223305.7999999998</v>
      </c>
      <c r="BG206" s="239">
        <v>-1778643</v>
      </c>
      <c r="BH206" s="239">
        <v>-400195</v>
      </c>
      <c r="BI206" s="239">
        <v>-44466</v>
      </c>
      <c r="BJ206" s="239">
        <v>-4446609.8</v>
      </c>
      <c r="BK206" s="239">
        <v>-3972584.1999999993</v>
      </c>
      <c r="BL206" s="239">
        <v>-3178068</v>
      </c>
      <c r="BM206" s="239">
        <v>-715065</v>
      </c>
      <c r="BN206" s="239">
        <v>-79452</v>
      </c>
      <c r="BO206" s="239">
        <v>-7945169.1999999993</v>
      </c>
      <c r="BP206" s="239">
        <v>2341505</v>
      </c>
      <c r="BQ206" s="239">
        <v>1873204</v>
      </c>
      <c r="BR206" s="239">
        <v>421471</v>
      </c>
      <c r="BS206" s="239">
        <v>46830</v>
      </c>
      <c r="BT206" s="239">
        <v>4683010</v>
      </c>
      <c r="BU206" s="239">
        <v>-3087701</v>
      </c>
      <c r="BV206" s="239">
        <v>-2470161</v>
      </c>
      <c r="BW206" s="239">
        <v>-555786</v>
      </c>
      <c r="BX206" s="239">
        <v>-61754</v>
      </c>
      <c r="BY206" s="239">
        <v>-6175402</v>
      </c>
      <c r="BZ206" s="239">
        <v>-4718780.1999999993</v>
      </c>
      <c r="CA206" s="239">
        <v>-3775025</v>
      </c>
      <c r="CB206" s="239">
        <v>-849380</v>
      </c>
      <c r="CC206" s="239">
        <v>-94376</v>
      </c>
      <c r="CD206" s="239">
        <v>-9437561.1999999993</v>
      </c>
      <c r="CE206" s="239">
        <v>-419492</v>
      </c>
      <c r="CF206" s="239">
        <v>-335594</v>
      </c>
      <c r="CG206" s="239">
        <v>-75508</v>
      </c>
      <c r="CH206" s="239">
        <v>-8390</v>
      </c>
      <c r="CI206" s="239">
        <v>-838984</v>
      </c>
      <c r="CJ206" s="239">
        <v>-2231946</v>
      </c>
      <c r="CK206" s="239">
        <v>-1785556</v>
      </c>
      <c r="CL206" s="239">
        <v>-401750</v>
      </c>
      <c r="CM206" s="239">
        <v>-44639</v>
      </c>
      <c r="CN206" s="239">
        <v>-4463891</v>
      </c>
      <c r="CO206" s="239">
        <v>1812454</v>
      </c>
      <c r="CP206" s="239">
        <v>1449962</v>
      </c>
      <c r="CQ206" s="239">
        <v>326242</v>
      </c>
      <c r="CR206" s="239">
        <v>36249</v>
      </c>
      <c r="CS206" s="239">
        <v>3624907</v>
      </c>
      <c r="CT206" s="239">
        <v>26682643</v>
      </c>
      <c r="CU206" s="239">
        <v>21346115</v>
      </c>
      <c r="CV206" s="239">
        <v>4802876</v>
      </c>
      <c r="CW206" s="239">
        <v>533653</v>
      </c>
      <c r="CX206" s="239">
        <v>53365287</v>
      </c>
      <c r="CY206" s="239">
        <v>25668736</v>
      </c>
      <c r="CZ206" s="239">
        <v>20534989</v>
      </c>
      <c r="DA206" s="239">
        <v>4620372</v>
      </c>
      <c r="DB206" s="239">
        <v>513375</v>
      </c>
      <c r="DC206" s="239">
        <v>51337472</v>
      </c>
      <c r="DD206" s="239">
        <v>-1013907</v>
      </c>
      <c r="DE206" s="239">
        <v>-811126</v>
      </c>
      <c r="DF206" s="239">
        <v>-182504</v>
      </c>
      <c r="DG206" s="239">
        <v>-20278</v>
      </c>
      <c r="DH206" s="239">
        <v>-2027815</v>
      </c>
      <c r="DI206" s="239">
        <v>798547</v>
      </c>
      <c r="DJ206" s="239">
        <v>638836</v>
      </c>
      <c r="DK206" s="239">
        <v>143738</v>
      </c>
      <c r="DL206" s="239">
        <v>15971</v>
      </c>
      <c r="DM206" s="239">
        <v>1597092</v>
      </c>
      <c r="DN206" s="835">
        <v>0.5</v>
      </c>
      <c r="DO206" s="835">
        <v>0.4</v>
      </c>
      <c r="DP206" s="835">
        <v>0.09</v>
      </c>
      <c r="DQ206" s="835">
        <v>0.01</v>
      </c>
      <c r="DR206" s="835">
        <v>1</v>
      </c>
      <c r="DS206" s="214" t="s">
        <v>1158</v>
      </c>
      <c r="DU206" s="214">
        <v>0</v>
      </c>
    </row>
    <row r="207" spans="1:125" s="214" customFormat="1" x14ac:dyDescent="0.2">
      <c r="B207" s="602" t="s">
        <v>497</v>
      </c>
      <c r="C207" s="602" t="s">
        <v>496</v>
      </c>
      <c r="D207" s="239">
        <v>7917899</v>
      </c>
      <c r="E207" s="239">
        <v>6334319</v>
      </c>
      <c r="F207" s="239">
        <v>1425222</v>
      </c>
      <c r="G207" s="239">
        <v>158358</v>
      </c>
      <c r="H207" s="239">
        <v>15835798</v>
      </c>
      <c r="I207" s="239">
        <v>0</v>
      </c>
      <c r="J207" s="239">
        <v>0</v>
      </c>
      <c r="K207" s="239">
        <v>7917899</v>
      </c>
      <c r="L207" s="239">
        <v>98958</v>
      </c>
      <c r="M207" s="239">
        <v>98958</v>
      </c>
      <c r="N207" s="239">
        <v>85774</v>
      </c>
      <c r="O207" s="239">
        <v>85774</v>
      </c>
      <c r="P207" s="239">
        <v>148076</v>
      </c>
      <c r="Q207" s="239">
        <v>0</v>
      </c>
      <c r="R207" s="239">
        <v>148076</v>
      </c>
      <c r="S207" s="239">
        <v>0</v>
      </c>
      <c r="T207" s="239">
        <v>0</v>
      </c>
      <c r="U207" s="239">
        <v>0</v>
      </c>
      <c r="V207" s="239">
        <v>0</v>
      </c>
      <c r="W207" s="239">
        <v>0</v>
      </c>
      <c r="X207" s="239">
        <v>0</v>
      </c>
      <c r="Y207" s="239">
        <v>0</v>
      </c>
      <c r="Z207" s="239">
        <v>0</v>
      </c>
      <c r="AA207" s="239">
        <v>0</v>
      </c>
      <c r="AB207" s="239">
        <v>0</v>
      </c>
      <c r="AC207" s="239">
        <v>889238</v>
      </c>
      <c r="AD207" s="239">
        <v>199289</v>
      </c>
      <c r="AE207" s="239">
        <v>22144</v>
      </c>
      <c r="AF207" s="239">
        <v>1110671</v>
      </c>
      <c r="AG207" s="239">
        <v>180514</v>
      </c>
      <c r="AH207" s="239">
        <v>144412</v>
      </c>
      <c r="AI207" s="239">
        <v>32493</v>
      </c>
      <c r="AJ207" s="239">
        <v>3610</v>
      </c>
      <c r="AK207" s="239">
        <v>361029</v>
      </c>
      <c r="AL207" s="239">
        <v>-1249337</v>
      </c>
      <c r="AM207" s="239">
        <v>-999470</v>
      </c>
      <c r="AN207" s="239">
        <v>-224881</v>
      </c>
      <c r="AO207" s="239">
        <v>-24987</v>
      </c>
      <c r="AP207" s="239">
        <v>-2498675</v>
      </c>
      <c r="AQ207" s="239">
        <v>-85303</v>
      </c>
      <c r="AR207" s="239">
        <v>-68242</v>
      </c>
      <c r="AS207" s="239">
        <v>-15354</v>
      </c>
      <c r="AT207" s="239">
        <v>-1706</v>
      </c>
      <c r="AU207" s="239">
        <v>-170605</v>
      </c>
      <c r="AV207" s="239">
        <v>23324</v>
      </c>
      <c r="AW207" s="239">
        <v>18659</v>
      </c>
      <c r="AX207" s="239">
        <v>4198</v>
      </c>
      <c r="AY207" s="239">
        <v>466</v>
      </c>
      <c r="AZ207" s="239">
        <v>46647</v>
      </c>
      <c r="BA207" s="239">
        <v>-3624</v>
      </c>
      <c r="BB207" s="239">
        <v>-2898</v>
      </c>
      <c r="BC207" s="239">
        <v>-652</v>
      </c>
      <c r="BD207" s="239">
        <v>-72</v>
      </c>
      <c r="BE207" s="239">
        <v>-7246</v>
      </c>
      <c r="BF207" s="239">
        <v>-65603</v>
      </c>
      <c r="BG207" s="239">
        <v>-52481</v>
      </c>
      <c r="BH207" s="239">
        <v>-11808</v>
      </c>
      <c r="BI207" s="239">
        <v>-1312</v>
      </c>
      <c r="BJ207" s="239">
        <v>-131204</v>
      </c>
      <c r="BK207" s="239">
        <v>-1948543</v>
      </c>
      <c r="BL207" s="239">
        <v>-1558835</v>
      </c>
      <c r="BM207" s="239">
        <v>-350738</v>
      </c>
      <c r="BN207" s="239">
        <v>-38971</v>
      </c>
      <c r="BO207" s="239">
        <v>-3897087</v>
      </c>
      <c r="BP207" s="239">
        <v>1119156</v>
      </c>
      <c r="BQ207" s="239">
        <v>895324</v>
      </c>
      <c r="BR207" s="239">
        <v>201448</v>
      </c>
      <c r="BS207" s="239">
        <v>22383</v>
      </c>
      <c r="BT207" s="239">
        <v>2238311</v>
      </c>
      <c r="BU207" s="239">
        <v>145528</v>
      </c>
      <c r="BV207" s="239">
        <v>116423</v>
      </c>
      <c r="BW207" s="239">
        <v>26195</v>
      </c>
      <c r="BX207" s="239">
        <v>2911</v>
      </c>
      <c r="BY207" s="239">
        <v>291057</v>
      </c>
      <c r="BZ207" s="239">
        <v>-683859</v>
      </c>
      <c r="CA207" s="239">
        <v>-547088</v>
      </c>
      <c r="CB207" s="239">
        <v>-123095</v>
      </c>
      <c r="CC207" s="239">
        <v>-13677</v>
      </c>
      <c r="CD207" s="239">
        <v>-1367719</v>
      </c>
      <c r="CE207" s="239">
        <v>-3946718</v>
      </c>
      <c r="CF207" s="239">
        <v>-3157374.4000000004</v>
      </c>
      <c r="CG207" s="239">
        <v>-710409.24</v>
      </c>
      <c r="CH207" s="239">
        <v>-78934.36</v>
      </c>
      <c r="CI207" s="239">
        <v>-7893436</v>
      </c>
      <c r="CJ207" s="239">
        <v>-3948121</v>
      </c>
      <c r="CK207" s="239">
        <v>-3158497</v>
      </c>
      <c r="CL207" s="239">
        <v>-710662</v>
      </c>
      <c r="CM207" s="239">
        <v>-78962</v>
      </c>
      <c r="CN207" s="239">
        <v>-7896242</v>
      </c>
      <c r="CO207" s="239">
        <v>1403</v>
      </c>
      <c r="CP207" s="239">
        <v>1122.5999999996275</v>
      </c>
      <c r="CQ207" s="239">
        <v>252.76000000000931</v>
      </c>
      <c r="CR207" s="239">
        <v>27.639999999999418</v>
      </c>
      <c r="CS207" s="239">
        <v>2806</v>
      </c>
      <c r="CT207" s="239">
        <v>7880919</v>
      </c>
      <c r="CU207" s="239">
        <v>6304734</v>
      </c>
      <c r="CV207" s="239">
        <v>1418565</v>
      </c>
      <c r="CW207" s="239">
        <v>157618</v>
      </c>
      <c r="CX207" s="239">
        <v>15761836</v>
      </c>
      <c r="CY207" s="239">
        <v>7917899</v>
      </c>
      <c r="CZ207" s="239">
        <v>6334319</v>
      </c>
      <c r="DA207" s="239">
        <v>1425222</v>
      </c>
      <c r="DB207" s="239">
        <v>158358</v>
      </c>
      <c r="DC207" s="239">
        <v>15835798</v>
      </c>
      <c r="DD207" s="239">
        <v>36980</v>
      </c>
      <c r="DE207" s="239">
        <v>29585</v>
      </c>
      <c r="DF207" s="239">
        <v>6657</v>
      </c>
      <c r="DG207" s="239">
        <v>740</v>
      </c>
      <c r="DH207" s="239">
        <v>73962</v>
      </c>
      <c r="DI207" s="239">
        <v>38383</v>
      </c>
      <c r="DJ207" s="239">
        <v>30707.599999999627</v>
      </c>
      <c r="DK207" s="239">
        <v>6909.7600000000093</v>
      </c>
      <c r="DL207" s="239">
        <v>767.63999999999942</v>
      </c>
      <c r="DM207" s="239">
        <v>76768</v>
      </c>
      <c r="DN207" s="835">
        <v>0.5</v>
      </c>
      <c r="DO207" s="835">
        <v>0.4</v>
      </c>
      <c r="DP207" s="835">
        <v>0.09</v>
      </c>
      <c r="DQ207" s="835">
        <v>0.01</v>
      </c>
      <c r="DR207" s="835">
        <v>1</v>
      </c>
      <c r="DS207" s="214" t="s">
        <v>1158</v>
      </c>
      <c r="DU207" s="214">
        <v>0</v>
      </c>
    </row>
    <row r="208" spans="1:125" s="214" customFormat="1" x14ac:dyDescent="0.2">
      <c r="A208" s="215" t="s">
        <v>1668</v>
      </c>
      <c r="B208" s="602" t="s">
        <v>499</v>
      </c>
      <c r="C208" s="602" t="s">
        <v>498</v>
      </c>
      <c r="D208" s="239">
        <v>63800000</v>
      </c>
      <c r="E208" s="239">
        <v>62524000</v>
      </c>
      <c r="F208" s="239">
        <v>0</v>
      </c>
      <c r="G208" s="239">
        <v>1276000</v>
      </c>
      <c r="H208" s="239">
        <v>127600000</v>
      </c>
      <c r="I208" s="239">
        <v>0</v>
      </c>
      <c r="J208" s="239">
        <v>0</v>
      </c>
      <c r="K208" s="239">
        <v>63800000</v>
      </c>
      <c r="L208" s="239">
        <v>282531</v>
      </c>
      <c r="M208" s="239">
        <v>282531</v>
      </c>
      <c r="N208" s="239">
        <v>0</v>
      </c>
      <c r="O208" s="239">
        <v>0</v>
      </c>
      <c r="P208" s="239">
        <v>0</v>
      </c>
      <c r="Q208" s="239">
        <v>0</v>
      </c>
      <c r="R208" s="239">
        <v>0</v>
      </c>
      <c r="S208" s="239">
        <v>0</v>
      </c>
      <c r="T208" s="239">
        <v>0</v>
      </c>
      <c r="U208" s="239">
        <v>0</v>
      </c>
      <c r="V208" s="239">
        <v>0</v>
      </c>
      <c r="W208" s="239">
        <v>0</v>
      </c>
      <c r="X208" s="239">
        <v>0</v>
      </c>
      <c r="Y208" s="239">
        <v>0</v>
      </c>
      <c r="Z208" s="239">
        <v>0</v>
      </c>
      <c r="AA208" s="239">
        <v>0</v>
      </c>
      <c r="AB208" s="239">
        <v>0</v>
      </c>
      <c r="AC208" s="239">
        <v>2831097</v>
      </c>
      <c r="AD208" s="239">
        <v>0</v>
      </c>
      <c r="AE208" s="239">
        <v>57778</v>
      </c>
      <c r="AF208" s="239">
        <v>2888875</v>
      </c>
      <c r="AG208" s="239">
        <v>4327151</v>
      </c>
      <c r="AH208" s="239">
        <v>4240607</v>
      </c>
      <c r="AI208" s="239">
        <v>0</v>
      </c>
      <c r="AJ208" s="239">
        <v>86543</v>
      </c>
      <c r="AK208" s="239">
        <v>8654301</v>
      </c>
      <c r="AL208" s="239">
        <v>-2270077</v>
      </c>
      <c r="AM208" s="239">
        <v>-2224676</v>
      </c>
      <c r="AN208" s="239">
        <v>0</v>
      </c>
      <c r="AO208" s="239">
        <v>-45402</v>
      </c>
      <c r="AP208" s="239">
        <v>-4540155</v>
      </c>
      <c r="AQ208" s="239">
        <v>-1454749.1</v>
      </c>
      <c r="AR208" s="239">
        <v>-1425655</v>
      </c>
      <c r="AS208" s="239">
        <v>0</v>
      </c>
      <c r="AT208" s="239">
        <v>-29095</v>
      </c>
      <c r="AU208" s="239">
        <v>-2909499.1</v>
      </c>
      <c r="AV208" s="239">
        <v>308535</v>
      </c>
      <c r="AW208" s="239">
        <v>302364</v>
      </c>
      <c r="AX208" s="239">
        <v>0</v>
      </c>
      <c r="AY208" s="239">
        <v>6171</v>
      </c>
      <c r="AZ208" s="239">
        <v>617070</v>
      </c>
      <c r="BA208" s="239">
        <v>-692720</v>
      </c>
      <c r="BB208" s="239">
        <v>-678866</v>
      </c>
      <c r="BC208" s="239">
        <v>0</v>
      </c>
      <c r="BD208" s="239">
        <v>-13854</v>
      </c>
      <c r="BE208" s="239">
        <v>-1385440</v>
      </c>
      <c r="BF208" s="239">
        <v>-1838934.1</v>
      </c>
      <c r="BG208" s="239">
        <v>-1802157</v>
      </c>
      <c r="BH208" s="239">
        <v>0</v>
      </c>
      <c r="BI208" s="239">
        <v>-36778</v>
      </c>
      <c r="BJ208" s="239">
        <v>-3677869.1</v>
      </c>
      <c r="BK208" s="239">
        <v>-5275000.2899999991</v>
      </c>
      <c r="BL208" s="239">
        <v>-5169500</v>
      </c>
      <c r="BM208" s="239">
        <v>0</v>
      </c>
      <c r="BN208" s="239">
        <v>-105500</v>
      </c>
      <c r="BO208" s="239">
        <v>-10550000.289999999</v>
      </c>
      <c r="BP208" s="239">
        <v>3105000</v>
      </c>
      <c r="BQ208" s="239">
        <v>3042900</v>
      </c>
      <c r="BR208" s="239">
        <v>0</v>
      </c>
      <c r="BS208" s="239">
        <v>62100</v>
      </c>
      <c r="BT208" s="239">
        <v>6210000</v>
      </c>
      <c r="BU208" s="239">
        <v>-3805000</v>
      </c>
      <c r="BV208" s="239">
        <v>-3728900</v>
      </c>
      <c r="BW208" s="239">
        <v>0</v>
      </c>
      <c r="BX208" s="239">
        <v>-76100</v>
      </c>
      <c r="BY208" s="239">
        <v>-7610000</v>
      </c>
      <c r="BZ208" s="239">
        <v>-5975000.2899999991</v>
      </c>
      <c r="CA208" s="239">
        <v>-5855500</v>
      </c>
      <c r="CB208" s="239">
        <v>0</v>
      </c>
      <c r="CC208" s="239">
        <v>-119500</v>
      </c>
      <c r="CD208" s="239">
        <v>-11950000.289999999</v>
      </c>
      <c r="CE208" s="239">
        <v>1999807</v>
      </c>
      <c r="CF208" s="239">
        <v>1959810</v>
      </c>
      <c r="CG208" s="239">
        <v>0</v>
      </c>
      <c r="CH208" s="239">
        <v>39996</v>
      </c>
      <c r="CI208" s="239">
        <v>3999613</v>
      </c>
      <c r="CJ208" s="239">
        <v>900000</v>
      </c>
      <c r="CK208" s="239">
        <v>882000</v>
      </c>
      <c r="CL208" s="239">
        <v>0</v>
      </c>
      <c r="CM208" s="239">
        <v>18000</v>
      </c>
      <c r="CN208" s="239">
        <v>1800000</v>
      </c>
      <c r="CO208" s="239">
        <v>1099807</v>
      </c>
      <c r="CP208" s="239">
        <v>1077810</v>
      </c>
      <c r="CQ208" s="239">
        <v>0</v>
      </c>
      <c r="CR208" s="239">
        <v>21996</v>
      </c>
      <c r="CS208" s="239">
        <v>2199613</v>
      </c>
      <c r="CT208" s="239">
        <v>62000000</v>
      </c>
      <c r="CU208" s="239">
        <v>60760000</v>
      </c>
      <c r="CV208" s="239">
        <v>0</v>
      </c>
      <c r="CW208" s="239">
        <v>1240000</v>
      </c>
      <c r="CX208" s="239">
        <v>124000000</v>
      </c>
      <c r="CY208" s="239">
        <v>63800000</v>
      </c>
      <c r="CZ208" s="239">
        <v>62524000</v>
      </c>
      <c r="DA208" s="239">
        <v>0</v>
      </c>
      <c r="DB208" s="239">
        <v>1276000</v>
      </c>
      <c r="DC208" s="239">
        <v>127600000</v>
      </c>
      <c r="DD208" s="239">
        <v>1800000</v>
      </c>
      <c r="DE208" s="239">
        <v>1764000</v>
      </c>
      <c r="DF208" s="239">
        <v>0</v>
      </c>
      <c r="DG208" s="239">
        <v>36000</v>
      </c>
      <c r="DH208" s="239">
        <v>3600000</v>
      </c>
      <c r="DI208" s="239">
        <v>2899807</v>
      </c>
      <c r="DJ208" s="239">
        <v>2841810</v>
      </c>
      <c r="DK208" s="239">
        <v>0</v>
      </c>
      <c r="DL208" s="239">
        <v>57996</v>
      </c>
      <c r="DM208" s="239">
        <v>5799613</v>
      </c>
      <c r="DN208" s="835">
        <v>0.5</v>
      </c>
      <c r="DO208" s="835">
        <v>0.49</v>
      </c>
      <c r="DP208" s="835">
        <v>0</v>
      </c>
      <c r="DQ208" s="835">
        <v>0.01</v>
      </c>
      <c r="DR208" s="835">
        <v>1</v>
      </c>
      <c r="DS208" s="214" t="s">
        <v>746</v>
      </c>
      <c r="DU208" s="214">
        <v>0</v>
      </c>
    </row>
    <row r="209" spans="2:125" s="214" customFormat="1" x14ac:dyDescent="0.2">
      <c r="B209" s="602" t="s">
        <v>501</v>
      </c>
      <c r="C209" s="602" t="s">
        <v>500</v>
      </c>
      <c r="D209" s="239">
        <v>16376009</v>
      </c>
      <c r="E209" s="239">
        <v>14887281</v>
      </c>
      <c r="F209" s="239">
        <v>18360980</v>
      </c>
      <c r="G209" s="239">
        <v>0</v>
      </c>
      <c r="H209" s="239">
        <v>49624270</v>
      </c>
      <c r="I209" s="239">
        <v>0</v>
      </c>
      <c r="J209" s="239">
        <v>0</v>
      </c>
      <c r="K209" s="239">
        <v>16376009</v>
      </c>
      <c r="L209" s="239">
        <v>281336</v>
      </c>
      <c r="M209" s="239">
        <v>281336</v>
      </c>
      <c r="N209" s="239">
        <v>0</v>
      </c>
      <c r="O209" s="239">
        <v>0</v>
      </c>
      <c r="P209" s="239">
        <v>0</v>
      </c>
      <c r="Q209" s="239">
        <v>0</v>
      </c>
      <c r="R209" s="239">
        <v>0</v>
      </c>
      <c r="S209" s="239">
        <v>0</v>
      </c>
      <c r="T209" s="239">
        <v>0</v>
      </c>
      <c r="U209" s="239">
        <v>0</v>
      </c>
      <c r="V209" s="239">
        <v>0</v>
      </c>
      <c r="W209" s="239">
        <v>0</v>
      </c>
      <c r="X209" s="239">
        <v>0</v>
      </c>
      <c r="Y209" s="239">
        <v>0</v>
      </c>
      <c r="Z209" s="239">
        <v>0</v>
      </c>
      <c r="AA209" s="239">
        <v>0</v>
      </c>
      <c r="AB209" s="239">
        <v>0</v>
      </c>
      <c r="AC209" s="239">
        <v>1987868</v>
      </c>
      <c r="AD209" s="239">
        <v>2451701</v>
      </c>
      <c r="AE209" s="239">
        <v>0</v>
      </c>
      <c r="AF209" s="239">
        <v>4439569</v>
      </c>
      <c r="AG209" s="239">
        <v>3063049</v>
      </c>
      <c r="AH209" s="239">
        <v>2784590</v>
      </c>
      <c r="AI209" s="239">
        <v>3434327</v>
      </c>
      <c r="AJ209" s="239">
        <v>0</v>
      </c>
      <c r="AK209" s="239">
        <v>9281966</v>
      </c>
      <c r="AL209" s="239">
        <v>-1376766</v>
      </c>
      <c r="AM209" s="239">
        <v>-1251605</v>
      </c>
      <c r="AN209" s="239">
        <v>-1543646</v>
      </c>
      <c r="AO209" s="239">
        <v>0</v>
      </c>
      <c r="AP209" s="239">
        <v>-4172017</v>
      </c>
      <c r="AQ209" s="239">
        <v>-2754295</v>
      </c>
      <c r="AR209" s="239">
        <v>-2503905</v>
      </c>
      <c r="AS209" s="239">
        <v>-3088149</v>
      </c>
      <c r="AT209" s="239">
        <v>0</v>
      </c>
      <c r="AU209" s="239">
        <v>-8346349</v>
      </c>
      <c r="AV209" s="239">
        <v>0</v>
      </c>
      <c r="AW209" s="239">
        <v>0</v>
      </c>
      <c r="AX209" s="239">
        <v>0</v>
      </c>
      <c r="AY209" s="239">
        <v>0</v>
      </c>
      <c r="AZ209" s="239">
        <v>0</v>
      </c>
      <c r="BA209" s="239">
        <v>278123</v>
      </c>
      <c r="BB209" s="239">
        <v>252839</v>
      </c>
      <c r="BC209" s="239">
        <v>311835</v>
      </c>
      <c r="BD209" s="239">
        <v>0</v>
      </c>
      <c r="BE209" s="239">
        <v>842797</v>
      </c>
      <c r="BF209" s="239">
        <v>-2476172</v>
      </c>
      <c r="BG209" s="239">
        <v>-2251066</v>
      </c>
      <c r="BH209" s="239">
        <v>-2776314</v>
      </c>
      <c r="BI209" s="239">
        <v>0</v>
      </c>
      <c r="BJ209" s="239">
        <v>-7503552</v>
      </c>
      <c r="BK209" s="239">
        <v>-181500</v>
      </c>
      <c r="BL209" s="239">
        <v>-165000</v>
      </c>
      <c r="BM209" s="239">
        <v>-203500</v>
      </c>
      <c r="BN209" s="239">
        <v>0</v>
      </c>
      <c r="BO209" s="239">
        <v>-550000</v>
      </c>
      <c r="BP209" s="239">
        <v>181500</v>
      </c>
      <c r="BQ209" s="239">
        <v>165000</v>
      </c>
      <c r="BR209" s="239">
        <v>203500</v>
      </c>
      <c r="BS209" s="239">
        <v>0</v>
      </c>
      <c r="BT209" s="239">
        <v>550000</v>
      </c>
      <c r="BU209" s="239">
        <v>-2453880</v>
      </c>
      <c r="BV209" s="239">
        <v>-2230800</v>
      </c>
      <c r="BW209" s="239">
        <v>-2751320</v>
      </c>
      <c r="BX209" s="239">
        <v>0</v>
      </c>
      <c r="BY209" s="239">
        <v>-7436000</v>
      </c>
      <c r="BZ209" s="239">
        <v>-2453880</v>
      </c>
      <c r="CA209" s="239">
        <v>-2230800</v>
      </c>
      <c r="CB209" s="239">
        <v>-2751320</v>
      </c>
      <c r="CC209" s="239">
        <v>0</v>
      </c>
      <c r="CD209" s="239">
        <v>-7436000</v>
      </c>
      <c r="CE209" s="239">
        <v>-170359</v>
      </c>
      <c r="CF209" s="239">
        <v>-102216</v>
      </c>
      <c r="CG209" s="239">
        <v>-68144</v>
      </c>
      <c r="CH209" s="239">
        <v>0</v>
      </c>
      <c r="CI209" s="239">
        <v>-340719</v>
      </c>
      <c r="CJ209" s="239">
        <v>-103528</v>
      </c>
      <c r="CK209" s="239">
        <v>-62117</v>
      </c>
      <c r="CL209" s="239">
        <v>-41411</v>
      </c>
      <c r="CM209" s="239">
        <v>0</v>
      </c>
      <c r="CN209" s="239">
        <v>-207056</v>
      </c>
      <c r="CO209" s="239">
        <v>-66831</v>
      </c>
      <c r="CP209" s="239">
        <v>-40099</v>
      </c>
      <c r="CQ209" s="239">
        <v>-26733</v>
      </c>
      <c r="CR209" s="239">
        <v>0</v>
      </c>
      <c r="CS209" s="239">
        <v>-133663</v>
      </c>
      <c r="CT209" s="239">
        <v>19433405</v>
      </c>
      <c r="CU209" s="239">
        <v>17666732</v>
      </c>
      <c r="CV209" s="239">
        <v>21788969</v>
      </c>
      <c r="CW209" s="239">
        <v>0</v>
      </c>
      <c r="CX209" s="239">
        <v>58889106</v>
      </c>
      <c r="CY209" s="239">
        <v>16376009</v>
      </c>
      <c r="CZ209" s="239">
        <v>14887281</v>
      </c>
      <c r="DA209" s="239">
        <v>18360980</v>
      </c>
      <c r="DB209" s="239">
        <v>0</v>
      </c>
      <c r="DC209" s="239">
        <v>49624270</v>
      </c>
      <c r="DD209" s="239">
        <v>-3057396</v>
      </c>
      <c r="DE209" s="239">
        <v>-2779451</v>
      </c>
      <c r="DF209" s="239">
        <v>-3427989</v>
      </c>
      <c r="DG209" s="239">
        <v>0</v>
      </c>
      <c r="DH209" s="239">
        <v>-9264836</v>
      </c>
      <c r="DI209" s="239">
        <v>-3124227</v>
      </c>
      <c r="DJ209" s="239">
        <v>-2819550</v>
      </c>
      <c r="DK209" s="239">
        <v>-3454722</v>
      </c>
      <c r="DL209" s="239">
        <v>0</v>
      </c>
      <c r="DM209" s="239">
        <v>-9398499</v>
      </c>
      <c r="DN209" s="835">
        <v>0.33</v>
      </c>
      <c r="DO209" s="835">
        <v>0.3</v>
      </c>
      <c r="DP209" s="835">
        <v>0.37</v>
      </c>
      <c r="DQ209" s="835">
        <v>0</v>
      </c>
      <c r="DR209" s="835">
        <v>1</v>
      </c>
      <c r="DS209" s="214" t="s">
        <v>1159</v>
      </c>
      <c r="DU209" s="214">
        <v>0</v>
      </c>
    </row>
    <row r="210" spans="2:125" s="214" customFormat="1" x14ac:dyDescent="0.2">
      <c r="B210" s="602" t="s">
        <v>503</v>
      </c>
      <c r="C210" s="602" t="s">
        <v>502</v>
      </c>
      <c r="D210" s="239">
        <v>14949819</v>
      </c>
      <c r="E210" s="239">
        <v>14650823</v>
      </c>
      <c r="F210" s="239">
        <v>0</v>
      </c>
      <c r="G210" s="239">
        <v>298996</v>
      </c>
      <c r="H210" s="239">
        <v>29899638</v>
      </c>
      <c r="I210" s="239">
        <v>0</v>
      </c>
      <c r="J210" s="239">
        <v>0</v>
      </c>
      <c r="K210" s="239">
        <v>14949819</v>
      </c>
      <c r="L210" s="239">
        <v>157055</v>
      </c>
      <c r="M210" s="239">
        <v>157055</v>
      </c>
      <c r="N210" s="239">
        <v>2092122</v>
      </c>
      <c r="O210" s="239">
        <v>2092122</v>
      </c>
      <c r="P210" s="239">
        <v>0</v>
      </c>
      <c r="Q210" s="239">
        <v>0</v>
      </c>
      <c r="R210" s="239">
        <v>0</v>
      </c>
      <c r="S210" s="239">
        <v>0</v>
      </c>
      <c r="T210" s="239">
        <v>0</v>
      </c>
      <c r="U210" s="239">
        <v>0</v>
      </c>
      <c r="V210" s="239">
        <v>0</v>
      </c>
      <c r="W210" s="239">
        <v>0</v>
      </c>
      <c r="X210" s="239">
        <v>0</v>
      </c>
      <c r="Y210" s="239">
        <v>0</v>
      </c>
      <c r="Z210" s="239">
        <v>0</v>
      </c>
      <c r="AA210" s="239">
        <v>0</v>
      </c>
      <c r="AB210" s="239">
        <v>0</v>
      </c>
      <c r="AC210" s="239">
        <v>1986710</v>
      </c>
      <c r="AD210" s="239">
        <v>0</v>
      </c>
      <c r="AE210" s="239">
        <v>30481</v>
      </c>
      <c r="AF210" s="239">
        <v>2017191</v>
      </c>
      <c r="AG210" s="239">
        <v>6537633</v>
      </c>
      <c r="AH210" s="239">
        <v>6406880</v>
      </c>
      <c r="AI210" s="239">
        <v>0</v>
      </c>
      <c r="AJ210" s="239">
        <v>130753</v>
      </c>
      <c r="AK210" s="239">
        <v>13075266</v>
      </c>
      <c r="AL210" s="239">
        <v>-814207</v>
      </c>
      <c r="AM210" s="239">
        <v>-797922</v>
      </c>
      <c r="AN210" s="239">
        <v>0</v>
      </c>
      <c r="AO210" s="239">
        <v>-16284</v>
      </c>
      <c r="AP210" s="239">
        <v>-1628413</v>
      </c>
      <c r="AQ210" s="239">
        <v>-5894773</v>
      </c>
      <c r="AR210" s="239">
        <v>-5776877</v>
      </c>
      <c r="AS210" s="239">
        <v>0</v>
      </c>
      <c r="AT210" s="239">
        <v>-117895</v>
      </c>
      <c r="AU210" s="239">
        <v>-11789545</v>
      </c>
      <c r="AV210" s="239">
        <v>73047</v>
      </c>
      <c r="AW210" s="239">
        <v>71587</v>
      </c>
      <c r="AX210" s="239">
        <v>0</v>
      </c>
      <c r="AY210" s="239">
        <v>1461</v>
      </c>
      <c r="AZ210" s="239">
        <v>146095</v>
      </c>
      <c r="BA210" s="239">
        <v>-91771</v>
      </c>
      <c r="BB210" s="239">
        <v>-89935</v>
      </c>
      <c r="BC210" s="239">
        <v>0</v>
      </c>
      <c r="BD210" s="239">
        <v>-1835</v>
      </c>
      <c r="BE210" s="239">
        <v>-183541</v>
      </c>
      <c r="BF210" s="239">
        <v>-5913497</v>
      </c>
      <c r="BG210" s="239">
        <v>-5795225</v>
      </c>
      <c r="BH210" s="239">
        <v>0</v>
      </c>
      <c r="BI210" s="239">
        <v>-118269</v>
      </c>
      <c r="BJ210" s="239">
        <v>-11826991</v>
      </c>
      <c r="BK210" s="239">
        <v>-2262883.2999999998</v>
      </c>
      <c r="BL210" s="239">
        <v>-2217625</v>
      </c>
      <c r="BM210" s="239">
        <v>0</v>
      </c>
      <c r="BN210" s="239">
        <v>-45258</v>
      </c>
      <c r="BO210" s="239">
        <v>-4525766.3</v>
      </c>
      <c r="BP210" s="239">
        <v>272127</v>
      </c>
      <c r="BQ210" s="239">
        <v>266684</v>
      </c>
      <c r="BR210" s="239">
        <v>0</v>
      </c>
      <c r="BS210" s="239">
        <v>5443</v>
      </c>
      <c r="BT210" s="239">
        <v>544254</v>
      </c>
      <c r="BU210" s="239">
        <v>288759</v>
      </c>
      <c r="BV210" s="239">
        <v>282983</v>
      </c>
      <c r="BW210" s="239">
        <v>0</v>
      </c>
      <c r="BX210" s="239">
        <v>5775</v>
      </c>
      <c r="BY210" s="239">
        <v>577517</v>
      </c>
      <c r="BZ210" s="239">
        <v>-1701997.2999999998</v>
      </c>
      <c r="CA210" s="239">
        <v>-1667958</v>
      </c>
      <c r="CB210" s="239">
        <v>0</v>
      </c>
      <c r="CC210" s="239">
        <v>-34040</v>
      </c>
      <c r="CD210" s="239">
        <v>-3403995.3</v>
      </c>
      <c r="CE210" s="239">
        <v>457188</v>
      </c>
      <c r="CF210" s="239">
        <v>448045</v>
      </c>
      <c r="CG210" s="239">
        <v>0</v>
      </c>
      <c r="CH210" s="239">
        <v>9144</v>
      </c>
      <c r="CI210" s="239">
        <v>914377</v>
      </c>
      <c r="CJ210" s="239">
        <v>509546</v>
      </c>
      <c r="CK210" s="239">
        <v>499356</v>
      </c>
      <c r="CL210" s="239">
        <v>0</v>
      </c>
      <c r="CM210" s="239">
        <v>10191</v>
      </c>
      <c r="CN210" s="239">
        <v>1019093</v>
      </c>
      <c r="CO210" s="239">
        <v>-52358</v>
      </c>
      <c r="CP210" s="239">
        <v>-51311</v>
      </c>
      <c r="CQ210" s="239">
        <v>0</v>
      </c>
      <c r="CR210" s="239">
        <v>-1047</v>
      </c>
      <c r="CS210" s="239">
        <v>-104716</v>
      </c>
      <c r="CT210" s="239">
        <v>17255082</v>
      </c>
      <c r="CU210" s="239">
        <v>16909981</v>
      </c>
      <c r="CV210" s="239">
        <v>0</v>
      </c>
      <c r="CW210" s="239">
        <v>345102</v>
      </c>
      <c r="CX210" s="239">
        <v>34510165</v>
      </c>
      <c r="CY210" s="239">
        <v>14949819</v>
      </c>
      <c r="CZ210" s="239">
        <v>14650823</v>
      </c>
      <c r="DA210" s="239">
        <v>0</v>
      </c>
      <c r="DB210" s="239">
        <v>298996</v>
      </c>
      <c r="DC210" s="239">
        <v>29899638</v>
      </c>
      <c r="DD210" s="239">
        <v>-2305263</v>
      </c>
      <c r="DE210" s="239">
        <v>-2259158</v>
      </c>
      <c r="DF210" s="239">
        <v>0</v>
      </c>
      <c r="DG210" s="239">
        <v>-46106</v>
      </c>
      <c r="DH210" s="239">
        <v>-4610527</v>
      </c>
      <c r="DI210" s="239">
        <v>-2357621</v>
      </c>
      <c r="DJ210" s="239">
        <v>-2310469</v>
      </c>
      <c r="DK210" s="239">
        <v>0</v>
      </c>
      <c r="DL210" s="239">
        <v>-47153</v>
      </c>
      <c r="DM210" s="239">
        <v>-4715243</v>
      </c>
      <c r="DN210" s="835">
        <v>0.5</v>
      </c>
      <c r="DO210" s="835">
        <v>0.49</v>
      </c>
      <c r="DP210" s="835">
        <v>0</v>
      </c>
      <c r="DQ210" s="835">
        <v>0.01</v>
      </c>
      <c r="DR210" s="835">
        <v>1</v>
      </c>
      <c r="DS210" s="214" t="s">
        <v>746</v>
      </c>
      <c r="DU210" s="214">
        <v>0</v>
      </c>
    </row>
    <row r="211" spans="2:125" s="214" customFormat="1" x14ac:dyDescent="0.2">
      <c r="B211" s="602" t="s">
        <v>505</v>
      </c>
      <c r="C211" s="602" t="s">
        <v>504</v>
      </c>
      <c r="D211" s="239">
        <v>15678616</v>
      </c>
      <c r="E211" s="239">
        <v>12542893</v>
      </c>
      <c r="F211" s="239">
        <v>2822151</v>
      </c>
      <c r="G211" s="239">
        <v>313572</v>
      </c>
      <c r="H211" s="239">
        <v>31357232</v>
      </c>
      <c r="I211" s="239">
        <v>0</v>
      </c>
      <c r="J211" s="239">
        <v>0</v>
      </c>
      <c r="K211" s="239">
        <v>15678616</v>
      </c>
      <c r="L211" s="239">
        <v>106549</v>
      </c>
      <c r="M211" s="239">
        <v>106549</v>
      </c>
      <c r="N211" s="239">
        <v>0</v>
      </c>
      <c r="O211" s="239">
        <v>0</v>
      </c>
      <c r="P211" s="239">
        <v>0</v>
      </c>
      <c r="Q211" s="239">
        <v>0</v>
      </c>
      <c r="R211" s="239">
        <v>0</v>
      </c>
      <c r="S211" s="239">
        <v>0</v>
      </c>
      <c r="T211" s="239">
        <v>0</v>
      </c>
      <c r="U211" s="239">
        <v>0</v>
      </c>
      <c r="V211" s="239">
        <v>0</v>
      </c>
      <c r="W211" s="239">
        <v>0</v>
      </c>
      <c r="X211" s="239">
        <v>0</v>
      </c>
      <c r="Y211" s="239">
        <v>0</v>
      </c>
      <c r="Z211" s="239">
        <v>0</v>
      </c>
      <c r="AA211" s="239">
        <v>0</v>
      </c>
      <c r="AB211" s="239">
        <v>0</v>
      </c>
      <c r="AC211" s="239">
        <v>910247</v>
      </c>
      <c r="AD211" s="239">
        <v>204806</v>
      </c>
      <c r="AE211" s="239">
        <v>22755</v>
      </c>
      <c r="AF211" s="239">
        <v>1137808</v>
      </c>
      <c r="AG211" s="239">
        <v>2730686</v>
      </c>
      <c r="AH211" s="239">
        <v>2184548</v>
      </c>
      <c r="AI211" s="239">
        <v>491523</v>
      </c>
      <c r="AJ211" s="239">
        <v>54614</v>
      </c>
      <c r="AK211" s="239">
        <v>5461371</v>
      </c>
      <c r="AL211" s="239">
        <v>-720069</v>
      </c>
      <c r="AM211" s="239">
        <v>-576056</v>
      </c>
      <c r="AN211" s="239">
        <v>-129613</v>
      </c>
      <c r="AO211" s="239">
        <v>-14401</v>
      </c>
      <c r="AP211" s="239">
        <v>-1440139</v>
      </c>
      <c r="AQ211" s="239">
        <v>-832572</v>
      </c>
      <c r="AR211" s="239">
        <v>-666057</v>
      </c>
      <c r="AS211" s="239">
        <v>-149863</v>
      </c>
      <c r="AT211" s="239">
        <v>-16651</v>
      </c>
      <c r="AU211" s="239">
        <v>-1665143</v>
      </c>
      <c r="AV211" s="239">
        <v>156253</v>
      </c>
      <c r="AW211" s="239">
        <v>125002</v>
      </c>
      <c r="AX211" s="239">
        <v>28125</v>
      </c>
      <c r="AY211" s="239">
        <v>3125</v>
      </c>
      <c r="AZ211" s="239">
        <v>312505</v>
      </c>
      <c r="BA211" s="239">
        <v>-488836</v>
      </c>
      <c r="BB211" s="239">
        <v>-391069</v>
      </c>
      <c r="BC211" s="239">
        <v>-87990</v>
      </c>
      <c r="BD211" s="239">
        <v>-9777</v>
      </c>
      <c r="BE211" s="239">
        <v>-977672</v>
      </c>
      <c r="BF211" s="239">
        <v>-1165155</v>
      </c>
      <c r="BG211" s="239">
        <v>-932124</v>
      </c>
      <c r="BH211" s="239">
        <v>-209728</v>
      </c>
      <c r="BI211" s="239">
        <v>-23303</v>
      </c>
      <c r="BJ211" s="239">
        <v>-2330310</v>
      </c>
      <c r="BK211" s="239">
        <v>-1420970</v>
      </c>
      <c r="BL211" s="239">
        <v>-1136775</v>
      </c>
      <c r="BM211" s="239">
        <v>-255774</v>
      </c>
      <c r="BN211" s="239">
        <v>-28419</v>
      </c>
      <c r="BO211" s="239">
        <v>-2841938</v>
      </c>
      <c r="BP211" s="239">
        <v>595370</v>
      </c>
      <c r="BQ211" s="239">
        <v>476295</v>
      </c>
      <c r="BR211" s="239">
        <v>107166</v>
      </c>
      <c r="BS211" s="239">
        <v>11907</v>
      </c>
      <c r="BT211" s="239">
        <v>1190738</v>
      </c>
      <c r="BU211" s="239">
        <v>-1762331</v>
      </c>
      <c r="BV211" s="239">
        <v>-1409866</v>
      </c>
      <c r="BW211" s="239">
        <v>-317220</v>
      </c>
      <c r="BX211" s="239">
        <v>-35247</v>
      </c>
      <c r="BY211" s="239">
        <v>-3524664</v>
      </c>
      <c r="BZ211" s="239">
        <v>-2587931</v>
      </c>
      <c r="CA211" s="239">
        <v>-2070346</v>
      </c>
      <c r="CB211" s="239">
        <v>-465828</v>
      </c>
      <c r="CC211" s="239">
        <v>-51759</v>
      </c>
      <c r="CD211" s="239">
        <v>-5175864</v>
      </c>
      <c r="CE211" s="239">
        <v>-119541.89999999991</v>
      </c>
      <c r="CF211" s="239">
        <v>-95634</v>
      </c>
      <c r="CG211" s="239">
        <v>-21518</v>
      </c>
      <c r="CH211" s="239">
        <v>-2390</v>
      </c>
      <c r="CI211" s="239">
        <v>-239083.89999999991</v>
      </c>
      <c r="CJ211" s="239">
        <v>-608964</v>
      </c>
      <c r="CK211" s="239">
        <v>-487172</v>
      </c>
      <c r="CL211" s="239">
        <v>-109614</v>
      </c>
      <c r="CM211" s="239">
        <v>-12179</v>
      </c>
      <c r="CN211" s="239">
        <v>-1217929</v>
      </c>
      <c r="CO211" s="239">
        <v>489422.10000000009</v>
      </c>
      <c r="CP211" s="239">
        <v>391538</v>
      </c>
      <c r="CQ211" s="239">
        <v>88096</v>
      </c>
      <c r="CR211" s="239">
        <v>9789</v>
      </c>
      <c r="CS211" s="239">
        <v>978845.10000000009</v>
      </c>
      <c r="CT211" s="239">
        <v>15823686</v>
      </c>
      <c r="CU211" s="239">
        <v>12658950</v>
      </c>
      <c r="CV211" s="239">
        <v>2848264</v>
      </c>
      <c r="CW211" s="239">
        <v>316474</v>
      </c>
      <c r="CX211" s="239">
        <v>31647374</v>
      </c>
      <c r="CY211" s="239">
        <v>15678616</v>
      </c>
      <c r="CZ211" s="239">
        <v>12542893</v>
      </c>
      <c r="DA211" s="239">
        <v>2822151</v>
      </c>
      <c r="DB211" s="239">
        <v>313572</v>
      </c>
      <c r="DC211" s="239">
        <v>31357232</v>
      </c>
      <c r="DD211" s="239">
        <v>-145070</v>
      </c>
      <c r="DE211" s="239">
        <v>-116057</v>
      </c>
      <c r="DF211" s="239">
        <v>-26113</v>
      </c>
      <c r="DG211" s="239">
        <v>-2902</v>
      </c>
      <c r="DH211" s="239">
        <v>-290142</v>
      </c>
      <c r="DI211" s="239">
        <v>344352.10000000009</v>
      </c>
      <c r="DJ211" s="239">
        <v>275481</v>
      </c>
      <c r="DK211" s="239">
        <v>61983</v>
      </c>
      <c r="DL211" s="239">
        <v>6887</v>
      </c>
      <c r="DM211" s="239">
        <v>688703.10000000009</v>
      </c>
      <c r="DN211" s="835">
        <v>0.5</v>
      </c>
      <c r="DO211" s="835">
        <v>0.4</v>
      </c>
      <c r="DP211" s="835">
        <v>0.09</v>
      </c>
      <c r="DQ211" s="835">
        <v>0.01</v>
      </c>
      <c r="DR211" s="835">
        <v>1</v>
      </c>
      <c r="DS211" s="214" t="s">
        <v>1158</v>
      </c>
      <c r="DU211" s="214">
        <v>0</v>
      </c>
    </row>
    <row r="212" spans="2:125" s="214" customFormat="1" x14ac:dyDescent="0.2">
      <c r="B212" s="602" t="s">
        <v>507</v>
      </c>
      <c r="C212" s="602" t="s">
        <v>506</v>
      </c>
      <c r="D212" s="239">
        <v>26307563</v>
      </c>
      <c r="E212" s="239">
        <v>21046051</v>
      </c>
      <c r="F212" s="239">
        <v>5261513</v>
      </c>
      <c r="G212" s="239">
        <v>0</v>
      </c>
      <c r="H212" s="239">
        <v>52615127</v>
      </c>
      <c r="I212" s="239">
        <v>0</v>
      </c>
      <c r="J212" s="239">
        <v>0</v>
      </c>
      <c r="K212" s="239">
        <v>26307563</v>
      </c>
      <c r="L212" s="239">
        <v>174020</v>
      </c>
      <c r="M212" s="239">
        <v>174020</v>
      </c>
      <c r="N212" s="239">
        <v>0</v>
      </c>
      <c r="O212" s="239">
        <v>0</v>
      </c>
      <c r="P212" s="239">
        <v>0</v>
      </c>
      <c r="Q212" s="239">
        <v>0</v>
      </c>
      <c r="R212" s="239">
        <v>0</v>
      </c>
      <c r="S212" s="239">
        <v>0</v>
      </c>
      <c r="T212" s="239">
        <v>0</v>
      </c>
      <c r="U212" s="239">
        <v>0</v>
      </c>
      <c r="V212" s="239">
        <v>0</v>
      </c>
      <c r="W212" s="239">
        <v>0</v>
      </c>
      <c r="X212" s="239">
        <v>0</v>
      </c>
      <c r="Y212" s="239">
        <v>0</v>
      </c>
      <c r="Z212" s="239">
        <v>0</v>
      </c>
      <c r="AA212" s="239">
        <v>0</v>
      </c>
      <c r="AB212" s="239">
        <v>0</v>
      </c>
      <c r="AC212" s="239">
        <v>1433641</v>
      </c>
      <c r="AD212" s="239">
        <v>358411</v>
      </c>
      <c r="AE212" s="239">
        <v>0</v>
      </c>
      <c r="AF212" s="239">
        <v>1792052</v>
      </c>
      <c r="AG212" s="239">
        <v>420855</v>
      </c>
      <c r="AH212" s="239">
        <v>336684</v>
      </c>
      <c r="AI212" s="239">
        <v>84171</v>
      </c>
      <c r="AJ212" s="239">
        <v>0</v>
      </c>
      <c r="AK212" s="239">
        <v>841710</v>
      </c>
      <c r="AL212" s="239">
        <v>-900399</v>
      </c>
      <c r="AM212" s="239">
        <v>-720320</v>
      </c>
      <c r="AN212" s="239">
        <v>-180080</v>
      </c>
      <c r="AO212" s="239">
        <v>0</v>
      </c>
      <c r="AP212" s="239">
        <v>-1800799</v>
      </c>
      <c r="AQ212" s="239">
        <v>-47576.100000000006</v>
      </c>
      <c r="AR212" s="239">
        <v>-38061</v>
      </c>
      <c r="AS212" s="239">
        <v>-9515</v>
      </c>
      <c r="AT212" s="239">
        <v>0</v>
      </c>
      <c r="AU212" s="239">
        <v>-95152.1</v>
      </c>
      <c r="AV212" s="239">
        <v>7301</v>
      </c>
      <c r="AW212" s="239">
        <v>5841</v>
      </c>
      <c r="AX212" s="239">
        <v>1460</v>
      </c>
      <c r="AY212" s="239">
        <v>0</v>
      </c>
      <c r="AZ212" s="239">
        <v>14602</v>
      </c>
      <c r="BA212" s="239">
        <v>-56991</v>
      </c>
      <c r="BB212" s="239">
        <v>-45593</v>
      </c>
      <c r="BC212" s="239">
        <v>-11398</v>
      </c>
      <c r="BD212" s="239">
        <v>0</v>
      </c>
      <c r="BE212" s="239">
        <v>-113982</v>
      </c>
      <c r="BF212" s="239">
        <v>-97266.1</v>
      </c>
      <c r="BG212" s="239">
        <v>-77813</v>
      </c>
      <c r="BH212" s="239">
        <v>-19453</v>
      </c>
      <c r="BI212" s="239">
        <v>0</v>
      </c>
      <c r="BJ212" s="239">
        <v>-194532.1</v>
      </c>
      <c r="BK212" s="239">
        <v>-2087875</v>
      </c>
      <c r="BL212" s="239">
        <v>-1670300</v>
      </c>
      <c r="BM212" s="239">
        <v>-417575</v>
      </c>
      <c r="BN212" s="239">
        <v>0</v>
      </c>
      <c r="BO212" s="239">
        <v>-4175750</v>
      </c>
      <c r="BP212" s="239">
        <v>628773</v>
      </c>
      <c r="BQ212" s="239">
        <v>503018</v>
      </c>
      <c r="BR212" s="239">
        <v>125755</v>
      </c>
      <c r="BS212" s="239">
        <v>0</v>
      </c>
      <c r="BT212" s="239">
        <v>1257546</v>
      </c>
      <c r="BU212" s="239">
        <v>-997020</v>
      </c>
      <c r="BV212" s="239">
        <v>-797616</v>
      </c>
      <c r="BW212" s="239">
        <v>-199404</v>
      </c>
      <c r="BX212" s="239">
        <v>0</v>
      </c>
      <c r="BY212" s="239">
        <v>-1994040</v>
      </c>
      <c r="BZ212" s="239">
        <v>-2456122</v>
      </c>
      <c r="CA212" s="239">
        <v>-1964898</v>
      </c>
      <c r="CB212" s="239">
        <v>-491224</v>
      </c>
      <c r="CC212" s="239">
        <v>0</v>
      </c>
      <c r="CD212" s="239">
        <v>-4912244</v>
      </c>
      <c r="CE212" s="239">
        <v>1780583</v>
      </c>
      <c r="CF212" s="239">
        <v>1424466</v>
      </c>
      <c r="CG212" s="239">
        <v>356116</v>
      </c>
      <c r="CH212" s="239">
        <v>0</v>
      </c>
      <c r="CI212" s="239">
        <v>3561165</v>
      </c>
      <c r="CJ212" s="239">
        <v>2320834</v>
      </c>
      <c r="CK212" s="239">
        <v>1856667</v>
      </c>
      <c r="CL212" s="239">
        <v>464167</v>
      </c>
      <c r="CM212" s="239">
        <v>0</v>
      </c>
      <c r="CN212" s="239">
        <v>4641668</v>
      </c>
      <c r="CO212" s="239">
        <v>-540251</v>
      </c>
      <c r="CP212" s="239">
        <v>-432201</v>
      </c>
      <c r="CQ212" s="239">
        <v>-108051</v>
      </c>
      <c r="CR212" s="239">
        <v>0</v>
      </c>
      <c r="CS212" s="239">
        <v>-1080503</v>
      </c>
      <c r="CT212" s="239">
        <v>28137156</v>
      </c>
      <c r="CU212" s="239">
        <v>22509724</v>
      </c>
      <c r="CV212" s="239">
        <v>5627431</v>
      </c>
      <c r="CW212" s="239">
        <v>0</v>
      </c>
      <c r="CX212" s="239">
        <v>56274311</v>
      </c>
      <c r="CY212" s="239">
        <v>26307563</v>
      </c>
      <c r="CZ212" s="239">
        <v>21046051</v>
      </c>
      <c r="DA212" s="239">
        <v>5261513</v>
      </c>
      <c r="DB212" s="239">
        <v>0</v>
      </c>
      <c r="DC212" s="239">
        <v>52615127</v>
      </c>
      <c r="DD212" s="239">
        <v>-1829593</v>
      </c>
      <c r="DE212" s="239">
        <v>-1463673</v>
      </c>
      <c r="DF212" s="239">
        <v>-365918</v>
      </c>
      <c r="DG212" s="239">
        <v>0</v>
      </c>
      <c r="DH212" s="239">
        <v>-3659184</v>
      </c>
      <c r="DI212" s="239">
        <v>-2369844</v>
      </c>
      <c r="DJ212" s="239">
        <v>-1895874</v>
      </c>
      <c r="DK212" s="239">
        <v>-473969</v>
      </c>
      <c r="DL212" s="239">
        <v>0</v>
      </c>
      <c r="DM212" s="239">
        <v>-4739687</v>
      </c>
      <c r="DN212" s="835">
        <v>0.5</v>
      </c>
      <c r="DO212" s="835">
        <v>0.4</v>
      </c>
      <c r="DP212" s="835">
        <v>0.1</v>
      </c>
      <c r="DQ212" s="835">
        <v>0</v>
      </c>
      <c r="DR212" s="835">
        <v>1</v>
      </c>
      <c r="DS212" s="214" t="s">
        <v>1158</v>
      </c>
      <c r="DU212" s="214">
        <v>0</v>
      </c>
    </row>
    <row r="213" spans="2:125" s="214" customFormat="1" x14ac:dyDescent="0.2">
      <c r="B213" s="602" t="s">
        <v>509</v>
      </c>
      <c r="C213" s="602" t="s">
        <v>508</v>
      </c>
      <c r="D213" s="239">
        <v>7197890</v>
      </c>
      <c r="E213" s="239">
        <v>5758312</v>
      </c>
      <c r="F213" s="239">
        <v>1295620</v>
      </c>
      <c r="G213" s="239">
        <v>143958</v>
      </c>
      <c r="H213" s="239">
        <v>14395780</v>
      </c>
      <c r="I213" s="239">
        <v>0</v>
      </c>
      <c r="J213" s="239">
        <v>0</v>
      </c>
      <c r="K213" s="239">
        <v>7197890</v>
      </c>
      <c r="L213" s="239">
        <v>88997</v>
      </c>
      <c r="M213" s="239">
        <v>88997</v>
      </c>
      <c r="N213" s="239">
        <v>257324</v>
      </c>
      <c r="O213" s="239">
        <v>257324</v>
      </c>
      <c r="P213" s="239">
        <v>99914</v>
      </c>
      <c r="Q213" s="239">
        <v>0</v>
      </c>
      <c r="R213" s="239">
        <v>99914</v>
      </c>
      <c r="S213" s="239">
        <v>0</v>
      </c>
      <c r="T213" s="239">
        <v>0</v>
      </c>
      <c r="U213" s="239">
        <v>0</v>
      </c>
      <c r="V213" s="239">
        <v>0</v>
      </c>
      <c r="W213" s="239">
        <v>0</v>
      </c>
      <c r="X213" s="239">
        <v>0</v>
      </c>
      <c r="Y213" s="239">
        <v>0</v>
      </c>
      <c r="Z213" s="239">
        <v>0</v>
      </c>
      <c r="AA213" s="239">
        <v>0</v>
      </c>
      <c r="AB213" s="239">
        <v>0</v>
      </c>
      <c r="AC213" s="239">
        <v>962867</v>
      </c>
      <c r="AD213" s="239">
        <v>215438</v>
      </c>
      <c r="AE213" s="239">
        <v>23937</v>
      </c>
      <c r="AF213" s="239">
        <v>1202242</v>
      </c>
      <c r="AG213" s="239">
        <v>327654</v>
      </c>
      <c r="AH213" s="239">
        <v>262123</v>
      </c>
      <c r="AI213" s="239">
        <v>58978</v>
      </c>
      <c r="AJ213" s="239">
        <v>6553</v>
      </c>
      <c r="AK213" s="239">
        <v>655308</v>
      </c>
      <c r="AL213" s="239">
        <v>-107662</v>
      </c>
      <c r="AM213" s="239">
        <v>-86129</v>
      </c>
      <c r="AN213" s="239">
        <v>-19379</v>
      </c>
      <c r="AO213" s="239">
        <v>-2153</v>
      </c>
      <c r="AP213" s="239">
        <v>-215323</v>
      </c>
      <c r="AQ213" s="239">
        <v>-165000</v>
      </c>
      <c r="AR213" s="239">
        <v>-132000</v>
      </c>
      <c r="AS213" s="239">
        <v>-29700</v>
      </c>
      <c r="AT213" s="239">
        <v>-3300</v>
      </c>
      <c r="AU213" s="239">
        <v>-330000</v>
      </c>
      <c r="AV213" s="239">
        <v>35499</v>
      </c>
      <c r="AW213" s="239">
        <v>28399</v>
      </c>
      <c r="AX213" s="239">
        <v>6390</v>
      </c>
      <c r="AY213" s="239">
        <v>710</v>
      </c>
      <c r="AZ213" s="239">
        <v>70998</v>
      </c>
      <c r="BA213" s="239">
        <v>-40499</v>
      </c>
      <c r="BB213" s="239">
        <v>-32399</v>
      </c>
      <c r="BC213" s="239">
        <v>-7290</v>
      </c>
      <c r="BD213" s="239">
        <v>-810</v>
      </c>
      <c r="BE213" s="239">
        <v>-80998</v>
      </c>
      <c r="BF213" s="239">
        <v>-170000</v>
      </c>
      <c r="BG213" s="239">
        <v>-136000</v>
      </c>
      <c r="BH213" s="239">
        <v>-30600</v>
      </c>
      <c r="BI213" s="239">
        <v>-3400</v>
      </c>
      <c r="BJ213" s="239">
        <v>-340000</v>
      </c>
      <c r="BK213" s="239">
        <v>-634450</v>
      </c>
      <c r="BL213" s="239">
        <v>-507560</v>
      </c>
      <c r="BM213" s="239">
        <v>-114201</v>
      </c>
      <c r="BN213" s="239">
        <v>-12689</v>
      </c>
      <c r="BO213" s="239">
        <v>-1268900</v>
      </c>
      <c r="BP213" s="239">
        <v>296745</v>
      </c>
      <c r="BQ213" s="239">
        <v>237396</v>
      </c>
      <c r="BR213" s="239">
        <v>53414</v>
      </c>
      <c r="BS213" s="239">
        <v>5935</v>
      </c>
      <c r="BT213" s="239">
        <v>593490</v>
      </c>
      <c r="BU213" s="239">
        <v>-147995</v>
      </c>
      <c r="BV213" s="239">
        <v>-118396</v>
      </c>
      <c r="BW213" s="239">
        <v>-26639</v>
      </c>
      <c r="BX213" s="239">
        <v>-2960</v>
      </c>
      <c r="BY213" s="239">
        <v>-295990</v>
      </c>
      <c r="BZ213" s="239">
        <v>-485700</v>
      </c>
      <c r="CA213" s="239">
        <v>-388560</v>
      </c>
      <c r="CB213" s="239">
        <v>-87426</v>
      </c>
      <c r="CC213" s="239">
        <v>-9714</v>
      </c>
      <c r="CD213" s="239">
        <v>-971400</v>
      </c>
      <c r="CE213" s="239">
        <v>43633</v>
      </c>
      <c r="CF213" s="239">
        <v>34906</v>
      </c>
      <c r="CG213" s="239">
        <v>7854</v>
      </c>
      <c r="CH213" s="239">
        <v>872</v>
      </c>
      <c r="CI213" s="239">
        <v>87265</v>
      </c>
      <c r="CJ213" s="239">
        <v>56711</v>
      </c>
      <c r="CK213" s="239">
        <v>45369</v>
      </c>
      <c r="CL213" s="239">
        <v>10208</v>
      </c>
      <c r="CM213" s="239">
        <v>1134</v>
      </c>
      <c r="CN213" s="239">
        <v>113422</v>
      </c>
      <c r="CO213" s="239">
        <v>-13078</v>
      </c>
      <c r="CP213" s="239">
        <v>-10463</v>
      </c>
      <c r="CQ213" s="239">
        <v>-2354</v>
      </c>
      <c r="CR213" s="239">
        <v>-262</v>
      </c>
      <c r="CS213" s="239">
        <v>-26157</v>
      </c>
      <c r="CT213" s="239">
        <v>7137649</v>
      </c>
      <c r="CU213" s="239">
        <v>5710120</v>
      </c>
      <c r="CV213" s="239">
        <v>1284777</v>
      </c>
      <c r="CW213" s="239">
        <v>142753</v>
      </c>
      <c r="CX213" s="239">
        <v>14275299</v>
      </c>
      <c r="CY213" s="239">
        <v>7197890</v>
      </c>
      <c r="CZ213" s="239">
        <v>5758312</v>
      </c>
      <c r="DA213" s="239">
        <v>1295620</v>
      </c>
      <c r="DB213" s="239">
        <v>143958</v>
      </c>
      <c r="DC213" s="239">
        <v>14395780</v>
      </c>
      <c r="DD213" s="239">
        <v>60241</v>
      </c>
      <c r="DE213" s="239">
        <v>48192</v>
      </c>
      <c r="DF213" s="239">
        <v>10843</v>
      </c>
      <c r="DG213" s="239">
        <v>1205</v>
      </c>
      <c r="DH213" s="239">
        <v>120481</v>
      </c>
      <c r="DI213" s="239">
        <v>47163</v>
      </c>
      <c r="DJ213" s="239">
        <v>37729</v>
      </c>
      <c r="DK213" s="239">
        <v>8489</v>
      </c>
      <c r="DL213" s="239">
        <v>943</v>
      </c>
      <c r="DM213" s="239">
        <v>94324</v>
      </c>
      <c r="DN213" s="835">
        <v>0.5</v>
      </c>
      <c r="DO213" s="835">
        <v>0.4</v>
      </c>
      <c r="DP213" s="835">
        <v>0.09</v>
      </c>
      <c r="DQ213" s="835">
        <v>0.01</v>
      </c>
      <c r="DR213" s="835">
        <v>1</v>
      </c>
      <c r="DS213" s="214" t="s">
        <v>1158</v>
      </c>
      <c r="DU213" s="214">
        <v>0</v>
      </c>
    </row>
    <row r="214" spans="2:125" s="214" customFormat="1" x14ac:dyDescent="0.2">
      <c r="B214" s="602" t="s">
        <v>511</v>
      </c>
      <c r="C214" s="602" t="s">
        <v>510</v>
      </c>
      <c r="D214" s="239">
        <v>29850372</v>
      </c>
      <c r="E214" s="239">
        <v>27136703</v>
      </c>
      <c r="F214" s="239">
        <v>33468600</v>
      </c>
      <c r="G214" s="239">
        <v>0</v>
      </c>
      <c r="H214" s="239">
        <v>90455675</v>
      </c>
      <c r="I214" s="239">
        <v>0</v>
      </c>
      <c r="J214" s="239">
        <v>0</v>
      </c>
      <c r="K214" s="239">
        <v>29850372</v>
      </c>
      <c r="L214" s="239">
        <v>287918</v>
      </c>
      <c r="M214" s="239">
        <v>287918</v>
      </c>
      <c r="N214" s="239">
        <v>0</v>
      </c>
      <c r="O214" s="239">
        <v>0</v>
      </c>
      <c r="P214" s="239">
        <v>0</v>
      </c>
      <c r="Q214" s="239">
        <v>0</v>
      </c>
      <c r="R214" s="239">
        <v>0</v>
      </c>
      <c r="S214" s="239">
        <v>0</v>
      </c>
      <c r="T214" s="239">
        <v>0</v>
      </c>
      <c r="U214" s="239">
        <v>0</v>
      </c>
      <c r="V214" s="239">
        <v>0</v>
      </c>
      <c r="W214" s="239">
        <v>0</v>
      </c>
      <c r="X214" s="239">
        <v>0</v>
      </c>
      <c r="Y214" s="239">
        <v>0</v>
      </c>
      <c r="Z214" s="239">
        <v>0</v>
      </c>
      <c r="AA214" s="239">
        <v>0</v>
      </c>
      <c r="AB214" s="239">
        <v>0</v>
      </c>
      <c r="AC214" s="239">
        <v>1661501</v>
      </c>
      <c r="AD214" s="239">
        <v>2049183</v>
      </c>
      <c r="AE214" s="239">
        <v>0</v>
      </c>
      <c r="AF214" s="239">
        <v>3710684</v>
      </c>
      <c r="AG214" s="239">
        <v>1080550</v>
      </c>
      <c r="AH214" s="239">
        <v>982319</v>
      </c>
      <c r="AI214" s="239">
        <v>1211527</v>
      </c>
      <c r="AJ214" s="239">
        <v>0</v>
      </c>
      <c r="AK214" s="239">
        <v>3274396</v>
      </c>
      <c r="AL214" s="239">
        <v>-1145179</v>
      </c>
      <c r="AM214" s="239">
        <v>-1041072</v>
      </c>
      <c r="AN214" s="239">
        <v>-1283989</v>
      </c>
      <c r="AO214" s="239">
        <v>0</v>
      </c>
      <c r="AP214" s="239">
        <v>-3470240</v>
      </c>
      <c r="AQ214" s="239">
        <v>-35683</v>
      </c>
      <c r="AR214" s="239">
        <v>-32440</v>
      </c>
      <c r="AS214" s="239">
        <v>-40009</v>
      </c>
      <c r="AT214" s="239">
        <v>0</v>
      </c>
      <c r="AU214" s="239">
        <v>-108132</v>
      </c>
      <c r="AV214" s="239">
        <v>81098</v>
      </c>
      <c r="AW214" s="239">
        <v>73726</v>
      </c>
      <c r="AX214" s="239">
        <v>90928</v>
      </c>
      <c r="AY214" s="239">
        <v>0</v>
      </c>
      <c r="AZ214" s="239">
        <v>245752</v>
      </c>
      <c r="BA214" s="239">
        <v>-7412</v>
      </c>
      <c r="BB214" s="239">
        <v>-6737</v>
      </c>
      <c r="BC214" s="239">
        <v>-8309</v>
      </c>
      <c r="BD214" s="239">
        <v>0</v>
      </c>
      <c r="BE214" s="239">
        <v>-22458</v>
      </c>
      <c r="BF214" s="239">
        <v>38003</v>
      </c>
      <c r="BG214" s="239">
        <v>34549</v>
      </c>
      <c r="BH214" s="239">
        <v>42610</v>
      </c>
      <c r="BI214" s="239">
        <v>0</v>
      </c>
      <c r="BJ214" s="239">
        <v>115162</v>
      </c>
      <c r="BK214" s="239">
        <v>-2998950</v>
      </c>
      <c r="BL214" s="239">
        <v>-2726318</v>
      </c>
      <c r="BM214" s="239">
        <v>-3362459</v>
      </c>
      <c r="BN214" s="239">
        <v>0</v>
      </c>
      <c r="BO214" s="239">
        <v>-9087727</v>
      </c>
      <c r="BP214" s="239">
        <v>1804232</v>
      </c>
      <c r="BQ214" s="239">
        <v>1640212</v>
      </c>
      <c r="BR214" s="239">
        <v>2022928</v>
      </c>
      <c r="BS214" s="239">
        <v>0</v>
      </c>
      <c r="BT214" s="239">
        <v>5467372</v>
      </c>
      <c r="BU214" s="239">
        <v>-437465</v>
      </c>
      <c r="BV214" s="239">
        <v>-397696</v>
      </c>
      <c r="BW214" s="239">
        <v>-490492</v>
      </c>
      <c r="BX214" s="239">
        <v>0</v>
      </c>
      <c r="BY214" s="239">
        <v>-1325653</v>
      </c>
      <c r="BZ214" s="239">
        <v>-1632183</v>
      </c>
      <c r="CA214" s="239">
        <v>-1483802</v>
      </c>
      <c r="CB214" s="239">
        <v>-1830023</v>
      </c>
      <c r="CC214" s="239">
        <v>0</v>
      </c>
      <c r="CD214" s="239">
        <v>-4946008</v>
      </c>
      <c r="CE214" s="239">
        <v>-3281078</v>
      </c>
      <c r="CF214" s="239">
        <v>-1968648</v>
      </c>
      <c r="CG214" s="239">
        <v>-1312431</v>
      </c>
      <c r="CH214" s="239">
        <v>0</v>
      </c>
      <c r="CI214" s="239">
        <v>-6562157</v>
      </c>
      <c r="CJ214" s="239">
        <v>-2500000</v>
      </c>
      <c r="CK214" s="239">
        <v>-1500000</v>
      </c>
      <c r="CL214" s="239">
        <v>-1000000</v>
      </c>
      <c r="CM214" s="239">
        <v>0</v>
      </c>
      <c r="CN214" s="239">
        <v>-5000000</v>
      </c>
      <c r="CO214" s="239">
        <v>-781078</v>
      </c>
      <c r="CP214" s="239">
        <v>-468648</v>
      </c>
      <c r="CQ214" s="239">
        <v>-312431</v>
      </c>
      <c r="CR214" s="239">
        <v>0</v>
      </c>
      <c r="CS214" s="239">
        <v>-1562157</v>
      </c>
      <c r="CT214" s="239">
        <v>28174431</v>
      </c>
      <c r="CU214" s="239">
        <v>25613119</v>
      </c>
      <c r="CV214" s="239">
        <v>31589514</v>
      </c>
      <c r="CW214" s="239">
        <v>0</v>
      </c>
      <c r="CX214" s="239">
        <v>85377064</v>
      </c>
      <c r="CY214" s="239">
        <v>29850372</v>
      </c>
      <c r="CZ214" s="239">
        <v>27136703</v>
      </c>
      <c r="DA214" s="239">
        <v>33468600</v>
      </c>
      <c r="DB214" s="239">
        <v>0</v>
      </c>
      <c r="DC214" s="239">
        <v>90455675</v>
      </c>
      <c r="DD214" s="239">
        <v>1675941</v>
      </c>
      <c r="DE214" s="239">
        <v>1523584</v>
      </c>
      <c r="DF214" s="239">
        <v>1879086</v>
      </c>
      <c r="DG214" s="239">
        <v>0</v>
      </c>
      <c r="DH214" s="239">
        <v>5078611</v>
      </c>
      <c r="DI214" s="239">
        <v>894863</v>
      </c>
      <c r="DJ214" s="239">
        <v>1054936</v>
      </c>
      <c r="DK214" s="239">
        <v>1566655</v>
      </c>
      <c r="DL214" s="239">
        <v>0</v>
      </c>
      <c r="DM214" s="239">
        <v>3516454</v>
      </c>
      <c r="DN214" s="835">
        <v>0.33</v>
      </c>
      <c r="DO214" s="835">
        <v>0.3</v>
      </c>
      <c r="DP214" s="835">
        <v>0.37</v>
      </c>
      <c r="DQ214" s="835">
        <v>0</v>
      </c>
      <c r="DR214" s="835">
        <v>1</v>
      </c>
      <c r="DS214" s="214" t="s">
        <v>1159</v>
      </c>
      <c r="DU214" s="214">
        <v>0</v>
      </c>
    </row>
    <row r="215" spans="2:125" s="214" customFormat="1" x14ac:dyDescent="0.2">
      <c r="B215" s="602" t="s">
        <v>513</v>
      </c>
      <c r="C215" s="602" t="s">
        <v>512</v>
      </c>
      <c r="D215" s="239">
        <v>6185318</v>
      </c>
      <c r="E215" s="239">
        <v>4948254</v>
      </c>
      <c r="F215" s="239">
        <v>1113357</v>
      </c>
      <c r="G215" s="239">
        <v>123706</v>
      </c>
      <c r="H215" s="239">
        <v>12370635</v>
      </c>
      <c r="I215" s="239">
        <v>0</v>
      </c>
      <c r="J215" s="239">
        <v>0</v>
      </c>
      <c r="K215" s="239">
        <v>6185318</v>
      </c>
      <c r="L215" s="239">
        <v>98663</v>
      </c>
      <c r="M215" s="239">
        <v>98663</v>
      </c>
      <c r="N215" s="239">
        <v>0</v>
      </c>
      <c r="O215" s="239">
        <v>0</v>
      </c>
      <c r="P215" s="239">
        <v>0</v>
      </c>
      <c r="Q215" s="239">
        <v>0</v>
      </c>
      <c r="R215" s="239">
        <v>0</v>
      </c>
      <c r="S215" s="239">
        <v>0</v>
      </c>
      <c r="T215" s="239">
        <v>0</v>
      </c>
      <c r="U215" s="239">
        <v>0</v>
      </c>
      <c r="V215" s="239">
        <v>0</v>
      </c>
      <c r="W215" s="239">
        <v>0</v>
      </c>
      <c r="X215" s="239">
        <v>0</v>
      </c>
      <c r="Y215" s="239">
        <v>0</v>
      </c>
      <c r="Z215" s="239">
        <v>0</v>
      </c>
      <c r="AA215" s="239">
        <v>0</v>
      </c>
      <c r="AB215" s="239">
        <v>0</v>
      </c>
      <c r="AC215" s="239">
        <v>939800</v>
      </c>
      <c r="AD215" s="239">
        <v>211454</v>
      </c>
      <c r="AE215" s="239">
        <v>23495</v>
      </c>
      <c r="AF215" s="239">
        <v>1174749</v>
      </c>
      <c r="AG215" s="239">
        <v>210159</v>
      </c>
      <c r="AH215" s="239">
        <v>168127</v>
      </c>
      <c r="AI215" s="239">
        <v>37829</v>
      </c>
      <c r="AJ215" s="239">
        <v>4203</v>
      </c>
      <c r="AK215" s="239">
        <v>420318</v>
      </c>
      <c r="AL215" s="239">
        <v>-93525</v>
      </c>
      <c r="AM215" s="239">
        <v>-74820</v>
      </c>
      <c r="AN215" s="239">
        <v>-16835</v>
      </c>
      <c r="AO215" s="239">
        <v>-1871</v>
      </c>
      <c r="AP215" s="239">
        <v>-187051</v>
      </c>
      <c r="AQ215" s="239">
        <v>-80496</v>
      </c>
      <c r="AR215" s="239">
        <v>-64396</v>
      </c>
      <c r="AS215" s="239">
        <v>-14489</v>
      </c>
      <c r="AT215" s="239">
        <v>-1610</v>
      </c>
      <c r="AU215" s="239">
        <v>-160991</v>
      </c>
      <c r="AV215" s="239">
        <v>12306</v>
      </c>
      <c r="AW215" s="239">
        <v>9845</v>
      </c>
      <c r="AX215" s="239">
        <v>2215</v>
      </c>
      <c r="AY215" s="239">
        <v>246</v>
      </c>
      <c r="AZ215" s="239">
        <v>24612</v>
      </c>
      <c r="BA215" s="239">
        <v>-40586</v>
      </c>
      <c r="BB215" s="239">
        <v>-32469</v>
      </c>
      <c r="BC215" s="239">
        <v>-7305</v>
      </c>
      <c r="BD215" s="239">
        <v>-812</v>
      </c>
      <c r="BE215" s="239">
        <v>-81172</v>
      </c>
      <c r="BF215" s="239">
        <v>-108776</v>
      </c>
      <c r="BG215" s="239">
        <v>-87020</v>
      </c>
      <c r="BH215" s="239">
        <v>-19579</v>
      </c>
      <c r="BI215" s="239">
        <v>-2176</v>
      </c>
      <c r="BJ215" s="239">
        <v>-217551</v>
      </c>
      <c r="BK215" s="239">
        <v>-583941</v>
      </c>
      <c r="BL215" s="239">
        <v>-467154</v>
      </c>
      <c r="BM215" s="239">
        <v>-105110</v>
      </c>
      <c r="BN215" s="239">
        <v>-11679</v>
      </c>
      <c r="BO215" s="239">
        <v>-1167884</v>
      </c>
      <c r="BP215" s="239">
        <v>138297</v>
      </c>
      <c r="BQ215" s="239">
        <v>110638</v>
      </c>
      <c r="BR215" s="239">
        <v>24894</v>
      </c>
      <c r="BS215" s="239">
        <v>2766</v>
      </c>
      <c r="BT215" s="239">
        <v>276595</v>
      </c>
      <c r="BU215" s="239">
        <v>-456047</v>
      </c>
      <c r="BV215" s="239">
        <v>-364838</v>
      </c>
      <c r="BW215" s="239">
        <v>-82088</v>
      </c>
      <c r="BX215" s="239">
        <v>-9121</v>
      </c>
      <c r="BY215" s="239">
        <v>-912094</v>
      </c>
      <c r="BZ215" s="239">
        <v>-901691</v>
      </c>
      <c r="CA215" s="239">
        <v>-721354</v>
      </c>
      <c r="CB215" s="239">
        <v>-162304</v>
      </c>
      <c r="CC215" s="239">
        <v>-18034</v>
      </c>
      <c r="CD215" s="239">
        <v>-1803383</v>
      </c>
      <c r="CE215" s="239">
        <v>-150025</v>
      </c>
      <c r="CF215" s="239">
        <v>-120021</v>
      </c>
      <c r="CG215" s="239">
        <v>-27004</v>
      </c>
      <c r="CH215" s="239">
        <v>-3001</v>
      </c>
      <c r="CI215" s="239">
        <v>-300051</v>
      </c>
      <c r="CJ215" s="239">
        <v>-507088</v>
      </c>
      <c r="CK215" s="239">
        <v>-405671</v>
      </c>
      <c r="CL215" s="239">
        <v>-91276</v>
      </c>
      <c r="CM215" s="239">
        <v>-10142</v>
      </c>
      <c r="CN215" s="239">
        <v>-1014177</v>
      </c>
      <c r="CO215" s="239">
        <v>357063</v>
      </c>
      <c r="CP215" s="239">
        <v>285650</v>
      </c>
      <c r="CQ215" s="239">
        <v>64272</v>
      </c>
      <c r="CR215" s="239">
        <v>7141</v>
      </c>
      <c r="CS215" s="239">
        <v>714126</v>
      </c>
      <c r="CT215" s="239">
        <v>6481566</v>
      </c>
      <c r="CU215" s="239">
        <v>5185253</v>
      </c>
      <c r="CV215" s="239">
        <v>1166682</v>
      </c>
      <c r="CW215" s="239">
        <v>129631</v>
      </c>
      <c r="CX215" s="239">
        <v>12963132</v>
      </c>
      <c r="CY215" s="239">
        <v>6185318</v>
      </c>
      <c r="CZ215" s="239">
        <v>4948254</v>
      </c>
      <c r="DA215" s="239">
        <v>1113357</v>
      </c>
      <c r="DB215" s="239">
        <v>123706</v>
      </c>
      <c r="DC215" s="239">
        <v>12370635</v>
      </c>
      <c r="DD215" s="239">
        <v>-296248</v>
      </c>
      <c r="DE215" s="239">
        <v>-236999</v>
      </c>
      <c r="DF215" s="239">
        <v>-53325</v>
      </c>
      <c r="DG215" s="239">
        <v>-5925</v>
      </c>
      <c r="DH215" s="239">
        <v>-592497</v>
      </c>
      <c r="DI215" s="239">
        <v>60815</v>
      </c>
      <c r="DJ215" s="239">
        <v>48651</v>
      </c>
      <c r="DK215" s="239">
        <v>10947</v>
      </c>
      <c r="DL215" s="239">
        <v>1216</v>
      </c>
      <c r="DM215" s="239">
        <v>121629</v>
      </c>
      <c r="DN215" s="835">
        <v>0.5</v>
      </c>
      <c r="DO215" s="835">
        <v>0.4</v>
      </c>
      <c r="DP215" s="835">
        <v>0.09</v>
      </c>
      <c r="DQ215" s="835">
        <v>0.01</v>
      </c>
      <c r="DR215" s="835">
        <v>1</v>
      </c>
      <c r="DS215" s="214" t="s">
        <v>1158</v>
      </c>
      <c r="DU215" s="214">
        <v>0</v>
      </c>
    </row>
    <row r="216" spans="2:125" s="214" customFormat="1" x14ac:dyDescent="0.2">
      <c r="B216" s="602" t="s">
        <v>515</v>
      </c>
      <c r="C216" s="602" t="s">
        <v>514</v>
      </c>
      <c r="D216" s="239">
        <v>0</v>
      </c>
      <c r="E216" s="239">
        <v>57469634</v>
      </c>
      <c r="F216" s="239">
        <v>0</v>
      </c>
      <c r="G216" s="239">
        <v>580501</v>
      </c>
      <c r="H216" s="239">
        <v>58050135</v>
      </c>
      <c r="I216" s="239">
        <v>0</v>
      </c>
      <c r="J216" s="239">
        <v>0</v>
      </c>
      <c r="K216" s="239">
        <v>0</v>
      </c>
      <c r="L216" s="239">
        <v>281477</v>
      </c>
      <c r="M216" s="239">
        <v>281477</v>
      </c>
      <c r="N216" s="239">
        <v>0</v>
      </c>
      <c r="O216" s="239">
        <v>0</v>
      </c>
      <c r="P216" s="239">
        <v>491294</v>
      </c>
      <c r="Q216" s="239">
        <v>0</v>
      </c>
      <c r="R216" s="239">
        <v>491294</v>
      </c>
      <c r="S216" s="239">
        <v>0</v>
      </c>
      <c r="T216" s="239">
        <v>0</v>
      </c>
      <c r="U216" s="239">
        <v>0</v>
      </c>
      <c r="V216" s="239">
        <v>0</v>
      </c>
      <c r="W216" s="239">
        <v>0</v>
      </c>
      <c r="X216" s="239">
        <v>0</v>
      </c>
      <c r="Y216" s="239">
        <v>0</v>
      </c>
      <c r="Z216" s="239">
        <v>0</v>
      </c>
      <c r="AA216" s="239">
        <v>0</v>
      </c>
      <c r="AB216" s="239">
        <v>0</v>
      </c>
      <c r="AC216" s="239">
        <v>6497730</v>
      </c>
      <c r="AD216" s="239">
        <v>0</v>
      </c>
      <c r="AE216" s="239">
        <v>65560</v>
      </c>
      <c r="AF216" s="239">
        <v>6563290</v>
      </c>
      <c r="AG216" s="239">
        <v>0</v>
      </c>
      <c r="AH216" s="239">
        <v>1476088</v>
      </c>
      <c r="AI216" s="239">
        <v>0</v>
      </c>
      <c r="AJ216" s="239">
        <v>14910</v>
      </c>
      <c r="AK216" s="239">
        <v>1490998</v>
      </c>
      <c r="AL216" s="239">
        <v>0</v>
      </c>
      <c r="AM216" s="239">
        <v>-1080175</v>
      </c>
      <c r="AN216" s="239">
        <v>0</v>
      </c>
      <c r="AO216" s="239">
        <v>-10911</v>
      </c>
      <c r="AP216" s="239">
        <v>-1091086</v>
      </c>
      <c r="AQ216" s="239">
        <v>0</v>
      </c>
      <c r="AR216" s="239">
        <v>-691668</v>
      </c>
      <c r="AS216" s="239">
        <v>0</v>
      </c>
      <c r="AT216" s="239">
        <v>-6987</v>
      </c>
      <c r="AU216" s="239">
        <v>-698655</v>
      </c>
      <c r="AV216" s="239">
        <v>0</v>
      </c>
      <c r="AW216" s="239">
        <v>691668</v>
      </c>
      <c r="AX216" s="239">
        <v>0</v>
      </c>
      <c r="AY216" s="239">
        <v>6987</v>
      </c>
      <c r="AZ216" s="239">
        <v>698655</v>
      </c>
      <c r="BA216" s="239">
        <v>0</v>
      </c>
      <c r="BB216" s="239">
        <v>-566060</v>
      </c>
      <c r="BC216" s="239">
        <v>0</v>
      </c>
      <c r="BD216" s="239">
        <v>-5718</v>
      </c>
      <c r="BE216" s="239">
        <v>-571778</v>
      </c>
      <c r="BF216" s="239">
        <v>0</v>
      </c>
      <c r="BG216" s="239">
        <v>-566060</v>
      </c>
      <c r="BH216" s="239">
        <v>0</v>
      </c>
      <c r="BI216" s="239">
        <v>-5718</v>
      </c>
      <c r="BJ216" s="239">
        <v>-571778</v>
      </c>
      <c r="BK216" s="239">
        <v>0</v>
      </c>
      <c r="BL216" s="239">
        <v>-9796747</v>
      </c>
      <c r="BM216" s="239">
        <v>0</v>
      </c>
      <c r="BN216" s="239">
        <v>-98957</v>
      </c>
      <c r="BO216" s="239">
        <v>-9895704</v>
      </c>
      <c r="BP216" s="239">
        <v>0</v>
      </c>
      <c r="BQ216" s="239">
        <v>3858637</v>
      </c>
      <c r="BR216" s="239">
        <v>0</v>
      </c>
      <c r="BS216" s="239">
        <v>38976</v>
      </c>
      <c r="BT216" s="239">
        <v>3897613</v>
      </c>
      <c r="BU216" s="239">
        <v>0</v>
      </c>
      <c r="BV216" s="239">
        <v>-3410932</v>
      </c>
      <c r="BW216" s="239">
        <v>0</v>
      </c>
      <c r="BX216" s="239">
        <v>-34454</v>
      </c>
      <c r="BY216" s="239">
        <v>-3445386</v>
      </c>
      <c r="BZ216" s="239">
        <v>0</v>
      </c>
      <c r="CA216" s="239">
        <v>-9349042</v>
      </c>
      <c r="CB216" s="239">
        <v>0</v>
      </c>
      <c r="CC216" s="239">
        <v>-94435</v>
      </c>
      <c r="CD216" s="239">
        <v>-9443477</v>
      </c>
      <c r="CE216" s="239">
        <v>-50631</v>
      </c>
      <c r="CF216" s="239">
        <v>-49619</v>
      </c>
      <c r="CG216" s="239">
        <v>0</v>
      </c>
      <c r="CH216" s="239">
        <v>-1013</v>
      </c>
      <c r="CI216" s="239">
        <v>-101263</v>
      </c>
      <c r="CJ216" s="239">
        <v>-28723</v>
      </c>
      <c r="CK216" s="239">
        <v>-28149</v>
      </c>
      <c r="CL216" s="239">
        <v>0</v>
      </c>
      <c r="CM216" s="239">
        <v>-574</v>
      </c>
      <c r="CN216" s="239">
        <v>-57446</v>
      </c>
      <c r="CO216" s="239">
        <v>-21908</v>
      </c>
      <c r="CP216" s="239">
        <v>-21470</v>
      </c>
      <c r="CQ216" s="239">
        <v>0</v>
      </c>
      <c r="CR216" s="239">
        <v>-439</v>
      </c>
      <c r="CS216" s="239">
        <v>-43817</v>
      </c>
      <c r="CT216" s="239">
        <v>0</v>
      </c>
      <c r="CU216" s="239">
        <v>55420361</v>
      </c>
      <c r="CV216" s="239">
        <v>0</v>
      </c>
      <c r="CW216" s="239">
        <v>559802</v>
      </c>
      <c r="CX216" s="239">
        <v>55980163</v>
      </c>
      <c r="CY216" s="239">
        <v>0</v>
      </c>
      <c r="CZ216" s="239">
        <v>57469634</v>
      </c>
      <c r="DA216" s="239">
        <v>0</v>
      </c>
      <c r="DB216" s="239">
        <v>580501</v>
      </c>
      <c r="DC216" s="239">
        <v>58050135</v>
      </c>
      <c r="DD216" s="239">
        <v>0</v>
      </c>
      <c r="DE216" s="239">
        <v>2049273</v>
      </c>
      <c r="DF216" s="239">
        <v>0</v>
      </c>
      <c r="DG216" s="239">
        <v>20699</v>
      </c>
      <c r="DH216" s="239">
        <v>2069972</v>
      </c>
      <c r="DI216" s="239">
        <v>-21908</v>
      </c>
      <c r="DJ216" s="239">
        <v>2027803</v>
      </c>
      <c r="DK216" s="239">
        <v>0</v>
      </c>
      <c r="DL216" s="239">
        <v>20260</v>
      </c>
      <c r="DM216" s="239">
        <v>2026155</v>
      </c>
      <c r="DN216" s="835">
        <v>0</v>
      </c>
      <c r="DO216" s="835">
        <v>0.99</v>
      </c>
      <c r="DP216" s="835">
        <v>0</v>
      </c>
      <c r="DQ216" s="835">
        <v>0.01</v>
      </c>
      <c r="DR216" s="835">
        <v>1</v>
      </c>
      <c r="DS216" s="214" t="s">
        <v>1160</v>
      </c>
      <c r="DU216" s="214">
        <v>0</v>
      </c>
    </row>
    <row r="217" spans="2:125" s="214" customFormat="1" x14ac:dyDescent="0.2">
      <c r="B217" s="602" t="s">
        <v>517</v>
      </c>
      <c r="C217" s="602" t="s">
        <v>516</v>
      </c>
      <c r="D217" s="239">
        <v>7116022</v>
      </c>
      <c r="E217" s="239">
        <v>5692817</v>
      </c>
      <c r="F217" s="239">
        <v>1280884</v>
      </c>
      <c r="G217" s="239">
        <v>142320</v>
      </c>
      <c r="H217" s="239">
        <v>14232043</v>
      </c>
      <c r="I217" s="239">
        <v>0</v>
      </c>
      <c r="J217" s="239">
        <v>0</v>
      </c>
      <c r="K217" s="239">
        <v>7116022</v>
      </c>
      <c r="L217" s="239">
        <v>84456</v>
      </c>
      <c r="M217" s="239">
        <v>84456</v>
      </c>
      <c r="N217" s="239">
        <v>0</v>
      </c>
      <c r="O217" s="239">
        <v>0</v>
      </c>
      <c r="P217" s="239">
        <v>63392</v>
      </c>
      <c r="Q217" s="239">
        <v>0</v>
      </c>
      <c r="R217" s="239">
        <v>63392</v>
      </c>
      <c r="S217" s="239">
        <v>0</v>
      </c>
      <c r="T217" s="239">
        <v>0</v>
      </c>
      <c r="U217" s="239">
        <v>0</v>
      </c>
      <c r="V217" s="239">
        <v>0</v>
      </c>
      <c r="W217" s="239">
        <v>0</v>
      </c>
      <c r="X217" s="239">
        <v>0</v>
      </c>
      <c r="Y217" s="239">
        <v>0</v>
      </c>
      <c r="Z217" s="239">
        <v>0</v>
      </c>
      <c r="AA217" s="239">
        <v>0</v>
      </c>
      <c r="AB217" s="239">
        <v>0</v>
      </c>
      <c r="AC217" s="239">
        <v>1131728</v>
      </c>
      <c r="AD217" s="239">
        <v>254424</v>
      </c>
      <c r="AE217" s="239">
        <v>28271</v>
      </c>
      <c r="AF217" s="239">
        <v>1414423</v>
      </c>
      <c r="AG217" s="239">
        <v>251193</v>
      </c>
      <c r="AH217" s="239">
        <v>200955</v>
      </c>
      <c r="AI217" s="239">
        <v>45215</v>
      </c>
      <c r="AJ217" s="239">
        <v>5024</v>
      </c>
      <c r="AK217" s="239">
        <v>502387</v>
      </c>
      <c r="AL217" s="239">
        <v>-54125</v>
      </c>
      <c r="AM217" s="239">
        <v>-43299</v>
      </c>
      <c r="AN217" s="239">
        <v>-9742</v>
      </c>
      <c r="AO217" s="239">
        <v>-1082</v>
      </c>
      <c r="AP217" s="239">
        <v>-108248</v>
      </c>
      <c r="AQ217" s="239">
        <v>-78976</v>
      </c>
      <c r="AR217" s="239">
        <v>-63182</v>
      </c>
      <c r="AS217" s="239">
        <v>-14216</v>
      </c>
      <c r="AT217" s="239">
        <v>-1580</v>
      </c>
      <c r="AU217" s="239">
        <v>-157954</v>
      </c>
      <c r="AV217" s="239">
        <v>0</v>
      </c>
      <c r="AW217" s="239">
        <v>0</v>
      </c>
      <c r="AX217" s="239">
        <v>0</v>
      </c>
      <c r="AY217" s="239">
        <v>0</v>
      </c>
      <c r="AZ217" s="239">
        <v>0</v>
      </c>
      <c r="BA217" s="239">
        <v>-97759</v>
      </c>
      <c r="BB217" s="239">
        <v>-78208</v>
      </c>
      <c r="BC217" s="239">
        <v>-17597</v>
      </c>
      <c r="BD217" s="239">
        <v>-1955</v>
      </c>
      <c r="BE217" s="239">
        <v>-195519</v>
      </c>
      <c r="BF217" s="239">
        <v>-176735</v>
      </c>
      <c r="BG217" s="239">
        <v>-141390</v>
      </c>
      <c r="BH217" s="239">
        <v>-31813</v>
      </c>
      <c r="BI217" s="239">
        <v>-3535</v>
      </c>
      <c r="BJ217" s="239">
        <v>-353473</v>
      </c>
      <c r="BK217" s="239">
        <v>-278684</v>
      </c>
      <c r="BL217" s="239">
        <v>-222947</v>
      </c>
      <c r="BM217" s="239">
        <v>-50163</v>
      </c>
      <c r="BN217" s="239">
        <v>-5574</v>
      </c>
      <c r="BO217" s="239">
        <v>-557368</v>
      </c>
      <c r="BP217" s="239">
        <v>592409</v>
      </c>
      <c r="BQ217" s="239">
        <v>473928</v>
      </c>
      <c r="BR217" s="239">
        <v>106634</v>
      </c>
      <c r="BS217" s="239">
        <v>11848</v>
      </c>
      <c r="BT217" s="239">
        <v>1184819</v>
      </c>
      <c r="BU217" s="239">
        <v>-646746</v>
      </c>
      <c r="BV217" s="239">
        <v>-517396</v>
      </c>
      <c r="BW217" s="239">
        <v>-116414</v>
      </c>
      <c r="BX217" s="239">
        <v>-12935</v>
      </c>
      <c r="BY217" s="239">
        <v>-1293491</v>
      </c>
      <c r="BZ217" s="239">
        <v>-333021</v>
      </c>
      <c r="CA217" s="239">
        <v>-266415</v>
      </c>
      <c r="CB217" s="239">
        <v>-59943</v>
      </c>
      <c r="CC217" s="239">
        <v>-6661</v>
      </c>
      <c r="CD217" s="239">
        <v>-666040</v>
      </c>
      <c r="CE217" s="239">
        <v>-425428</v>
      </c>
      <c r="CF217" s="239">
        <v>-340344</v>
      </c>
      <c r="CG217" s="239">
        <v>-76577</v>
      </c>
      <c r="CH217" s="239">
        <v>-8508</v>
      </c>
      <c r="CI217" s="239">
        <v>-850857</v>
      </c>
      <c r="CJ217" s="239">
        <v>-9657</v>
      </c>
      <c r="CK217" s="239">
        <v>-7725</v>
      </c>
      <c r="CL217" s="239">
        <v>-1738</v>
      </c>
      <c r="CM217" s="239">
        <v>-193</v>
      </c>
      <c r="CN217" s="239">
        <v>-19313</v>
      </c>
      <c r="CO217" s="239">
        <v>-415771</v>
      </c>
      <c r="CP217" s="239">
        <v>-332619</v>
      </c>
      <c r="CQ217" s="239">
        <v>-74839</v>
      </c>
      <c r="CR217" s="239">
        <v>-8315</v>
      </c>
      <c r="CS217" s="239">
        <v>-831544</v>
      </c>
      <c r="CT217" s="239">
        <v>8189775</v>
      </c>
      <c r="CU217" s="239">
        <v>6551820</v>
      </c>
      <c r="CV217" s="239">
        <v>1474160</v>
      </c>
      <c r="CW217" s="239">
        <v>163796</v>
      </c>
      <c r="CX217" s="239">
        <v>16379551</v>
      </c>
      <c r="CY217" s="239">
        <v>7116022</v>
      </c>
      <c r="CZ217" s="239">
        <v>5692817</v>
      </c>
      <c r="DA217" s="239">
        <v>1280884</v>
      </c>
      <c r="DB217" s="239">
        <v>142320</v>
      </c>
      <c r="DC217" s="239">
        <v>14232043</v>
      </c>
      <c r="DD217" s="239">
        <v>-1073753</v>
      </c>
      <c r="DE217" s="239">
        <v>-859003</v>
      </c>
      <c r="DF217" s="239">
        <v>-193276</v>
      </c>
      <c r="DG217" s="239">
        <v>-21476</v>
      </c>
      <c r="DH217" s="239">
        <v>-2147508</v>
      </c>
      <c r="DI217" s="239">
        <v>-1489524</v>
      </c>
      <c r="DJ217" s="239">
        <v>-1191622</v>
      </c>
      <c r="DK217" s="239">
        <v>-268115</v>
      </c>
      <c r="DL217" s="239">
        <v>-29791</v>
      </c>
      <c r="DM217" s="239">
        <v>-2979052</v>
      </c>
      <c r="DN217" s="835">
        <v>0.5</v>
      </c>
      <c r="DO217" s="835">
        <v>0.4</v>
      </c>
      <c r="DP217" s="835">
        <v>0.09</v>
      </c>
      <c r="DQ217" s="835">
        <v>0.01</v>
      </c>
      <c r="DR217" s="835">
        <v>1</v>
      </c>
      <c r="DS217" s="214" t="s">
        <v>1158</v>
      </c>
      <c r="DU217" s="214">
        <v>0</v>
      </c>
    </row>
    <row r="218" spans="2:125" s="214" customFormat="1" x14ac:dyDescent="0.2">
      <c r="B218" s="602" t="s">
        <v>519</v>
      </c>
      <c r="C218" s="602" t="s">
        <v>518</v>
      </c>
      <c r="D218" s="239">
        <v>6006918</v>
      </c>
      <c r="E218" s="239">
        <v>4805534</v>
      </c>
      <c r="F218" s="239">
        <v>1081245</v>
      </c>
      <c r="G218" s="239">
        <v>120138</v>
      </c>
      <c r="H218" s="239">
        <v>12013835</v>
      </c>
      <c r="I218" s="239">
        <v>0</v>
      </c>
      <c r="J218" s="239">
        <v>0</v>
      </c>
      <c r="K218" s="239">
        <v>6006918</v>
      </c>
      <c r="L218" s="239">
        <v>98815</v>
      </c>
      <c r="M218" s="239">
        <v>98815</v>
      </c>
      <c r="N218" s="239">
        <v>0</v>
      </c>
      <c r="O218" s="239">
        <v>0</v>
      </c>
      <c r="P218" s="239">
        <v>159159</v>
      </c>
      <c r="Q218" s="239">
        <v>0</v>
      </c>
      <c r="R218" s="239">
        <v>159159</v>
      </c>
      <c r="S218" s="239">
        <v>0</v>
      </c>
      <c r="T218" s="239">
        <v>0</v>
      </c>
      <c r="U218" s="239">
        <v>0</v>
      </c>
      <c r="V218" s="239">
        <v>0</v>
      </c>
      <c r="W218" s="239">
        <v>0</v>
      </c>
      <c r="X218" s="239">
        <v>0</v>
      </c>
      <c r="Y218" s="239">
        <v>0</v>
      </c>
      <c r="Z218" s="239">
        <v>0</v>
      </c>
      <c r="AA218" s="239">
        <v>0</v>
      </c>
      <c r="AB218" s="239">
        <v>0</v>
      </c>
      <c r="AC218" s="239">
        <v>888255</v>
      </c>
      <c r="AD218" s="239">
        <v>199321</v>
      </c>
      <c r="AE218" s="239">
        <v>22146</v>
      </c>
      <c r="AF218" s="239">
        <v>1109722</v>
      </c>
      <c r="AG218" s="239">
        <v>639431</v>
      </c>
      <c r="AH218" s="239">
        <v>511544</v>
      </c>
      <c r="AI218" s="239">
        <v>115097</v>
      </c>
      <c r="AJ218" s="239">
        <v>12789</v>
      </c>
      <c r="AK218" s="239">
        <v>1278861</v>
      </c>
      <c r="AL218" s="239">
        <v>-73980</v>
      </c>
      <c r="AM218" s="239">
        <v>-59185</v>
      </c>
      <c r="AN218" s="239">
        <v>-13317</v>
      </c>
      <c r="AO218" s="239">
        <v>-1480</v>
      </c>
      <c r="AP218" s="239">
        <v>-147962</v>
      </c>
      <c r="AQ218" s="239">
        <v>-570898</v>
      </c>
      <c r="AR218" s="239">
        <v>-456718</v>
      </c>
      <c r="AS218" s="239">
        <v>-102762</v>
      </c>
      <c r="AT218" s="239">
        <v>-11418</v>
      </c>
      <c r="AU218" s="239">
        <v>-1141796</v>
      </c>
      <c r="AV218" s="239">
        <v>70112</v>
      </c>
      <c r="AW218" s="239">
        <v>56090</v>
      </c>
      <c r="AX218" s="239">
        <v>12620</v>
      </c>
      <c r="AY218" s="239">
        <v>1402</v>
      </c>
      <c r="AZ218" s="239">
        <v>140224</v>
      </c>
      <c r="BA218" s="239">
        <v>0</v>
      </c>
      <c r="BB218" s="239">
        <v>0</v>
      </c>
      <c r="BC218" s="239">
        <v>0</v>
      </c>
      <c r="BD218" s="239">
        <v>0</v>
      </c>
      <c r="BE218" s="239">
        <v>0</v>
      </c>
      <c r="BF218" s="239">
        <v>-500786</v>
      </c>
      <c r="BG218" s="239">
        <v>-400628</v>
      </c>
      <c r="BH218" s="239">
        <v>-90142</v>
      </c>
      <c r="BI218" s="239">
        <v>-10016</v>
      </c>
      <c r="BJ218" s="239">
        <v>-1001572</v>
      </c>
      <c r="BK218" s="239">
        <v>-1251494</v>
      </c>
      <c r="BL218" s="239">
        <v>-1001196</v>
      </c>
      <c r="BM218" s="239">
        <v>-225269</v>
      </c>
      <c r="BN218" s="239">
        <v>-25030</v>
      </c>
      <c r="BO218" s="239">
        <v>-2502989</v>
      </c>
      <c r="BP218" s="239">
        <v>222261</v>
      </c>
      <c r="BQ218" s="239">
        <v>177809</v>
      </c>
      <c r="BR218" s="239">
        <v>40007</v>
      </c>
      <c r="BS218" s="239">
        <v>4445</v>
      </c>
      <c r="BT218" s="239">
        <v>444522</v>
      </c>
      <c r="BU218" s="239">
        <v>0</v>
      </c>
      <c r="BV218" s="239">
        <v>0</v>
      </c>
      <c r="BW218" s="239">
        <v>0</v>
      </c>
      <c r="BX218" s="239">
        <v>0</v>
      </c>
      <c r="BY218" s="239">
        <v>0</v>
      </c>
      <c r="BZ218" s="239">
        <v>-1029233</v>
      </c>
      <c r="CA218" s="239">
        <v>-823387</v>
      </c>
      <c r="CB218" s="239">
        <v>-185262</v>
      </c>
      <c r="CC218" s="239">
        <v>-20585</v>
      </c>
      <c r="CD218" s="239">
        <v>-2058467</v>
      </c>
      <c r="CE218" s="239">
        <v>-509456</v>
      </c>
      <c r="CF218" s="239">
        <v>-407564</v>
      </c>
      <c r="CG218" s="239">
        <v>-91701</v>
      </c>
      <c r="CH218" s="239">
        <v>-10189</v>
      </c>
      <c r="CI218" s="239">
        <v>-1018910</v>
      </c>
      <c r="CJ218" s="239">
        <v>-310930</v>
      </c>
      <c r="CK218" s="239">
        <v>-248744</v>
      </c>
      <c r="CL218" s="239">
        <v>-55967</v>
      </c>
      <c r="CM218" s="239">
        <v>-6219</v>
      </c>
      <c r="CN218" s="239">
        <v>-621860</v>
      </c>
      <c r="CO218" s="239">
        <v>-198526</v>
      </c>
      <c r="CP218" s="239">
        <v>-158820</v>
      </c>
      <c r="CQ218" s="239">
        <v>-35734</v>
      </c>
      <c r="CR218" s="239">
        <v>-3970</v>
      </c>
      <c r="CS218" s="239">
        <v>-397050</v>
      </c>
      <c r="CT218" s="239">
        <v>5755833</v>
      </c>
      <c r="CU218" s="239">
        <v>4604667</v>
      </c>
      <c r="CV218" s="239">
        <v>1036050</v>
      </c>
      <c r="CW218" s="239">
        <v>115117</v>
      </c>
      <c r="CX218" s="239">
        <v>11511667</v>
      </c>
      <c r="CY218" s="239">
        <v>6006918</v>
      </c>
      <c r="CZ218" s="239">
        <v>4805534</v>
      </c>
      <c r="DA218" s="239">
        <v>1081245</v>
      </c>
      <c r="DB218" s="239">
        <v>120138</v>
      </c>
      <c r="DC218" s="239">
        <v>12013835</v>
      </c>
      <c r="DD218" s="239">
        <v>251085</v>
      </c>
      <c r="DE218" s="239">
        <v>200867</v>
      </c>
      <c r="DF218" s="239">
        <v>45195</v>
      </c>
      <c r="DG218" s="239">
        <v>5021</v>
      </c>
      <c r="DH218" s="239">
        <v>502168</v>
      </c>
      <c r="DI218" s="239">
        <v>52559</v>
      </c>
      <c r="DJ218" s="239">
        <v>42047</v>
      </c>
      <c r="DK218" s="239">
        <v>9461</v>
      </c>
      <c r="DL218" s="239">
        <v>1051</v>
      </c>
      <c r="DM218" s="239">
        <v>105118</v>
      </c>
      <c r="DN218" s="835">
        <v>0.5</v>
      </c>
      <c r="DO218" s="835">
        <v>0.4</v>
      </c>
      <c r="DP218" s="835">
        <v>0.09</v>
      </c>
      <c r="DQ218" s="835">
        <v>0.01</v>
      </c>
      <c r="DR218" s="835">
        <v>1</v>
      </c>
      <c r="DS218" s="214" t="s">
        <v>1158</v>
      </c>
      <c r="DU218" s="214">
        <v>0</v>
      </c>
    </row>
    <row r="219" spans="2:125" s="214" customFormat="1" x14ac:dyDescent="0.2">
      <c r="B219" s="602" t="s">
        <v>521</v>
      </c>
      <c r="C219" s="602" t="s">
        <v>520</v>
      </c>
      <c r="D219" s="239">
        <v>8585525</v>
      </c>
      <c r="E219" s="239">
        <v>6868420</v>
      </c>
      <c r="F219" s="239">
        <v>1545395</v>
      </c>
      <c r="G219" s="239">
        <v>171711</v>
      </c>
      <c r="H219" s="239">
        <v>17171051</v>
      </c>
      <c r="I219" s="239">
        <v>0</v>
      </c>
      <c r="J219" s="239">
        <v>0</v>
      </c>
      <c r="K219" s="239">
        <v>8585525</v>
      </c>
      <c r="L219" s="239">
        <v>146049</v>
      </c>
      <c r="M219" s="239">
        <v>146049</v>
      </c>
      <c r="N219" s="239">
        <v>0</v>
      </c>
      <c r="O219" s="239">
        <v>0</v>
      </c>
      <c r="P219" s="239">
        <v>0</v>
      </c>
      <c r="Q219" s="239">
        <v>0</v>
      </c>
      <c r="R219" s="239">
        <v>0</v>
      </c>
      <c r="S219" s="239">
        <v>0</v>
      </c>
      <c r="T219" s="239">
        <v>0</v>
      </c>
      <c r="U219" s="239">
        <v>0</v>
      </c>
      <c r="V219" s="239">
        <v>0</v>
      </c>
      <c r="W219" s="239">
        <v>0</v>
      </c>
      <c r="X219" s="239">
        <v>0</v>
      </c>
      <c r="Y219" s="239">
        <v>0</v>
      </c>
      <c r="Z219" s="239">
        <v>0</v>
      </c>
      <c r="AA219" s="239">
        <v>0</v>
      </c>
      <c r="AB219" s="239">
        <v>0</v>
      </c>
      <c r="AC219" s="239">
        <v>1416428</v>
      </c>
      <c r="AD219" s="239">
        <v>318696</v>
      </c>
      <c r="AE219" s="239">
        <v>35410</v>
      </c>
      <c r="AF219" s="239">
        <v>1770534</v>
      </c>
      <c r="AG219" s="239">
        <v>319726</v>
      </c>
      <c r="AH219" s="239">
        <v>255782</v>
      </c>
      <c r="AI219" s="239">
        <v>57551</v>
      </c>
      <c r="AJ219" s="239">
        <v>6395</v>
      </c>
      <c r="AK219" s="239">
        <v>639454</v>
      </c>
      <c r="AL219" s="239">
        <v>-86674</v>
      </c>
      <c r="AM219" s="239">
        <v>-69340</v>
      </c>
      <c r="AN219" s="239">
        <v>-15602</v>
      </c>
      <c r="AO219" s="239">
        <v>-1734</v>
      </c>
      <c r="AP219" s="239">
        <v>-173350</v>
      </c>
      <c r="AQ219" s="239">
        <v>-249225.39</v>
      </c>
      <c r="AR219" s="239">
        <v>-199381</v>
      </c>
      <c r="AS219" s="239">
        <v>-44861</v>
      </c>
      <c r="AT219" s="239">
        <v>-4985</v>
      </c>
      <c r="AU219" s="239">
        <v>-498452.39</v>
      </c>
      <c r="AV219" s="239">
        <v>27703</v>
      </c>
      <c r="AW219" s="239">
        <v>22163</v>
      </c>
      <c r="AX219" s="239">
        <v>4987</v>
      </c>
      <c r="AY219" s="239">
        <v>554</v>
      </c>
      <c r="AZ219" s="239">
        <v>55407</v>
      </c>
      <c r="BA219" s="239">
        <v>-68999</v>
      </c>
      <c r="BB219" s="239">
        <v>-55200</v>
      </c>
      <c r="BC219" s="239">
        <v>-12420</v>
      </c>
      <c r="BD219" s="239">
        <v>-1380</v>
      </c>
      <c r="BE219" s="239">
        <v>-137999</v>
      </c>
      <c r="BF219" s="239">
        <v>-290521.39</v>
      </c>
      <c r="BG219" s="239">
        <v>-232418</v>
      </c>
      <c r="BH219" s="239">
        <v>-52294</v>
      </c>
      <c r="BI219" s="239">
        <v>-5811</v>
      </c>
      <c r="BJ219" s="239">
        <v>-581044.39</v>
      </c>
      <c r="BK219" s="239">
        <v>-858286</v>
      </c>
      <c r="BL219" s="239">
        <v>-686628</v>
      </c>
      <c r="BM219" s="239">
        <v>-154491</v>
      </c>
      <c r="BN219" s="239">
        <v>-17166</v>
      </c>
      <c r="BO219" s="239">
        <v>-1716571</v>
      </c>
      <c r="BP219" s="239">
        <v>596346</v>
      </c>
      <c r="BQ219" s="239">
        <v>477076</v>
      </c>
      <c r="BR219" s="239">
        <v>107342</v>
      </c>
      <c r="BS219" s="239">
        <v>11927</v>
      </c>
      <c r="BT219" s="239">
        <v>1192691</v>
      </c>
      <c r="BU219" s="239">
        <v>-610994</v>
      </c>
      <c r="BV219" s="239">
        <v>-488796</v>
      </c>
      <c r="BW219" s="239">
        <v>-109979</v>
      </c>
      <c r="BX219" s="239">
        <v>-12220</v>
      </c>
      <c r="BY219" s="239">
        <v>-1221989</v>
      </c>
      <c r="BZ219" s="239">
        <v>-872934</v>
      </c>
      <c r="CA219" s="239">
        <v>-698348</v>
      </c>
      <c r="CB219" s="239">
        <v>-157128</v>
      </c>
      <c r="CC219" s="239">
        <v>-17459</v>
      </c>
      <c r="CD219" s="239">
        <v>-1745869</v>
      </c>
      <c r="CE219" s="239">
        <v>-27033</v>
      </c>
      <c r="CF219" s="239">
        <v>-21626</v>
      </c>
      <c r="CG219" s="239">
        <v>-4866</v>
      </c>
      <c r="CH219" s="239">
        <v>-541</v>
      </c>
      <c r="CI219" s="239">
        <v>-54066</v>
      </c>
      <c r="CJ219" s="239">
        <v>-40436</v>
      </c>
      <c r="CK219" s="239">
        <v>-32349</v>
      </c>
      <c r="CL219" s="239">
        <v>-7278</v>
      </c>
      <c r="CM219" s="239">
        <v>-809</v>
      </c>
      <c r="CN219" s="239">
        <v>-80872</v>
      </c>
      <c r="CO219" s="239">
        <v>13403</v>
      </c>
      <c r="CP219" s="239">
        <v>10723</v>
      </c>
      <c r="CQ219" s="239">
        <v>2412</v>
      </c>
      <c r="CR219" s="239">
        <v>268</v>
      </c>
      <c r="CS219" s="239">
        <v>26806</v>
      </c>
      <c r="CT219" s="239">
        <v>8751596</v>
      </c>
      <c r="CU219" s="239">
        <v>7001276</v>
      </c>
      <c r="CV219" s="239">
        <v>1575287</v>
      </c>
      <c r="CW219" s="239">
        <v>175032</v>
      </c>
      <c r="CX219" s="239">
        <v>17503191</v>
      </c>
      <c r="CY219" s="239">
        <v>8585525</v>
      </c>
      <c r="CZ219" s="239">
        <v>6868420</v>
      </c>
      <c r="DA219" s="239">
        <v>1545395</v>
      </c>
      <c r="DB219" s="239">
        <v>171711</v>
      </c>
      <c r="DC219" s="239">
        <v>17171051</v>
      </c>
      <c r="DD219" s="239">
        <v>-166071</v>
      </c>
      <c r="DE219" s="239">
        <v>-132856</v>
      </c>
      <c r="DF219" s="239">
        <v>-29892</v>
      </c>
      <c r="DG219" s="239">
        <v>-3321</v>
      </c>
      <c r="DH219" s="239">
        <v>-332140</v>
      </c>
      <c r="DI219" s="239">
        <v>-152668</v>
      </c>
      <c r="DJ219" s="239">
        <v>-122133</v>
      </c>
      <c r="DK219" s="239">
        <v>-27480</v>
      </c>
      <c r="DL219" s="239">
        <v>-3053</v>
      </c>
      <c r="DM219" s="239">
        <v>-305334</v>
      </c>
      <c r="DN219" s="835">
        <v>0.5</v>
      </c>
      <c r="DO219" s="835">
        <v>0.4</v>
      </c>
      <c r="DP219" s="835">
        <v>0.09</v>
      </c>
      <c r="DQ219" s="835">
        <v>0.01</v>
      </c>
      <c r="DR219" s="835">
        <v>1</v>
      </c>
      <c r="DS219" s="214" t="s">
        <v>1158</v>
      </c>
      <c r="DU219" s="214">
        <v>0</v>
      </c>
    </row>
    <row r="220" spans="2:125" s="214" customFormat="1" x14ac:dyDescent="0.2">
      <c r="B220" s="602" t="s">
        <v>523</v>
      </c>
      <c r="C220" s="602" t="s">
        <v>522</v>
      </c>
      <c r="D220" s="239">
        <v>34408944</v>
      </c>
      <c r="E220" s="239">
        <v>33720766</v>
      </c>
      <c r="F220" s="239">
        <v>0</v>
      </c>
      <c r="G220" s="239">
        <v>688179</v>
      </c>
      <c r="H220" s="239">
        <v>68817889</v>
      </c>
      <c r="I220" s="239">
        <v>208909</v>
      </c>
      <c r="J220" s="239">
        <v>208909</v>
      </c>
      <c r="K220" s="239">
        <v>34200035</v>
      </c>
      <c r="L220" s="239">
        <v>302614</v>
      </c>
      <c r="M220" s="239">
        <v>302614</v>
      </c>
      <c r="N220" s="239">
        <v>252181</v>
      </c>
      <c r="O220" s="239">
        <v>252181</v>
      </c>
      <c r="P220" s="239">
        <v>190327</v>
      </c>
      <c r="Q220" s="239">
        <v>0</v>
      </c>
      <c r="R220" s="239">
        <v>190327</v>
      </c>
      <c r="S220" s="239">
        <v>208908.67167381974</v>
      </c>
      <c r="T220" s="239">
        <v>0</v>
      </c>
      <c r="U220" s="239">
        <v>0</v>
      </c>
      <c r="V220" s="239">
        <v>208908.67167381974</v>
      </c>
      <c r="W220" s="239">
        <v>0</v>
      </c>
      <c r="X220" s="239">
        <v>0</v>
      </c>
      <c r="Y220" s="239">
        <v>0</v>
      </c>
      <c r="Z220" s="239">
        <v>0</v>
      </c>
      <c r="AA220" s="239">
        <v>0</v>
      </c>
      <c r="AB220" s="239">
        <v>0</v>
      </c>
      <c r="AC220" s="239">
        <v>3311861</v>
      </c>
      <c r="AD220" s="239">
        <v>0</v>
      </c>
      <c r="AE220" s="239">
        <v>66835</v>
      </c>
      <c r="AF220" s="239">
        <v>3378696</v>
      </c>
      <c r="AG220" s="239">
        <v>1485568</v>
      </c>
      <c r="AH220" s="239">
        <v>1455856</v>
      </c>
      <c r="AI220" s="239">
        <v>0</v>
      </c>
      <c r="AJ220" s="239">
        <v>29711</v>
      </c>
      <c r="AK220" s="239">
        <v>2971135</v>
      </c>
      <c r="AL220" s="239">
        <v>-135292</v>
      </c>
      <c r="AM220" s="239">
        <v>-132586</v>
      </c>
      <c r="AN220" s="239">
        <v>0</v>
      </c>
      <c r="AO220" s="239">
        <v>-2706</v>
      </c>
      <c r="AP220" s="239">
        <v>-270584</v>
      </c>
      <c r="AQ220" s="239">
        <v>-564624</v>
      </c>
      <c r="AR220" s="239">
        <v>-553332</v>
      </c>
      <c r="AS220" s="239">
        <v>0</v>
      </c>
      <c r="AT220" s="239">
        <v>-11292</v>
      </c>
      <c r="AU220" s="239">
        <v>-1129248</v>
      </c>
      <c r="AV220" s="239">
        <v>147721</v>
      </c>
      <c r="AW220" s="239">
        <v>144766</v>
      </c>
      <c r="AX220" s="239">
        <v>0</v>
      </c>
      <c r="AY220" s="239">
        <v>2954</v>
      </c>
      <c r="AZ220" s="239">
        <v>295441</v>
      </c>
      <c r="BA220" s="239">
        <v>-336921</v>
      </c>
      <c r="BB220" s="239">
        <v>-330183</v>
      </c>
      <c r="BC220" s="239">
        <v>0</v>
      </c>
      <c r="BD220" s="239">
        <v>-6738</v>
      </c>
      <c r="BE220" s="239">
        <v>-673842</v>
      </c>
      <c r="BF220" s="239">
        <v>-753824</v>
      </c>
      <c r="BG220" s="239">
        <v>-738749</v>
      </c>
      <c r="BH220" s="239">
        <v>0</v>
      </c>
      <c r="BI220" s="239">
        <v>-15076</v>
      </c>
      <c r="BJ220" s="239">
        <v>-1507649</v>
      </c>
      <c r="BK220" s="239">
        <v>-3292251</v>
      </c>
      <c r="BL220" s="239">
        <v>-3226406</v>
      </c>
      <c r="BM220" s="239">
        <v>0</v>
      </c>
      <c r="BN220" s="239">
        <v>-65845</v>
      </c>
      <c r="BO220" s="239">
        <v>-6584502</v>
      </c>
      <c r="BP220" s="239">
        <v>466499</v>
      </c>
      <c r="BQ220" s="239">
        <v>457170</v>
      </c>
      <c r="BR220" s="239">
        <v>0</v>
      </c>
      <c r="BS220" s="239">
        <v>9330</v>
      </c>
      <c r="BT220" s="239">
        <v>932999</v>
      </c>
      <c r="BU220" s="239">
        <v>-1579330</v>
      </c>
      <c r="BV220" s="239">
        <v>-1547743</v>
      </c>
      <c r="BW220" s="239">
        <v>0</v>
      </c>
      <c r="BX220" s="239">
        <v>-31587</v>
      </c>
      <c r="BY220" s="239">
        <v>-3158660</v>
      </c>
      <c r="BZ220" s="239">
        <v>-4405082</v>
      </c>
      <c r="CA220" s="239">
        <v>-4316979</v>
      </c>
      <c r="CB220" s="239">
        <v>0</v>
      </c>
      <c r="CC220" s="239">
        <v>-88102</v>
      </c>
      <c r="CD220" s="239">
        <v>-8810163</v>
      </c>
      <c r="CE220" s="239">
        <v>1499052</v>
      </c>
      <c r="CF220" s="239">
        <v>1469070</v>
      </c>
      <c r="CG220" s="239">
        <v>0</v>
      </c>
      <c r="CH220" s="239">
        <v>29980</v>
      </c>
      <c r="CI220" s="239">
        <v>2998102</v>
      </c>
      <c r="CJ220" s="239">
        <v>1867961</v>
      </c>
      <c r="CK220" s="239">
        <v>1830601</v>
      </c>
      <c r="CL220" s="239">
        <v>0</v>
      </c>
      <c r="CM220" s="239">
        <v>37359</v>
      </c>
      <c r="CN220" s="239">
        <v>3735921</v>
      </c>
      <c r="CO220" s="239">
        <v>-368909</v>
      </c>
      <c r="CP220" s="239">
        <v>-361531</v>
      </c>
      <c r="CQ220" s="239">
        <v>0</v>
      </c>
      <c r="CR220" s="239">
        <v>-7379</v>
      </c>
      <c r="CS220" s="239">
        <v>-737819</v>
      </c>
      <c r="CT220" s="239">
        <v>33697942</v>
      </c>
      <c r="CU220" s="239">
        <v>33023983</v>
      </c>
      <c r="CV220" s="239">
        <v>0</v>
      </c>
      <c r="CW220" s="239">
        <v>673959</v>
      </c>
      <c r="CX220" s="239">
        <v>67395884</v>
      </c>
      <c r="CY220" s="239">
        <v>34408944</v>
      </c>
      <c r="CZ220" s="239">
        <v>33720766</v>
      </c>
      <c r="DA220" s="239">
        <v>0</v>
      </c>
      <c r="DB220" s="239">
        <v>688179</v>
      </c>
      <c r="DC220" s="239">
        <v>68817889</v>
      </c>
      <c r="DD220" s="239">
        <v>711002</v>
      </c>
      <c r="DE220" s="239">
        <v>696783</v>
      </c>
      <c r="DF220" s="239">
        <v>0</v>
      </c>
      <c r="DG220" s="239">
        <v>14220</v>
      </c>
      <c r="DH220" s="239">
        <v>1422005</v>
      </c>
      <c r="DI220" s="239">
        <v>342093</v>
      </c>
      <c r="DJ220" s="239">
        <v>335252</v>
      </c>
      <c r="DK220" s="239">
        <v>0</v>
      </c>
      <c r="DL220" s="239">
        <v>6841</v>
      </c>
      <c r="DM220" s="239">
        <v>684186</v>
      </c>
      <c r="DN220" s="835">
        <v>0.5</v>
      </c>
      <c r="DO220" s="835">
        <v>0.49</v>
      </c>
      <c r="DP220" s="835">
        <v>0</v>
      </c>
      <c r="DQ220" s="835">
        <v>0.01</v>
      </c>
      <c r="DR220" s="835">
        <v>1</v>
      </c>
      <c r="DS220" s="214" t="s">
        <v>1160</v>
      </c>
      <c r="DU220" s="214">
        <v>0</v>
      </c>
    </row>
    <row r="221" spans="2:125" s="214" customFormat="1" x14ac:dyDescent="0.2">
      <c r="B221" s="602" t="s">
        <v>525</v>
      </c>
      <c r="C221" s="602" t="s">
        <v>524</v>
      </c>
      <c r="D221" s="239">
        <v>21471196</v>
      </c>
      <c r="E221" s="239">
        <v>17176956</v>
      </c>
      <c r="F221" s="239">
        <v>4294239</v>
      </c>
      <c r="G221" s="239">
        <v>0</v>
      </c>
      <c r="H221" s="239">
        <v>42942391</v>
      </c>
      <c r="I221" s="239">
        <v>0</v>
      </c>
      <c r="J221" s="239">
        <v>0</v>
      </c>
      <c r="K221" s="239">
        <v>21471196</v>
      </c>
      <c r="L221" s="239">
        <v>135863</v>
      </c>
      <c r="M221" s="239">
        <v>135863</v>
      </c>
      <c r="N221" s="239">
        <v>0</v>
      </c>
      <c r="O221" s="239">
        <v>0</v>
      </c>
      <c r="P221" s="239">
        <v>0</v>
      </c>
      <c r="Q221" s="239">
        <v>0</v>
      </c>
      <c r="R221" s="239">
        <v>0</v>
      </c>
      <c r="S221" s="239">
        <v>0</v>
      </c>
      <c r="T221" s="239">
        <v>0</v>
      </c>
      <c r="U221" s="239">
        <v>0</v>
      </c>
      <c r="V221" s="239">
        <v>0</v>
      </c>
      <c r="W221" s="239">
        <v>0</v>
      </c>
      <c r="X221" s="239">
        <v>0</v>
      </c>
      <c r="Y221" s="239">
        <v>0</v>
      </c>
      <c r="Z221" s="239">
        <v>0</v>
      </c>
      <c r="AA221" s="239">
        <v>0</v>
      </c>
      <c r="AB221" s="239">
        <v>0</v>
      </c>
      <c r="AC221" s="239">
        <v>1267995</v>
      </c>
      <c r="AD221" s="239">
        <v>317000</v>
      </c>
      <c r="AE221" s="239">
        <v>0</v>
      </c>
      <c r="AF221" s="239">
        <v>1584995</v>
      </c>
      <c r="AG221" s="239">
        <v>826327</v>
      </c>
      <c r="AH221" s="239">
        <v>661062</v>
      </c>
      <c r="AI221" s="239">
        <v>165265</v>
      </c>
      <c r="AJ221" s="239">
        <v>0</v>
      </c>
      <c r="AK221" s="239">
        <v>1652654</v>
      </c>
      <c r="AL221" s="239">
        <v>-223943</v>
      </c>
      <c r="AM221" s="239">
        <v>-179154</v>
      </c>
      <c r="AN221" s="239">
        <v>-44789</v>
      </c>
      <c r="AO221" s="239">
        <v>0</v>
      </c>
      <c r="AP221" s="239">
        <v>-447886</v>
      </c>
      <c r="AQ221" s="239">
        <v>-110717</v>
      </c>
      <c r="AR221" s="239">
        <v>-88573</v>
      </c>
      <c r="AS221" s="239">
        <v>-22143</v>
      </c>
      <c r="AT221" s="239">
        <v>0</v>
      </c>
      <c r="AU221" s="239">
        <v>-221433</v>
      </c>
      <c r="AV221" s="239">
        <v>66690</v>
      </c>
      <c r="AW221" s="239">
        <v>53352</v>
      </c>
      <c r="AX221" s="239">
        <v>13338</v>
      </c>
      <c r="AY221" s="239">
        <v>0</v>
      </c>
      <c r="AZ221" s="239">
        <v>133380</v>
      </c>
      <c r="BA221" s="239">
        <v>-71213</v>
      </c>
      <c r="BB221" s="239">
        <v>-56971</v>
      </c>
      <c r="BC221" s="239">
        <v>-14243</v>
      </c>
      <c r="BD221" s="239">
        <v>0</v>
      </c>
      <c r="BE221" s="239">
        <v>-142427</v>
      </c>
      <c r="BF221" s="239">
        <v>-115240</v>
      </c>
      <c r="BG221" s="239">
        <v>-92192</v>
      </c>
      <c r="BH221" s="239">
        <v>-23048</v>
      </c>
      <c r="BI221" s="239">
        <v>0</v>
      </c>
      <c r="BJ221" s="239">
        <v>-230480</v>
      </c>
      <c r="BK221" s="239">
        <v>-2471282</v>
      </c>
      <c r="BL221" s="239">
        <v>-1977026</v>
      </c>
      <c r="BM221" s="239">
        <v>-494257</v>
      </c>
      <c r="BN221" s="239">
        <v>0</v>
      </c>
      <c r="BO221" s="239">
        <v>-4942565</v>
      </c>
      <c r="BP221" s="239">
        <v>365792</v>
      </c>
      <c r="BQ221" s="239">
        <v>292634</v>
      </c>
      <c r="BR221" s="239">
        <v>73158</v>
      </c>
      <c r="BS221" s="239">
        <v>0</v>
      </c>
      <c r="BT221" s="239">
        <v>731584</v>
      </c>
      <c r="BU221" s="239">
        <v>-3440937</v>
      </c>
      <c r="BV221" s="239">
        <v>-2752750</v>
      </c>
      <c r="BW221" s="239">
        <v>-688188</v>
      </c>
      <c r="BX221" s="239">
        <v>0</v>
      </c>
      <c r="BY221" s="239">
        <v>-6881875</v>
      </c>
      <c r="BZ221" s="239">
        <v>-5546427</v>
      </c>
      <c r="CA221" s="239">
        <v>-4437142</v>
      </c>
      <c r="CB221" s="239">
        <v>-1109287</v>
      </c>
      <c r="CC221" s="239">
        <v>0</v>
      </c>
      <c r="CD221" s="239">
        <v>-11092856</v>
      </c>
      <c r="CE221" s="239">
        <v>104440</v>
      </c>
      <c r="CF221" s="239">
        <v>83554</v>
      </c>
      <c r="CG221" s="239">
        <v>20889</v>
      </c>
      <c r="CH221" s="239">
        <v>0</v>
      </c>
      <c r="CI221" s="239">
        <v>208883</v>
      </c>
      <c r="CJ221" s="239">
        <v>300785</v>
      </c>
      <c r="CK221" s="239">
        <v>240628</v>
      </c>
      <c r="CL221" s="239">
        <v>60157</v>
      </c>
      <c r="CM221" s="239">
        <v>0</v>
      </c>
      <c r="CN221" s="239">
        <v>601570</v>
      </c>
      <c r="CO221" s="239">
        <v>-196345</v>
      </c>
      <c r="CP221" s="239">
        <v>-157074</v>
      </c>
      <c r="CQ221" s="239">
        <v>-39268</v>
      </c>
      <c r="CR221" s="239">
        <v>0</v>
      </c>
      <c r="CS221" s="239">
        <v>-392687</v>
      </c>
      <c r="CT221" s="239">
        <v>22593937</v>
      </c>
      <c r="CU221" s="239">
        <v>18075150</v>
      </c>
      <c r="CV221" s="239">
        <v>4518787</v>
      </c>
      <c r="CW221" s="239">
        <v>0</v>
      </c>
      <c r="CX221" s="239">
        <v>45187874</v>
      </c>
      <c r="CY221" s="239">
        <v>21471196</v>
      </c>
      <c r="CZ221" s="239">
        <v>17176956</v>
      </c>
      <c r="DA221" s="239">
        <v>4294239</v>
      </c>
      <c r="DB221" s="239">
        <v>0</v>
      </c>
      <c r="DC221" s="239">
        <v>42942391</v>
      </c>
      <c r="DD221" s="239">
        <v>-1122741</v>
      </c>
      <c r="DE221" s="239">
        <v>-898194</v>
      </c>
      <c r="DF221" s="239">
        <v>-224548</v>
      </c>
      <c r="DG221" s="239">
        <v>0</v>
      </c>
      <c r="DH221" s="239">
        <v>-2245483</v>
      </c>
      <c r="DI221" s="239">
        <v>-1319086</v>
      </c>
      <c r="DJ221" s="239">
        <v>-1055268</v>
      </c>
      <c r="DK221" s="239">
        <v>-263816</v>
      </c>
      <c r="DL221" s="239">
        <v>0</v>
      </c>
      <c r="DM221" s="239">
        <v>-2638170</v>
      </c>
      <c r="DN221" s="835">
        <v>0.5</v>
      </c>
      <c r="DO221" s="835">
        <v>0.4</v>
      </c>
      <c r="DP221" s="835">
        <v>0.1</v>
      </c>
      <c r="DQ221" s="835">
        <v>0</v>
      </c>
      <c r="DR221" s="835">
        <v>1</v>
      </c>
      <c r="DS221" s="214" t="s">
        <v>1158</v>
      </c>
      <c r="DU221" s="214">
        <v>0</v>
      </c>
    </row>
    <row r="222" spans="2:125" s="214" customFormat="1" x14ac:dyDescent="0.2">
      <c r="B222" s="602" t="s">
        <v>527</v>
      </c>
      <c r="C222" s="602" t="s">
        <v>526</v>
      </c>
      <c r="D222" s="239">
        <v>22157092</v>
      </c>
      <c r="E222" s="239">
        <v>17725674</v>
      </c>
      <c r="F222" s="239">
        <v>4431418</v>
      </c>
      <c r="G222" s="239">
        <v>0</v>
      </c>
      <c r="H222" s="239">
        <v>44314184</v>
      </c>
      <c r="I222" s="239">
        <v>0</v>
      </c>
      <c r="J222" s="239">
        <v>0</v>
      </c>
      <c r="K222" s="239">
        <v>22157092</v>
      </c>
      <c r="L222" s="239">
        <v>131332</v>
      </c>
      <c r="M222" s="239">
        <v>131332</v>
      </c>
      <c r="N222" s="239">
        <v>116349</v>
      </c>
      <c r="O222" s="239">
        <v>116349</v>
      </c>
      <c r="P222" s="239">
        <v>0</v>
      </c>
      <c r="Q222" s="239">
        <v>0</v>
      </c>
      <c r="R222" s="239">
        <v>0</v>
      </c>
      <c r="S222" s="239">
        <v>0</v>
      </c>
      <c r="T222" s="239">
        <v>0</v>
      </c>
      <c r="U222" s="239">
        <v>0</v>
      </c>
      <c r="V222" s="239">
        <v>0</v>
      </c>
      <c r="W222" s="239">
        <v>0</v>
      </c>
      <c r="X222" s="239">
        <v>0</v>
      </c>
      <c r="Y222" s="239">
        <v>0</v>
      </c>
      <c r="Z222" s="239">
        <v>0</v>
      </c>
      <c r="AA222" s="239">
        <v>0</v>
      </c>
      <c r="AB222" s="239">
        <v>0</v>
      </c>
      <c r="AC222" s="239">
        <v>1001616</v>
      </c>
      <c r="AD222" s="239">
        <v>249968</v>
      </c>
      <c r="AE222" s="239">
        <v>0</v>
      </c>
      <c r="AF222" s="239">
        <v>1251584</v>
      </c>
      <c r="AG222" s="239">
        <v>653892</v>
      </c>
      <c r="AH222" s="239">
        <v>523114</v>
      </c>
      <c r="AI222" s="239">
        <v>130779</v>
      </c>
      <c r="AJ222" s="239">
        <v>0</v>
      </c>
      <c r="AK222" s="239">
        <v>1307785</v>
      </c>
      <c r="AL222" s="239">
        <v>-1353272</v>
      </c>
      <c r="AM222" s="239">
        <v>-1082618</v>
      </c>
      <c r="AN222" s="239">
        <v>-270655</v>
      </c>
      <c r="AO222" s="239">
        <v>0</v>
      </c>
      <c r="AP222" s="239">
        <v>-2706545</v>
      </c>
      <c r="AQ222" s="239">
        <v>-313950</v>
      </c>
      <c r="AR222" s="239">
        <v>-251160</v>
      </c>
      <c r="AS222" s="239">
        <v>-62790</v>
      </c>
      <c r="AT222" s="239">
        <v>0</v>
      </c>
      <c r="AU222" s="239">
        <v>-627900</v>
      </c>
      <c r="AV222" s="239">
        <v>0</v>
      </c>
      <c r="AW222" s="239">
        <v>0</v>
      </c>
      <c r="AX222" s="239">
        <v>0</v>
      </c>
      <c r="AY222" s="239">
        <v>0</v>
      </c>
      <c r="AZ222" s="239">
        <v>0</v>
      </c>
      <c r="BA222" s="239">
        <v>-4158200</v>
      </c>
      <c r="BB222" s="239">
        <v>-3326560</v>
      </c>
      <c r="BC222" s="239">
        <v>-831640</v>
      </c>
      <c r="BD222" s="239">
        <v>0</v>
      </c>
      <c r="BE222" s="239">
        <v>-8316400</v>
      </c>
      <c r="BF222" s="239">
        <v>-4472150</v>
      </c>
      <c r="BG222" s="239">
        <v>-3577720</v>
      </c>
      <c r="BH222" s="239">
        <v>-894430</v>
      </c>
      <c r="BI222" s="239">
        <v>0</v>
      </c>
      <c r="BJ222" s="239">
        <v>-8944300</v>
      </c>
      <c r="BK222" s="239">
        <v>-3911150.0600000005</v>
      </c>
      <c r="BL222" s="239">
        <v>-3128920</v>
      </c>
      <c r="BM222" s="239">
        <v>-782230</v>
      </c>
      <c r="BN222" s="239">
        <v>0</v>
      </c>
      <c r="BO222" s="239">
        <v>-7822300.0600000005</v>
      </c>
      <c r="BP222" s="239">
        <v>0</v>
      </c>
      <c r="BQ222" s="239">
        <v>0</v>
      </c>
      <c r="BR222" s="239">
        <v>0</v>
      </c>
      <c r="BS222" s="239">
        <v>0</v>
      </c>
      <c r="BT222" s="239">
        <v>0</v>
      </c>
      <c r="BU222" s="239">
        <v>-523500</v>
      </c>
      <c r="BV222" s="239">
        <v>-418800</v>
      </c>
      <c r="BW222" s="239">
        <v>-104700</v>
      </c>
      <c r="BX222" s="239">
        <v>0</v>
      </c>
      <c r="BY222" s="239">
        <v>-1047000</v>
      </c>
      <c r="BZ222" s="239">
        <v>-4434650.0600000005</v>
      </c>
      <c r="CA222" s="239">
        <v>-3547720</v>
      </c>
      <c r="CB222" s="239">
        <v>-886930</v>
      </c>
      <c r="CC222" s="239">
        <v>0</v>
      </c>
      <c r="CD222" s="239">
        <v>-8869300.0600000005</v>
      </c>
      <c r="CE222" s="239">
        <v>531197</v>
      </c>
      <c r="CF222" s="239">
        <v>424958</v>
      </c>
      <c r="CG222" s="239">
        <v>106240</v>
      </c>
      <c r="CH222" s="239">
        <v>0</v>
      </c>
      <c r="CI222" s="239">
        <v>1062395</v>
      </c>
      <c r="CJ222" s="239">
        <v>-2980683</v>
      </c>
      <c r="CK222" s="239">
        <v>-2384547</v>
      </c>
      <c r="CL222" s="239">
        <v>-596137</v>
      </c>
      <c r="CM222" s="239">
        <v>0</v>
      </c>
      <c r="CN222" s="239">
        <v>-5961367</v>
      </c>
      <c r="CO222" s="239">
        <v>3511880</v>
      </c>
      <c r="CP222" s="239">
        <v>2809505</v>
      </c>
      <c r="CQ222" s="239">
        <v>702377</v>
      </c>
      <c r="CR222" s="239">
        <v>0</v>
      </c>
      <c r="CS222" s="239">
        <v>7023762</v>
      </c>
      <c r="CT222" s="239">
        <v>28538457</v>
      </c>
      <c r="CU222" s="239">
        <v>22830765</v>
      </c>
      <c r="CV222" s="239">
        <v>5707691</v>
      </c>
      <c r="CW222" s="239">
        <v>0</v>
      </c>
      <c r="CX222" s="239">
        <v>57076913</v>
      </c>
      <c r="CY222" s="239">
        <v>22157092</v>
      </c>
      <c r="CZ222" s="239">
        <v>17725674</v>
      </c>
      <c r="DA222" s="239">
        <v>4431418</v>
      </c>
      <c r="DB222" s="239">
        <v>0</v>
      </c>
      <c r="DC222" s="239">
        <v>44314184</v>
      </c>
      <c r="DD222" s="239">
        <v>-6381365</v>
      </c>
      <c r="DE222" s="239">
        <v>-5105091</v>
      </c>
      <c r="DF222" s="239">
        <v>-1276273</v>
      </c>
      <c r="DG222" s="239">
        <v>0</v>
      </c>
      <c r="DH222" s="239">
        <v>-12762729</v>
      </c>
      <c r="DI222" s="239">
        <v>-2869485</v>
      </c>
      <c r="DJ222" s="239">
        <v>-2295586</v>
      </c>
      <c r="DK222" s="239">
        <v>-573896</v>
      </c>
      <c r="DL222" s="239">
        <v>0</v>
      </c>
      <c r="DM222" s="239">
        <v>-5738967</v>
      </c>
      <c r="DN222" s="835">
        <v>0.5</v>
      </c>
      <c r="DO222" s="835">
        <v>0.4</v>
      </c>
      <c r="DP222" s="835">
        <v>0.1</v>
      </c>
      <c r="DQ222" s="835">
        <v>0</v>
      </c>
      <c r="DR222" s="835">
        <v>1</v>
      </c>
      <c r="DS222" s="214" t="s">
        <v>1158</v>
      </c>
      <c r="DU222" s="214">
        <v>0</v>
      </c>
    </row>
    <row r="223" spans="2:125" s="214" customFormat="1" x14ac:dyDescent="0.2">
      <c r="B223" s="602" t="s">
        <v>529</v>
      </c>
      <c r="C223" s="602" t="s">
        <v>528</v>
      </c>
      <c r="D223" s="239">
        <v>12053069</v>
      </c>
      <c r="E223" s="239">
        <v>9642456</v>
      </c>
      <c r="F223" s="239">
        <v>2169553</v>
      </c>
      <c r="G223" s="239">
        <v>241061</v>
      </c>
      <c r="H223" s="239">
        <v>24106139</v>
      </c>
      <c r="I223" s="239">
        <v>0</v>
      </c>
      <c r="J223" s="239">
        <v>0</v>
      </c>
      <c r="K223" s="239">
        <v>12053069</v>
      </c>
      <c r="L223" s="239">
        <v>111888</v>
      </c>
      <c r="M223" s="239">
        <v>111888</v>
      </c>
      <c r="N223" s="239">
        <v>0</v>
      </c>
      <c r="O223" s="239">
        <v>0</v>
      </c>
      <c r="P223" s="239">
        <v>186983</v>
      </c>
      <c r="Q223" s="239">
        <v>0</v>
      </c>
      <c r="R223" s="239">
        <v>186983</v>
      </c>
      <c r="S223" s="239">
        <v>0</v>
      </c>
      <c r="T223" s="239">
        <v>0</v>
      </c>
      <c r="U223" s="239">
        <v>0</v>
      </c>
      <c r="V223" s="239">
        <v>0</v>
      </c>
      <c r="W223" s="239">
        <v>0</v>
      </c>
      <c r="X223" s="239">
        <v>0</v>
      </c>
      <c r="Y223" s="239">
        <v>0</v>
      </c>
      <c r="Z223" s="239">
        <v>0</v>
      </c>
      <c r="AA223" s="239">
        <v>0</v>
      </c>
      <c r="AB223" s="239">
        <v>0</v>
      </c>
      <c r="AC223" s="239">
        <v>1040334</v>
      </c>
      <c r="AD223" s="239">
        <v>233442</v>
      </c>
      <c r="AE223" s="239">
        <v>25937</v>
      </c>
      <c r="AF223" s="239">
        <v>1299713</v>
      </c>
      <c r="AG223" s="239">
        <v>187012</v>
      </c>
      <c r="AH223" s="239">
        <v>149609</v>
      </c>
      <c r="AI223" s="239">
        <v>33662</v>
      </c>
      <c r="AJ223" s="239">
        <v>3740</v>
      </c>
      <c r="AK223" s="239">
        <v>374023</v>
      </c>
      <c r="AL223" s="239">
        <v>-43126</v>
      </c>
      <c r="AM223" s="239">
        <v>-34501</v>
      </c>
      <c r="AN223" s="239">
        <v>-7763</v>
      </c>
      <c r="AO223" s="239">
        <v>-863</v>
      </c>
      <c r="AP223" s="239">
        <v>-86253</v>
      </c>
      <c r="AQ223" s="239">
        <v>-190149</v>
      </c>
      <c r="AR223" s="239">
        <v>-152119</v>
      </c>
      <c r="AS223" s="239">
        <v>-34227</v>
      </c>
      <c r="AT223" s="239">
        <v>-3803</v>
      </c>
      <c r="AU223" s="239">
        <v>-380298</v>
      </c>
      <c r="AV223" s="239">
        <v>61852</v>
      </c>
      <c r="AW223" s="239">
        <v>49482</v>
      </c>
      <c r="AX223" s="239">
        <v>11133</v>
      </c>
      <c r="AY223" s="239">
        <v>1237</v>
      </c>
      <c r="AZ223" s="239">
        <v>123704</v>
      </c>
      <c r="BA223" s="239">
        <v>21897</v>
      </c>
      <c r="BB223" s="239">
        <v>17518</v>
      </c>
      <c r="BC223" s="239">
        <v>3942</v>
      </c>
      <c r="BD223" s="239">
        <v>438</v>
      </c>
      <c r="BE223" s="239">
        <v>43795</v>
      </c>
      <c r="BF223" s="239">
        <v>-106400</v>
      </c>
      <c r="BG223" s="239">
        <v>-85119</v>
      </c>
      <c r="BH223" s="239">
        <v>-19152</v>
      </c>
      <c r="BI223" s="239">
        <v>-2128</v>
      </c>
      <c r="BJ223" s="239">
        <v>-212799</v>
      </c>
      <c r="BK223" s="239">
        <v>-1852733</v>
      </c>
      <c r="BL223" s="239">
        <v>-1482187</v>
      </c>
      <c r="BM223" s="239">
        <v>-333492</v>
      </c>
      <c r="BN223" s="239">
        <v>-37055</v>
      </c>
      <c r="BO223" s="239">
        <v>-3705467</v>
      </c>
      <c r="BP223" s="239">
        <v>1398851</v>
      </c>
      <c r="BQ223" s="239">
        <v>1119081</v>
      </c>
      <c r="BR223" s="239">
        <v>251793</v>
      </c>
      <c r="BS223" s="239">
        <v>27977</v>
      </c>
      <c r="BT223" s="239">
        <v>2797702</v>
      </c>
      <c r="BU223" s="239">
        <v>-1100000</v>
      </c>
      <c r="BV223" s="239">
        <v>-880000</v>
      </c>
      <c r="BW223" s="239">
        <v>-198000</v>
      </c>
      <c r="BX223" s="239">
        <v>-22000</v>
      </c>
      <c r="BY223" s="239">
        <v>-2200000</v>
      </c>
      <c r="BZ223" s="239">
        <v>-1553882</v>
      </c>
      <c r="CA223" s="239">
        <v>-1243106</v>
      </c>
      <c r="CB223" s="239">
        <v>-279699</v>
      </c>
      <c r="CC223" s="239">
        <v>-31078</v>
      </c>
      <c r="CD223" s="239">
        <v>-3107765</v>
      </c>
      <c r="CE223" s="239">
        <v>260046</v>
      </c>
      <c r="CF223" s="239">
        <v>208036</v>
      </c>
      <c r="CG223" s="239">
        <v>46808</v>
      </c>
      <c r="CH223" s="239">
        <v>5200</v>
      </c>
      <c r="CI223" s="239">
        <v>520090</v>
      </c>
      <c r="CJ223" s="239">
        <v>138907</v>
      </c>
      <c r="CK223" s="239">
        <v>111126</v>
      </c>
      <c r="CL223" s="239">
        <v>25003</v>
      </c>
      <c r="CM223" s="239">
        <v>2778</v>
      </c>
      <c r="CN223" s="239">
        <v>277814</v>
      </c>
      <c r="CO223" s="239">
        <v>121139</v>
      </c>
      <c r="CP223" s="239">
        <v>96910</v>
      </c>
      <c r="CQ223" s="239">
        <v>21805</v>
      </c>
      <c r="CR223" s="239">
        <v>2422</v>
      </c>
      <c r="CS223" s="239">
        <v>242276</v>
      </c>
      <c r="CT223" s="239">
        <v>11911425</v>
      </c>
      <c r="CU223" s="239">
        <v>9529139</v>
      </c>
      <c r="CV223" s="239">
        <v>2144056</v>
      </c>
      <c r="CW223" s="239">
        <v>238228</v>
      </c>
      <c r="CX223" s="239">
        <v>23822848</v>
      </c>
      <c r="CY223" s="239">
        <v>12053069</v>
      </c>
      <c r="CZ223" s="239">
        <v>9642456</v>
      </c>
      <c r="DA223" s="239">
        <v>2169553</v>
      </c>
      <c r="DB223" s="239">
        <v>241061</v>
      </c>
      <c r="DC223" s="239">
        <v>24106139</v>
      </c>
      <c r="DD223" s="239">
        <v>141644</v>
      </c>
      <c r="DE223" s="239">
        <v>113317</v>
      </c>
      <c r="DF223" s="239">
        <v>25497</v>
      </c>
      <c r="DG223" s="239">
        <v>2833</v>
      </c>
      <c r="DH223" s="239">
        <v>283291</v>
      </c>
      <c r="DI223" s="239">
        <v>262783</v>
      </c>
      <c r="DJ223" s="239">
        <v>210227</v>
      </c>
      <c r="DK223" s="239">
        <v>47302</v>
      </c>
      <c r="DL223" s="239">
        <v>5255</v>
      </c>
      <c r="DM223" s="239">
        <v>525567</v>
      </c>
      <c r="DN223" s="835">
        <v>0.5</v>
      </c>
      <c r="DO223" s="835">
        <v>0.4</v>
      </c>
      <c r="DP223" s="835">
        <v>0.09</v>
      </c>
      <c r="DQ223" s="835">
        <v>0.01</v>
      </c>
      <c r="DR223" s="835">
        <v>1</v>
      </c>
      <c r="DS223" s="214" t="s">
        <v>1158</v>
      </c>
      <c r="DU223" s="214">
        <v>0</v>
      </c>
    </row>
    <row r="224" spans="2:125" s="214" customFormat="1" x14ac:dyDescent="0.2">
      <c r="B224" s="602" t="s">
        <v>531</v>
      </c>
      <c r="C224" s="602" t="s">
        <v>530</v>
      </c>
      <c r="D224" s="239">
        <v>23418452</v>
      </c>
      <c r="E224" s="239">
        <v>18734761</v>
      </c>
      <c r="F224" s="239">
        <v>4215321</v>
      </c>
      <c r="G224" s="239">
        <v>468369</v>
      </c>
      <c r="H224" s="239">
        <v>46836903</v>
      </c>
      <c r="I224" s="239">
        <v>0</v>
      </c>
      <c r="J224" s="239">
        <v>0</v>
      </c>
      <c r="K224" s="239">
        <v>23418452</v>
      </c>
      <c r="L224" s="239">
        <v>120627</v>
      </c>
      <c r="M224" s="239">
        <v>120627</v>
      </c>
      <c r="N224" s="239">
        <v>0</v>
      </c>
      <c r="O224" s="239">
        <v>0</v>
      </c>
      <c r="P224" s="239">
        <v>0</v>
      </c>
      <c r="Q224" s="239">
        <v>0</v>
      </c>
      <c r="R224" s="239">
        <v>0</v>
      </c>
      <c r="S224" s="239">
        <v>0</v>
      </c>
      <c r="T224" s="239">
        <v>0</v>
      </c>
      <c r="U224" s="239">
        <v>0</v>
      </c>
      <c r="V224" s="239">
        <v>0</v>
      </c>
      <c r="W224" s="239">
        <v>0</v>
      </c>
      <c r="X224" s="239">
        <v>0</v>
      </c>
      <c r="Y224" s="239">
        <v>0</v>
      </c>
      <c r="Z224" s="239">
        <v>0</v>
      </c>
      <c r="AA224" s="239">
        <v>0</v>
      </c>
      <c r="AB224" s="239">
        <v>0</v>
      </c>
      <c r="AC224" s="239">
        <v>1048030</v>
      </c>
      <c r="AD224" s="239">
        <v>235807</v>
      </c>
      <c r="AE224" s="239">
        <v>26202</v>
      </c>
      <c r="AF224" s="239">
        <v>1310039</v>
      </c>
      <c r="AG224" s="239">
        <v>557778</v>
      </c>
      <c r="AH224" s="239">
        <v>446223</v>
      </c>
      <c r="AI224" s="239">
        <v>100400</v>
      </c>
      <c r="AJ224" s="239">
        <v>11156</v>
      </c>
      <c r="AK224" s="239">
        <v>1115557</v>
      </c>
      <c r="AL224" s="239">
        <v>-666021</v>
      </c>
      <c r="AM224" s="239">
        <v>-532817</v>
      </c>
      <c r="AN224" s="239">
        <v>-119884</v>
      </c>
      <c r="AO224" s="239">
        <v>-13320</v>
      </c>
      <c r="AP224" s="239">
        <v>-1332042</v>
      </c>
      <c r="AQ224" s="239">
        <v>-387868.73</v>
      </c>
      <c r="AR224" s="239">
        <v>-310295</v>
      </c>
      <c r="AS224" s="239">
        <v>-69816</v>
      </c>
      <c r="AT224" s="239">
        <v>-7757</v>
      </c>
      <c r="AU224" s="239">
        <v>-775736.73</v>
      </c>
      <c r="AV224" s="239">
        <v>229141</v>
      </c>
      <c r="AW224" s="239">
        <v>183314</v>
      </c>
      <c r="AX224" s="239">
        <v>41246</v>
      </c>
      <c r="AY224" s="239">
        <v>4583</v>
      </c>
      <c r="AZ224" s="239">
        <v>458284</v>
      </c>
      <c r="BA224" s="239">
        <v>-106805</v>
      </c>
      <c r="BB224" s="239">
        <v>-85444</v>
      </c>
      <c r="BC224" s="239">
        <v>-19225</v>
      </c>
      <c r="BD224" s="239">
        <v>-2136</v>
      </c>
      <c r="BE224" s="239">
        <v>-213610</v>
      </c>
      <c r="BF224" s="239">
        <v>-265532.73</v>
      </c>
      <c r="BG224" s="239">
        <v>-212425</v>
      </c>
      <c r="BH224" s="239">
        <v>-47795</v>
      </c>
      <c r="BI224" s="239">
        <v>-5310</v>
      </c>
      <c r="BJ224" s="239">
        <v>-531062.73</v>
      </c>
      <c r="BK224" s="239">
        <v>-3422553</v>
      </c>
      <c r="BL224" s="239">
        <v>-2738042</v>
      </c>
      <c r="BM224" s="239">
        <v>-616060</v>
      </c>
      <c r="BN224" s="239">
        <v>-68451</v>
      </c>
      <c r="BO224" s="239">
        <v>-6845106</v>
      </c>
      <c r="BP224" s="239">
        <v>1244058</v>
      </c>
      <c r="BQ224" s="239">
        <v>995246</v>
      </c>
      <c r="BR224" s="239">
        <v>223930</v>
      </c>
      <c r="BS224" s="239">
        <v>24881</v>
      </c>
      <c r="BT224" s="239">
        <v>2488115</v>
      </c>
      <c r="BU224" s="239">
        <v>-1918500</v>
      </c>
      <c r="BV224" s="239">
        <v>-1534800</v>
      </c>
      <c r="BW224" s="239">
        <v>-345330</v>
      </c>
      <c r="BX224" s="239">
        <v>-38370</v>
      </c>
      <c r="BY224" s="239">
        <v>-3837000</v>
      </c>
      <c r="BZ224" s="239">
        <v>-4096995</v>
      </c>
      <c r="CA224" s="239">
        <v>-3277596</v>
      </c>
      <c r="CB224" s="239">
        <v>-737460</v>
      </c>
      <c r="CC224" s="239">
        <v>-81940</v>
      </c>
      <c r="CD224" s="239">
        <v>-8193991</v>
      </c>
      <c r="CE224" s="239">
        <v>-952109</v>
      </c>
      <c r="CF224" s="239">
        <v>-761688</v>
      </c>
      <c r="CG224" s="239">
        <v>-171380</v>
      </c>
      <c r="CH224" s="239">
        <v>-19042</v>
      </c>
      <c r="CI224" s="239">
        <v>-1904219</v>
      </c>
      <c r="CJ224" s="239">
        <v>-973521</v>
      </c>
      <c r="CK224" s="239">
        <v>-778817</v>
      </c>
      <c r="CL224" s="239">
        <v>-175234</v>
      </c>
      <c r="CM224" s="239">
        <v>-19470</v>
      </c>
      <c r="CN224" s="239">
        <v>-1947042</v>
      </c>
      <c r="CO224" s="239">
        <v>21412</v>
      </c>
      <c r="CP224" s="239">
        <v>17129</v>
      </c>
      <c r="CQ224" s="239">
        <v>3854</v>
      </c>
      <c r="CR224" s="239">
        <v>428</v>
      </c>
      <c r="CS224" s="239">
        <v>42823</v>
      </c>
      <c r="CT224" s="239">
        <v>23736930</v>
      </c>
      <c r="CU224" s="239">
        <v>18989544</v>
      </c>
      <c r="CV224" s="239">
        <v>4272647</v>
      </c>
      <c r="CW224" s="239">
        <v>474739</v>
      </c>
      <c r="CX224" s="239">
        <v>47473860</v>
      </c>
      <c r="CY224" s="239">
        <v>23418452</v>
      </c>
      <c r="CZ224" s="239">
        <v>18734761</v>
      </c>
      <c r="DA224" s="239">
        <v>4215321</v>
      </c>
      <c r="DB224" s="239">
        <v>468369</v>
      </c>
      <c r="DC224" s="239">
        <v>46836903</v>
      </c>
      <c r="DD224" s="239">
        <v>-318478</v>
      </c>
      <c r="DE224" s="239">
        <v>-254783</v>
      </c>
      <c r="DF224" s="239">
        <v>-57326</v>
      </c>
      <c r="DG224" s="239">
        <v>-6370</v>
      </c>
      <c r="DH224" s="239">
        <v>-636957</v>
      </c>
      <c r="DI224" s="239">
        <v>-297066</v>
      </c>
      <c r="DJ224" s="239">
        <v>-237654</v>
      </c>
      <c r="DK224" s="239">
        <v>-53472</v>
      </c>
      <c r="DL224" s="239">
        <v>-5942</v>
      </c>
      <c r="DM224" s="239">
        <v>-594134</v>
      </c>
      <c r="DN224" s="835">
        <v>0.5</v>
      </c>
      <c r="DO224" s="835">
        <v>0.4</v>
      </c>
      <c r="DP224" s="835">
        <v>0.09</v>
      </c>
      <c r="DQ224" s="835">
        <v>0.01</v>
      </c>
      <c r="DR224" s="835">
        <v>1</v>
      </c>
      <c r="DS224" s="214" t="s">
        <v>1158</v>
      </c>
      <c r="DU224" s="214">
        <v>0</v>
      </c>
    </row>
    <row r="225" spans="1:125" s="214" customFormat="1" x14ac:dyDescent="0.2">
      <c r="B225" s="602" t="s">
        <v>533</v>
      </c>
      <c r="C225" s="602" t="s">
        <v>532</v>
      </c>
      <c r="D225" s="239">
        <v>5259883</v>
      </c>
      <c r="E225" s="239">
        <v>5154685</v>
      </c>
      <c r="F225" s="239">
        <v>0</v>
      </c>
      <c r="G225" s="239">
        <v>105198</v>
      </c>
      <c r="H225" s="239">
        <v>10519766</v>
      </c>
      <c r="I225" s="239">
        <v>0</v>
      </c>
      <c r="J225" s="239">
        <v>0</v>
      </c>
      <c r="K225" s="239">
        <v>5259883</v>
      </c>
      <c r="L225" s="239">
        <v>58754</v>
      </c>
      <c r="M225" s="239">
        <v>58754</v>
      </c>
      <c r="N225" s="239">
        <v>0</v>
      </c>
      <c r="O225" s="239">
        <v>0</v>
      </c>
      <c r="P225" s="239">
        <v>78972</v>
      </c>
      <c r="Q225" s="239">
        <v>0</v>
      </c>
      <c r="R225" s="239">
        <v>78972</v>
      </c>
      <c r="S225" s="239">
        <v>0</v>
      </c>
      <c r="T225" s="239">
        <v>0</v>
      </c>
      <c r="U225" s="239">
        <v>0</v>
      </c>
      <c r="V225" s="239">
        <v>0</v>
      </c>
      <c r="W225" s="239">
        <v>0</v>
      </c>
      <c r="X225" s="239">
        <v>0</v>
      </c>
      <c r="Y225" s="239">
        <v>0</v>
      </c>
      <c r="Z225" s="239">
        <v>0</v>
      </c>
      <c r="AA225" s="239">
        <v>0</v>
      </c>
      <c r="AB225" s="239">
        <v>0</v>
      </c>
      <c r="AC225" s="239">
        <v>694929</v>
      </c>
      <c r="AD225" s="239">
        <v>0</v>
      </c>
      <c r="AE225" s="239">
        <v>14157</v>
      </c>
      <c r="AF225" s="239">
        <v>709086</v>
      </c>
      <c r="AG225" s="239">
        <v>52527</v>
      </c>
      <c r="AH225" s="239">
        <v>51477</v>
      </c>
      <c r="AI225" s="239">
        <v>0</v>
      </c>
      <c r="AJ225" s="239">
        <v>1051</v>
      </c>
      <c r="AK225" s="239">
        <v>105055</v>
      </c>
      <c r="AL225" s="239">
        <v>-56458</v>
      </c>
      <c r="AM225" s="239">
        <v>-55328</v>
      </c>
      <c r="AN225" s="239">
        <v>0</v>
      </c>
      <c r="AO225" s="239">
        <v>-1129</v>
      </c>
      <c r="AP225" s="239">
        <v>-112915</v>
      </c>
      <c r="AQ225" s="239">
        <v>-34123</v>
      </c>
      <c r="AR225" s="239">
        <v>-33441</v>
      </c>
      <c r="AS225" s="239">
        <v>0</v>
      </c>
      <c r="AT225" s="239">
        <v>-682</v>
      </c>
      <c r="AU225" s="239">
        <v>-68246</v>
      </c>
      <c r="AV225" s="239">
        <v>9712</v>
      </c>
      <c r="AW225" s="239">
        <v>9517</v>
      </c>
      <c r="AX225" s="239">
        <v>0</v>
      </c>
      <c r="AY225" s="239">
        <v>194</v>
      </c>
      <c r="AZ225" s="239">
        <v>19423</v>
      </c>
      <c r="BA225" s="239">
        <v>-27242</v>
      </c>
      <c r="BB225" s="239">
        <v>-26697</v>
      </c>
      <c r="BC225" s="239">
        <v>0</v>
      </c>
      <c r="BD225" s="239">
        <v>-545</v>
      </c>
      <c r="BE225" s="239">
        <v>-54484</v>
      </c>
      <c r="BF225" s="239">
        <v>-51653</v>
      </c>
      <c r="BG225" s="239">
        <v>-50621</v>
      </c>
      <c r="BH225" s="239">
        <v>0</v>
      </c>
      <c r="BI225" s="239">
        <v>-1033</v>
      </c>
      <c r="BJ225" s="239">
        <v>-103307</v>
      </c>
      <c r="BK225" s="239">
        <v>-270265.40000000002</v>
      </c>
      <c r="BL225" s="239">
        <v>-264859</v>
      </c>
      <c r="BM225" s="239">
        <v>0</v>
      </c>
      <c r="BN225" s="239">
        <v>-5405</v>
      </c>
      <c r="BO225" s="239">
        <v>-540529.4</v>
      </c>
      <c r="BP225" s="239">
        <v>124184</v>
      </c>
      <c r="BQ225" s="239">
        <v>121701</v>
      </c>
      <c r="BR225" s="239">
        <v>0</v>
      </c>
      <c r="BS225" s="239">
        <v>2484</v>
      </c>
      <c r="BT225" s="239">
        <v>248369</v>
      </c>
      <c r="BU225" s="239">
        <v>-382916</v>
      </c>
      <c r="BV225" s="239">
        <v>-375258</v>
      </c>
      <c r="BW225" s="239">
        <v>0</v>
      </c>
      <c r="BX225" s="239">
        <v>-7658</v>
      </c>
      <c r="BY225" s="239">
        <v>-765832</v>
      </c>
      <c r="BZ225" s="239">
        <v>-528997.4</v>
      </c>
      <c r="CA225" s="239">
        <v>-518416</v>
      </c>
      <c r="CB225" s="239">
        <v>0</v>
      </c>
      <c r="CC225" s="239">
        <v>-10579</v>
      </c>
      <c r="CD225" s="239">
        <v>-1057992.3999999999</v>
      </c>
      <c r="CE225" s="239">
        <v>4848</v>
      </c>
      <c r="CF225" s="239">
        <v>4753</v>
      </c>
      <c r="CG225" s="239">
        <v>0</v>
      </c>
      <c r="CH225" s="239">
        <v>97</v>
      </c>
      <c r="CI225" s="239">
        <v>9698</v>
      </c>
      <c r="CJ225" s="239">
        <v>32951</v>
      </c>
      <c r="CK225" s="239">
        <v>32292</v>
      </c>
      <c r="CL225" s="239">
        <v>0</v>
      </c>
      <c r="CM225" s="239">
        <v>659</v>
      </c>
      <c r="CN225" s="239">
        <v>65902</v>
      </c>
      <c r="CO225" s="239">
        <v>-28103</v>
      </c>
      <c r="CP225" s="239">
        <v>-27539</v>
      </c>
      <c r="CQ225" s="239">
        <v>0</v>
      </c>
      <c r="CR225" s="239">
        <v>-562</v>
      </c>
      <c r="CS225" s="239">
        <v>-56204</v>
      </c>
      <c r="CT225" s="239">
        <v>5617603</v>
      </c>
      <c r="CU225" s="239">
        <v>5505251</v>
      </c>
      <c r="CV225" s="239">
        <v>0</v>
      </c>
      <c r="CW225" s="239">
        <v>112352</v>
      </c>
      <c r="CX225" s="239">
        <v>11235206</v>
      </c>
      <c r="CY225" s="239">
        <v>5259883</v>
      </c>
      <c r="CZ225" s="239">
        <v>5154685</v>
      </c>
      <c r="DA225" s="239">
        <v>0</v>
      </c>
      <c r="DB225" s="239">
        <v>105198</v>
      </c>
      <c r="DC225" s="239">
        <v>10519766</v>
      </c>
      <c r="DD225" s="239">
        <v>-357720</v>
      </c>
      <c r="DE225" s="239">
        <v>-350566</v>
      </c>
      <c r="DF225" s="239">
        <v>0</v>
      </c>
      <c r="DG225" s="239">
        <v>-7154</v>
      </c>
      <c r="DH225" s="239">
        <v>-715440</v>
      </c>
      <c r="DI225" s="239">
        <v>-385823</v>
      </c>
      <c r="DJ225" s="239">
        <v>-378105</v>
      </c>
      <c r="DK225" s="239">
        <v>0</v>
      </c>
      <c r="DL225" s="239">
        <v>-7716</v>
      </c>
      <c r="DM225" s="239">
        <v>-771644</v>
      </c>
      <c r="DN225" s="835">
        <v>0.5</v>
      </c>
      <c r="DO225" s="835">
        <v>0.49</v>
      </c>
      <c r="DP225" s="835">
        <v>0</v>
      </c>
      <c r="DQ225" s="835">
        <v>0.01</v>
      </c>
      <c r="DR225" s="835">
        <v>1</v>
      </c>
      <c r="DS225" s="214" t="s">
        <v>746</v>
      </c>
      <c r="DU225" s="214">
        <v>0</v>
      </c>
    </row>
    <row r="226" spans="1:125" s="214" customFormat="1" x14ac:dyDescent="0.2">
      <c r="B226" s="602" t="s">
        <v>535</v>
      </c>
      <c r="C226" s="602" t="s">
        <v>534</v>
      </c>
      <c r="D226" s="239">
        <v>8026003</v>
      </c>
      <c r="E226" s="239">
        <v>6420802</v>
      </c>
      <c r="F226" s="239">
        <v>1444680</v>
      </c>
      <c r="G226" s="239">
        <v>160520</v>
      </c>
      <c r="H226" s="239">
        <v>16052005</v>
      </c>
      <c r="I226" s="239">
        <v>0</v>
      </c>
      <c r="J226" s="239">
        <v>0</v>
      </c>
      <c r="K226" s="239">
        <v>8026003</v>
      </c>
      <c r="L226" s="239">
        <v>110030</v>
      </c>
      <c r="M226" s="239">
        <v>110030</v>
      </c>
      <c r="N226" s="239">
        <v>0</v>
      </c>
      <c r="O226" s="239">
        <v>0</v>
      </c>
      <c r="P226" s="239">
        <v>35545</v>
      </c>
      <c r="Q226" s="239">
        <v>0</v>
      </c>
      <c r="R226" s="239">
        <v>35545</v>
      </c>
      <c r="S226" s="239">
        <v>0</v>
      </c>
      <c r="T226" s="239">
        <v>0</v>
      </c>
      <c r="U226" s="239">
        <v>0</v>
      </c>
      <c r="V226" s="239">
        <v>0</v>
      </c>
      <c r="W226" s="239">
        <v>0</v>
      </c>
      <c r="X226" s="239">
        <v>0</v>
      </c>
      <c r="Y226" s="239">
        <v>0</v>
      </c>
      <c r="Z226" s="239">
        <v>0</v>
      </c>
      <c r="AA226" s="239">
        <v>0</v>
      </c>
      <c r="AB226" s="239">
        <v>0</v>
      </c>
      <c r="AC226" s="239">
        <v>1110736</v>
      </c>
      <c r="AD226" s="239">
        <v>249795</v>
      </c>
      <c r="AE226" s="239">
        <v>27755</v>
      </c>
      <c r="AF226" s="239">
        <v>1388286</v>
      </c>
      <c r="AG226" s="239">
        <v>46159</v>
      </c>
      <c r="AH226" s="239">
        <v>36926</v>
      </c>
      <c r="AI226" s="239">
        <v>8308</v>
      </c>
      <c r="AJ226" s="239">
        <v>923</v>
      </c>
      <c r="AK226" s="239">
        <v>92316</v>
      </c>
      <c r="AL226" s="239">
        <v>-64274</v>
      </c>
      <c r="AM226" s="239">
        <v>-51420</v>
      </c>
      <c r="AN226" s="239">
        <v>-11570</v>
      </c>
      <c r="AO226" s="239">
        <v>-1286</v>
      </c>
      <c r="AP226" s="239">
        <v>-128550</v>
      </c>
      <c r="AQ226" s="239">
        <v>-30000</v>
      </c>
      <c r="AR226" s="239">
        <v>-24000</v>
      </c>
      <c r="AS226" s="239">
        <v>-5400</v>
      </c>
      <c r="AT226" s="239">
        <v>-600</v>
      </c>
      <c r="AU226" s="239">
        <v>-60000</v>
      </c>
      <c r="AV226" s="239">
        <v>-1704</v>
      </c>
      <c r="AW226" s="239">
        <v>-1363</v>
      </c>
      <c r="AX226" s="239">
        <v>-307</v>
      </c>
      <c r="AY226" s="239">
        <v>-34</v>
      </c>
      <c r="AZ226" s="239">
        <v>-3408</v>
      </c>
      <c r="BA226" s="239">
        <v>6704</v>
      </c>
      <c r="BB226" s="239">
        <v>5363</v>
      </c>
      <c r="BC226" s="239">
        <v>1207</v>
      </c>
      <c r="BD226" s="239">
        <v>134</v>
      </c>
      <c r="BE226" s="239">
        <v>13408</v>
      </c>
      <c r="BF226" s="239">
        <v>-25000</v>
      </c>
      <c r="BG226" s="239">
        <v>-20000</v>
      </c>
      <c r="BH226" s="239">
        <v>-4500</v>
      </c>
      <c r="BI226" s="239">
        <v>-500</v>
      </c>
      <c r="BJ226" s="239">
        <v>-50000</v>
      </c>
      <c r="BK226" s="239">
        <v>-927500</v>
      </c>
      <c r="BL226" s="239">
        <v>-742000</v>
      </c>
      <c r="BM226" s="239">
        <v>-166950</v>
      </c>
      <c r="BN226" s="239">
        <v>-18550</v>
      </c>
      <c r="BO226" s="239">
        <v>-1855000</v>
      </c>
      <c r="BP226" s="239">
        <v>522514</v>
      </c>
      <c r="BQ226" s="239">
        <v>418012</v>
      </c>
      <c r="BR226" s="239">
        <v>94053</v>
      </c>
      <c r="BS226" s="239">
        <v>10450</v>
      </c>
      <c r="BT226" s="239">
        <v>1045029</v>
      </c>
      <c r="BU226" s="239">
        <v>-1055514</v>
      </c>
      <c r="BV226" s="239">
        <v>-844412</v>
      </c>
      <c r="BW226" s="239">
        <v>-189993</v>
      </c>
      <c r="BX226" s="239">
        <v>-21110</v>
      </c>
      <c r="BY226" s="239">
        <v>-2111029</v>
      </c>
      <c r="BZ226" s="239">
        <v>-1460500</v>
      </c>
      <c r="CA226" s="239">
        <v>-1168400</v>
      </c>
      <c r="CB226" s="239">
        <v>-262890</v>
      </c>
      <c r="CC226" s="239">
        <v>-29210</v>
      </c>
      <c r="CD226" s="239">
        <v>-2921000</v>
      </c>
      <c r="CE226" s="239">
        <v>-295509</v>
      </c>
      <c r="CF226" s="239">
        <v>-236405</v>
      </c>
      <c r="CG226" s="239">
        <v>-53191</v>
      </c>
      <c r="CH226" s="239">
        <v>-5910</v>
      </c>
      <c r="CI226" s="239">
        <v>-591015</v>
      </c>
      <c r="CJ226" s="239">
        <v>-94762</v>
      </c>
      <c r="CK226" s="239">
        <v>-75810</v>
      </c>
      <c r="CL226" s="239">
        <v>-17057</v>
      </c>
      <c r="CM226" s="239">
        <v>-1895</v>
      </c>
      <c r="CN226" s="239">
        <v>-189524</v>
      </c>
      <c r="CO226" s="239">
        <v>-200747</v>
      </c>
      <c r="CP226" s="239">
        <v>-160595</v>
      </c>
      <c r="CQ226" s="239">
        <v>-36134</v>
      </c>
      <c r="CR226" s="239">
        <v>-4015</v>
      </c>
      <c r="CS226" s="239">
        <v>-401491</v>
      </c>
      <c r="CT226" s="239">
        <v>8458477</v>
      </c>
      <c r="CU226" s="239">
        <v>6766782</v>
      </c>
      <c r="CV226" s="239">
        <v>1522526</v>
      </c>
      <c r="CW226" s="239">
        <v>169170</v>
      </c>
      <c r="CX226" s="239">
        <v>16916955</v>
      </c>
      <c r="CY226" s="239">
        <v>8026003</v>
      </c>
      <c r="CZ226" s="239">
        <v>6420802</v>
      </c>
      <c r="DA226" s="239">
        <v>1444680</v>
      </c>
      <c r="DB226" s="239">
        <v>160520</v>
      </c>
      <c r="DC226" s="239">
        <v>16052005</v>
      </c>
      <c r="DD226" s="239">
        <v>-432474</v>
      </c>
      <c r="DE226" s="239">
        <v>-345980</v>
      </c>
      <c r="DF226" s="239">
        <v>-77846</v>
      </c>
      <c r="DG226" s="239">
        <v>-8650</v>
      </c>
      <c r="DH226" s="239">
        <v>-864950</v>
      </c>
      <c r="DI226" s="239">
        <v>-633221</v>
      </c>
      <c r="DJ226" s="239">
        <v>-506575</v>
      </c>
      <c r="DK226" s="239">
        <v>-113980</v>
      </c>
      <c r="DL226" s="239">
        <v>-12665</v>
      </c>
      <c r="DM226" s="239">
        <v>-1266441</v>
      </c>
      <c r="DN226" s="835">
        <v>0.5</v>
      </c>
      <c r="DO226" s="835">
        <v>0.4</v>
      </c>
      <c r="DP226" s="835">
        <v>0.09</v>
      </c>
      <c r="DQ226" s="835">
        <v>0.01</v>
      </c>
      <c r="DR226" s="835">
        <v>1</v>
      </c>
      <c r="DS226" s="214" t="s">
        <v>1158</v>
      </c>
      <c r="DU226" s="214">
        <v>0</v>
      </c>
    </row>
    <row r="227" spans="1:125" s="214" customFormat="1" x14ac:dyDescent="0.2">
      <c r="B227" s="602" t="s">
        <v>537</v>
      </c>
      <c r="C227" s="602" t="s">
        <v>536</v>
      </c>
      <c r="D227" s="239">
        <v>0</v>
      </c>
      <c r="E227" s="239">
        <v>85224795</v>
      </c>
      <c r="F227" s="239">
        <v>0</v>
      </c>
      <c r="G227" s="239">
        <v>860857</v>
      </c>
      <c r="H227" s="239">
        <v>86085652</v>
      </c>
      <c r="I227" s="239">
        <v>0</v>
      </c>
      <c r="J227" s="239">
        <v>0</v>
      </c>
      <c r="K227" s="239">
        <v>0</v>
      </c>
      <c r="L227" s="239">
        <v>449977</v>
      </c>
      <c r="M227" s="239">
        <v>449977</v>
      </c>
      <c r="N227" s="239">
        <v>0</v>
      </c>
      <c r="O227" s="239">
        <v>0</v>
      </c>
      <c r="P227" s="239">
        <v>0</v>
      </c>
      <c r="Q227" s="239">
        <v>0</v>
      </c>
      <c r="R227" s="239">
        <v>0</v>
      </c>
      <c r="S227" s="239">
        <v>0</v>
      </c>
      <c r="T227" s="239">
        <v>0</v>
      </c>
      <c r="U227" s="239">
        <v>0</v>
      </c>
      <c r="V227" s="239">
        <v>0</v>
      </c>
      <c r="W227" s="239">
        <v>0</v>
      </c>
      <c r="X227" s="239">
        <v>0</v>
      </c>
      <c r="Y227" s="239">
        <v>0</v>
      </c>
      <c r="Z227" s="239">
        <v>0</v>
      </c>
      <c r="AA227" s="239">
        <v>0</v>
      </c>
      <c r="AB227" s="239">
        <v>0</v>
      </c>
      <c r="AC227" s="239">
        <v>6934593</v>
      </c>
      <c r="AD227" s="239">
        <v>0</v>
      </c>
      <c r="AE227" s="239">
        <v>70046</v>
      </c>
      <c r="AF227" s="239">
        <v>7004639</v>
      </c>
      <c r="AG227" s="239">
        <v>0</v>
      </c>
      <c r="AH227" s="239">
        <v>27034549</v>
      </c>
      <c r="AI227" s="239">
        <v>0</v>
      </c>
      <c r="AJ227" s="239">
        <v>273076</v>
      </c>
      <c r="AK227" s="239">
        <v>27307625</v>
      </c>
      <c r="AL227" s="239">
        <v>0</v>
      </c>
      <c r="AM227" s="239">
        <v>-6280343</v>
      </c>
      <c r="AN227" s="239">
        <v>0</v>
      </c>
      <c r="AO227" s="239">
        <v>-63438</v>
      </c>
      <c r="AP227" s="239">
        <v>-6343781</v>
      </c>
      <c r="AQ227" s="239">
        <v>0</v>
      </c>
      <c r="AR227" s="239">
        <v>-13685522</v>
      </c>
      <c r="AS227" s="239">
        <v>0</v>
      </c>
      <c r="AT227" s="239">
        <v>-138238</v>
      </c>
      <c r="AU227" s="239">
        <v>-13823760</v>
      </c>
      <c r="AV227" s="239">
        <v>0</v>
      </c>
      <c r="AW227" s="239">
        <v>2543824</v>
      </c>
      <c r="AX227" s="239">
        <v>0</v>
      </c>
      <c r="AY227" s="239">
        <v>25695</v>
      </c>
      <c r="AZ227" s="239">
        <v>2569519</v>
      </c>
      <c r="BA227" s="239">
        <v>0</v>
      </c>
      <c r="BB227" s="239">
        <v>-4835441</v>
      </c>
      <c r="BC227" s="239">
        <v>0</v>
      </c>
      <c r="BD227" s="239">
        <v>-48843</v>
      </c>
      <c r="BE227" s="239">
        <v>-4884284</v>
      </c>
      <c r="BF227" s="239">
        <v>0</v>
      </c>
      <c r="BG227" s="239">
        <v>-15977139</v>
      </c>
      <c r="BH227" s="239">
        <v>0</v>
      </c>
      <c r="BI227" s="239">
        <v>-161386</v>
      </c>
      <c r="BJ227" s="239">
        <v>-16138525</v>
      </c>
      <c r="BK227" s="239">
        <v>0</v>
      </c>
      <c r="BL227" s="239">
        <v>-14957586</v>
      </c>
      <c r="BM227" s="239">
        <v>0</v>
      </c>
      <c r="BN227" s="239">
        <v>-151087</v>
      </c>
      <c r="BO227" s="239">
        <v>-15108673</v>
      </c>
      <c r="BP227" s="239">
        <v>0</v>
      </c>
      <c r="BQ227" s="239">
        <v>8387641</v>
      </c>
      <c r="BR227" s="239">
        <v>0</v>
      </c>
      <c r="BS227" s="239">
        <v>84724</v>
      </c>
      <c r="BT227" s="239">
        <v>8472365</v>
      </c>
      <c r="BU227" s="239">
        <v>0</v>
      </c>
      <c r="BV227" s="239">
        <v>-3850677</v>
      </c>
      <c r="BW227" s="239">
        <v>0</v>
      </c>
      <c r="BX227" s="239">
        <v>-38896</v>
      </c>
      <c r="BY227" s="239">
        <v>-3889573</v>
      </c>
      <c r="BZ227" s="239">
        <v>0</v>
      </c>
      <c r="CA227" s="239">
        <v>-10420622</v>
      </c>
      <c r="CB227" s="239">
        <v>0</v>
      </c>
      <c r="CC227" s="239">
        <v>-105259</v>
      </c>
      <c r="CD227" s="239">
        <v>-10525881</v>
      </c>
      <c r="CE227" s="239">
        <v>-1384501</v>
      </c>
      <c r="CF227" s="239">
        <v>-1358296.96</v>
      </c>
      <c r="CG227" s="239">
        <v>0</v>
      </c>
      <c r="CH227" s="239">
        <v>-27706.04</v>
      </c>
      <c r="CI227" s="239">
        <v>-2770504</v>
      </c>
      <c r="CJ227" s="239">
        <v>-895567</v>
      </c>
      <c r="CK227" s="239">
        <v>-877656</v>
      </c>
      <c r="CL227" s="239">
        <v>0</v>
      </c>
      <c r="CM227" s="239">
        <v>-17911</v>
      </c>
      <c r="CN227" s="239">
        <v>-1791134</v>
      </c>
      <c r="CO227" s="239">
        <v>-488934</v>
      </c>
      <c r="CP227" s="239">
        <v>-480640.95999999996</v>
      </c>
      <c r="CQ227" s="239">
        <v>0</v>
      </c>
      <c r="CR227" s="239">
        <v>-9795.0400000000009</v>
      </c>
      <c r="CS227" s="239">
        <v>-979370</v>
      </c>
      <c r="CT227" s="239">
        <v>0</v>
      </c>
      <c r="CU227" s="239">
        <v>86500539</v>
      </c>
      <c r="CV227" s="239">
        <v>0</v>
      </c>
      <c r="CW227" s="239">
        <v>873743</v>
      </c>
      <c r="CX227" s="239">
        <v>87374282</v>
      </c>
      <c r="CY227" s="239">
        <v>0</v>
      </c>
      <c r="CZ227" s="239">
        <v>85224795</v>
      </c>
      <c r="DA227" s="239">
        <v>0</v>
      </c>
      <c r="DB227" s="239">
        <v>860857</v>
      </c>
      <c r="DC227" s="239">
        <v>86085652</v>
      </c>
      <c r="DD227" s="239">
        <v>0</v>
      </c>
      <c r="DE227" s="239">
        <v>-1275744</v>
      </c>
      <c r="DF227" s="239">
        <v>0</v>
      </c>
      <c r="DG227" s="239">
        <v>-12886</v>
      </c>
      <c r="DH227" s="239">
        <v>-1288630</v>
      </c>
      <c r="DI227" s="239">
        <v>-488934</v>
      </c>
      <c r="DJ227" s="239">
        <v>-1756384.96</v>
      </c>
      <c r="DK227" s="239">
        <v>0</v>
      </c>
      <c r="DL227" s="239">
        <v>-22681.040000000001</v>
      </c>
      <c r="DM227" s="239">
        <v>-2268000</v>
      </c>
      <c r="DN227" s="835">
        <v>0</v>
      </c>
      <c r="DO227" s="835">
        <v>0.99</v>
      </c>
      <c r="DP227" s="835">
        <v>0</v>
      </c>
      <c r="DQ227" s="835">
        <v>0.01</v>
      </c>
      <c r="DR227" s="835">
        <v>1</v>
      </c>
      <c r="DS227" s="214" t="s">
        <v>1160</v>
      </c>
      <c r="DU227" s="214">
        <v>0</v>
      </c>
    </row>
    <row r="228" spans="1:125" s="214" customFormat="1" x14ac:dyDescent="0.2">
      <c r="B228" s="602" t="s">
        <v>539</v>
      </c>
      <c r="C228" s="602" t="s">
        <v>538</v>
      </c>
      <c r="D228" s="239">
        <v>0</v>
      </c>
      <c r="E228" s="239">
        <v>88005454</v>
      </c>
      <c r="F228" s="239">
        <v>0</v>
      </c>
      <c r="G228" s="239">
        <v>888944</v>
      </c>
      <c r="H228" s="239">
        <v>88894398</v>
      </c>
      <c r="I228" s="239">
        <v>0</v>
      </c>
      <c r="J228" s="239">
        <v>0</v>
      </c>
      <c r="K228" s="239">
        <v>0</v>
      </c>
      <c r="L228" s="239">
        <v>443826</v>
      </c>
      <c r="M228" s="239">
        <v>443826</v>
      </c>
      <c r="N228" s="239">
        <v>0</v>
      </c>
      <c r="O228" s="239">
        <v>0</v>
      </c>
      <c r="P228" s="239">
        <v>0</v>
      </c>
      <c r="Q228" s="239">
        <v>0</v>
      </c>
      <c r="R228" s="239">
        <v>0</v>
      </c>
      <c r="S228" s="239">
        <v>0</v>
      </c>
      <c r="T228" s="239">
        <v>0</v>
      </c>
      <c r="U228" s="239">
        <v>0</v>
      </c>
      <c r="V228" s="239">
        <v>0</v>
      </c>
      <c r="W228" s="239">
        <v>0</v>
      </c>
      <c r="X228" s="239">
        <v>0</v>
      </c>
      <c r="Y228" s="239">
        <v>0</v>
      </c>
      <c r="Z228" s="239">
        <v>0</v>
      </c>
      <c r="AA228" s="239">
        <v>0</v>
      </c>
      <c r="AB228" s="239">
        <v>0</v>
      </c>
      <c r="AC228" s="239">
        <v>10439980</v>
      </c>
      <c r="AD228" s="239">
        <v>0</v>
      </c>
      <c r="AE228" s="239">
        <v>105454</v>
      </c>
      <c r="AF228" s="239">
        <v>10545434</v>
      </c>
      <c r="AG228" s="239">
        <v>0</v>
      </c>
      <c r="AH228" s="239">
        <v>4633916</v>
      </c>
      <c r="AI228" s="239">
        <v>0</v>
      </c>
      <c r="AJ228" s="239">
        <v>46807</v>
      </c>
      <c r="AK228" s="239">
        <v>4680723</v>
      </c>
      <c r="AL228" s="239">
        <v>0</v>
      </c>
      <c r="AM228" s="239">
        <v>-1461617</v>
      </c>
      <c r="AN228" s="239">
        <v>0</v>
      </c>
      <c r="AO228" s="239">
        <v>-14764</v>
      </c>
      <c r="AP228" s="239">
        <v>-1476381</v>
      </c>
      <c r="AQ228" s="239">
        <v>0</v>
      </c>
      <c r="AR228" s="239">
        <v>-1320454</v>
      </c>
      <c r="AS228" s="239">
        <v>0</v>
      </c>
      <c r="AT228" s="239">
        <v>-13338</v>
      </c>
      <c r="AU228" s="239">
        <v>-1333792</v>
      </c>
      <c r="AV228" s="239">
        <v>0</v>
      </c>
      <c r="AW228" s="239">
        <v>1320454</v>
      </c>
      <c r="AX228" s="239">
        <v>0</v>
      </c>
      <c r="AY228" s="239">
        <v>13338</v>
      </c>
      <c r="AZ228" s="239">
        <v>1333792</v>
      </c>
      <c r="BA228" s="239">
        <v>0</v>
      </c>
      <c r="BB228" s="239">
        <v>-2585979</v>
      </c>
      <c r="BC228" s="239">
        <v>0</v>
      </c>
      <c r="BD228" s="239">
        <v>-26121</v>
      </c>
      <c r="BE228" s="239">
        <v>-2612100</v>
      </c>
      <c r="BF228" s="239">
        <v>0</v>
      </c>
      <c r="BG228" s="239">
        <v>-2585979</v>
      </c>
      <c r="BH228" s="239">
        <v>0</v>
      </c>
      <c r="BI228" s="239">
        <v>-26121</v>
      </c>
      <c r="BJ228" s="239">
        <v>-2612100</v>
      </c>
      <c r="BK228" s="239">
        <v>0</v>
      </c>
      <c r="BL228" s="239">
        <v>-1789383</v>
      </c>
      <c r="BM228" s="239">
        <v>0</v>
      </c>
      <c r="BN228" s="239">
        <v>-18075</v>
      </c>
      <c r="BO228" s="239">
        <v>-1807458</v>
      </c>
      <c r="BP228" s="239">
        <v>0</v>
      </c>
      <c r="BQ228" s="239">
        <v>0</v>
      </c>
      <c r="BR228" s="239">
        <v>0</v>
      </c>
      <c r="BS228" s="239">
        <v>0</v>
      </c>
      <c r="BT228" s="239">
        <v>0</v>
      </c>
      <c r="BU228" s="239">
        <v>0</v>
      </c>
      <c r="BV228" s="239">
        <v>-512461</v>
      </c>
      <c r="BW228" s="239">
        <v>0</v>
      </c>
      <c r="BX228" s="239">
        <v>-5176</v>
      </c>
      <c r="BY228" s="239">
        <v>-517637</v>
      </c>
      <c r="BZ228" s="239">
        <v>0</v>
      </c>
      <c r="CA228" s="239">
        <v>-2301844</v>
      </c>
      <c r="CB228" s="239">
        <v>0</v>
      </c>
      <c r="CC228" s="239">
        <v>-23251</v>
      </c>
      <c r="CD228" s="239">
        <v>-2325095</v>
      </c>
      <c r="CE228" s="239">
        <v>-4216885</v>
      </c>
      <c r="CF228" s="239">
        <v>-4132546</v>
      </c>
      <c r="CG228" s="239">
        <v>0</v>
      </c>
      <c r="CH228" s="239">
        <v>-84338</v>
      </c>
      <c r="CI228" s="239">
        <v>-8433769</v>
      </c>
      <c r="CJ228" s="239">
        <v>-4636002</v>
      </c>
      <c r="CK228" s="239">
        <v>-4543281</v>
      </c>
      <c r="CL228" s="239">
        <v>0</v>
      </c>
      <c r="CM228" s="239">
        <v>-92720</v>
      </c>
      <c r="CN228" s="239">
        <v>-9272003</v>
      </c>
      <c r="CO228" s="239">
        <v>419117</v>
      </c>
      <c r="CP228" s="239">
        <v>410735</v>
      </c>
      <c r="CQ228" s="239">
        <v>0</v>
      </c>
      <c r="CR228" s="239">
        <v>8382</v>
      </c>
      <c r="CS228" s="239">
        <v>838234</v>
      </c>
      <c r="CT228" s="239">
        <v>0</v>
      </c>
      <c r="CU228" s="239">
        <v>97391242</v>
      </c>
      <c r="CV228" s="239">
        <v>0</v>
      </c>
      <c r="CW228" s="239">
        <v>983750</v>
      </c>
      <c r="CX228" s="239">
        <v>98374992</v>
      </c>
      <c r="CY228" s="239">
        <v>0</v>
      </c>
      <c r="CZ228" s="239">
        <v>88005454</v>
      </c>
      <c r="DA228" s="239">
        <v>0</v>
      </c>
      <c r="DB228" s="239">
        <v>888944</v>
      </c>
      <c r="DC228" s="239">
        <v>88894398</v>
      </c>
      <c r="DD228" s="239">
        <v>0</v>
      </c>
      <c r="DE228" s="239">
        <v>-9385788</v>
      </c>
      <c r="DF228" s="239">
        <v>0</v>
      </c>
      <c r="DG228" s="239">
        <v>-94806</v>
      </c>
      <c r="DH228" s="239">
        <v>-9480594</v>
      </c>
      <c r="DI228" s="239">
        <v>419117</v>
      </c>
      <c r="DJ228" s="239">
        <v>-8975053</v>
      </c>
      <c r="DK228" s="239">
        <v>0</v>
      </c>
      <c r="DL228" s="239">
        <v>-86424</v>
      </c>
      <c r="DM228" s="239">
        <v>-8642360</v>
      </c>
      <c r="DN228" s="835">
        <v>0</v>
      </c>
      <c r="DO228" s="835">
        <v>0.99</v>
      </c>
      <c r="DP228" s="835">
        <v>0</v>
      </c>
      <c r="DQ228" s="835">
        <v>0.01</v>
      </c>
      <c r="DR228" s="835">
        <v>1</v>
      </c>
      <c r="DS228" s="214" t="s">
        <v>1160</v>
      </c>
      <c r="DU228" s="214">
        <v>0</v>
      </c>
    </row>
    <row r="229" spans="1:125" s="214" customFormat="1" x14ac:dyDescent="0.2">
      <c r="B229" s="602" t="s">
        <v>541</v>
      </c>
      <c r="C229" s="602" t="s">
        <v>540</v>
      </c>
      <c r="D229" s="239">
        <v>17749188.710000001</v>
      </c>
      <c r="E229" s="239">
        <v>14199351</v>
      </c>
      <c r="F229" s="239">
        <v>3194854</v>
      </c>
      <c r="G229" s="239">
        <v>354984</v>
      </c>
      <c r="H229" s="239">
        <v>35498377.710000001</v>
      </c>
      <c r="I229" s="239">
        <v>0</v>
      </c>
      <c r="J229" s="239">
        <v>0</v>
      </c>
      <c r="K229" s="239">
        <v>17749188.710000001</v>
      </c>
      <c r="L229" s="239">
        <v>259507</v>
      </c>
      <c r="M229" s="239">
        <v>259507</v>
      </c>
      <c r="N229" s="239">
        <v>0</v>
      </c>
      <c r="O229" s="239">
        <v>0</v>
      </c>
      <c r="P229" s="239">
        <v>0</v>
      </c>
      <c r="Q229" s="239">
        <v>0</v>
      </c>
      <c r="R229" s="239">
        <v>0</v>
      </c>
      <c r="S229" s="239">
        <v>0</v>
      </c>
      <c r="T229" s="239">
        <v>0</v>
      </c>
      <c r="U229" s="239">
        <v>0</v>
      </c>
      <c r="V229" s="239">
        <v>0</v>
      </c>
      <c r="W229" s="239">
        <v>0</v>
      </c>
      <c r="X229" s="239">
        <v>0</v>
      </c>
      <c r="Y229" s="239">
        <v>0</v>
      </c>
      <c r="Z229" s="239">
        <v>0</v>
      </c>
      <c r="AA229" s="239">
        <v>0</v>
      </c>
      <c r="AB229" s="239">
        <v>0</v>
      </c>
      <c r="AC229" s="239">
        <v>2492117</v>
      </c>
      <c r="AD229" s="239">
        <v>560726</v>
      </c>
      <c r="AE229" s="239">
        <v>62303</v>
      </c>
      <c r="AF229" s="239">
        <v>3115146</v>
      </c>
      <c r="AG229" s="239">
        <v>704628</v>
      </c>
      <c r="AH229" s="239">
        <v>563702</v>
      </c>
      <c r="AI229" s="239">
        <v>126833</v>
      </c>
      <c r="AJ229" s="239">
        <v>14093</v>
      </c>
      <c r="AK229" s="239">
        <v>1409256</v>
      </c>
      <c r="AL229" s="239">
        <v>-446679</v>
      </c>
      <c r="AM229" s="239">
        <v>-357343</v>
      </c>
      <c r="AN229" s="239">
        <v>-80402</v>
      </c>
      <c r="AO229" s="239">
        <v>-8934</v>
      </c>
      <c r="AP229" s="239">
        <v>-893358</v>
      </c>
      <c r="AQ229" s="239">
        <v>-419352</v>
      </c>
      <c r="AR229" s="239">
        <v>-335481</v>
      </c>
      <c r="AS229" s="239">
        <v>-75483</v>
      </c>
      <c r="AT229" s="239">
        <v>-8387</v>
      </c>
      <c r="AU229" s="239">
        <v>-838703</v>
      </c>
      <c r="AV229" s="239">
        <v>148447</v>
      </c>
      <c r="AW229" s="239">
        <v>118757</v>
      </c>
      <c r="AX229" s="239">
        <v>26720</v>
      </c>
      <c r="AY229" s="239">
        <v>2969</v>
      </c>
      <c r="AZ229" s="239">
        <v>296893</v>
      </c>
      <c r="BA229" s="239">
        <v>2797.71</v>
      </c>
      <c r="BB229" s="239">
        <v>2237</v>
      </c>
      <c r="BC229" s="239">
        <v>503</v>
      </c>
      <c r="BD229" s="239">
        <v>56</v>
      </c>
      <c r="BE229" s="239">
        <v>5593.71</v>
      </c>
      <c r="BF229" s="239">
        <v>-268107.28999999998</v>
      </c>
      <c r="BG229" s="239">
        <v>-214487</v>
      </c>
      <c r="BH229" s="239">
        <v>-48260</v>
      </c>
      <c r="BI229" s="239">
        <v>-5362</v>
      </c>
      <c r="BJ229" s="239">
        <v>-536216.29</v>
      </c>
      <c r="BK229" s="239">
        <v>-1712286</v>
      </c>
      <c r="BL229" s="239">
        <v>-1369828</v>
      </c>
      <c r="BM229" s="239">
        <v>-308211</v>
      </c>
      <c r="BN229" s="239">
        <v>-34246</v>
      </c>
      <c r="BO229" s="239">
        <v>-3424571</v>
      </c>
      <c r="BP229" s="239">
        <v>956904</v>
      </c>
      <c r="BQ229" s="239">
        <v>765523</v>
      </c>
      <c r="BR229" s="239">
        <v>172243</v>
      </c>
      <c r="BS229" s="239">
        <v>19138</v>
      </c>
      <c r="BT229" s="239">
        <v>1913808</v>
      </c>
      <c r="BU229" s="239">
        <v>-1411684</v>
      </c>
      <c r="BV229" s="239">
        <v>-1129348</v>
      </c>
      <c r="BW229" s="239">
        <v>-254103</v>
      </c>
      <c r="BX229" s="239">
        <v>-28234</v>
      </c>
      <c r="BY229" s="239">
        <v>-2823369</v>
      </c>
      <c r="BZ229" s="239">
        <v>-2167066</v>
      </c>
      <c r="CA229" s="239">
        <v>-1733653</v>
      </c>
      <c r="CB229" s="239">
        <v>-390071</v>
      </c>
      <c r="CC229" s="239">
        <v>-43342</v>
      </c>
      <c r="CD229" s="239">
        <v>-4334132</v>
      </c>
      <c r="CE229" s="239">
        <v>275421</v>
      </c>
      <c r="CF229" s="239">
        <v>220337</v>
      </c>
      <c r="CG229" s="239">
        <v>49576</v>
      </c>
      <c r="CH229" s="239">
        <v>5508</v>
      </c>
      <c r="CI229" s="239">
        <v>550842</v>
      </c>
      <c r="CJ229" s="239">
        <v>-48481</v>
      </c>
      <c r="CK229" s="239">
        <v>-38784</v>
      </c>
      <c r="CL229" s="239">
        <v>-8726</v>
      </c>
      <c r="CM229" s="239">
        <v>-970</v>
      </c>
      <c r="CN229" s="239">
        <v>-96961</v>
      </c>
      <c r="CO229" s="239">
        <v>323902</v>
      </c>
      <c r="CP229" s="239">
        <v>259121</v>
      </c>
      <c r="CQ229" s="239">
        <v>58302</v>
      </c>
      <c r="CR229" s="239">
        <v>6478</v>
      </c>
      <c r="CS229" s="239">
        <v>647803</v>
      </c>
      <c r="CT229" s="239">
        <v>17895702</v>
      </c>
      <c r="CU229" s="239">
        <v>14316561</v>
      </c>
      <c r="CV229" s="239">
        <v>3221226</v>
      </c>
      <c r="CW229" s="239">
        <v>357914</v>
      </c>
      <c r="CX229" s="239">
        <v>35791403</v>
      </c>
      <c r="CY229" s="239">
        <v>17749188.710000001</v>
      </c>
      <c r="CZ229" s="239">
        <v>14199351</v>
      </c>
      <c r="DA229" s="239">
        <v>3194854</v>
      </c>
      <c r="DB229" s="239">
        <v>354984</v>
      </c>
      <c r="DC229" s="239">
        <v>35498377.710000001</v>
      </c>
      <c r="DD229" s="239">
        <v>-146513.28999999911</v>
      </c>
      <c r="DE229" s="239">
        <v>-117210</v>
      </c>
      <c r="DF229" s="239">
        <v>-26372</v>
      </c>
      <c r="DG229" s="239">
        <v>-2930</v>
      </c>
      <c r="DH229" s="239">
        <v>-293025.28999999911</v>
      </c>
      <c r="DI229" s="239">
        <v>177388.71000000089</v>
      </c>
      <c r="DJ229" s="239">
        <v>141911</v>
      </c>
      <c r="DK229" s="239">
        <v>31930</v>
      </c>
      <c r="DL229" s="239">
        <v>3548</v>
      </c>
      <c r="DM229" s="239">
        <v>354777.71000000089</v>
      </c>
      <c r="DN229" s="835">
        <v>0.5</v>
      </c>
      <c r="DO229" s="835">
        <v>0.4</v>
      </c>
      <c r="DP229" s="835">
        <v>0.09</v>
      </c>
      <c r="DQ229" s="835">
        <v>0.01</v>
      </c>
      <c r="DR229" s="835">
        <v>1</v>
      </c>
      <c r="DS229" s="214" t="s">
        <v>1158</v>
      </c>
      <c r="DU229" s="214">
        <v>0</v>
      </c>
    </row>
    <row r="230" spans="1:125" s="214" customFormat="1" x14ac:dyDescent="0.2">
      <c r="B230" s="602" t="s">
        <v>543</v>
      </c>
      <c r="C230" s="602" t="s">
        <v>542</v>
      </c>
      <c r="D230" s="239">
        <v>19195062</v>
      </c>
      <c r="E230" s="239">
        <v>15356049</v>
      </c>
      <c r="F230" s="239">
        <v>3455111</v>
      </c>
      <c r="G230" s="239">
        <v>383901</v>
      </c>
      <c r="H230" s="239">
        <v>38390123</v>
      </c>
      <c r="I230" s="239">
        <v>0</v>
      </c>
      <c r="J230" s="239">
        <v>0</v>
      </c>
      <c r="K230" s="239">
        <v>19195062</v>
      </c>
      <c r="L230" s="239">
        <v>163085</v>
      </c>
      <c r="M230" s="239">
        <v>163085</v>
      </c>
      <c r="N230" s="239">
        <v>0</v>
      </c>
      <c r="O230" s="239">
        <v>0</v>
      </c>
      <c r="P230" s="239">
        <v>461552</v>
      </c>
      <c r="Q230" s="239">
        <v>0</v>
      </c>
      <c r="R230" s="239">
        <v>461552</v>
      </c>
      <c r="S230" s="239">
        <v>0</v>
      </c>
      <c r="T230" s="239">
        <v>0</v>
      </c>
      <c r="U230" s="239">
        <v>0</v>
      </c>
      <c r="V230" s="239">
        <v>0</v>
      </c>
      <c r="W230" s="239">
        <v>0</v>
      </c>
      <c r="X230" s="239">
        <v>0</v>
      </c>
      <c r="Y230" s="239">
        <v>0</v>
      </c>
      <c r="Z230" s="239">
        <v>0</v>
      </c>
      <c r="AA230" s="239">
        <v>0</v>
      </c>
      <c r="AB230" s="239">
        <v>0</v>
      </c>
      <c r="AC230" s="239">
        <v>1580131</v>
      </c>
      <c r="AD230" s="239">
        <v>353200</v>
      </c>
      <c r="AE230" s="239">
        <v>39246</v>
      </c>
      <c r="AF230" s="239">
        <v>1972577</v>
      </c>
      <c r="AG230" s="239">
        <v>534299</v>
      </c>
      <c r="AH230" s="239">
        <v>427440</v>
      </c>
      <c r="AI230" s="239">
        <v>96174</v>
      </c>
      <c r="AJ230" s="239">
        <v>10686</v>
      </c>
      <c r="AK230" s="239">
        <v>1068599</v>
      </c>
      <c r="AL230" s="239">
        <v>-323149</v>
      </c>
      <c r="AM230" s="239">
        <v>-258520</v>
      </c>
      <c r="AN230" s="239">
        <v>-58167</v>
      </c>
      <c r="AO230" s="239">
        <v>-6463</v>
      </c>
      <c r="AP230" s="239">
        <v>-646299</v>
      </c>
      <c r="AQ230" s="239">
        <v>-190598</v>
      </c>
      <c r="AR230" s="239">
        <v>-152479</v>
      </c>
      <c r="AS230" s="239">
        <v>-34308</v>
      </c>
      <c r="AT230" s="239">
        <v>-3812</v>
      </c>
      <c r="AU230" s="239">
        <v>-381197</v>
      </c>
      <c r="AV230" s="239">
        <v>0</v>
      </c>
      <c r="AW230" s="239">
        <v>0</v>
      </c>
      <c r="AX230" s="239">
        <v>0</v>
      </c>
      <c r="AY230" s="239">
        <v>0</v>
      </c>
      <c r="AZ230" s="239">
        <v>0</v>
      </c>
      <c r="BA230" s="239">
        <v>-66362</v>
      </c>
      <c r="BB230" s="239">
        <v>-53090</v>
      </c>
      <c r="BC230" s="239">
        <v>-11945</v>
      </c>
      <c r="BD230" s="239">
        <v>-1327</v>
      </c>
      <c r="BE230" s="239">
        <v>-132724</v>
      </c>
      <c r="BF230" s="239">
        <v>-256960</v>
      </c>
      <c r="BG230" s="239">
        <v>-205569</v>
      </c>
      <c r="BH230" s="239">
        <v>-46253</v>
      </c>
      <c r="BI230" s="239">
        <v>-5139</v>
      </c>
      <c r="BJ230" s="239">
        <v>-513921</v>
      </c>
      <c r="BK230" s="239">
        <v>-1816049</v>
      </c>
      <c r="BL230" s="239">
        <v>-1452840</v>
      </c>
      <c r="BM230" s="239">
        <v>-326889</v>
      </c>
      <c r="BN230" s="239">
        <v>-36321</v>
      </c>
      <c r="BO230" s="239">
        <v>-3632099</v>
      </c>
      <c r="BP230" s="239">
        <v>902824</v>
      </c>
      <c r="BQ230" s="239">
        <v>722258</v>
      </c>
      <c r="BR230" s="239">
        <v>162508</v>
      </c>
      <c r="BS230" s="239">
        <v>18056</v>
      </c>
      <c r="BT230" s="239">
        <v>1805646</v>
      </c>
      <c r="BU230" s="239">
        <v>-717703</v>
      </c>
      <c r="BV230" s="239">
        <v>-574162</v>
      </c>
      <c r="BW230" s="239">
        <v>-129187</v>
      </c>
      <c r="BX230" s="239">
        <v>-14354</v>
      </c>
      <c r="BY230" s="239">
        <v>-1435406</v>
      </c>
      <c r="BZ230" s="239">
        <v>-1630928</v>
      </c>
      <c r="CA230" s="239">
        <v>-1304744</v>
      </c>
      <c r="CB230" s="239">
        <v>-293568</v>
      </c>
      <c r="CC230" s="239">
        <v>-32619</v>
      </c>
      <c r="CD230" s="239">
        <v>-3261859</v>
      </c>
      <c r="CE230" s="239">
        <v>20082</v>
      </c>
      <c r="CF230" s="239">
        <v>16065</v>
      </c>
      <c r="CG230" s="239">
        <v>3614</v>
      </c>
      <c r="CH230" s="239">
        <v>402</v>
      </c>
      <c r="CI230" s="239">
        <v>40163</v>
      </c>
      <c r="CJ230" s="239">
        <v>-334936</v>
      </c>
      <c r="CK230" s="239">
        <v>-267949</v>
      </c>
      <c r="CL230" s="239">
        <v>-60288</v>
      </c>
      <c r="CM230" s="239">
        <v>-6699</v>
      </c>
      <c r="CN230" s="239">
        <v>-669872</v>
      </c>
      <c r="CO230" s="239">
        <v>355018</v>
      </c>
      <c r="CP230" s="239">
        <v>284014</v>
      </c>
      <c r="CQ230" s="239">
        <v>63902</v>
      </c>
      <c r="CR230" s="239">
        <v>7101</v>
      </c>
      <c r="CS230" s="239">
        <v>710035</v>
      </c>
      <c r="CT230" s="239">
        <v>19195452</v>
      </c>
      <c r="CU230" s="239">
        <v>15356361</v>
      </c>
      <c r="CV230" s="239">
        <v>3455181</v>
      </c>
      <c r="CW230" s="239">
        <v>383909</v>
      </c>
      <c r="CX230" s="239">
        <v>38390903</v>
      </c>
      <c r="CY230" s="239">
        <v>19195062</v>
      </c>
      <c r="CZ230" s="239">
        <v>15356049</v>
      </c>
      <c r="DA230" s="239">
        <v>3455111</v>
      </c>
      <c r="DB230" s="239">
        <v>383901</v>
      </c>
      <c r="DC230" s="239">
        <v>38390123</v>
      </c>
      <c r="DD230" s="239">
        <v>-390</v>
      </c>
      <c r="DE230" s="239">
        <v>-312</v>
      </c>
      <c r="DF230" s="239">
        <v>-70</v>
      </c>
      <c r="DG230" s="239">
        <v>-8</v>
      </c>
      <c r="DH230" s="239">
        <v>-780</v>
      </c>
      <c r="DI230" s="239">
        <v>354628</v>
      </c>
      <c r="DJ230" s="239">
        <v>283702</v>
      </c>
      <c r="DK230" s="239">
        <v>63832</v>
      </c>
      <c r="DL230" s="239">
        <v>7093</v>
      </c>
      <c r="DM230" s="239">
        <v>709255</v>
      </c>
      <c r="DN230" s="835">
        <v>0.5</v>
      </c>
      <c r="DO230" s="835">
        <v>0.4</v>
      </c>
      <c r="DP230" s="835">
        <v>0.09</v>
      </c>
      <c r="DQ230" s="835">
        <v>0.01</v>
      </c>
      <c r="DR230" s="835">
        <v>1</v>
      </c>
      <c r="DS230" s="214" t="s">
        <v>1158</v>
      </c>
      <c r="DU230" s="214">
        <v>0</v>
      </c>
    </row>
    <row r="231" spans="1:125" s="214" customFormat="1" x14ac:dyDescent="0.2">
      <c r="B231" s="602" t="s">
        <v>545</v>
      </c>
      <c r="C231" s="602" t="s">
        <v>544</v>
      </c>
      <c r="D231" s="239">
        <v>0</v>
      </c>
      <c r="E231" s="239">
        <v>69690727</v>
      </c>
      <c r="F231" s="239">
        <v>0</v>
      </c>
      <c r="G231" s="239">
        <v>703947</v>
      </c>
      <c r="H231" s="239">
        <v>70394674</v>
      </c>
      <c r="I231" s="239">
        <v>0</v>
      </c>
      <c r="J231" s="239">
        <v>0</v>
      </c>
      <c r="K231" s="239">
        <v>0</v>
      </c>
      <c r="L231" s="239">
        <v>321434</v>
      </c>
      <c r="M231" s="239">
        <v>321434</v>
      </c>
      <c r="N231" s="239">
        <v>0</v>
      </c>
      <c r="O231" s="239">
        <v>0</v>
      </c>
      <c r="P231" s="239">
        <v>0</v>
      </c>
      <c r="Q231" s="239">
        <v>0</v>
      </c>
      <c r="R231" s="239">
        <v>0</v>
      </c>
      <c r="S231" s="239">
        <v>0</v>
      </c>
      <c r="T231" s="239">
        <v>0</v>
      </c>
      <c r="U231" s="239">
        <v>0</v>
      </c>
      <c r="V231" s="239">
        <v>0</v>
      </c>
      <c r="W231" s="239">
        <v>0</v>
      </c>
      <c r="X231" s="239">
        <v>0</v>
      </c>
      <c r="Y231" s="239">
        <v>0</v>
      </c>
      <c r="Z231" s="239">
        <v>0</v>
      </c>
      <c r="AA231" s="239">
        <v>0</v>
      </c>
      <c r="AB231" s="239">
        <v>0</v>
      </c>
      <c r="AC231" s="239">
        <v>7366921</v>
      </c>
      <c r="AD231" s="239">
        <v>0</v>
      </c>
      <c r="AE231" s="239">
        <v>74414</v>
      </c>
      <c r="AF231" s="239">
        <v>7441335</v>
      </c>
      <c r="AG231" s="239">
        <v>0</v>
      </c>
      <c r="AH231" s="239">
        <v>2966798</v>
      </c>
      <c r="AI231" s="239">
        <v>0</v>
      </c>
      <c r="AJ231" s="239">
        <v>29968</v>
      </c>
      <c r="AK231" s="239">
        <v>2996766</v>
      </c>
      <c r="AL231" s="239">
        <v>0</v>
      </c>
      <c r="AM231" s="239">
        <v>-1309054</v>
      </c>
      <c r="AN231" s="239">
        <v>0</v>
      </c>
      <c r="AO231" s="239">
        <v>-13223</v>
      </c>
      <c r="AP231" s="239">
        <v>-1322277</v>
      </c>
      <c r="AQ231" s="239">
        <v>0</v>
      </c>
      <c r="AR231" s="239">
        <v>-1262745</v>
      </c>
      <c r="AS231" s="239">
        <v>0</v>
      </c>
      <c r="AT231" s="239">
        <v>-12755</v>
      </c>
      <c r="AU231" s="239">
        <v>-1275500</v>
      </c>
      <c r="AV231" s="239">
        <v>0</v>
      </c>
      <c r="AW231" s="239">
        <v>579185</v>
      </c>
      <c r="AX231" s="239">
        <v>0</v>
      </c>
      <c r="AY231" s="239">
        <v>5850</v>
      </c>
      <c r="AZ231" s="239">
        <v>585035</v>
      </c>
      <c r="BA231" s="239">
        <v>0</v>
      </c>
      <c r="BB231" s="239">
        <v>-1307132</v>
      </c>
      <c r="BC231" s="239">
        <v>0</v>
      </c>
      <c r="BD231" s="239">
        <v>-13203</v>
      </c>
      <c r="BE231" s="239">
        <v>-1320335</v>
      </c>
      <c r="BF231" s="239">
        <v>0</v>
      </c>
      <c r="BG231" s="239">
        <v>-1990692</v>
      </c>
      <c r="BH231" s="239">
        <v>0</v>
      </c>
      <c r="BI231" s="239">
        <v>-20108</v>
      </c>
      <c r="BJ231" s="239">
        <v>-2010800</v>
      </c>
      <c r="BK231" s="239">
        <v>0</v>
      </c>
      <c r="BL231" s="239">
        <v>-19904940</v>
      </c>
      <c r="BM231" s="239">
        <v>0</v>
      </c>
      <c r="BN231" s="239">
        <v>-201060</v>
      </c>
      <c r="BO231" s="239">
        <v>-20106000</v>
      </c>
      <c r="BP231" s="239">
        <v>0</v>
      </c>
      <c r="BQ231" s="239">
        <v>3318317</v>
      </c>
      <c r="BR231" s="239">
        <v>0</v>
      </c>
      <c r="BS231" s="239">
        <v>33518</v>
      </c>
      <c r="BT231" s="239">
        <v>3351835</v>
      </c>
      <c r="BU231" s="239">
        <v>0</v>
      </c>
      <c r="BV231" s="239">
        <v>1631485</v>
      </c>
      <c r="BW231" s="239">
        <v>0</v>
      </c>
      <c r="BX231" s="239">
        <v>16480</v>
      </c>
      <c r="BY231" s="239">
        <v>1647965</v>
      </c>
      <c r="BZ231" s="239">
        <v>0</v>
      </c>
      <c r="CA231" s="239">
        <v>-14955138</v>
      </c>
      <c r="CB231" s="239">
        <v>0</v>
      </c>
      <c r="CC231" s="239">
        <v>-151062</v>
      </c>
      <c r="CD231" s="239">
        <v>-15106200</v>
      </c>
      <c r="CE231" s="239">
        <v>-1826254</v>
      </c>
      <c r="CF231" s="239">
        <v>-1789729</v>
      </c>
      <c r="CG231" s="239">
        <v>0</v>
      </c>
      <c r="CH231" s="239">
        <v>-36524</v>
      </c>
      <c r="CI231" s="239">
        <v>-3652507</v>
      </c>
      <c r="CJ231" s="239">
        <v>-1218689</v>
      </c>
      <c r="CK231" s="239">
        <v>-1194316</v>
      </c>
      <c r="CL231" s="239">
        <v>0</v>
      </c>
      <c r="CM231" s="239">
        <v>-24374</v>
      </c>
      <c r="CN231" s="239">
        <v>-2437379</v>
      </c>
      <c r="CO231" s="239">
        <v>-607565</v>
      </c>
      <c r="CP231" s="239">
        <v>-595413</v>
      </c>
      <c r="CQ231" s="239">
        <v>0</v>
      </c>
      <c r="CR231" s="239">
        <v>-12150</v>
      </c>
      <c r="CS231" s="239">
        <v>-1215128</v>
      </c>
      <c r="CT231" s="239">
        <v>0</v>
      </c>
      <c r="CU231" s="239">
        <v>62954636</v>
      </c>
      <c r="CV231" s="239">
        <v>0</v>
      </c>
      <c r="CW231" s="239">
        <v>635905</v>
      </c>
      <c r="CX231" s="239">
        <v>63590541</v>
      </c>
      <c r="CY231" s="239">
        <v>0</v>
      </c>
      <c r="CZ231" s="239">
        <v>69690727</v>
      </c>
      <c r="DA231" s="239">
        <v>0</v>
      </c>
      <c r="DB231" s="239">
        <v>703947</v>
      </c>
      <c r="DC231" s="239">
        <v>70394674</v>
      </c>
      <c r="DD231" s="239">
        <v>0</v>
      </c>
      <c r="DE231" s="239">
        <v>6736091</v>
      </c>
      <c r="DF231" s="239">
        <v>0</v>
      </c>
      <c r="DG231" s="239">
        <v>68042</v>
      </c>
      <c r="DH231" s="239">
        <v>6804133</v>
      </c>
      <c r="DI231" s="239">
        <v>-607565</v>
      </c>
      <c r="DJ231" s="239">
        <v>6140678</v>
      </c>
      <c r="DK231" s="239">
        <v>0</v>
      </c>
      <c r="DL231" s="239">
        <v>55892</v>
      </c>
      <c r="DM231" s="239">
        <v>5589005</v>
      </c>
      <c r="DN231" s="835">
        <v>0</v>
      </c>
      <c r="DO231" s="835">
        <v>0.99</v>
      </c>
      <c r="DP231" s="835">
        <v>0</v>
      </c>
      <c r="DQ231" s="835">
        <v>0.01</v>
      </c>
      <c r="DR231" s="835">
        <v>1</v>
      </c>
      <c r="DS231" s="214" t="s">
        <v>1160</v>
      </c>
      <c r="DU231" s="214">
        <v>0</v>
      </c>
    </row>
    <row r="232" spans="1:125" s="214" customFormat="1" x14ac:dyDescent="0.2">
      <c r="B232" s="602" t="s">
        <v>547</v>
      </c>
      <c r="C232" s="602" t="s">
        <v>546</v>
      </c>
      <c r="D232" s="239">
        <v>14462673</v>
      </c>
      <c r="E232" s="239">
        <v>11570138</v>
      </c>
      <c r="F232" s="239">
        <v>2603281</v>
      </c>
      <c r="G232" s="239">
        <v>289253</v>
      </c>
      <c r="H232" s="239">
        <v>28925345</v>
      </c>
      <c r="I232" s="239">
        <v>0</v>
      </c>
      <c r="J232" s="239">
        <v>0</v>
      </c>
      <c r="K232" s="239">
        <v>14462673</v>
      </c>
      <c r="L232" s="239">
        <v>112514</v>
      </c>
      <c r="M232" s="239">
        <v>112514</v>
      </c>
      <c r="N232" s="239">
        <v>0</v>
      </c>
      <c r="O232" s="239">
        <v>0</v>
      </c>
      <c r="P232" s="239">
        <v>7596528</v>
      </c>
      <c r="Q232" s="239">
        <v>0</v>
      </c>
      <c r="R232" s="239">
        <v>7596528</v>
      </c>
      <c r="S232" s="239">
        <v>0</v>
      </c>
      <c r="T232" s="239">
        <v>0</v>
      </c>
      <c r="U232" s="239">
        <v>0</v>
      </c>
      <c r="V232" s="239">
        <v>0</v>
      </c>
      <c r="W232" s="239">
        <v>0</v>
      </c>
      <c r="X232" s="239">
        <v>0</v>
      </c>
      <c r="Y232" s="239">
        <v>0</v>
      </c>
      <c r="Z232" s="239">
        <v>0</v>
      </c>
      <c r="AA232" s="239">
        <v>0</v>
      </c>
      <c r="AB232" s="239">
        <v>0</v>
      </c>
      <c r="AC232" s="239">
        <v>1070569</v>
      </c>
      <c r="AD232" s="239">
        <v>215205</v>
      </c>
      <c r="AE232" s="239">
        <v>23913</v>
      </c>
      <c r="AF232" s="239">
        <v>1309687</v>
      </c>
      <c r="AG232" s="239">
        <v>331338</v>
      </c>
      <c r="AH232" s="239">
        <v>265071</v>
      </c>
      <c r="AI232" s="239">
        <v>59641</v>
      </c>
      <c r="AJ232" s="239">
        <v>6627</v>
      </c>
      <c r="AK232" s="239">
        <v>662677</v>
      </c>
      <c r="AL232" s="239">
        <v>-302700</v>
      </c>
      <c r="AM232" s="239">
        <v>-242160</v>
      </c>
      <c r="AN232" s="239">
        <v>-54486</v>
      </c>
      <c r="AO232" s="239">
        <v>-6054</v>
      </c>
      <c r="AP232" s="239">
        <v>-605400</v>
      </c>
      <c r="AQ232" s="239">
        <v>-213650</v>
      </c>
      <c r="AR232" s="239">
        <v>-170920</v>
      </c>
      <c r="AS232" s="239">
        <v>-38457</v>
      </c>
      <c r="AT232" s="239">
        <v>-4273</v>
      </c>
      <c r="AU232" s="239">
        <v>-427300</v>
      </c>
      <c r="AV232" s="239">
        <v>27138</v>
      </c>
      <c r="AW232" s="239">
        <v>21711</v>
      </c>
      <c r="AX232" s="239">
        <v>4885</v>
      </c>
      <c r="AY232" s="239">
        <v>543</v>
      </c>
      <c r="AZ232" s="239">
        <v>54277</v>
      </c>
      <c r="BA232" s="239">
        <v>-43534</v>
      </c>
      <c r="BB232" s="239">
        <v>-34828</v>
      </c>
      <c r="BC232" s="239">
        <v>-7836</v>
      </c>
      <c r="BD232" s="239">
        <v>-871</v>
      </c>
      <c r="BE232" s="239">
        <v>-87069</v>
      </c>
      <c r="BF232" s="239">
        <v>-230046</v>
      </c>
      <c r="BG232" s="239">
        <v>-184037</v>
      </c>
      <c r="BH232" s="239">
        <v>-41408</v>
      </c>
      <c r="BI232" s="239">
        <v>-4601</v>
      </c>
      <c r="BJ232" s="239">
        <v>-460092</v>
      </c>
      <c r="BK232" s="239">
        <v>-1907298</v>
      </c>
      <c r="BL232" s="239">
        <v>-1525838</v>
      </c>
      <c r="BM232" s="239">
        <v>-343314</v>
      </c>
      <c r="BN232" s="239">
        <v>-38146</v>
      </c>
      <c r="BO232" s="239">
        <v>-3814596</v>
      </c>
      <c r="BP232" s="239">
        <v>656051</v>
      </c>
      <c r="BQ232" s="239">
        <v>524840</v>
      </c>
      <c r="BR232" s="239">
        <v>118089</v>
      </c>
      <c r="BS232" s="239">
        <v>13121</v>
      </c>
      <c r="BT232" s="239">
        <v>1312101</v>
      </c>
      <c r="BU232" s="239">
        <v>-417818</v>
      </c>
      <c r="BV232" s="239">
        <v>-334254</v>
      </c>
      <c r="BW232" s="239">
        <v>-75207</v>
      </c>
      <c r="BX232" s="239">
        <v>-8356</v>
      </c>
      <c r="BY232" s="239">
        <v>-835635</v>
      </c>
      <c r="BZ232" s="239">
        <v>-1669065</v>
      </c>
      <c r="CA232" s="239">
        <v>-1335252</v>
      </c>
      <c r="CB232" s="239">
        <v>-300432</v>
      </c>
      <c r="CC232" s="239">
        <v>-33381</v>
      </c>
      <c r="CD232" s="239">
        <v>-3338130</v>
      </c>
      <c r="CE232" s="239">
        <v>-742520</v>
      </c>
      <c r="CF232" s="239">
        <v>-594015</v>
      </c>
      <c r="CG232" s="239">
        <v>-133653</v>
      </c>
      <c r="CH232" s="239">
        <v>-14850</v>
      </c>
      <c r="CI232" s="239">
        <v>-1485038</v>
      </c>
      <c r="CJ232" s="239">
        <v>-1544115</v>
      </c>
      <c r="CK232" s="239">
        <v>-1235292</v>
      </c>
      <c r="CL232" s="239">
        <v>-277941</v>
      </c>
      <c r="CM232" s="239">
        <v>-30882</v>
      </c>
      <c r="CN232" s="239">
        <v>-3088230</v>
      </c>
      <c r="CO232" s="239">
        <v>801595</v>
      </c>
      <c r="CP232" s="239">
        <v>641277</v>
      </c>
      <c r="CQ232" s="239">
        <v>144288</v>
      </c>
      <c r="CR232" s="239">
        <v>16032</v>
      </c>
      <c r="CS232" s="239">
        <v>1603192</v>
      </c>
      <c r="CT232" s="239">
        <v>12942697</v>
      </c>
      <c r="CU232" s="239">
        <v>10354157</v>
      </c>
      <c r="CV232" s="239">
        <v>2329685</v>
      </c>
      <c r="CW232" s="239">
        <v>258854</v>
      </c>
      <c r="CX232" s="239">
        <v>25885393</v>
      </c>
      <c r="CY232" s="239">
        <v>14462673</v>
      </c>
      <c r="CZ232" s="239">
        <v>11570138</v>
      </c>
      <c r="DA232" s="239">
        <v>2603281</v>
      </c>
      <c r="DB232" s="239">
        <v>289253</v>
      </c>
      <c r="DC232" s="239">
        <v>28925345</v>
      </c>
      <c r="DD232" s="239">
        <v>1519976</v>
      </c>
      <c r="DE232" s="239">
        <v>1215981</v>
      </c>
      <c r="DF232" s="239">
        <v>273596</v>
      </c>
      <c r="DG232" s="239">
        <v>30399</v>
      </c>
      <c r="DH232" s="239">
        <v>3039952</v>
      </c>
      <c r="DI232" s="239">
        <v>2321571</v>
      </c>
      <c r="DJ232" s="239">
        <v>1857258</v>
      </c>
      <c r="DK232" s="239">
        <v>417884</v>
      </c>
      <c r="DL232" s="239">
        <v>46431</v>
      </c>
      <c r="DM232" s="239">
        <v>4643144</v>
      </c>
      <c r="DN232" s="835">
        <v>0.5</v>
      </c>
      <c r="DO232" s="835">
        <v>0.4</v>
      </c>
      <c r="DP232" s="835">
        <v>0.09</v>
      </c>
      <c r="DQ232" s="835">
        <v>0.01</v>
      </c>
      <c r="DR232" s="835">
        <v>1</v>
      </c>
      <c r="DS232" s="214" t="s">
        <v>1158</v>
      </c>
      <c r="DU232" s="214">
        <v>0</v>
      </c>
    </row>
    <row r="233" spans="1:125" s="214" customFormat="1" x14ac:dyDescent="0.2">
      <c r="B233" s="602" t="s">
        <v>549</v>
      </c>
      <c r="C233" s="602" t="s">
        <v>548</v>
      </c>
      <c r="D233" s="239">
        <v>17138349</v>
      </c>
      <c r="E233" s="239">
        <v>13710680</v>
      </c>
      <c r="F233" s="239">
        <v>3084903</v>
      </c>
      <c r="G233" s="239">
        <v>342767</v>
      </c>
      <c r="H233" s="239">
        <v>34276699</v>
      </c>
      <c r="I233" s="239">
        <v>0</v>
      </c>
      <c r="J233" s="239">
        <v>0</v>
      </c>
      <c r="K233" s="239">
        <v>17138349</v>
      </c>
      <c r="L233" s="239">
        <v>163555</v>
      </c>
      <c r="M233" s="239">
        <v>163555</v>
      </c>
      <c r="N233" s="239">
        <v>0</v>
      </c>
      <c r="O233" s="239">
        <v>0</v>
      </c>
      <c r="P233" s="239">
        <v>0</v>
      </c>
      <c r="Q233" s="239">
        <v>0</v>
      </c>
      <c r="R233" s="239">
        <v>0</v>
      </c>
      <c r="S233" s="239">
        <v>0</v>
      </c>
      <c r="T233" s="239">
        <v>0</v>
      </c>
      <c r="U233" s="239">
        <v>0</v>
      </c>
      <c r="V233" s="239">
        <v>0</v>
      </c>
      <c r="W233" s="239">
        <v>0</v>
      </c>
      <c r="X233" s="239">
        <v>0</v>
      </c>
      <c r="Y233" s="239">
        <v>0</v>
      </c>
      <c r="Z233" s="239">
        <v>0</v>
      </c>
      <c r="AA233" s="239">
        <v>0</v>
      </c>
      <c r="AB233" s="239">
        <v>0</v>
      </c>
      <c r="AC233" s="239">
        <v>1554420</v>
      </c>
      <c r="AD233" s="239">
        <v>349744</v>
      </c>
      <c r="AE233" s="239">
        <v>38861</v>
      </c>
      <c r="AF233" s="239">
        <v>1943025</v>
      </c>
      <c r="AG233" s="239">
        <v>872551</v>
      </c>
      <c r="AH233" s="239">
        <v>698041</v>
      </c>
      <c r="AI233" s="239">
        <v>157059</v>
      </c>
      <c r="AJ233" s="239">
        <v>17451</v>
      </c>
      <c r="AK233" s="239">
        <v>1745102</v>
      </c>
      <c r="AL233" s="239">
        <v>-1005238</v>
      </c>
      <c r="AM233" s="239">
        <v>-804191</v>
      </c>
      <c r="AN233" s="239">
        <v>-180943</v>
      </c>
      <c r="AO233" s="239">
        <v>-20105</v>
      </c>
      <c r="AP233" s="239">
        <v>-2010477</v>
      </c>
      <c r="AQ233" s="239">
        <v>-393450</v>
      </c>
      <c r="AR233" s="239">
        <v>-314760</v>
      </c>
      <c r="AS233" s="239">
        <v>-70821</v>
      </c>
      <c r="AT233" s="239">
        <v>-7869</v>
      </c>
      <c r="AU233" s="239">
        <v>-786900</v>
      </c>
      <c r="AV233" s="239">
        <v>74358</v>
      </c>
      <c r="AW233" s="239">
        <v>59486</v>
      </c>
      <c r="AX233" s="239">
        <v>13384</v>
      </c>
      <c r="AY233" s="239">
        <v>1487</v>
      </c>
      <c r="AZ233" s="239">
        <v>148715</v>
      </c>
      <c r="BA233" s="239">
        <v>81342</v>
      </c>
      <c r="BB233" s="239">
        <v>65074</v>
      </c>
      <c r="BC233" s="239">
        <v>14642</v>
      </c>
      <c r="BD233" s="239">
        <v>1627</v>
      </c>
      <c r="BE233" s="239">
        <v>162685</v>
      </c>
      <c r="BF233" s="239">
        <v>-237750</v>
      </c>
      <c r="BG233" s="239">
        <v>-190200</v>
      </c>
      <c r="BH233" s="239">
        <v>-42795</v>
      </c>
      <c r="BI233" s="239">
        <v>-4755</v>
      </c>
      <c r="BJ233" s="239">
        <v>-475500</v>
      </c>
      <c r="BK233" s="239">
        <v>-3085844</v>
      </c>
      <c r="BL233" s="239">
        <v>-2468676</v>
      </c>
      <c r="BM233" s="239">
        <v>-555452</v>
      </c>
      <c r="BN233" s="239">
        <v>-61717</v>
      </c>
      <c r="BO233" s="239">
        <v>-6171689</v>
      </c>
      <c r="BP233" s="239">
        <v>996884</v>
      </c>
      <c r="BQ233" s="239">
        <v>797507</v>
      </c>
      <c r="BR233" s="239">
        <v>179439</v>
      </c>
      <c r="BS233" s="239">
        <v>19938</v>
      </c>
      <c r="BT233" s="239">
        <v>1993768</v>
      </c>
      <c r="BU233" s="239">
        <v>-700411</v>
      </c>
      <c r="BV233" s="239">
        <v>-560328</v>
      </c>
      <c r="BW233" s="239">
        <v>-126074</v>
      </c>
      <c r="BX233" s="239">
        <v>-14008</v>
      </c>
      <c r="BY233" s="239">
        <v>-1400821</v>
      </c>
      <c r="BZ233" s="239">
        <v>-2789371</v>
      </c>
      <c r="CA233" s="239">
        <v>-2231497</v>
      </c>
      <c r="CB233" s="239">
        <v>-502087</v>
      </c>
      <c r="CC233" s="239">
        <v>-55787</v>
      </c>
      <c r="CD233" s="239">
        <v>-5578742</v>
      </c>
      <c r="CE233" s="239">
        <v>-235937</v>
      </c>
      <c r="CF233" s="239">
        <v>-188750</v>
      </c>
      <c r="CG233" s="239">
        <v>-42469</v>
      </c>
      <c r="CH233" s="239">
        <v>-4720</v>
      </c>
      <c r="CI233" s="239">
        <v>-471876</v>
      </c>
      <c r="CJ233" s="239">
        <v>-143675</v>
      </c>
      <c r="CK233" s="239">
        <v>-114940</v>
      </c>
      <c r="CL233" s="239">
        <v>-25862</v>
      </c>
      <c r="CM233" s="239">
        <v>-2874</v>
      </c>
      <c r="CN233" s="239">
        <v>-287351</v>
      </c>
      <c r="CO233" s="239">
        <v>-92262</v>
      </c>
      <c r="CP233" s="239">
        <v>-73810</v>
      </c>
      <c r="CQ233" s="239">
        <v>-16607</v>
      </c>
      <c r="CR233" s="239">
        <v>-1846</v>
      </c>
      <c r="CS233" s="239">
        <v>-184525</v>
      </c>
      <c r="CT233" s="239">
        <v>16881434</v>
      </c>
      <c r="CU233" s="239">
        <v>13505148</v>
      </c>
      <c r="CV233" s="239">
        <v>3038658</v>
      </c>
      <c r="CW233" s="239">
        <v>337629</v>
      </c>
      <c r="CX233" s="239">
        <v>33762869</v>
      </c>
      <c r="CY233" s="239">
        <v>17138349</v>
      </c>
      <c r="CZ233" s="239">
        <v>13710680</v>
      </c>
      <c r="DA233" s="239">
        <v>3084903</v>
      </c>
      <c r="DB233" s="239">
        <v>342767</v>
      </c>
      <c r="DC233" s="239">
        <v>34276699</v>
      </c>
      <c r="DD233" s="239">
        <v>256915</v>
      </c>
      <c r="DE233" s="239">
        <v>205532</v>
      </c>
      <c r="DF233" s="239">
        <v>46245</v>
      </c>
      <c r="DG233" s="239">
        <v>5138</v>
      </c>
      <c r="DH233" s="239">
        <v>513830</v>
      </c>
      <c r="DI233" s="239">
        <v>164653</v>
      </c>
      <c r="DJ233" s="239">
        <v>131722</v>
      </c>
      <c r="DK233" s="239">
        <v>29638</v>
      </c>
      <c r="DL233" s="239">
        <v>3292</v>
      </c>
      <c r="DM233" s="239">
        <v>329305</v>
      </c>
      <c r="DN233" s="835">
        <v>0.5</v>
      </c>
      <c r="DO233" s="835">
        <v>0.4</v>
      </c>
      <c r="DP233" s="835">
        <v>0.09</v>
      </c>
      <c r="DQ233" s="835">
        <v>0.01</v>
      </c>
      <c r="DR233" s="835">
        <v>1</v>
      </c>
      <c r="DS233" s="214" t="s">
        <v>1158</v>
      </c>
      <c r="DU233" s="214">
        <v>0</v>
      </c>
    </row>
    <row r="234" spans="1:125" s="214" customFormat="1" x14ac:dyDescent="0.2">
      <c r="B234" s="602" t="s">
        <v>551</v>
      </c>
      <c r="C234" s="602" t="s">
        <v>550</v>
      </c>
      <c r="D234" s="239">
        <v>94204002</v>
      </c>
      <c r="E234" s="239">
        <v>92319921</v>
      </c>
      <c r="F234" s="239">
        <v>0</v>
      </c>
      <c r="G234" s="239">
        <v>1884080</v>
      </c>
      <c r="H234" s="239">
        <v>188408003</v>
      </c>
      <c r="I234" s="239">
        <v>-4230</v>
      </c>
      <c r="J234" s="239">
        <v>-4230</v>
      </c>
      <c r="K234" s="239">
        <v>94208232</v>
      </c>
      <c r="L234" s="239">
        <v>765222</v>
      </c>
      <c r="M234" s="239">
        <v>765222</v>
      </c>
      <c r="N234" s="239">
        <v>757817</v>
      </c>
      <c r="O234" s="239">
        <v>757817</v>
      </c>
      <c r="P234" s="239">
        <v>1072960</v>
      </c>
      <c r="Q234" s="239">
        <v>0</v>
      </c>
      <c r="R234" s="239">
        <v>1072960</v>
      </c>
      <c r="S234" s="239">
        <v>-4229.594420600858</v>
      </c>
      <c r="T234" s="239">
        <v>0</v>
      </c>
      <c r="U234" s="239">
        <v>0</v>
      </c>
      <c r="V234" s="239">
        <v>-4229.594420600858</v>
      </c>
      <c r="W234" s="239">
        <v>0</v>
      </c>
      <c r="X234" s="239">
        <v>0</v>
      </c>
      <c r="Y234" s="239">
        <v>0</v>
      </c>
      <c r="Z234" s="239">
        <v>0</v>
      </c>
      <c r="AA234" s="239">
        <v>0</v>
      </c>
      <c r="AB234" s="239">
        <v>0</v>
      </c>
      <c r="AC234" s="239">
        <v>7708132</v>
      </c>
      <c r="AD234" s="239">
        <v>0</v>
      </c>
      <c r="AE234" s="239">
        <v>156263</v>
      </c>
      <c r="AF234" s="239">
        <v>7864395</v>
      </c>
      <c r="AG234" s="239">
        <v>7930007</v>
      </c>
      <c r="AH234" s="239">
        <v>7771407</v>
      </c>
      <c r="AI234" s="239">
        <v>0</v>
      </c>
      <c r="AJ234" s="239">
        <v>158600</v>
      </c>
      <c r="AK234" s="239">
        <v>15860014</v>
      </c>
      <c r="AL234" s="239">
        <v>-1550924</v>
      </c>
      <c r="AM234" s="239">
        <v>-1519905</v>
      </c>
      <c r="AN234" s="239">
        <v>0</v>
      </c>
      <c r="AO234" s="239">
        <v>-31018</v>
      </c>
      <c r="AP234" s="239">
        <v>-3101847</v>
      </c>
      <c r="AQ234" s="239">
        <v>-4901833</v>
      </c>
      <c r="AR234" s="239">
        <v>-4803796</v>
      </c>
      <c r="AS234" s="239">
        <v>0</v>
      </c>
      <c r="AT234" s="239">
        <v>-98037</v>
      </c>
      <c r="AU234" s="239">
        <v>-9803666</v>
      </c>
      <c r="AV234" s="239">
        <v>1062355</v>
      </c>
      <c r="AW234" s="239">
        <v>1041107</v>
      </c>
      <c r="AX234" s="239">
        <v>0</v>
      </c>
      <c r="AY234" s="239">
        <v>21247</v>
      </c>
      <c r="AZ234" s="239">
        <v>2124709</v>
      </c>
      <c r="BA234" s="239">
        <v>-821151</v>
      </c>
      <c r="BB234" s="239">
        <v>-804728</v>
      </c>
      <c r="BC234" s="239">
        <v>0</v>
      </c>
      <c r="BD234" s="239">
        <v>-16423</v>
      </c>
      <c r="BE234" s="239">
        <v>-1642302</v>
      </c>
      <c r="BF234" s="239">
        <v>-4660629</v>
      </c>
      <c r="BG234" s="239">
        <v>-4567417</v>
      </c>
      <c r="BH234" s="239">
        <v>0</v>
      </c>
      <c r="BI234" s="239">
        <v>-93213</v>
      </c>
      <c r="BJ234" s="239">
        <v>-9321259</v>
      </c>
      <c r="BK234" s="239">
        <v>-13619109</v>
      </c>
      <c r="BL234" s="239">
        <v>-13346727</v>
      </c>
      <c r="BM234" s="239">
        <v>0</v>
      </c>
      <c r="BN234" s="239">
        <v>-272382</v>
      </c>
      <c r="BO234" s="239">
        <v>-27238218</v>
      </c>
      <c r="BP234" s="239">
        <v>4890606</v>
      </c>
      <c r="BQ234" s="239">
        <v>4792794</v>
      </c>
      <c r="BR234" s="239">
        <v>0</v>
      </c>
      <c r="BS234" s="239">
        <v>97812</v>
      </c>
      <c r="BT234" s="239">
        <v>9781212</v>
      </c>
      <c r="BU234" s="239">
        <v>-8762570</v>
      </c>
      <c r="BV234" s="239">
        <v>-8587318</v>
      </c>
      <c r="BW234" s="239">
        <v>0</v>
      </c>
      <c r="BX234" s="239">
        <v>-175251</v>
      </c>
      <c r="BY234" s="239">
        <v>-17525139</v>
      </c>
      <c r="BZ234" s="239">
        <v>-17491073</v>
      </c>
      <c r="CA234" s="239">
        <v>-17141251</v>
      </c>
      <c r="CB234" s="239">
        <v>0</v>
      </c>
      <c r="CC234" s="239">
        <v>-349821</v>
      </c>
      <c r="CD234" s="239">
        <v>-34982145</v>
      </c>
      <c r="CE234" s="239">
        <v>-7444036</v>
      </c>
      <c r="CF234" s="239">
        <v>-7295156</v>
      </c>
      <c r="CG234" s="239">
        <v>0</v>
      </c>
      <c r="CH234" s="239">
        <v>-148881</v>
      </c>
      <c r="CI234" s="239">
        <v>-14888073</v>
      </c>
      <c r="CJ234" s="239">
        <v>-6039663</v>
      </c>
      <c r="CK234" s="239">
        <v>-5918869</v>
      </c>
      <c r="CL234" s="239">
        <v>0</v>
      </c>
      <c r="CM234" s="239">
        <v>-120793</v>
      </c>
      <c r="CN234" s="239">
        <v>-12079325</v>
      </c>
      <c r="CO234" s="239">
        <v>-1404373</v>
      </c>
      <c r="CP234" s="239">
        <v>-1376287</v>
      </c>
      <c r="CQ234" s="239">
        <v>0</v>
      </c>
      <c r="CR234" s="239">
        <v>-28088</v>
      </c>
      <c r="CS234" s="239">
        <v>-2808748</v>
      </c>
      <c r="CT234" s="239">
        <v>97655274</v>
      </c>
      <c r="CU234" s="239">
        <v>95702168</v>
      </c>
      <c r="CV234" s="239">
        <v>0</v>
      </c>
      <c r="CW234" s="239">
        <v>1953105</v>
      </c>
      <c r="CX234" s="239">
        <v>195310547</v>
      </c>
      <c r="CY234" s="239">
        <v>94204002</v>
      </c>
      <c r="CZ234" s="239">
        <v>92319921</v>
      </c>
      <c r="DA234" s="239">
        <v>0</v>
      </c>
      <c r="DB234" s="239">
        <v>1884080</v>
      </c>
      <c r="DC234" s="239">
        <v>188408003</v>
      </c>
      <c r="DD234" s="239">
        <v>-3451272</v>
      </c>
      <c r="DE234" s="239">
        <v>-3382247</v>
      </c>
      <c r="DF234" s="239">
        <v>0</v>
      </c>
      <c r="DG234" s="239">
        <v>-69025</v>
      </c>
      <c r="DH234" s="239">
        <v>-6902544</v>
      </c>
      <c r="DI234" s="239">
        <v>-4855645</v>
      </c>
      <c r="DJ234" s="239">
        <v>-4758534</v>
      </c>
      <c r="DK234" s="239">
        <v>0</v>
      </c>
      <c r="DL234" s="239">
        <v>-97113</v>
      </c>
      <c r="DM234" s="239">
        <v>-9711292</v>
      </c>
      <c r="DN234" s="835">
        <v>0.5</v>
      </c>
      <c r="DO234" s="835">
        <v>0.49</v>
      </c>
      <c r="DP234" s="835">
        <v>0</v>
      </c>
      <c r="DQ234" s="835">
        <v>0.01</v>
      </c>
      <c r="DR234" s="835">
        <v>1</v>
      </c>
      <c r="DS234" s="214" t="s">
        <v>1160</v>
      </c>
      <c r="DU234" s="214">
        <v>0</v>
      </c>
    </row>
    <row r="235" spans="1:125" s="214" customFormat="1" x14ac:dyDescent="0.2">
      <c r="B235" s="602" t="s">
        <v>553</v>
      </c>
      <c r="C235" s="602" t="s">
        <v>552</v>
      </c>
      <c r="D235" s="239">
        <v>12980056</v>
      </c>
      <c r="E235" s="239">
        <v>10384045</v>
      </c>
      <c r="F235" s="239">
        <v>2336410</v>
      </c>
      <c r="G235" s="239">
        <v>259601</v>
      </c>
      <c r="H235" s="239">
        <v>25960112</v>
      </c>
      <c r="I235" s="239">
        <v>0</v>
      </c>
      <c r="J235" s="239">
        <v>0</v>
      </c>
      <c r="K235" s="239">
        <v>12980056</v>
      </c>
      <c r="L235" s="239">
        <v>147234</v>
      </c>
      <c r="M235" s="239">
        <v>147234</v>
      </c>
      <c r="N235" s="239">
        <v>0</v>
      </c>
      <c r="O235" s="239">
        <v>0</v>
      </c>
      <c r="P235" s="239">
        <v>0</v>
      </c>
      <c r="Q235" s="239">
        <v>0</v>
      </c>
      <c r="R235" s="239">
        <v>0</v>
      </c>
      <c r="S235" s="239">
        <v>0</v>
      </c>
      <c r="T235" s="239">
        <v>0</v>
      </c>
      <c r="U235" s="239">
        <v>0</v>
      </c>
      <c r="V235" s="239">
        <v>0</v>
      </c>
      <c r="W235" s="239">
        <v>0</v>
      </c>
      <c r="X235" s="239">
        <v>0</v>
      </c>
      <c r="Y235" s="239">
        <v>0</v>
      </c>
      <c r="Z235" s="239">
        <v>0</v>
      </c>
      <c r="AA235" s="239">
        <v>0</v>
      </c>
      <c r="AB235" s="239">
        <v>0</v>
      </c>
      <c r="AC235" s="239">
        <v>1357812</v>
      </c>
      <c r="AD235" s="239">
        <v>305505</v>
      </c>
      <c r="AE235" s="239">
        <v>33945</v>
      </c>
      <c r="AF235" s="239">
        <v>1697262</v>
      </c>
      <c r="AG235" s="239">
        <v>404758</v>
      </c>
      <c r="AH235" s="239">
        <v>323807</v>
      </c>
      <c r="AI235" s="239">
        <v>72857</v>
      </c>
      <c r="AJ235" s="239">
        <v>8095</v>
      </c>
      <c r="AK235" s="239">
        <v>809517</v>
      </c>
      <c r="AL235" s="239">
        <v>-317659</v>
      </c>
      <c r="AM235" s="239">
        <v>-254127</v>
      </c>
      <c r="AN235" s="239">
        <v>-57179</v>
      </c>
      <c r="AO235" s="239">
        <v>-6353</v>
      </c>
      <c r="AP235" s="239">
        <v>-635318</v>
      </c>
      <c r="AQ235" s="239">
        <v>-123303</v>
      </c>
      <c r="AR235" s="239">
        <v>-98642</v>
      </c>
      <c r="AS235" s="239">
        <v>-22195</v>
      </c>
      <c r="AT235" s="239">
        <v>-2466</v>
      </c>
      <c r="AU235" s="239">
        <v>-246606</v>
      </c>
      <c r="AV235" s="239">
        <v>75074</v>
      </c>
      <c r="AW235" s="239">
        <v>60060</v>
      </c>
      <c r="AX235" s="239">
        <v>13514</v>
      </c>
      <c r="AY235" s="239">
        <v>1502</v>
      </c>
      <c r="AZ235" s="239">
        <v>150150</v>
      </c>
      <c r="BA235" s="239">
        <v>-101748</v>
      </c>
      <c r="BB235" s="239">
        <v>-81398</v>
      </c>
      <c r="BC235" s="239">
        <v>-18315</v>
      </c>
      <c r="BD235" s="239">
        <v>-2035</v>
      </c>
      <c r="BE235" s="239">
        <v>-203496</v>
      </c>
      <c r="BF235" s="239">
        <v>-149977</v>
      </c>
      <c r="BG235" s="239">
        <v>-119980</v>
      </c>
      <c r="BH235" s="239">
        <v>-26996</v>
      </c>
      <c r="BI235" s="239">
        <v>-2999</v>
      </c>
      <c r="BJ235" s="239">
        <v>-299952</v>
      </c>
      <c r="BK235" s="239">
        <v>-1601279</v>
      </c>
      <c r="BL235" s="239">
        <v>-1281024</v>
      </c>
      <c r="BM235" s="239">
        <v>-288230</v>
      </c>
      <c r="BN235" s="239">
        <v>-32026</v>
      </c>
      <c r="BO235" s="239">
        <v>-3202559</v>
      </c>
      <c r="BP235" s="239">
        <v>1149261</v>
      </c>
      <c r="BQ235" s="239">
        <v>919408</v>
      </c>
      <c r="BR235" s="239">
        <v>206867</v>
      </c>
      <c r="BS235" s="239">
        <v>22985</v>
      </c>
      <c r="BT235" s="239">
        <v>2298521</v>
      </c>
      <c r="BU235" s="239">
        <v>-1806379</v>
      </c>
      <c r="BV235" s="239">
        <v>-1445103</v>
      </c>
      <c r="BW235" s="239">
        <v>-325148</v>
      </c>
      <c r="BX235" s="239">
        <v>-36128</v>
      </c>
      <c r="BY235" s="239">
        <v>-3612758</v>
      </c>
      <c r="BZ235" s="239">
        <v>-2258397</v>
      </c>
      <c r="CA235" s="239">
        <v>-1806719</v>
      </c>
      <c r="CB235" s="239">
        <v>-406511</v>
      </c>
      <c r="CC235" s="239">
        <v>-45169</v>
      </c>
      <c r="CD235" s="239">
        <v>-4516796</v>
      </c>
      <c r="CE235" s="239">
        <v>-70738</v>
      </c>
      <c r="CF235" s="239">
        <v>-56589</v>
      </c>
      <c r="CG235" s="239">
        <v>-12732</v>
      </c>
      <c r="CH235" s="239">
        <v>-1415</v>
      </c>
      <c r="CI235" s="239">
        <v>-141474</v>
      </c>
      <c r="CJ235" s="239">
        <v>435469</v>
      </c>
      <c r="CK235" s="239">
        <v>348374</v>
      </c>
      <c r="CL235" s="239">
        <v>78384</v>
      </c>
      <c r="CM235" s="239">
        <v>8709</v>
      </c>
      <c r="CN235" s="239">
        <v>870936</v>
      </c>
      <c r="CO235" s="239">
        <v>-506207</v>
      </c>
      <c r="CP235" s="239">
        <v>-404963</v>
      </c>
      <c r="CQ235" s="239">
        <v>-91116</v>
      </c>
      <c r="CR235" s="239">
        <v>-10124</v>
      </c>
      <c r="CS235" s="239">
        <v>-1012410</v>
      </c>
      <c r="CT235" s="239">
        <v>13595509</v>
      </c>
      <c r="CU235" s="239">
        <v>10876407</v>
      </c>
      <c r="CV235" s="239">
        <v>2447192</v>
      </c>
      <c r="CW235" s="239">
        <v>271910</v>
      </c>
      <c r="CX235" s="239">
        <v>27191018</v>
      </c>
      <c r="CY235" s="239">
        <v>12980056</v>
      </c>
      <c r="CZ235" s="239">
        <v>10384045</v>
      </c>
      <c r="DA235" s="239">
        <v>2336410</v>
      </c>
      <c r="DB235" s="239">
        <v>259601</v>
      </c>
      <c r="DC235" s="239">
        <v>25960112</v>
      </c>
      <c r="DD235" s="239">
        <v>-615453</v>
      </c>
      <c r="DE235" s="239">
        <v>-492362</v>
      </c>
      <c r="DF235" s="239">
        <v>-110782</v>
      </c>
      <c r="DG235" s="239">
        <v>-12309</v>
      </c>
      <c r="DH235" s="239">
        <v>-1230906</v>
      </c>
      <c r="DI235" s="239">
        <v>-1121660</v>
      </c>
      <c r="DJ235" s="239">
        <v>-897325</v>
      </c>
      <c r="DK235" s="239">
        <v>-201898</v>
      </c>
      <c r="DL235" s="239">
        <v>-22433</v>
      </c>
      <c r="DM235" s="239">
        <v>-2243316</v>
      </c>
      <c r="DN235" s="835">
        <v>0.5</v>
      </c>
      <c r="DO235" s="835">
        <v>0.4</v>
      </c>
      <c r="DP235" s="835">
        <v>0.09</v>
      </c>
      <c r="DQ235" s="835">
        <v>0.01</v>
      </c>
      <c r="DR235" s="835">
        <v>1</v>
      </c>
      <c r="DS235" s="214" t="s">
        <v>1158</v>
      </c>
      <c r="DU235" s="214">
        <v>0</v>
      </c>
    </row>
    <row r="236" spans="1:125" s="214" customFormat="1" x14ac:dyDescent="0.2">
      <c r="B236" s="602" t="s">
        <v>555</v>
      </c>
      <c r="C236" s="602" t="s">
        <v>554</v>
      </c>
      <c r="D236" s="239">
        <v>38690463</v>
      </c>
      <c r="E236" s="239">
        <v>37916653</v>
      </c>
      <c r="F236" s="239">
        <v>0</v>
      </c>
      <c r="G236" s="239">
        <v>773809</v>
      </c>
      <c r="H236" s="239">
        <v>77380925</v>
      </c>
      <c r="I236" s="239">
        <v>0</v>
      </c>
      <c r="J236" s="239">
        <v>0</v>
      </c>
      <c r="K236" s="239">
        <v>38690463</v>
      </c>
      <c r="L236" s="239">
        <v>462690</v>
      </c>
      <c r="M236" s="239">
        <v>462690</v>
      </c>
      <c r="N236" s="239">
        <v>0</v>
      </c>
      <c r="O236" s="239">
        <v>0</v>
      </c>
      <c r="P236" s="239">
        <v>533724</v>
      </c>
      <c r="Q236" s="239">
        <v>0</v>
      </c>
      <c r="R236" s="239">
        <v>533724</v>
      </c>
      <c r="S236" s="239">
        <v>0</v>
      </c>
      <c r="T236" s="239">
        <v>0</v>
      </c>
      <c r="U236" s="239">
        <v>0</v>
      </c>
      <c r="V236" s="239">
        <v>0</v>
      </c>
      <c r="W236" s="239">
        <v>0</v>
      </c>
      <c r="X236" s="239">
        <v>0</v>
      </c>
      <c r="Y236" s="239">
        <v>0</v>
      </c>
      <c r="Z236" s="239">
        <v>0</v>
      </c>
      <c r="AA236" s="239">
        <v>0</v>
      </c>
      <c r="AB236" s="239">
        <v>0</v>
      </c>
      <c r="AC236" s="239">
        <v>5559548</v>
      </c>
      <c r="AD236" s="239">
        <v>0</v>
      </c>
      <c r="AE236" s="239">
        <v>113296</v>
      </c>
      <c r="AF236" s="239">
        <v>5672844</v>
      </c>
      <c r="AG236" s="239">
        <v>2206869</v>
      </c>
      <c r="AH236" s="239">
        <v>2162731</v>
      </c>
      <c r="AI236" s="239">
        <v>0</v>
      </c>
      <c r="AJ236" s="239">
        <v>44137</v>
      </c>
      <c r="AK236" s="239">
        <v>4413737</v>
      </c>
      <c r="AL236" s="239">
        <v>-2576506</v>
      </c>
      <c r="AM236" s="239">
        <v>-2524975</v>
      </c>
      <c r="AN236" s="239">
        <v>0</v>
      </c>
      <c r="AO236" s="239">
        <v>-51530</v>
      </c>
      <c r="AP236" s="239">
        <v>-5153011</v>
      </c>
      <c r="AQ236" s="239">
        <v>-904867</v>
      </c>
      <c r="AR236" s="239">
        <v>-886769</v>
      </c>
      <c r="AS236" s="239">
        <v>0</v>
      </c>
      <c r="AT236" s="239">
        <v>-18097</v>
      </c>
      <c r="AU236" s="239">
        <v>-1809733</v>
      </c>
      <c r="AV236" s="239">
        <v>160265</v>
      </c>
      <c r="AW236" s="239">
        <v>157060</v>
      </c>
      <c r="AX236" s="239">
        <v>0</v>
      </c>
      <c r="AY236" s="239">
        <v>3205</v>
      </c>
      <c r="AZ236" s="239">
        <v>320530</v>
      </c>
      <c r="BA236" s="239">
        <v>-212261</v>
      </c>
      <c r="BB236" s="239">
        <v>-208015</v>
      </c>
      <c r="BC236" s="239">
        <v>0</v>
      </c>
      <c r="BD236" s="239">
        <v>-4245</v>
      </c>
      <c r="BE236" s="239">
        <v>-424521</v>
      </c>
      <c r="BF236" s="239">
        <v>-956863</v>
      </c>
      <c r="BG236" s="239">
        <v>-937724</v>
      </c>
      <c r="BH236" s="239">
        <v>0</v>
      </c>
      <c r="BI236" s="239">
        <v>-19137</v>
      </c>
      <c r="BJ236" s="239">
        <v>-1913724</v>
      </c>
      <c r="BK236" s="239">
        <v>-3392255</v>
      </c>
      <c r="BL236" s="239">
        <v>-3324409</v>
      </c>
      <c r="BM236" s="239">
        <v>0</v>
      </c>
      <c r="BN236" s="239">
        <v>-67845</v>
      </c>
      <c r="BO236" s="239">
        <v>-6784509</v>
      </c>
      <c r="BP236" s="239">
        <v>3742079</v>
      </c>
      <c r="BQ236" s="239">
        <v>3667237</v>
      </c>
      <c r="BR236" s="239">
        <v>0</v>
      </c>
      <c r="BS236" s="239">
        <v>74842</v>
      </c>
      <c r="BT236" s="239">
        <v>7484158</v>
      </c>
      <c r="BU236" s="239">
        <v>-3957009</v>
      </c>
      <c r="BV236" s="239">
        <v>-3877869</v>
      </c>
      <c r="BW236" s="239">
        <v>0</v>
      </c>
      <c r="BX236" s="239">
        <v>-79140</v>
      </c>
      <c r="BY236" s="239">
        <v>-7914018</v>
      </c>
      <c r="BZ236" s="239">
        <v>-3607185</v>
      </c>
      <c r="CA236" s="239">
        <v>-3535041</v>
      </c>
      <c r="CB236" s="239">
        <v>0</v>
      </c>
      <c r="CC236" s="239">
        <v>-72143</v>
      </c>
      <c r="CD236" s="239">
        <v>-7214369</v>
      </c>
      <c r="CE236" s="239">
        <v>2123551</v>
      </c>
      <c r="CF236" s="239">
        <v>2081079</v>
      </c>
      <c r="CG236" s="239">
        <v>0</v>
      </c>
      <c r="CH236" s="239">
        <v>42470</v>
      </c>
      <c r="CI236" s="239">
        <v>4247100</v>
      </c>
      <c r="CJ236" s="239">
        <v>1431818</v>
      </c>
      <c r="CK236" s="239">
        <v>1403182</v>
      </c>
      <c r="CL236" s="239">
        <v>0</v>
      </c>
      <c r="CM236" s="239">
        <v>28636</v>
      </c>
      <c r="CN236" s="239">
        <v>2863636</v>
      </c>
      <c r="CO236" s="239">
        <v>691733</v>
      </c>
      <c r="CP236" s="239">
        <v>677897</v>
      </c>
      <c r="CQ236" s="239">
        <v>0</v>
      </c>
      <c r="CR236" s="239">
        <v>13834</v>
      </c>
      <c r="CS236" s="239">
        <v>1383464</v>
      </c>
      <c r="CT236" s="239">
        <v>42470497</v>
      </c>
      <c r="CU236" s="239">
        <v>41621088</v>
      </c>
      <c r="CV236" s="239">
        <v>0</v>
      </c>
      <c r="CW236" s="239">
        <v>849410</v>
      </c>
      <c r="CX236" s="239">
        <v>84940995</v>
      </c>
      <c r="CY236" s="239">
        <v>38690463</v>
      </c>
      <c r="CZ236" s="239">
        <v>37916653</v>
      </c>
      <c r="DA236" s="239">
        <v>0</v>
      </c>
      <c r="DB236" s="239">
        <v>773809</v>
      </c>
      <c r="DC236" s="239">
        <v>77380925</v>
      </c>
      <c r="DD236" s="239">
        <v>-3780034</v>
      </c>
      <c r="DE236" s="239">
        <v>-3704435</v>
      </c>
      <c r="DF236" s="239">
        <v>0</v>
      </c>
      <c r="DG236" s="239">
        <v>-75601</v>
      </c>
      <c r="DH236" s="239">
        <v>-7560070</v>
      </c>
      <c r="DI236" s="239">
        <v>-3088301</v>
      </c>
      <c r="DJ236" s="239">
        <v>-3026538</v>
      </c>
      <c r="DK236" s="239">
        <v>0</v>
      </c>
      <c r="DL236" s="239">
        <v>-61767</v>
      </c>
      <c r="DM236" s="239">
        <v>-6176606</v>
      </c>
      <c r="DN236" s="835">
        <v>0.5</v>
      </c>
      <c r="DO236" s="835">
        <v>0.49</v>
      </c>
      <c r="DP236" s="835">
        <v>0</v>
      </c>
      <c r="DQ236" s="835">
        <v>0.01</v>
      </c>
      <c r="DR236" s="835">
        <v>1</v>
      </c>
      <c r="DS236" s="214" t="s">
        <v>746</v>
      </c>
      <c r="DU236" s="214">
        <v>0</v>
      </c>
    </row>
    <row r="237" spans="1:125" s="214" customFormat="1" x14ac:dyDescent="0.2">
      <c r="B237" s="602" t="s">
        <v>557</v>
      </c>
      <c r="C237" s="602" t="s">
        <v>556</v>
      </c>
      <c r="D237" s="239">
        <v>49918767</v>
      </c>
      <c r="E237" s="239">
        <v>48920391</v>
      </c>
      <c r="F237" s="239">
        <v>0</v>
      </c>
      <c r="G237" s="239">
        <v>998375</v>
      </c>
      <c r="H237" s="239">
        <v>99837533</v>
      </c>
      <c r="I237" s="239">
        <v>0</v>
      </c>
      <c r="J237" s="239">
        <v>0</v>
      </c>
      <c r="K237" s="239">
        <v>49918767</v>
      </c>
      <c r="L237" s="239">
        <v>207734</v>
      </c>
      <c r="M237" s="239">
        <v>207734</v>
      </c>
      <c r="N237" s="239">
        <v>0</v>
      </c>
      <c r="O237" s="239">
        <v>0</v>
      </c>
      <c r="P237" s="239">
        <v>0</v>
      </c>
      <c r="Q237" s="239">
        <v>0</v>
      </c>
      <c r="R237" s="239">
        <v>0</v>
      </c>
      <c r="S237" s="239">
        <v>0</v>
      </c>
      <c r="T237" s="239">
        <v>0</v>
      </c>
      <c r="U237" s="239">
        <v>0</v>
      </c>
      <c r="V237" s="239">
        <v>0</v>
      </c>
      <c r="W237" s="239">
        <v>0</v>
      </c>
      <c r="X237" s="239">
        <v>0</v>
      </c>
      <c r="Y237" s="239">
        <v>0</v>
      </c>
      <c r="Z237" s="239">
        <v>0</v>
      </c>
      <c r="AA237" s="239">
        <v>0</v>
      </c>
      <c r="AB237" s="239">
        <v>0</v>
      </c>
      <c r="AC237" s="239">
        <v>1858498</v>
      </c>
      <c r="AD237" s="239">
        <v>0</v>
      </c>
      <c r="AE237" s="239">
        <v>37927</v>
      </c>
      <c r="AF237" s="239">
        <v>1896425</v>
      </c>
      <c r="AG237" s="239">
        <v>2085886</v>
      </c>
      <c r="AH237" s="239">
        <v>2044169</v>
      </c>
      <c r="AI237" s="239">
        <v>0</v>
      </c>
      <c r="AJ237" s="239">
        <v>41718</v>
      </c>
      <c r="AK237" s="239">
        <v>4171773</v>
      </c>
      <c r="AL237" s="239">
        <v>-223316</v>
      </c>
      <c r="AM237" s="239">
        <v>-218849</v>
      </c>
      <c r="AN237" s="239">
        <v>0</v>
      </c>
      <c r="AO237" s="239">
        <v>-4466</v>
      </c>
      <c r="AP237" s="239">
        <v>-446631</v>
      </c>
      <c r="AQ237" s="239">
        <v>-1056256.8999999999</v>
      </c>
      <c r="AR237" s="239">
        <v>-1035131</v>
      </c>
      <c r="AS237" s="239">
        <v>0</v>
      </c>
      <c r="AT237" s="239">
        <v>-21125</v>
      </c>
      <c r="AU237" s="239">
        <v>-2112512.9</v>
      </c>
      <c r="AV237" s="239">
        <v>455360</v>
      </c>
      <c r="AW237" s="239">
        <v>446252</v>
      </c>
      <c r="AX237" s="239">
        <v>0</v>
      </c>
      <c r="AY237" s="239">
        <v>9107</v>
      </c>
      <c r="AZ237" s="239">
        <v>910719</v>
      </c>
      <c r="BA237" s="239">
        <v>-401243</v>
      </c>
      <c r="BB237" s="239">
        <v>-393218</v>
      </c>
      <c r="BC237" s="239">
        <v>0</v>
      </c>
      <c r="BD237" s="239">
        <v>-8025</v>
      </c>
      <c r="BE237" s="239">
        <v>-802486</v>
      </c>
      <c r="BF237" s="239">
        <v>-1002139.8999999999</v>
      </c>
      <c r="BG237" s="239">
        <v>-982097</v>
      </c>
      <c r="BH237" s="239">
        <v>0</v>
      </c>
      <c r="BI237" s="239">
        <v>-20043</v>
      </c>
      <c r="BJ237" s="239">
        <v>-2004279.9</v>
      </c>
      <c r="BK237" s="239">
        <v>-1030231</v>
      </c>
      <c r="BL237" s="239">
        <v>-1009626</v>
      </c>
      <c r="BM237" s="239">
        <v>0</v>
      </c>
      <c r="BN237" s="239">
        <v>-20605</v>
      </c>
      <c r="BO237" s="239">
        <v>-2060462</v>
      </c>
      <c r="BP237" s="239">
        <v>1574319</v>
      </c>
      <c r="BQ237" s="239">
        <v>1542832</v>
      </c>
      <c r="BR237" s="239">
        <v>0</v>
      </c>
      <c r="BS237" s="239">
        <v>31486</v>
      </c>
      <c r="BT237" s="239">
        <v>3148637</v>
      </c>
      <c r="BU237" s="239">
        <v>-2304745</v>
      </c>
      <c r="BV237" s="239">
        <v>-2258651</v>
      </c>
      <c r="BW237" s="239">
        <v>0</v>
      </c>
      <c r="BX237" s="239">
        <v>-46095</v>
      </c>
      <c r="BY237" s="239">
        <v>-4609491</v>
      </c>
      <c r="BZ237" s="239">
        <v>-1760657</v>
      </c>
      <c r="CA237" s="239">
        <v>-1725445</v>
      </c>
      <c r="CB237" s="239">
        <v>0</v>
      </c>
      <c r="CC237" s="239">
        <v>-35214</v>
      </c>
      <c r="CD237" s="239">
        <v>-3521316</v>
      </c>
      <c r="CE237" s="239">
        <v>-952947</v>
      </c>
      <c r="CF237" s="239">
        <v>-933887</v>
      </c>
      <c r="CG237" s="239">
        <v>0</v>
      </c>
      <c r="CH237" s="239">
        <v>-19059</v>
      </c>
      <c r="CI237" s="239">
        <v>-1905893</v>
      </c>
      <c r="CJ237" s="239">
        <v>-361396</v>
      </c>
      <c r="CK237" s="239">
        <v>-354168</v>
      </c>
      <c r="CL237" s="239">
        <v>0</v>
      </c>
      <c r="CM237" s="239">
        <v>-7228</v>
      </c>
      <c r="CN237" s="239">
        <v>-722792</v>
      </c>
      <c r="CO237" s="239">
        <v>-591551</v>
      </c>
      <c r="CP237" s="239">
        <v>-579719</v>
      </c>
      <c r="CQ237" s="239">
        <v>0</v>
      </c>
      <c r="CR237" s="239">
        <v>-11831</v>
      </c>
      <c r="CS237" s="239">
        <v>-1183101</v>
      </c>
      <c r="CT237" s="239">
        <v>50985199</v>
      </c>
      <c r="CU237" s="239">
        <v>49965496</v>
      </c>
      <c r="CV237" s="239">
        <v>0</v>
      </c>
      <c r="CW237" s="239">
        <v>1019704</v>
      </c>
      <c r="CX237" s="239">
        <v>101970399</v>
      </c>
      <c r="CY237" s="239">
        <v>49918767</v>
      </c>
      <c r="CZ237" s="239">
        <v>48920391</v>
      </c>
      <c r="DA237" s="239">
        <v>0</v>
      </c>
      <c r="DB237" s="239">
        <v>998375</v>
      </c>
      <c r="DC237" s="239">
        <v>99837533</v>
      </c>
      <c r="DD237" s="239">
        <v>-1066432</v>
      </c>
      <c r="DE237" s="239">
        <v>-1045105</v>
      </c>
      <c r="DF237" s="239">
        <v>0</v>
      </c>
      <c r="DG237" s="239">
        <v>-21329</v>
      </c>
      <c r="DH237" s="239">
        <v>-2132866</v>
      </c>
      <c r="DI237" s="239">
        <v>-1657983</v>
      </c>
      <c r="DJ237" s="239">
        <v>-1624824</v>
      </c>
      <c r="DK237" s="239">
        <v>0</v>
      </c>
      <c r="DL237" s="239">
        <v>-33160</v>
      </c>
      <c r="DM237" s="239">
        <v>-3315967</v>
      </c>
      <c r="DN237" s="835">
        <v>0.5</v>
      </c>
      <c r="DO237" s="835">
        <v>0.49</v>
      </c>
      <c r="DP237" s="835">
        <v>0</v>
      </c>
      <c r="DQ237" s="835">
        <v>0.01</v>
      </c>
      <c r="DR237" s="835">
        <v>1</v>
      </c>
      <c r="DS237" s="214" t="s">
        <v>746</v>
      </c>
      <c r="DU237" s="214">
        <v>0</v>
      </c>
    </row>
    <row r="238" spans="1:125" s="214" customFormat="1" x14ac:dyDescent="0.2">
      <c r="B238" s="602" t="s">
        <v>559</v>
      </c>
      <c r="C238" s="602" t="s">
        <v>558</v>
      </c>
      <c r="D238" s="239">
        <v>0</v>
      </c>
      <c r="E238" s="239">
        <v>104954139</v>
      </c>
      <c r="F238" s="239">
        <v>0</v>
      </c>
      <c r="G238" s="239">
        <v>1060143</v>
      </c>
      <c r="H238" s="239">
        <v>106014282</v>
      </c>
      <c r="I238" s="239">
        <v>0</v>
      </c>
      <c r="J238" s="239">
        <v>0</v>
      </c>
      <c r="K238" s="239">
        <v>0</v>
      </c>
      <c r="L238" s="239">
        <v>246543</v>
      </c>
      <c r="M238" s="239">
        <v>246543</v>
      </c>
      <c r="N238" s="239">
        <v>0</v>
      </c>
      <c r="O238" s="239">
        <v>0</v>
      </c>
      <c r="P238" s="239">
        <v>0</v>
      </c>
      <c r="Q238" s="239">
        <v>0</v>
      </c>
      <c r="R238" s="239">
        <v>0</v>
      </c>
      <c r="S238" s="239">
        <v>0</v>
      </c>
      <c r="T238" s="239">
        <v>0</v>
      </c>
      <c r="U238" s="239">
        <v>0</v>
      </c>
      <c r="V238" s="239">
        <v>0</v>
      </c>
      <c r="W238" s="239">
        <v>0</v>
      </c>
      <c r="X238" s="239">
        <v>0</v>
      </c>
      <c r="Y238" s="239">
        <v>0</v>
      </c>
      <c r="Z238" s="239">
        <v>0</v>
      </c>
      <c r="AA238" s="239">
        <v>0</v>
      </c>
      <c r="AB238" s="239">
        <v>0</v>
      </c>
      <c r="AC238" s="239">
        <v>4673129</v>
      </c>
      <c r="AD238" s="239">
        <v>0</v>
      </c>
      <c r="AE238" s="239">
        <v>47204</v>
      </c>
      <c r="AF238" s="239">
        <v>4720333</v>
      </c>
      <c r="AG238" s="239">
        <v>0</v>
      </c>
      <c r="AH238" s="239">
        <v>2815750</v>
      </c>
      <c r="AI238" s="239">
        <v>0</v>
      </c>
      <c r="AJ238" s="239">
        <v>28442</v>
      </c>
      <c r="AK238" s="239">
        <v>2844192</v>
      </c>
      <c r="AL238" s="239">
        <v>0</v>
      </c>
      <c r="AM238" s="239">
        <v>-4427173</v>
      </c>
      <c r="AN238" s="239">
        <v>0</v>
      </c>
      <c r="AO238" s="239">
        <v>-44719</v>
      </c>
      <c r="AP238" s="239">
        <v>-4471892</v>
      </c>
      <c r="AQ238" s="239">
        <v>0</v>
      </c>
      <c r="AR238" s="239">
        <v>-2008869</v>
      </c>
      <c r="AS238" s="239">
        <v>0</v>
      </c>
      <c r="AT238" s="239">
        <v>-20292</v>
      </c>
      <c r="AU238" s="239">
        <v>-2029161</v>
      </c>
      <c r="AV238" s="239">
        <v>0</v>
      </c>
      <c r="AW238" s="239">
        <v>756756</v>
      </c>
      <c r="AX238" s="239">
        <v>0</v>
      </c>
      <c r="AY238" s="239">
        <v>7644</v>
      </c>
      <c r="AZ238" s="239">
        <v>764400</v>
      </c>
      <c r="BA238" s="239">
        <v>0</v>
      </c>
      <c r="BB238" s="239">
        <v>-771182</v>
      </c>
      <c r="BC238" s="239">
        <v>0</v>
      </c>
      <c r="BD238" s="239">
        <v>-7790</v>
      </c>
      <c r="BE238" s="239">
        <v>-778972</v>
      </c>
      <c r="BF238" s="239">
        <v>0</v>
      </c>
      <c r="BG238" s="239">
        <v>-2023295</v>
      </c>
      <c r="BH238" s="239">
        <v>0</v>
      </c>
      <c r="BI238" s="239">
        <v>-20438</v>
      </c>
      <c r="BJ238" s="239">
        <v>-2043733</v>
      </c>
      <c r="BK238" s="239">
        <v>0</v>
      </c>
      <c r="BL238" s="239">
        <v>-13282881</v>
      </c>
      <c r="BM238" s="239">
        <v>0</v>
      </c>
      <c r="BN238" s="239">
        <v>-134171</v>
      </c>
      <c r="BO238" s="239">
        <v>-13417052</v>
      </c>
      <c r="BP238" s="239">
        <v>0</v>
      </c>
      <c r="BQ238" s="239">
        <v>4201815</v>
      </c>
      <c r="BR238" s="239">
        <v>0</v>
      </c>
      <c r="BS238" s="239">
        <v>42443</v>
      </c>
      <c r="BT238" s="239">
        <v>4244258</v>
      </c>
      <c r="BU238" s="239">
        <v>0</v>
      </c>
      <c r="BV238" s="239">
        <v>-6063928</v>
      </c>
      <c r="BW238" s="239">
        <v>0</v>
      </c>
      <c r="BX238" s="239">
        <v>-61252</v>
      </c>
      <c r="BY238" s="239">
        <v>-6125180</v>
      </c>
      <c r="BZ238" s="239">
        <v>0</v>
      </c>
      <c r="CA238" s="239">
        <v>-15144994</v>
      </c>
      <c r="CB238" s="239">
        <v>0</v>
      </c>
      <c r="CC238" s="239">
        <v>-152980</v>
      </c>
      <c r="CD238" s="239">
        <v>-15297974</v>
      </c>
      <c r="CE238" s="239">
        <v>-4158899.5</v>
      </c>
      <c r="CF238" s="239">
        <v>-4075719</v>
      </c>
      <c r="CG238" s="239">
        <v>0</v>
      </c>
      <c r="CH238" s="239">
        <v>-83177</v>
      </c>
      <c r="CI238" s="239">
        <v>-8317795.5</v>
      </c>
      <c r="CJ238" s="239">
        <v>-4539195</v>
      </c>
      <c r="CK238" s="239">
        <v>-4448411</v>
      </c>
      <c r="CL238" s="239">
        <v>0</v>
      </c>
      <c r="CM238" s="239">
        <v>-90784</v>
      </c>
      <c r="CN238" s="239">
        <v>-9078390</v>
      </c>
      <c r="CO238" s="239">
        <v>380295.5</v>
      </c>
      <c r="CP238" s="239">
        <v>372692</v>
      </c>
      <c r="CQ238" s="239">
        <v>0</v>
      </c>
      <c r="CR238" s="239">
        <v>7607</v>
      </c>
      <c r="CS238" s="239">
        <v>760594.5</v>
      </c>
      <c r="CT238" s="239">
        <v>0</v>
      </c>
      <c r="CU238" s="239">
        <v>105531714</v>
      </c>
      <c r="CV238" s="239">
        <v>0</v>
      </c>
      <c r="CW238" s="239">
        <v>1065977</v>
      </c>
      <c r="CX238" s="239">
        <v>106597691</v>
      </c>
      <c r="CY238" s="239">
        <v>0</v>
      </c>
      <c r="CZ238" s="239">
        <v>104954139</v>
      </c>
      <c r="DA238" s="239">
        <v>0</v>
      </c>
      <c r="DB238" s="239">
        <v>1060143</v>
      </c>
      <c r="DC238" s="239">
        <v>106014282</v>
      </c>
      <c r="DD238" s="239">
        <v>0</v>
      </c>
      <c r="DE238" s="239">
        <v>-577575</v>
      </c>
      <c r="DF238" s="239">
        <v>0</v>
      </c>
      <c r="DG238" s="239">
        <v>-5834</v>
      </c>
      <c r="DH238" s="239">
        <v>-583409</v>
      </c>
      <c r="DI238" s="239">
        <v>380295.5</v>
      </c>
      <c r="DJ238" s="239">
        <v>-204883</v>
      </c>
      <c r="DK238" s="239">
        <v>0</v>
      </c>
      <c r="DL238" s="239">
        <v>1773</v>
      </c>
      <c r="DM238" s="239">
        <v>177185.5</v>
      </c>
      <c r="DN238" s="835">
        <v>0</v>
      </c>
      <c r="DO238" s="835">
        <v>0.99</v>
      </c>
      <c r="DP238" s="835">
        <v>0</v>
      </c>
      <c r="DQ238" s="835">
        <v>0.01</v>
      </c>
      <c r="DR238" s="835">
        <v>1</v>
      </c>
      <c r="DS238" s="214" t="s">
        <v>1160</v>
      </c>
      <c r="DU238" s="214">
        <v>0</v>
      </c>
    </row>
    <row r="239" spans="1:125" s="214" customFormat="1" x14ac:dyDescent="0.2">
      <c r="B239" s="602" t="s">
        <v>561</v>
      </c>
      <c r="C239" s="602" t="s">
        <v>560</v>
      </c>
      <c r="D239" s="239">
        <v>16543208</v>
      </c>
      <c r="E239" s="239">
        <v>13234566</v>
      </c>
      <c r="F239" s="239">
        <v>2977777</v>
      </c>
      <c r="G239" s="239">
        <v>330864</v>
      </c>
      <c r="H239" s="239">
        <v>33086415</v>
      </c>
      <c r="I239" s="239">
        <v>0</v>
      </c>
      <c r="J239" s="239">
        <v>0</v>
      </c>
      <c r="K239" s="239">
        <v>16543208</v>
      </c>
      <c r="L239" s="239">
        <v>95679</v>
      </c>
      <c r="M239" s="239">
        <v>95679</v>
      </c>
      <c r="N239" s="239">
        <v>0</v>
      </c>
      <c r="O239" s="239">
        <v>0</v>
      </c>
      <c r="P239" s="239">
        <v>0</v>
      </c>
      <c r="Q239" s="239">
        <v>0</v>
      </c>
      <c r="R239" s="239">
        <v>0</v>
      </c>
      <c r="S239" s="239">
        <v>0</v>
      </c>
      <c r="T239" s="239">
        <v>0</v>
      </c>
      <c r="U239" s="239">
        <v>0</v>
      </c>
      <c r="V239" s="239">
        <v>0</v>
      </c>
      <c r="W239" s="239">
        <v>0</v>
      </c>
      <c r="X239" s="239">
        <v>0</v>
      </c>
      <c r="Y239" s="239">
        <v>0</v>
      </c>
      <c r="Z239" s="239">
        <v>0</v>
      </c>
      <c r="AA239" s="239">
        <v>0</v>
      </c>
      <c r="AB239" s="239">
        <v>0</v>
      </c>
      <c r="AC239" s="239">
        <v>754327</v>
      </c>
      <c r="AD239" s="239">
        <v>169725</v>
      </c>
      <c r="AE239" s="239">
        <v>18859</v>
      </c>
      <c r="AF239" s="239">
        <v>942911</v>
      </c>
      <c r="AG239" s="239">
        <v>895998</v>
      </c>
      <c r="AH239" s="239">
        <v>716798</v>
      </c>
      <c r="AI239" s="239">
        <v>161280</v>
      </c>
      <c r="AJ239" s="239">
        <v>17920</v>
      </c>
      <c r="AK239" s="239">
        <v>1791996</v>
      </c>
      <c r="AL239" s="239">
        <v>-355041</v>
      </c>
      <c r="AM239" s="239">
        <v>-284033</v>
      </c>
      <c r="AN239" s="239">
        <v>-63907</v>
      </c>
      <c r="AO239" s="239">
        <v>-7101</v>
      </c>
      <c r="AP239" s="239">
        <v>-710082</v>
      </c>
      <c r="AQ239" s="239">
        <v>-336000</v>
      </c>
      <c r="AR239" s="239">
        <v>-268800</v>
      </c>
      <c r="AS239" s="239">
        <v>-60480</v>
      </c>
      <c r="AT239" s="239">
        <v>-6720</v>
      </c>
      <c r="AU239" s="239">
        <v>-672000</v>
      </c>
      <c r="AV239" s="239">
        <v>30675</v>
      </c>
      <c r="AW239" s="239">
        <v>24539</v>
      </c>
      <c r="AX239" s="239">
        <v>5521</v>
      </c>
      <c r="AY239" s="239">
        <v>613</v>
      </c>
      <c r="AZ239" s="239">
        <v>61348</v>
      </c>
      <c r="BA239" s="239">
        <v>3325</v>
      </c>
      <c r="BB239" s="239">
        <v>2661</v>
      </c>
      <c r="BC239" s="239">
        <v>599</v>
      </c>
      <c r="BD239" s="239">
        <v>67</v>
      </c>
      <c r="BE239" s="239">
        <v>6652</v>
      </c>
      <c r="BF239" s="239">
        <v>-302000</v>
      </c>
      <c r="BG239" s="239">
        <v>-241600</v>
      </c>
      <c r="BH239" s="239">
        <v>-54360</v>
      </c>
      <c r="BI239" s="239">
        <v>-6040</v>
      </c>
      <c r="BJ239" s="239">
        <v>-604000</v>
      </c>
      <c r="BK239" s="239">
        <v>-2085595</v>
      </c>
      <c r="BL239" s="239">
        <v>-1668476</v>
      </c>
      <c r="BM239" s="239">
        <v>-375407</v>
      </c>
      <c r="BN239" s="239">
        <v>-41712</v>
      </c>
      <c r="BO239" s="239">
        <v>-4171190</v>
      </c>
      <c r="BP239" s="239">
        <v>227230</v>
      </c>
      <c r="BQ239" s="239">
        <v>181785</v>
      </c>
      <c r="BR239" s="239">
        <v>40902</v>
      </c>
      <c r="BS239" s="239">
        <v>4545</v>
      </c>
      <c r="BT239" s="239">
        <v>454462</v>
      </c>
      <c r="BU239" s="239">
        <v>-51929</v>
      </c>
      <c r="BV239" s="239">
        <v>-41543</v>
      </c>
      <c r="BW239" s="239">
        <v>-9347</v>
      </c>
      <c r="BX239" s="239">
        <v>-1039</v>
      </c>
      <c r="BY239" s="239">
        <v>-103858</v>
      </c>
      <c r="BZ239" s="239">
        <v>-1910294</v>
      </c>
      <c r="CA239" s="239">
        <v>-1528234</v>
      </c>
      <c r="CB239" s="239">
        <v>-343852</v>
      </c>
      <c r="CC239" s="239">
        <v>-38206</v>
      </c>
      <c r="CD239" s="239">
        <v>-3820586</v>
      </c>
      <c r="CE239" s="239">
        <v>-915553</v>
      </c>
      <c r="CF239" s="239">
        <v>-732443</v>
      </c>
      <c r="CG239" s="239">
        <v>-164800</v>
      </c>
      <c r="CH239" s="239">
        <v>-18310</v>
      </c>
      <c r="CI239" s="239">
        <v>-1831106</v>
      </c>
      <c r="CJ239" s="239">
        <v>-224901</v>
      </c>
      <c r="CK239" s="239">
        <v>-179920</v>
      </c>
      <c r="CL239" s="239">
        <v>-40482</v>
      </c>
      <c r="CM239" s="239">
        <v>-4498</v>
      </c>
      <c r="CN239" s="239">
        <v>-449801</v>
      </c>
      <c r="CO239" s="239">
        <v>-690652</v>
      </c>
      <c r="CP239" s="239">
        <v>-552523</v>
      </c>
      <c r="CQ239" s="239">
        <v>-124318</v>
      </c>
      <c r="CR239" s="239">
        <v>-13812</v>
      </c>
      <c r="CS239" s="239">
        <v>-1381305</v>
      </c>
      <c r="CT239" s="239">
        <v>15236172</v>
      </c>
      <c r="CU239" s="239">
        <v>12188938</v>
      </c>
      <c r="CV239" s="239">
        <v>2742511</v>
      </c>
      <c r="CW239" s="239">
        <v>304723</v>
      </c>
      <c r="CX239" s="239">
        <v>30472344</v>
      </c>
      <c r="CY239" s="239">
        <v>16543208</v>
      </c>
      <c r="CZ239" s="239">
        <v>13234566</v>
      </c>
      <c r="DA239" s="239">
        <v>2977777</v>
      </c>
      <c r="DB239" s="239">
        <v>330864</v>
      </c>
      <c r="DC239" s="239">
        <v>33086415</v>
      </c>
      <c r="DD239" s="239">
        <v>1307036</v>
      </c>
      <c r="DE239" s="239">
        <v>1045628</v>
      </c>
      <c r="DF239" s="239">
        <v>235266</v>
      </c>
      <c r="DG239" s="239">
        <v>26141</v>
      </c>
      <c r="DH239" s="239">
        <v>2614071</v>
      </c>
      <c r="DI239" s="239">
        <v>616384</v>
      </c>
      <c r="DJ239" s="239">
        <v>493105</v>
      </c>
      <c r="DK239" s="239">
        <v>110948</v>
      </c>
      <c r="DL239" s="239">
        <v>12329</v>
      </c>
      <c r="DM239" s="239">
        <v>1232766</v>
      </c>
      <c r="DN239" s="835">
        <v>0.5</v>
      </c>
      <c r="DO239" s="835">
        <v>0.4</v>
      </c>
      <c r="DP239" s="835">
        <v>0.09</v>
      </c>
      <c r="DQ239" s="835">
        <v>0.01</v>
      </c>
      <c r="DR239" s="835">
        <v>1</v>
      </c>
      <c r="DS239" s="214" t="s">
        <v>1158</v>
      </c>
      <c r="DU239" s="214">
        <v>0</v>
      </c>
    </row>
    <row r="240" spans="1:125" s="214" customFormat="1" x14ac:dyDescent="0.2">
      <c r="A240" s="215" t="s">
        <v>1667</v>
      </c>
      <c r="B240" s="602" t="s">
        <v>563</v>
      </c>
      <c r="C240" s="602" t="s">
        <v>562</v>
      </c>
      <c r="D240" s="239">
        <v>38852167</v>
      </c>
      <c r="E240" s="239">
        <v>31081734</v>
      </c>
      <c r="F240" s="239">
        <v>6993390</v>
      </c>
      <c r="G240" s="239">
        <v>777043</v>
      </c>
      <c r="H240" s="239">
        <v>77704334</v>
      </c>
      <c r="I240" s="239">
        <v>1277058</v>
      </c>
      <c r="J240" s="239">
        <v>1277058</v>
      </c>
      <c r="K240" s="239">
        <v>37575109</v>
      </c>
      <c r="L240" s="239">
        <v>229729</v>
      </c>
      <c r="M240" s="239">
        <v>229729</v>
      </c>
      <c r="N240" s="239">
        <v>560807</v>
      </c>
      <c r="O240" s="239">
        <v>560807</v>
      </c>
      <c r="P240" s="239">
        <v>981382</v>
      </c>
      <c r="Q240" s="239">
        <v>0</v>
      </c>
      <c r="R240" s="239">
        <v>981382</v>
      </c>
      <c r="S240" s="239">
        <v>0</v>
      </c>
      <c r="T240" s="239">
        <v>0</v>
      </c>
      <c r="U240" s="239">
        <v>0</v>
      </c>
      <c r="V240" s="239">
        <v>0</v>
      </c>
      <c r="W240" s="239">
        <v>1021646.4</v>
      </c>
      <c r="X240" s="239">
        <v>229870.44</v>
      </c>
      <c r="Y240" s="239">
        <v>25541.16</v>
      </c>
      <c r="Z240" s="239">
        <v>1277058</v>
      </c>
      <c r="AA240" s="239">
        <v>0</v>
      </c>
      <c r="AB240" s="239">
        <v>0</v>
      </c>
      <c r="AC240" s="239">
        <v>2122847</v>
      </c>
      <c r="AD240" s="239">
        <v>452475</v>
      </c>
      <c r="AE240" s="239">
        <v>50274</v>
      </c>
      <c r="AF240" s="239">
        <v>2625596</v>
      </c>
      <c r="AG240" s="239">
        <v>371447</v>
      </c>
      <c r="AH240" s="239">
        <v>297158</v>
      </c>
      <c r="AI240" s="239">
        <v>66861</v>
      </c>
      <c r="AJ240" s="239">
        <v>7429</v>
      </c>
      <c r="AK240" s="239">
        <v>742895</v>
      </c>
      <c r="AL240" s="239">
        <v>-1005242</v>
      </c>
      <c r="AM240" s="239">
        <v>-804193</v>
      </c>
      <c r="AN240" s="239">
        <v>-180943</v>
      </c>
      <c r="AO240" s="239">
        <v>-20105</v>
      </c>
      <c r="AP240" s="239">
        <v>-2010483</v>
      </c>
      <c r="AQ240" s="239">
        <v>-100000</v>
      </c>
      <c r="AR240" s="239">
        <v>-80000</v>
      </c>
      <c r="AS240" s="239">
        <v>-18000</v>
      </c>
      <c r="AT240" s="239">
        <v>-2000</v>
      </c>
      <c r="AU240" s="239">
        <v>-200000</v>
      </c>
      <c r="AV240" s="239">
        <v>0</v>
      </c>
      <c r="AW240" s="239">
        <v>0</v>
      </c>
      <c r="AX240" s="239">
        <v>0</v>
      </c>
      <c r="AY240" s="239">
        <v>0</v>
      </c>
      <c r="AZ240" s="239">
        <v>0</v>
      </c>
      <c r="BA240" s="239">
        <v>-279</v>
      </c>
      <c r="BB240" s="239">
        <v>-224</v>
      </c>
      <c r="BC240" s="239">
        <v>-50</v>
      </c>
      <c r="BD240" s="239">
        <v>-6</v>
      </c>
      <c r="BE240" s="239">
        <v>-559</v>
      </c>
      <c r="BF240" s="239">
        <v>-100279</v>
      </c>
      <c r="BG240" s="239">
        <v>-80224</v>
      </c>
      <c r="BH240" s="239">
        <v>-18050</v>
      </c>
      <c r="BI240" s="239">
        <v>-2006</v>
      </c>
      <c r="BJ240" s="239">
        <v>-200559</v>
      </c>
      <c r="BK240" s="239">
        <v>-3534086</v>
      </c>
      <c r="BL240" s="239">
        <v>-2827269</v>
      </c>
      <c r="BM240" s="239">
        <v>-636135</v>
      </c>
      <c r="BN240" s="239">
        <v>-70682</v>
      </c>
      <c r="BO240" s="239">
        <v>-7068172</v>
      </c>
      <c r="BP240" s="239">
        <v>363224</v>
      </c>
      <c r="BQ240" s="239">
        <v>290580</v>
      </c>
      <c r="BR240" s="239">
        <v>65381</v>
      </c>
      <c r="BS240" s="239">
        <v>7265</v>
      </c>
      <c r="BT240" s="239">
        <v>726450</v>
      </c>
      <c r="BU240" s="239">
        <v>-379912</v>
      </c>
      <c r="BV240" s="239">
        <v>-303929</v>
      </c>
      <c r="BW240" s="239">
        <v>-68384</v>
      </c>
      <c r="BX240" s="239">
        <v>-7598</v>
      </c>
      <c r="BY240" s="239">
        <v>-759823</v>
      </c>
      <c r="BZ240" s="239">
        <v>-3550774</v>
      </c>
      <c r="CA240" s="239">
        <v>-2840618</v>
      </c>
      <c r="CB240" s="239">
        <v>-639138</v>
      </c>
      <c r="CC240" s="239">
        <v>-71015</v>
      </c>
      <c r="CD240" s="239">
        <v>-7101545</v>
      </c>
      <c r="CE240" s="239">
        <v>1239582</v>
      </c>
      <c r="CF240" s="239">
        <v>991664</v>
      </c>
      <c r="CG240" s="239">
        <v>223124</v>
      </c>
      <c r="CH240" s="239">
        <v>24792</v>
      </c>
      <c r="CI240" s="239">
        <v>2479162</v>
      </c>
      <c r="CJ240" s="239">
        <v>1896974</v>
      </c>
      <c r="CK240" s="239">
        <v>1517578</v>
      </c>
      <c r="CL240" s="239">
        <v>341455</v>
      </c>
      <c r="CM240" s="239">
        <v>37939</v>
      </c>
      <c r="CN240" s="239">
        <v>3793946</v>
      </c>
      <c r="CO240" s="239">
        <v>-657392</v>
      </c>
      <c r="CP240" s="239">
        <v>-525914</v>
      </c>
      <c r="CQ240" s="239">
        <v>-118331</v>
      </c>
      <c r="CR240" s="239">
        <v>-13147</v>
      </c>
      <c r="CS240" s="239">
        <v>-1314784</v>
      </c>
      <c r="CT240" s="239">
        <v>34222641</v>
      </c>
      <c r="CU240" s="239">
        <v>27378112</v>
      </c>
      <c r="CV240" s="239">
        <v>6160075</v>
      </c>
      <c r="CW240" s="239">
        <v>684453</v>
      </c>
      <c r="CX240" s="239">
        <v>68445281</v>
      </c>
      <c r="CY240" s="239">
        <v>38852167</v>
      </c>
      <c r="CZ240" s="239">
        <v>31081734</v>
      </c>
      <c r="DA240" s="239">
        <v>6993390</v>
      </c>
      <c r="DB240" s="239">
        <v>777043</v>
      </c>
      <c r="DC240" s="239">
        <v>77704334</v>
      </c>
      <c r="DD240" s="239">
        <v>4629526</v>
      </c>
      <c r="DE240" s="239">
        <v>3703622</v>
      </c>
      <c r="DF240" s="239">
        <v>833315</v>
      </c>
      <c r="DG240" s="239">
        <v>92590</v>
      </c>
      <c r="DH240" s="239">
        <v>9259053</v>
      </c>
      <c r="DI240" s="239">
        <v>3972134</v>
      </c>
      <c r="DJ240" s="239">
        <v>3177708</v>
      </c>
      <c r="DK240" s="239">
        <v>714984</v>
      </c>
      <c r="DL240" s="239">
        <v>79443</v>
      </c>
      <c r="DM240" s="239">
        <v>7944269</v>
      </c>
      <c r="DN240" s="835">
        <v>0.5</v>
      </c>
      <c r="DO240" s="835">
        <v>0.4</v>
      </c>
      <c r="DP240" s="835">
        <v>0.09</v>
      </c>
      <c r="DQ240" s="835">
        <v>0.01</v>
      </c>
      <c r="DR240" s="835">
        <v>1</v>
      </c>
      <c r="DS240" s="214" t="s">
        <v>1158</v>
      </c>
      <c r="DU240" s="214">
        <v>0</v>
      </c>
    </row>
    <row r="241" spans="2:125" s="214" customFormat="1" x14ac:dyDescent="0.2">
      <c r="B241" s="602" t="s">
        <v>565</v>
      </c>
      <c r="C241" s="602" t="s">
        <v>564</v>
      </c>
      <c r="D241" s="239">
        <v>12619574</v>
      </c>
      <c r="E241" s="239">
        <v>10095660</v>
      </c>
      <c r="F241" s="239">
        <v>2271524</v>
      </c>
      <c r="G241" s="239">
        <v>252392</v>
      </c>
      <c r="H241" s="239">
        <v>25239150</v>
      </c>
      <c r="I241" s="239">
        <v>0</v>
      </c>
      <c r="J241" s="239">
        <v>0</v>
      </c>
      <c r="K241" s="239">
        <v>12619574</v>
      </c>
      <c r="L241" s="239">
        <v>90800</v>
      </c>
      <c r="M241" s="239">
        <v>90800</v>
      </c>
      <c r="N241" s="239">
        <v>0</v>
      </c>
      <c r="O241" s="239">
        <v>0</v>
      </c>
      <c r="P241" s="239">
        <v>0</v>
      </c>
      <c r="Q241" s="239">
        <v>0</v>
      </c>
      <c r="R241" s="239">
        <v>0</v>
      </c>
      <c r="S241" s="239">
        <v>0</v>
      </c>
      <c r="T241" s="239">
        <v>0</v>
      </c>
      <c r="U241" s="239">
        <v>0</v>
      </c>
      <c r="V241" s="239">
        <v>0</v>
      </c>
      <c r="W241" s="239">
        <v>0</v>
      </c>
      <c r="X241" s="239">
        <v>0</v>
      </c>
      <c r="Y241" s="239">
        <v>0</v>
      </c>
      <c r="Z241" s="239">
        <v>0</v>
      </c>
      <c r="AA241" s="239">
        <v>0</v>
      </c>
      <c r="AB241" s="239">
        <v>0</v>
      </c>
      <c r="AC241" s="239">
        <v>914941</v>
      </c>
      <c r="AD241" s="239">
        <v>205863</v>
      </c>
      <c r="AE241" s="239">
        <v>22874</v>
      </c>
      <c r="AF241" s="239">
        <v>1143678</v>
      </c>
      <c r="AG241" s="239">
        <v>1057125</v>
      </c>
      <c r="AH241" s="239">
        <v>845699</v>
      </c>
      <c r="AI241" s="239">
        <v>190282</v>
      </c>
      <c r="AJ241" s="239">
        <v>21142</v>
      </c>
      <c r="AK241" s="239">
        <v>2114248</v>
      </c>
      <c r="AL241" s="239">
        <v>-304560</v>
      </c>
      <c r="AM241" s="239">
        <v>-243648</v>
      </c>
      <c r="AN241" s="239">
        <v>-54821</v>
      </c>
      <c r="AO241" s="239">
        <v>-6091</v>
      </c>
      <c r="AP241" s="239">
        <v>-609120</v>
      </c>
      <c r="AQ241" s="239">
        <v>-621043</v>
      </c>
      <c r="AR241" s="239">
        <v>-496835</v>
      </c>
      <c r="AS241" s="239">
        <v>-111788</v>
      </c>
      <c r="AT241" s="239">
        <v>-12421</v>
      </c>
      <c r="AU241" s="239">
        <v>-1242087</v>
      </c>
      <c r="AV241" s="239">
        <v>145472</v>
      </c>
      <c r="AW241" s="239">
        <v>116378</v>
      </c>
      <c r="AX241" s="239">
        <v>26185</v>
      </c>
      <c r="AY241" s="239">
        <v>2909</v>
      </c>
      <c r="AZ241" s="239">
        <v>290944</v>
      </c>
      <c r="BA241" s="239">
        <v>-72581</v>
      </c>
      <c r="BB241" s="239">
        <v>-58065</v>
      </c>
      <c r="BC241" s="239">
        <v>-13065</v>
      </c>
      <c r="BD241" s="239">
        <v>-1452</v>
      </c>
      <c r="BE241" s="239">
        <v>-145163</v>
      </c>
      <c r="BF241" s="239">
        <v>-548152</v>
      </c>
      <c r="BG241" s="239">
        <v>-438522</v>
      </c>
      <c r="BH241" s="239">
        <v>-98668</v>
      </c>
      <c r="BI241" s="239">
        <v>-10964</v>
      </c>
      <c r="BJ241" s="239">
        <v>-1096306</v>
      </c>
      <c r="BK241" s="239">
        <v>-1240843</v>
      </c>
      <c r="BL241" s="239">
        <v>-992675</v>
      </c>
      <c r="BM241" s="239">
        <v>-223352</v>
      </c>
      <c r="BN241" s="239">
        <v>-24817</v>
      </c>
      <c r="BO241" s="239">
        <v>-2481687</v>
      </c>
      <c r="BP241" s="239">
        <v>0</v>
      </c>
      <c r="BQ241" s="239">
        <v>0</v>
      </c>
      <c r="BR241" s="239">
        <v>0</v>
      </c>
      <c r="BS241" s="239">
        <v>0</v>
      </c>
      <c r="BT241" s="239">
        <v>0</v>
      </c>
      <c r="BU241" s="239">
        <v>213901</v>
      </c>
      <c r="BV241" s="239">
        <v>171121</v>
      </c>
      <c r="BW241" s="239">
        <v>38502</v>
      </c>
      <c r="BX241" s="239">
        <v>4278</v>
      </c>
      <c r="BY241" s="239">
        <v>427802</v>
      </c>
      <c r="BZ241" s="239">
        <v>-1026942</v>
      </c>
      <c r="CA241" s="239">
        <v>-821554</v>
      </c>
      <c r="CB241" s="239">
        <v>-184850</v>
      </c>
      <c r="CC241" s="239">
        <v>-20539</v>
      </c>
      <c r="CD241" s="239">
        <v>-2053885</v>
      </c>
      <c r="CE241" s="239">
        <v>-669673</v>
      </c>
      <c r="CF241" s="239">
        <v>-535740</v>
      </c>
      <c r="CG241" s="239">
        <v>-120541</v>
      </c>
      <c r="CH241" s="239">
        <v>-13393</v>
      </c>
      <c r="CI241" s="239">
        <v>-1339347</v>
      </c>
      <c r="CJ241" s="239">
        <v>-356140</v>
      </c>
      <c r="CK241" s="239">
        <v>-284912</v>
      </c>
      <c r="CL241" s="239">
        <v>-64105</v>
      </c>
      <c r="CM241" s="239">
        <v>-7123</v>
      </c>
      <c r="CN241" s="239">
        <v>-712280</v>
      </c>
      <c r="CO241" s="239">
        <v>-313533</v>
      </c>
      <c r="CP241" s="239">
        <v>-250828</v>
      </c>
      <c r="CQ241" s="239">
        <v>-56436</v>
      </c>
      <c r="CR241" s="239">
        <v>-6270</v>
      </c>
      <c r="CS241" s="239">
        <v>-627067</v>
      </c>
      <c r="CT241" s="239">
        <v>12402233</v>
      </c>
      <c r="CU241" s="239">
        <v>9921786</v>
      </c>
      <c r="CV241" s="239">
        <v>2232402</v>
      </c>
      <c r="CW241" s="239">
        <v>248045</v>
      </c>
      <c r="CX241" s="239">
        <v>24804466</v>
      </c>
      <c r="CY241" s="239">
        <v>12619574</v>
      </c>
      <c r="CZ241" s="239">
        <v>10095660</v>
      </c>
      <c r="DA241" s="239">
        <v>2271524</v>
      </c>
      <c r="DB241" s="239">
        <v>252392</v>
      </c>
      <c r="DC241" s="239">
        <v>25239150</v>
      </c>
      <c r="DD241" s="239">
        <v>217341</v>
      </c>
      <c r="DE241" s="239">
        <v>173874</v>
      </c>
      <c r="DF241" s="239">
        <v>39122</v>
      </c>
      <c r="DG241" s="239">
        <v>4347</v>
      </c>
      <c r="DH241" s="239">
        <v>434684</v>
      </c>
      <c r="DI241" s="239">
        <v>-96192</v>
      </c>
      <c r="DJ241" s="239">
        <v>-76954</v>
      </c>
      <c r="DK241" s="239">
        <v>-17314</v>
      </c>
      <c r="DL241" s="239">
        <v>-1923</v>
      </c>
      <c r="DM241" s="239">
        <v>-192383</v>
      </c>
      <c r="DN241" s="835">
        <v>0.5</v>
      </c>
      <c r="DO241" s="835">
        <v>0.4</v>
      </c>
      <c r="DP241" s="835">
        <v>0.09</v>
      </c>
      <c r="DQ241" s="835">
        <v>0.01</v>
      </c>
      <c r="DR241" s="835">
        <v>1</v>
      </c>
      <c r="DS241" s="214" t="s">
        <v>1158</v>
      </c>
      <c r="DU241" s="214">
        <v>0</v>
      </c>
    </row>
    <row r="242" spans="2:125" s="214" customFormat="1" x14ac:dyDescent="0.2">
      <c r="B242" s="602" t="s">
        <v>567</v>
      </c>
      <c r="C242" s="602" t="s">
        <v>566</v>
      </c>
      <c r="D242" s="239">
        <v>0</v>
      </c>
      <c r="E242" s="239">
        <v>119120685</v>
      </c>
      <c r="F242" s="239">
        <v>6336207</v>
      </c>
      <c r="G242" s="239">
        <v>1267241</v>
      </c>
      <c r="H242" s="239">
        <v>126724133</v>
      </c>
      <c r="I242" s="239">
        <v>0</v>
      </c>
      <c r="J242" s="239">
        <v>0</v>
      </c>
      <c r="K242" s="239">
        <v>0</v>
      </c>
      <c r="L242" s="239">
        <v>333796</v>
      </c>
      <c r="M242" s="239">
        <v>333796</v>
      </c>
      <c r="N242" s="239">
        <v>9162958</v>
      </c>
      <c r="O242" s="239">
        <v>9162958</v>
      </c>
      <c r="P242" s="239">
        <v>556346</v>
      </c>
      <c r="Q242" s="239">
        <v>0</v>
      </c>
      <c r="R242" s="239">
        <v>556346</v>
      </c>
      <c r="S242" s="239">
        <v>0</v>
      </c>
      <c r="T242" s="239">
        <v>0</v>
      </c>
      <c r="U242" s="239">
        <v>0</v>
      </c>
      <c r="V242" s="239">
        <v>0</v>
      </c>
      <c r="W242" s="239">
        <v>0</v>
      </c>
      <c r="X242" s="239">
        <v>0</v>
      </c>
      <c r="Y242" s="239">
        <v>0</v>
      </c>
      <c r="Z242" s="239">
        <v>0</v>
      </c>
      <c r="AA242" s="239">
        <v>0</v>
      </c>
      <c r="AB242" s="239">
        <v>0</v>
      </c>
      <c r="AC242" s="239">
        <v>6309226</v>
      </c>
      <c r="AD242" s="239">
        <v>326504</v>
      </c>
      <c r="AE242" s="239">
        <v>65302</v>
      </c>
      <c r="AF242" s="239">
        <v>6701032</v>
      </c>
      <c r="AG242" s="239">
        <v>0</v>
      </c>
      <c r="AH242" s="239">
        <v>2405834</v>
      </c>
      <c r="AI242" s="239">
        <v>127970</v>
      </c>
      <c r="AJ242" s="239">
        <v>25594</v>
      </c>
      <c r="AK242" s="239">
        <v>2559398</v>
      </c>
      <c r="AL242" s="239">
        <v>0</v>
      </c>
      <c r="AM242" s="239">
        <v>-3275589</v>
      </c>
      <c r="AN242" s="239">
        <v>-174233</v>
      </c>
      <c r="AO242" s="239">
        <v>-34847</v>
      </c>
      <c r="AP242" s="239">
        <v>-3484669</v>
      </c>
      <c r="AQ242" s="239">
        <v>0</v>
      </c>
      <c r="AR242" s="239">
        <v>-307485</v>
      </c>
      <c r="AS242" s="239">
        <v>-16356</v>
      </c>
      <c r="AT242" s="239">
        <v>-3271</v>
      </c>
      <c r="AU242" s="239">
        <v>-327112</v>
      </c>
      <c r="AV242" s="239">
        <v>0</v>
      </c>
      <c r="AW242" s="239">
        <v>136965</v>
      </c>
      <c r="AX242" s="239">
        <v>7285</v>
      </c>
      <c r="AY242" s="239">
        <v>1457</v>
      </c>
      <c r="AZ242" s="239">
        <v>145707</v>
      </c>
      <c r="BA242" s="239">
        <v>0</v>
      </c>
      <c r="BB242" s="239">
        <v>-252479</v>
      </c>
      <c r="BC242" s="239">
        <v>-13430</v>
      </c>
      <c r="BD242" s="239">
        <v>-2686</v>
      </c>
      <c r="BE242" s="239">
        <v>-268595</v>
      </c>
      <c r="BF242" s="239">
        <v>0</v>
      </c>
      <c r="BG242" s="239">
        <v>-422999</v>
      </c>
      <c r="BH242" s="239">
        <v>-22501</v>
      </c>
      <c r="BI242" s="239">
        <v>-4500</v>
      </c>
      <c r="BJ242" s="239">
        <v>-450000</v>
      </c>
      <c r="BK242" s="239">
        <v>0</v>
      </c>
      <c r="BL242" s="239">
        <v>-16446226</v>
      </c>
      <c r="BM242" s="239">
        <v>-874799</v>
      </c>
      <c r="BN242" s="239">
        <v>-174960</v>
      </c>
      <c r="BO242" s="239">
        <v>-17495985</v>
      </c>
      <c r="BP242" s="239">
        <v>0</v>
      </c>
      <c r="BQ242" s="239">
        <v>1731982</v>
      </c>
      <c r="BR242" s="239">
        <v>92127</v>
      </c>
      <c r="BS242" s="239">
        <v>18425</v>
      </c>
      <c r="BT242" s="239">
        <v>1842534</v>
      </c>
      <c r="BU242" s="239">
        <v>0</v>
      </c>
      <c r="BV242" s="239">
        <v>-4957312</v>
      </c>
      <c r="BW242" s="239">
        <v>-263687</v>
      </c>
      <c r="BX242" s="239">
        <v>-52737</v>
      </c>
      <c r="BY242" s="239">
        <v>-5273736</v>
      </c>
      <c r="BZ242" s="239">
        <v>0</v>
      </c>
      <c r="CA242" s="239">
        <v>-19671556</v>
      </c>
      <c r="CB242" s="239">
        <v>-1046359</v>
      </c>
      <c r="CC242" s="239">
        <v>-209272</v>
      </c>
      <c r="CD242" s="239">
        <v>-20927187</v>
      </c>
      <c r="CE242" s="239">
        <v>-6808468</v>
      </c>
      <c r="CF242" s="239">
        <v>-6672298.6399999997</v>
      </c>
      <c r="CG242" s="239">
        <v>0</v>
      </c>
      <c r="CH242" s="239">
        <v>-136169</v>
      </c>
      <c r="CI242" s="239">
        <v>-13616936</v>
      </c>
      <c r="CJ242" s="239">
        <v>-6501163</v>
      </c>
      <c r="CK242" s="239">
        <v>-6371139</v>
      </c>
      <c r="CL242" s="239">
        <v>0</v>
      </c>
      <c r="CM242" s="239">
        <v>-130023</v>
      </c>
      <c r="CN242" s="239">
        <v>-13002325</v>
      </c>
      <c r="CO242" s="239">
        <v>-307305</v>
      </c>
      <c r="CP242" s="239">
        <v>-301159.63999999966</v>
      </c>
      <c r="CQ242" s="239">
        <v>0</v>
      </c>
      <c r="CR242" s="239">
        <v>-6146</v>
      </c>
      <c r="CS242" s="239">
        <v>-614611</v>
      </c>
      <c r="CT242" s="239">
        <v>0</v>
      </c>
      <c r="CU242" s="239">
        <v>124156778</v>
      </c>
      <c r="CV242" s="239">
        <v>6604084</v>
      </c>
      <c r="CW242" s="239">
        <v>1320817</v>
      </c>
      <c r="CX242" s="239">
        <v>132081679</v>
      </c>
      <c r="CY242" s="239">
        <v>0</v>
      </c>
      <c r="CZ242" s="239">
        <v>119120685</v>
      </c>
      <c r="DA242" s="239">
        <v>6336207</v>
      </c>
      <c r="DB242" s="239">
        <v>1267241</v>
      </c>
      <c r="DC242" s="239">
        <v>126724133</v>
      </c>
      <c r="DD242" s="239">
        <v>0</v>
      </c>
      <c r="DE242" s="239">
        <v>-5036093</v>
      </c>
      <c r="DF242" s="239">
        <v>-267877</v>
      </c>
      <c r="DG242" s="239">
        <v>-53576</v>
      </c>
      <c r="DH242" s="239">
        <v>-5357546</v>
      </c>
      <c r="DI242" s="239">
        <v>-307305</v>
      </c>
      <c r="DJ242" s="239">
        <v>-5337252.6399999997</v>
      </c>
      <c r="DK242" s="239">
        <v>-267877</v>
      </c>
      <c r="DL242" s="239">
        <v>-59722</v>
      </c>
      <c r="DM242" s="239">
        <v>-5972157</v>
      </c>
      <c r="DN242" s="835">
        <v>0</v>
      </c>
      <c r="DO242" s="835">
        <v>0.94</v>
      </c>
      <c r="DP242" s="835">
        <v>0.05</v>
      </c>
      <c r="DQ242" s="835">
        <v>0.01</v>
      </c>
      <c r="DR242" s="835">
        <v>1</v>
      </c>
      <c r="DS242" s="214" t="s">
        <v>746</v>
      </c>
      <c r="DU242" s="214">
        <v>0</v>
      </c>
    </row>
    <row r="243" spans="2:125" s="214" customFormat="1" x14ac:dyDescent="0.2">
      <c r="B243" s="602" t="s">
        <v>569</v>
      </c>
      <c r="C243" s="602" t="s">
        <v>568</v>
      </c>
      <c r="D243" s="239">
        <v>13338502</v>
      </c>
      <c r="E243" s="239">
        <v>10670801</v>
      </c>
      <c r="F243" s="239">
        <v>2400930</v>
      </c>
      <c r="G243" s="239">
        <v>266770</v>
      </c>
      <c r="H243" s="239">
        <v>26677003</v>
      </c>
      <c r="I243" s="239">
        <v>0</v>
      </c>
      <c r="J243" s="239">
        <v>0</v>
      </c>
      <c r="K243" s="239">
        <v>13338502</v>
      </c>
      <c r="L243" s="239">
        <v>205674</v>
      </c>
      <c r="M243" s="239">
        <v>205674</v>
      </c>
      <c r="N243" s="239">
        <v>0</v>
      </c>
      <c r="O243" s="239">
        <v>0</v>
      </c>
      <c r="P243" s="239">
        <v>0</v>
      </c>
      <c r="Q243" s="239">
        <v>0</v>
      </c>
      <c r="R243" s="239">
        <v>0</v>
      </c>
      <c r="S243" s="239">
        <v>0</v>
      </c>
      <c r="T243" s="239">
        <v>0</v>
      </c>
      <c r="U243" s="239">
        <v>0</v>
      </c>
      <c r="V243" s="239">
        <v>0</v>
      </c>
      <c r="W243" s="239">
        <v>0</v>
      </c>
      <c r="X243" s="239">
        <v>0</v>
      </c>
      <c r="Y243" s="239">
        <v>0</v>
      </c>
      <c r="Z243" s="239">
        <v>0</v>
      </c>
      <c r="AA243" s="239">
        <v>0</v>
      </c>
      <c r="AB243" s="239">
        <v>0</v>
      </c>
      <c r="AC243" s="239">
        <v>2049124</v>
      </c>
      <c r="AD243" s="239">
        <v>461053</v>
      </c>
      <c r="AE243" s="239">
        <v>51228</v>
      </c>
      <c r="AF243" s="239">
        <v>2561405</v>
      </c>
      <c r="AG243" s="239">
        <v>864017</v>
      </c>
      <c r="AH243" s="239">
        <v>691214</v>
      </c>
      <c r="AI243" s="239">
        <v>155523</v>
      </c>
      <c r="AJ243" s="239">
        <v>17280</v>
      </c>
      <c r="AK243" s="239">
        <v>1728034</v>
      </c>
      <c r="AL243" s="239">
        <v>-383066</v>
      </c>
      <c r="AM243" s="239">
        <v>-306453</v>
      </c>
      <c r="AN243" s="239">
        <v>-68952</v>
      </c>
      <c r="AO243" s="239">
        <v>-7661</v>
      </c>
      <c r="AP243" s="239">
        <v>-766132</v>
      </c>
      <c r="AQ243" s="239">
        <v>-319119</v>
      </c>
      <c r="AR243" s="239">
        <v>-255296</v>
      </c>
      <c r="AS243" s="239">
        <v>-57442</v>
      </c>
      <c r="AT243" s="239">
        <v>-6382</v>
      </c>
      <c r="AU243" s="239">
        <v>-638239</v>
      </c>
      <c r="AV243" s="239">
        <v>5552</v>
      </c>
      <c r="AW243" s="239">
        <v>4441</v>
      </c>
      <c r="AX243" s="239">
        <v>999</v>
      </c>
      <c r="AY243" s="239">
        <v>111</v>
      </c>
      <c r="AZ243" s="239">
        <v>11103</v>
      </c>
      <c r="BA243" s="239">
        <v>65453</v>
      </c>
      <c r="BB243" s="239">
        <v>52362</v>
      </c>
      <c r="BC243" s="239">
        <v>11782</v>
      </c>
      <c r="BD243" s="239">
        <v>1309</v>
      </c>
      <c r="BE243" s="239">
        <v>130906</v>
      </c>
      <c r="BF243" s="239">
        <v>-248114</v>
      </c>
      <c r="BG243" s="239">
        <v>-198493</v>
      </c>
      <c r="BH243" s="239">
        <v>-44661</v>
      </c>
      <c r="BI243" s="239">
        <v>-4962</v>
      </c>
      <c r="BJ243" s="239">
        <v>-496230</v>
      </c>
      <c r="BK243" s="239">
        <v>-948341</v>
      </c>
      <c r="BL243" s="239">
        <v>-758673</v>
      </c>
      <c r="BM243" s="239">
        <v>-170701</v>
      </c>
      <c r="BN243" s="239">
        <v>-18967</v>
      </c>
      <c r="BO243" s="239">
        <v>-1896682</v>
      </c>
      <c r="BP243" s="239">
        <v>395225</v>
      </c>
      <c r="BQ243" s="239">
        <v>316180</v>
      </c>
      <c r="BR243" s="239">
        <v>71140</v>
      </c>
      <c r="BS243" s="239">
        <v>7904</v>
      </c>
      <c r="BT243" s="239">
        <v>790449</v>
      </c>
      <c r="BU243" s="239">
        <v>-1692041</v>
      </c>
      <c r="BV243" s="239">
        <v>-1353633</v>
      </c>
      <c r="BW243" s="239">
        <v>-304567</v>
      </c>
      <c r="BX243" s="239">
        <v>-33841</v>
      </c>
      <c r="BY243" s="239">
        <v>-3384082</v>
      </c>
      <c r="BZ243" s="239">
        <v>-2245157</v>
      </c>
      <c r="CA243" s="239">
        <v>-1796126</v>
      </c>
      <c r="CB243" s="239">
        <v>-404128</v>
      </c>
      <c r="CC243" s="239">
        <v>-44904</v>
      </c>
      <c r="CD243" s="239">
        <v>-4490315</v>
      </c>
      <c r="CE243" s="239">
        <v>290296</v>
      </c>
      <c r="CF243" s="239">
        <v>232238</v>
      </c>
      <c r="CG243" s="239">
        <v>52254</v>
      </c>
      <c r="CH243" s="239">
        <v>5806</v>
      </c>
      <c r="CI243" s="239">
        <v>580594</v>
      </c>
      <c r="CJ243" s="239">
        <v>-15290653</v>
      </c>
      <c r="CK243" s="239">
        <v>-12232523</v>
      </c>
      <c r="CL243" s="239">
        <v>-2752318</v>
      </c>
      <c r="CM243" s="239">
        <v>-305813</v>
      </c>
      <c r="CN243" s="239">
        <v>-30581307</v>
      </c>
      <c r="CO243" s="239">
        <v>15580949</v>
      </c>
      <c r="CP243" s="239">
        <v>12464761</v>
      </c>
      <c r="CQ243" s="239">
        <v>2804572</v>
      </c>
      <c r="CR243" s="239">
        <v>311619</v>
      </c>
      <c r="CS243" s="239">
        <v>31161901</v>
      </c>
      <c r="CT243" s="239">
        <v>12073557</v>
      </c>
      <c r="CU243" s="239">
        <v>9658846</v>
      </c>
      <c r="CV243" s="239">
        <v>2173240</v>
      </c>
      <c r="CW243" s="239">
        <v>241471</v>
      </c>
      <c r="CX243" s="239">
        <v>24147114</v>
      </c>
      <c r="CY243" s="239">
        <v>13338502</v>
      </c>
      <c r="CZ243" s="239">
        <v>10670801</v>
      </c>
      <c r="DA243" s="239">
        <v>2400930</v>
      </c>
      <c r="DB243" s="239">
        <v>266770</v>
      </c>
      <c r="DC243" s="239">
        <v>26677003</v>
      </c>
      <c r="DD243" s="239">
        <v>1264945</v>
      </c>
      <c r="DE243" s="239">
        <v>1011955</v>
      </c>
      <c r="DF243" s="239">
        <v>227690</v>
      </c>
      <c r="DG243" s="239">
        <v>25299</v>
      </c>
      <c r="DH243" s="239">
        <v>2529889</v>
      </c>
      <c r="DI243" s="239">
        <v>16845894</v>
      </c>
      <c r="DJ243" s="239">
        <v>13476716</v>
      </c>
      <c r="DK243" s="239">
        <v>3032262</v>
      </c>
      <c r="DL243" s="239">
        <v>336918</v>
      </c>
      <c r="DM243" s="239">
        <v>33691790</v>
      </c>
      <c r="DN243" s="835">
        <v>0.5</v>
      </c>
      <c r="DO243" s="835">
        <v>0.4</v>
      </c>
      <c r="DP243" s="835">
        <v>0.09</v>
      </c>
      <c r="DQ243" s="835">
        <v>0.01</v>
      </c>
      <c r="DR243" s="835">
        <v>1</v>
      </c>
      <c r="DS243" s="214" t="s">
        <v>1158</v>
      </c>
      <c r="DU243" s="214">
        <v>0</v>
      </c>
    </row>
    <row r="244" spans="2:125" s="214" customFormat="1" x14ac:dyDescent="0.2">
      <c r="B244" s="602" t="s">
        <v>571</v>
      </c>
      <c r="C244" s="602" t="s">
        <v>570</v>
      </c>
      <c r="D244" s="239">
        <v>11925544</v>
      </c>
      <c r="E244" s="239">
        <v>9540436</v>
      </c>
      <c r="F244" s="239">
        <v>2385109</v>
      </c>
      <c r="G244" s="239">
        <v>0</v>
      </c>
      <c r="H244" s="239">
        <v>23851089</v>
      </c>
      <c r="I244" s="239">
        <v>0</v>
      </c>
      <c r="J244" s="239">
        <v>0</v>
      </c>
      <c r="K244" s="239">
        <v>11925544</v>
      </c>
      <c r="L244" s="239">
        <v>106913</v>
      </c>
      <c r="M244" s="239">
        <v>106913</v>
      </c>
      <c r="N244" s="239">
        <v>0</v>
      </c>
      <c r="O244" s="239">
        <v>0</v>
      </c>
      <c r="P244" s="239">
        <v>261183</v>
      </c>
      <c r="Q244" s="239">
        <v>50774</v>
      </c>
      <c r="R244" s="239">
        <v>311957</v>
      </c>
      <c r="S244" s="239">
        <v>0</v>
      </c>
      <c r="T244" s="239">
        <v>0</v>
      </c>
      <c r="U244" s="239">
        <v>0</v>
      </c>
      <c r="V244" s="239">
        <v>0</v>
      </c>
      <c r="W244" s="239">
        <v>0</v>
      </c>
      <c r="X244" s="239">
        <v>0</v>
      </c>
      <c r="Y244" s="239">
        <v>0</v>
      </c>
      <c r="Z244" s="239">
        <v>0</v>
      </c>
      <c r="AA244" s="239">
        <v>0</v>
      </c>
      <c r="AB244" s="239">
        <v>0</v>
      </c>
      <c r="AC244" s="239">
        <v>918951</v>
      </c>
      <c r="AD244" s="239">
        <v>229520</v>
      </c>
      <c r="AE244" s="239">
        <v>0</v>
      </c>
      <c r="AF244" s="239">
        <v>1148471</v>
      </c>
      <c r="AG244" s="239">
        <v>397608</v>
      </c>
      <c r="AH244" s="239">
        <v>318086</v>
      </c>
      <c r="AI244" s="239">
        <v>79522</v>
      </c>
      <c r="AJ244" s="239">
        <v>0</v>
      </c>
      <c r="AK244" s="239">
        <v>795216</v>
      </c>
      <c r="AL244" s="239">
        <v>-205768</v>
      </c>
      <c r="AM244" s="239">
        <v>-164614</v>
      </c>
      <c r="AN244" s="239">
        <v>-41154</v>
      </c>
      <c r="AO244" s="239">
        <v>0</v>
      </c>
      <c r="AP244" s="239">
        <v>-411536</v>
      </c>
      <c r="AQ244" s="239">
        <v>-163999</v>
      </c>
      <c r="AR244" s="239">
        <v>-131200</v>
      </c>
      <c r="AS244" s="239">
        <v>-32800</v>
      </c>
      <c r="AT244" s="239">
        <v>0</v>
      </c>
      <c r="AU244" s="239">
        <v>-327999</v>
      </c>
      <c r="AV244" s="239">
        <v>45501</v>
      </c>
      <c r="AW244" s="239">
        <v>36400</v>
      </c>
      <c r="AX244" s="239">
        <v>9100</v>
      </c>
      <c r="AY244" s="239">
        <v>0</v>
      </c>
      <c r="AZ244" s="239">
        <v>91001</v>
      </c>
      <c r="BA244" s="239">
        <v>-8001</v>
      </c>
      <c r="BB244" s="239">
        <v>-6401</v>
      </c>
      <c r="BC244" s="239">
        <v>-1600</v>
      </c>
      <c r="BD244" s="239">
        <v>0</v>
      </c>
      <c r="BE244" s="239">
        <v>-16002</v>
      </c>
      <c r="BF244" s="239">
        <v>-126499</v>
      </c>
      <c r="BG244" s="239">
        <v>-101201</v>
      </c>
      <c r="BH244" s="239">
        <v>-25300</v>
      </c>
      <c r="BI244" s="239">
        <v>0</v>
      </c>
      <c r="BJ244" s="239">
        <v>-253000</v>
      </c>
      <c r="BK244" s="239">
        <v>-2289087</v>
      </c>
      <c r="BL244" s="239">
        <v>-1831269</v>
      </c>
      <c r="BM244" s="239">
        <v>-457817</v>
      </c>
      <c r="BN244" s="239">
        <v>0</v>
      </c>
      <c r="BO244" s="239">
        <v>-4578173</v>
      </c>
      <c r="BP244" s="239">
        <v>296919</v>
      </c>
      <c r="BQ244" s="239">
        <v>237536</v>
      </c>
      <c r="BR244" s="239">
        <v>59384</v>
      </c>
      <c r="BS244" s="239">
        <v>0</v>
      </c>
      <c r="BT244" s="239">
        <v>593839</v>
      </c>
      <c r="BU244" s="239">
        <v>80667</v>
      </c>
      <c r="BV244" s="239">
        <v>64534</v>
      </c>
      <c r="BW244" s="239">
        <v>16133</v>
      </c>
      <c r="BX244" s="239">
        <v>0</v>
      </c>
      <c r="BY244" s="239">
        <v>161334</v>
      </c>
      <c r="BZ244" s="239">
        <v>-1911501</v>
      </c>
      <c r="CA244" s="239">
        <v>-1529199</v>
      </c>
      <c r="CB244" s="239">
        <v>-382300</v>
      </c>
      <c r="CC244" s="239">
        <v>0</v>
      </c>
      <c r="CD244" s="239">
        <v>-3823000</v>
      </c>
      <c r="CE244" s="239">
        <v>-1046190</v>
      </c>
      <c r="CF244" s="239">
        <v>-836952</v>
      </c>
      <c r="CG244" s="239">
        <v>-209238</v>
      </c>
      <c r="CH244" s="239">
        <v>0</v>
      </c>
      <c r="CI244" s="239">
        <v>-2092380</v>
      </c>
      <c r="CJ244" s="239">
        <v>-716061</v>
      </c>
      <c r="CK244" s="239">
        <v>-572849</v>
      </c>
      <c r="CL244" s="239">
        <v>-143212</v>
      </c>
      <c r="CM244" s="239">
        <v>0</v>
      </c>
      <c r="CN244" s="239">
        <v>-1432122</v>
      </c>
      <c r="CO244" s="239">
        <v>-330129</v>
      </c>
      <c r="CP244" s="239">
        <v>-264103</v>
      </c>
      <c r="CQ244" s="239">
        <v>-66026</v>
      </c>
      <c r="CR244" s="239">
        <v>0</v>
      </c>
      <c r="CS244" s="239">
        <v>-660258</v>
      </c>
      <c r="CT244" s="239">
        <v>11115893</v>
      </c>
      <c r="CU244" s="239">
        <v>8892715</v>
      </c>
      <c r="CV244" s="239">
        <v>2223179</v>
      </c>
      <c r="CW244" s="239">
        <v>0</v>
      </c>
      <c r="CX244" s="239">
        <v>22231787</v>
      </c>
      <c r="CY244" s="239">
        <v>11925544</v>
      </c>
      <c r="CZ244" s="239">
        <v>9540436</v>
      </c>
      <c r="DA244" s="239">
        <v>2385109</v>
      </c>
      <c r="DB244" s="239">
        <v>0</v>
      </c>
      <c r="DC244" s="239">
        <v>23851089</v>
      </c>
      <c r="DD244" s="239">
        <v>809651</v>
      </c>
      <c r="DE244" s="239">
        <v>647721</v>
      </c>
      <c r="DF244" s="239">
        <v>161930</v>
      </c>
      <c r="DG244" s="239">
        <v>0</v>
      </c>
      <c r="DH244" s="239">
        <v>1619302</v>
      </c>
      <c r="DI244" s="239">
        <v>479522</v>
      </c>
      <c r="DJ244" s="239">
        <v>383618</v>
      </c>
      <c r="DK244" s="239">
        <v>95904</v>
      </c>
      <c r="DL244" s="239">
        <v>0</v>
      </c>
      <c r="DM244" s="239">
        <v>959044</v>
      </c>
      <c r="DN244" s="835">
        <v>0.5</v>
      </c>
      <c r="DO244" s="835">
        <v>0.4</v>
      </c>
      <c r="DP244" s="835">
        <v>0.1</v>
      </c>
      <c r="DQ244" s="835">
        <v>0</v>
      </c>
      <c r="DR244" s="835">
        <v>1</v>
      </c>
      <c r="DS244" s="214" t="s">
        <v>1158</v>
      </c>
      <c r="DU244" s="214">
        <v>0</v>
      </c>
    </row>
    <row r="245" spans="2:125" s="214" customFormat="1" x14ac:dyDescent="0.2">
      <c r="B245" s="602" t="s">
        <v>573</v>
      </c>
      <c r="C245" s="602" t="s">
        <v>572</v>
      </c>
      <c r="D245" s="239">
        <v>19853873</v>
      </c>
      <c r="E245" s="239">
        <v>15883099</v>
      </c>
      <c r="F245" s="239">
        <v>3970775</v>
      </c>
      <c r="G245" s="239">
        <v>0</v>
      </c>
      <c r="H245" s="239">
        <v>39707747</v>
      </c>
      <c r="I245" s="239">
        <v>0</v>
      </c>
      <c r="J245" s="239">
        <v>0</v>
      </c>
      <c r="K245" s="239">
        <v>19853873</v>
      </c>
      <c r="L245" s="239">
        <v>177446</v>
      </c>
      <c r="M245" s="239">
        <v>177446</v>
      </c>
      <c r="N245" s="239">
        <v>0</v>
      </c>
      <c r="O245" s="239">
        <v>0</v>
      </c>
      <c r="P245" s="239">
        <v>5905</v>
      </c>
      <c r="Q245" s="239">
        <v>0</v>
      </c>
      <c r="R245" s="239">
        <v>5905</v>
      </c>
      <c r="S245" s="239">
        <v>0</v>
      </c>
      <c r="T245" s="239">
        <v>0</v>
      </c>
      <c r="U245" s="239">
        <v>0</v>
      </c>
      <c r="V245" s="239">
        <v>0</v>
      </c>
      <c r="W245" s="239">
        <v>0</v>
      </c>
      <c r="X245" s="239">
        <v>0</v>
      </c>
      <c r="Y245" s="239">
        <v>0</v>
      </c>
      <c r="Z245" s="239">
        <v>0</v>
      </c>
      <c r="AA245" s="239">
        <v>0</v>
      </c>
      <c r="AB245" s="239">
        <v>0</v>
      </c>
      <c r="AC245" s="239">
        <v>1688144</v>
      </c>
      <c r="AD245" s="239">
        <v>422016</v>
      </c>
      <c r="AE245" s="239">
        <v>0</v>
      </c>
      <c r="AF245" s="239">
        <v>2110160</v>
      </c>
      <c r="AG245" s="239">
        <v>585976</v>
      </c>
      <c r="AH245" s="239">
        <v>468781</v>
      </c>
      <c r="AI245" s="239">
        <v>117195</v>
      </c>
      <c r="AJ245" s="239">
        <v>0</v>
      </c>
      <c r="AK245" s="239">
        <v>1171952</v>
      </c>
      <c r="AL245" s="239">
        <v>-504084</v>
      </c>
      <c r="AM245" s="239">
        <v>-403268</v>
      </c>
      <c r="AN245" s="239">
        <v>-100817</v>
      </c>
      <c r="AO245" s="239">
        <v>0</v>
      </c>
      <c r="AP245" s="239">
        <v>-1008169</v>
      </c>
      <c r="AQ245" s="239">
        <v>-322500</v>
      </c>
      <c r="AR245" s="239">
        <v>-258000</v>
      </c>
      <c r="AS245" s="239">
        <v>-64500</v>
      </c>
      <c r="AT245" s="239">
        <v>0</v>
      </c>
      <c r="AU245" s="239">
        <v>-645000</v>
      </c>
      <c r="AV245" s="239">
        <v>0</v>
      </c>
      <c r="AW245" s="239">
        <v>0</v>
      </c>
      <c r="AX245" s="239">
        <v>0</v>
      </c>
      <c r="AY245" s="239">
        <v>0</v>
      </c>
      <c r="AZ245" s="239">
        <v>0</v>
      </c>
      <c r="BA245" s="239">
        <v>43000</v>
      </c>
      <c r="BB245" s="239">
        <v>34400</v>
      </c>
      <c r="BC245" s="239">
        <v>8600</v>
      </c>
      <c r="BD245" s="239">
        <v>0</v>
      </c>
      <c r="BE245" s="239">
        <v>86000</v>
      </c>
      <c r="BF245" s="239">
        <v>-279500</v>
      </c>
      <c r="BG245" s="239">
        <v>-223600</v>
      </c>
      <c r="BH245" s="239">
        <v>-55900</v>
      </c>
      <c r="BI245" s="239">
        <v>0</v>
      </c>
      <c r="BJ245" s="239">
        <v>-559000</v>
      </c>
      <c r="BK245" s="239">
        <v>-1633264</v>
      </c>
      <c r="BL245" s="239">
        <v>-1306612</v>
      </c>
      <c r="BM245" s="239">
        <v>-326653</v>
      </c>
      <c r="BN245" s="239">
        <v>0</v>
      </c>
      <c r="BO245" s="239">
        <v>-3266529</v>
      </c>
      <c r="BP245" s="239">
        <v>740762</v>
      </c>
      <c r="BQ245" s="239">
        <v>592609</v>
      </c>
      <c r="BR245" s="239">
        <v>148152</v>
      </c>
      <c r="BS245" s="239">
        <v>0</v>
      </c>
      <c r="BT245" s="239">
        <v>1481523</v>
      </c>
      <c r="BU245" s="239">
        <v>-1001000</v>
      </c>
      <c r="BV245" s="239">
        <v>-800800</v>
      </c>
      <c r="BW245" s="239">
        <v>-200200</v>
      </c>
      <c r="BX245" s="239">
        <v>0</v>
      </c>
      <c r="BY245" s="239">
        <v>-2002000</v>
      </c>
      <c r="BZ245" s="239">
        <v>-1893502</v>
      </c>
      <c r="CA245" s="239">
        <v>-1514803</v>
      </c>
      <c r="CB245" s="239">
        <v>-378701</v>
      </c>
      <c r="CC245" s="239">
        <v>0</v>
      </c>
      <c r="CD245" s="239">
        <v>-3787006</v>
      </c>
      <c r="CE245" s="239">
        <v>-1235572</v>
      </c>
      <c r="CF245" s="239">
        <v>-988458</v>
      </c>
      <c r="CG245" s="239">
        <v>-247114</v>
      </c>
      <c r="CH245" s="239">
        <v>0</v>
      </c>
      <c r="CI245" s="239">
        <v>-2471144</v>
      </c>
      <c r="CJ245" s="239">
        <v>-931614</v>
      </c>
      <c r="CK245" s="239">
        <v>-745291</v>
      </c>
      <c r="CL245" s="239">
        <v>-186323</v>
      </c>
      <c r="CM245" s="239">
        <v>0</v>
      </c>
      <c r="CN245" s="239">
        <v>-1863228</v>
      </c>
      <c r="CO245" s="239">
        <v>-303958</v>
      </c>
      <c r="CP245" s="239">
        <v>-243167</v>
      </c>
      <c r="CQ245" s="239">
        <v>-60791</v>
      </c>
      <c r="CR245" s="239">
        <v>0</v>
      </c>
      <c r="CS245" s="239">
        <v>-607916</v>
      </c>
      <c r="CT245" s="239">
        <v>19877794</v>
      </c>
      <c r="CU245" s="239">
        <v>15902236</v>
      </c>
      <c r="CV245" s="239">
        <v>3975559</v>
      </c>
      <c r="CW245" s="239">
        <v>0</v>
      </c>
      <c r="CX245" s="239">
        <v>39755589</v>
      </c>
      <c r="CY245" s="239">
        <v>19853873</v>
      </c>
      <c r="CZ245" s="239">
        <v>15883099</v>
      </c>
      <c r="DA245" s="239">
        <v>3970775</v>
      </c>
      <c r="DB245" s="239">
        <v>0</v>
      </c>
      <c r="DC245" s="239">
        <v>39707747</v>
      </c>
      <c r="DD245" s="239">
        <v>-23921</v>
      </c>
      <c r="DE245" s="239">
        <v>-19137</v>
      </c>
      <c r="DF245" s="239">
        <v>-4784</v>
      </c>
      <c r="DG245" s="239">
        <v>0</v>
      </c>
      <c r="DH245" s="239">
        <v>-47842</v>
      </c>
      <c r="DI245" s="239">
        <v>-327879</v>
      </c>
      <c r="DJ245" s="239">
        <v>-262304</v>
      </c>
      <c r="DK245" s="239">
        <v>-65575</v>
      </c>
      <c r="DL245" s="239">
        <v>0</v>
      </c>
      <c r="DM245" s="239">
        <v>-655758</v>
      </c>
      <c r="DN245" s="835">
        <v>0.5</v>
      </c>
      <c r="DO245" s="835">
        <v>0.4</v>
      </c>
      <c r="DP245" s="835">
        <v>0.1</v>
      </c>
      <c r="DQ245" s="835">
        <v>0</v>
      </c>
      <c r="DR245" s="835">
        <v>1</v>
      </c>
      <c r="DS245" s="214" t="s">
        <v>1158</v>
      </c>
      <c r="DU245" s="214">
        <v>0</v>
      </c>
    </row>
    <row r="246" spans="2:125" s="214" customFormat="1" x14ac:dyDescent="0.2">
      <c r="B246" s="602" t="s">
        <v>575</v>
      </c>
      <c r="C246" s="602" t="s">
        <v>574</v>
      </c>
      <c r="D246" s="239">
        <v>20636850</v>
      </c>
      <c r="E246" s="239">
        <v>16509480</v>
      </c>
      <c r="F246" s="239">
        <v>4127370</v>
      </c>
      <c r="G246" s="239">
        <v>0</v>
      </c>
      <c r="H246" s="239">
        <v>41273700</v>
      </c>
      <c r="I246" s="239">
        <v>0</v>
      </c>
      <c r="J246" s="239">
        <v>0</v>
      </c>
      <c r="K246" s="239">
        <v>20636850</v>
      </c>
      <c r="L246" s="239">
        <v>300847</v>
      </c>
      <c r="M246" s="239">
        <v>300847</v>
      </c>
      <c r="N246" s="239">
        <v>0</v>
      </c>
      <c r="O246" s="239">
        <v>0</v>
      </c>
      <c r="P246" s="239">
        <v>0</v>
      </c>
      <c r="Q246" s="239">
        <v>0</v>
      </c>
      <c r="R246" s="239">
        <v>0</v>
      </c>
      <c r="S246" s="239">
        <v>0</v>
      </c>
      <c r="T246" s="239">
        <v>0</v>
      </c>
      <c r="U246" s="239">
        <v>0</v>
      </c>
      <c r="V246" s="239">
        <v>0</v>
      </c>
      <c r="W246" s="239">
        <v>0</v>
      </c>
      <c r="X246" s="239">
        <v>0</v>
      </c>
      <c r="Y246" s="239">
        <v>0</v>
      </c>
      <c r="Z246" s="239">
        <v>0</v>
      </c>
      <c r="AA246" s="239">
        <v>0</v>
      </c>
      <c r="AB246" s="239">
        <v>0</v>
      </c>
      <c r="AC246" s="239">
        <v>2781306</v>
      </c>
      <c r="AD246" s="239">
        <v>695327</v>
      </c>
      <c r="AE246" s="239">
        <v>0</v>
      </c>
      <c r="AF246" s="239">
        <v>3476633</v>
      </c>
      <c r="AG246" s="239">
        <v>834795</v>
      </c>
      <c r="AH246" s="239">
        <v>667836</v>
      </c>
      <c r="AI246" s="239">
        <v>166959</v>
      </c>
      <c r="AJ246" s="239">
        <v>0</v>
      </c>
      <c r="AK246" s="239">
        <v>1669590</v>
      </c>
      <c r="AL246" s="239">
        <v>-313787</v>
      </c>
      <c r="AM246" s="239">
        <v>-251030</v>
      </c>
      <c r="AN246" s="239">
        <v>-62758</v>
      </c>
      <c r="AO246" s="239">
        <v>0</v>
      </c>
      <c r="AP246" s="239">
        <v>-627575</v>
      </c>
      <c r="AQ246" s="239">
        <v>-323090.86</v>
      </c>
      <c r="AR246" s="239">
        <v>-258472</v>
      </c>
      <c r="AS246" s="239">
        <v>-64618</v>
      </c>
      <c r="AT246" s="239">
        <v>0</v>
      </c>
      <c r="AU246" s="239">
        <v>-646180.86</v>
      </c>
      <c r="AV246" s="239">
        <v>78702</v>
      </c>
      <c r="AW246" s="239">
        <v>62962</v>
      </c>
      <c r="AX246" s="239">
        <v>15741</v>
      </c>
      <c r="AY246" s="239">
        <v>0</v>
      </c>
      <c r="AZ246" s="239">
        <v>157405</v>
      </c>
      <c r="BA246" s="239">
        <v>-65981</v>
      </c>
      <c r="BB246" s="239">
        <v>-52784</v>
      </c>
      <c r="BC246" s="239">
        <v>-13196</v>
      </c>
      <c r="BD246" s="239">
        <v>0</v>
      </c>
      <c r="BE246" s="239">
        <v>-131961</v>
      </c>
      <c r="BF246" s="239">
        <v>-310369.86</v>
      </c>
      <c r="BG246" s="239">
        <v>-248294</v>
      </c>
      <c r="BH246" s="239">
        <v>-62073</v>
      </c>
      <c r="BI246" s="239">
        <v>0</v>
      </c>
      <c r="BJ246" s="239">
        <v>-620736.86</v>
      </c>
      <c r="BK246" s="239">
        <v>-1110450</v>
      </c>
      <c r="BL246" s="239">
        <v>-888360</v>
      </c>
      <c r="BM246" s="239">
        <v>-222090</v>
      </c>
      <c r="BN246" s="239">
        <v>0</v>
      </c>
      <c r="BO246" s="239">
        <v>-2220900</v>
      </c>
      <c r="BP246" s="239">
        <v>878812</v>
      </c>
      <c r="BQ246" s="239">
        <v>703050</v>
      </c>
      <c r="BR246" s="239">
        <v>175763</v>
      </c>
      <c r="BS246" s="239">
        <v>0</v>
      </c>
      <c r="BT246" s="239">
        <v>1757625</v>
      </c>
      <c r="BU246" s="239">
        <v>-988727</v>
      </c>
      <c r="BV246" s="239">
        <v>-790982</v>
      </c>
      <c r="BW246" s="239">
        <v>-197745</v>
      </c>
      <c r="BX246" s="239">
        <v>0</v>
      </c>
      <c r="BY246" s="239">
        <v>-1977454</v>
      </c>
      <c r="BZ246" s="239">
        <v>-1220365</v>
      </c>
      <c r="CA246" s="239">
        <v>-976292</v>
      </c>
      <c r="CB246" s="239">
        <v>-244072</v>
      </c>
      <c r="CC246" s="239">
        <v>0</v>
      </c>
      <c r="CD246" s="239">
        <v>-2440729</v>
      </c>
      <c r="CE246" s="239">
        <v>-1162137</v>
      </c>
      <c r="CF246" s="239">
        <v>-929708</v>
      </c>
      <c r="CG246" s="239">
        <v>-232428</v>
      </c>
      <c r="CH246" s="239">
        <v>0</v>
      </c>
      <c r="CI246" s="239">
        <v>-2324273</v>
      </c>
      <c r="CJ246" s="239">
        <v>-1193869</v>
      </c>
      <c r="CK246" s="239">
        <v>-955095</v>
      </c>
      <c r="CL246" s="239">
        <v>-238774</v>
      </c>
      <c r="CM246" s="239">
        <v>0</v>
      </c>
      <c r="CN246" s="239">
        <v>-2387738</v>
      </c>
      <c r="CO246" s="239">
        <v>31732</v>
      </c>
      <c r="CP246" s="239">
        <v>25387</v>
      </c>
      <c r="CQ246" s="239">
        <v>6346</v>
      </c>
      <c r="CR246" s="239">
        <v>0</v>
      </c>
      <c r="CS246" s="239">
        <v>63465</v>
      </c>
      <c r="CT246" s="239">
        <v>20111358</v>
      </c>
      <c r="CU246" s="239">
        <v>16089087</v>
      </c>
      <c r="CV246" s="239">
        <v>4022272</v>
      </c>
      <c r="CW246" s="239">
        <v>0</v>
      </c>
      <c r="CX246" s="239">
        <v>40222717</v>
      </c>
      <c r="CY246" s="239">
        <v>20636850</v>
      </c>
      <c r="CZ246" s="239">
        <v>16509480</v>
      </c>
      <c r="DA246" s="239">
        <v>4127370</v>
      </c>
      <c r="DB246" s="239">
        <v>0</v>
      </c>
      <c r="DC246" s="239">
        <v>41273700</v>
      </c>
      <c r="DD246" s="239">
        <v>525492</v>
      </c>
      <c r="DE246" s="239">
        <v>420393</v>
      </c>
      <c r="DF246" s="239">
        <v>105098</v>
      </c>
      <c r="DG246" s="239">
        <v>0</v>
      </c>
      <c r="DH246" s="239">
        <v>1050983</v>
      </c>
      <c r="DI246" s="239">
        <v>557224</v>
      </c>
      <c r="DJ246" s="239">
        <v>445780</v>
      </c>
      <c r="DK246" s="239">
        <v>111444</v>
      </c>
      <c r="DL246" s="239">
        <v>0</v>
      </c>
      <c r="DM246" s="239">
        <v>1114448</v>
      </c>
      <c r="DN246" s="835">
        <v>0.5</v>
      </c>
      <c r="DO246" s="835">
        <v>0.4</v>
      </c>
      <c r="DP246" s="835">
        <v>0.1</v>
      </c>
      <c r="DQ246" s="835">
        <v>0</v>
      </c>
      <c r="DR246" s="835">
        <v>1</v>
      </c>
      <c r="DS246" s="214" t="s">
        <v>1158</v>
      </c>
      <c r="DU246" s="214">
        <v>0</v>
      </c>
    </row>
    <row r="247" spans="2:125" s="214" customFormat="1" x14ac:dyDescent="0.2">
      <c r="B247" s="602" t="s">
        <v>577</v>
      </c>
      <c r="C247" s="602" t="s">
        <v>576</v>
      </c>
      <c r="D247" s="239">
        <v>14137638</v>
      </c>
      <c r="E247" s="239">
        <v>11310111</v>
      </c>
      <c r="F247" s="239">
        <v>2827528</v>
      </c>
      <c r="G247" s="239">
        <v>0</v>
      </c>
      <c r="H247" s="239">
        <v>28275277</v>
      </c>
      <c r="I247" s="239">
        <v>227686</v>
      </c>
      <c r="J247" s="239">
        <v>227686</v>
      </c>
      <c r="K247" s="239">
        <v>13909952</v>
      </c>
      <c r="L247" s="239">
        <v>162366</v>
      </c>
      <c r="M247" s="239">
        <v>162366</v>
      </c>
      <c r="N247" s="239">
        <v>0</v>
      </c>
      <c r="O247" s="239">
        <v>0</v>
      </c>
      <c r="P247" s="239">
        <v>156880</v>
      </c>
      <c r="Q247" s="239">
        <v>0</v>
      </c>
      <c r="R247" s="239">
        <v>156880</v>
      </c>
      <c r="S247" s="239">
        <v>227685.55364806866</v>
      </c>
      <c r="T247" s="239">
        <v>0</v>
      </c>
      <c r="U247" s="239">
        <v>0</v>
      </c>
      <c r="V247" s="239">
        <v>227685.55364806866</v>
      </c>
      <c r="W247" s="239">
        <v>0</v>
      </c>
      <c r="X247" s="239">
        <v>0</v>
      </c>
      <c r="Y247" s="239">
        <v>0</v>
      </c>
      <c r="Z247" s="239">
        <v>0</v>
      </c>
      <c r="AA247" s="239">
        <v>0</v>
      </c>
      <c r="AB247" s="239">
        <v>0</v>
      </c>
      <c r="AC247" s="239">
        <v>1467604</v>
      </c>
      <c r="AD247" s="239">
        <v>365328</v>
      </c>
      <c r="AE247" s="239">
        <v>0</v>
      </c>
      <c r="AF247" s="239">
        <v>1832932</v>
      </c>
      <c r="AG247" s="239">
        <v>629751</v>
      </c>
      <c r="AH247" s="239">
        <v>503801</v>
      </c>
      <c r="AI247" s="239">
        <v>125950</v>
      </c>
      <c r="AJ247" s="239">
        <v>0</v>
      </c>
      <c r="AK247" s="239">
        <v>1259502</v>
      </c>
      <c r="AL247" s="239">
        <v>-214827</v>
      </c>
      <c r="AM247" s="239">
        <v>-171861</v>
      </c>
      <c r="AN247" s="239">
        <v>-42965</v>
      </c>
      <c r="AO247" s="239">
        <v>0</v>
      </c>
      <c r="AP247" s="239">
        <v>-429653</v>
      </c>
      <c r="AQ247" s="239">
        <v>-254834</v>
      </c>
      <c r="AR247" s="239">
        <v>-203868</v>
      </c>
      <c r="AS247" s="239">
        <v>-50967</v>
      </c>
      <c r="AT247" s="239">
        <v>0</v>
      </c>
      <c r="AU247" s="239">
        <v>-509669</v>
      </c>
      <c r="AV247" s="239">
        <v>62949</v>
      </c>
      <c r="AW247" s="239">
        <v>50359</v>
      </c>
      <c r="AX247" s="239">
        <v>12590</v>
      </c>
      <c r="AY247" s="239">
        <v>0</v>
      </c>
      <c r="AZ247" s="239">
        <v>125898</v>
      </c>
      <c r="BA247" s="239">
        <v>-137145</v>
      </c>
      <c r="BB247" s="239">
        <v>-109716</v>
      </c>
      <c r="BC247" s="239">
        <v>-27429</v>
      </c>
      <c r="BD247" s="239">
        <v>0</v>
      </c>
      <c r="BE247" s="239">
        <v>-274290</v>
      </c>
      <c r="BF247" s="239">
        <v>-329030</v>
      </c>
      <c r="BG247" s="239">
        <v>-263225</v>
      </c>
      <c r="BH247" s="239">
        <v>-65806</v>
      </c>
      <c r="BI247" s="239">
        <v>0</v>
      </c>
      <c r="BJ247" s="239">
        <v>-658061</v>
      </c>
      <c r="BK247" s="239">
        <v>-1766329</v>
      </c>
      <c r="BL247" s="239">
        <v>-1413063</v>
      </c>
      <c r="BM247" s="239">
        <v>-353266</v>
      </c>
      <c r="BN247" s="239">
        <v>0</v>
      </c>
      <c r="BO247" s="239">
        <v>-3532658</v>
      </c>
      <c r="BP247" s="239">
        <v>610934</v>
      </c>
      <c r="BQ247" s="239">
        <v>488748</v>
      </c>
      <c r="BR247" s="239">
        <v>122187</v>
      </c>
      <c r="BS247" s="239">
        <v>0</v>
      </c>
      <c r="BT247" s="239">
        <v>1221869</v>
      </c>
      <c r="BU247" s="239">
        <v>-58992</v>
      </c>
      <c r="BV247" s="239">
        <v>-47194</v>
      </c>
      <c r="BW247" s="239">
        <v>-11799</v>
      </c>
      <c r="BX247" s="239">
        <v>0</v>
      </c>
      <c r="BY247" s="239">
        <v>-117985</v>
      </c>
      <c r="BZ247" s="239">
        <v>-1214387</v>
      </c>
      <c r="CA247" s="239">
        <v>-971509</v>
      </c>
      <c r="CB247" s="239">
        <v>-242878</v>
      </c>
      <c r="CC247" s="239">
        <v>0</v>
      </c>
      <c r="CD247" s="239">
        <v>-2428774</v>
      </c>
      <c r="CE247" s="239">
        <v>-1027225</v>
      </c>
      <c r="CF247" s="239">
        <v>-821779</v>
      </c>
      <c r="CG247" s="239">
        <v>-205445</v>
      </c>
      <c r="CH247" s="239">
        <v>0</v>
      </c>
      <c r="CI247" s="239">
        <v>-2054449</v>
      </c>
      <c r="CJ247" s="239">
        <v>-603244</v>
      </c>
      <c r="CK247" s="239">
        <v>-482596</v>
      </c>
      <c r="CL247" s="239">
        <v>-120649</v>
      </c>
      <c r="CM247" s="239">
        <v>0</v>
      </c>
      <c r="CN247" s="239">
        <v>-1206489</v>
      </c>
      <c r="CO247" s="239">
        <v>-423981</v>
      </c>
      <c r="CP247" s="239">
        <v>-339183</v>
      </c>
      <c r="CQ247" s="239">
        <v>-84796</v>
      </c>
      <c r="CR247" s="239">
        <v>0</v>
      </c>
      <c r="CS247" s="239">
        <v>-847960</v>
      </c>
      <c r="CT247" s="239">
        <v>14697587</v>
      </c>
      <c r="CU247" s="239">
        <v>11758070</v>
      </c>
      <c r="CV247" s="239">
        <v>2939517</v>
      </c>
      <c r="CW247" s="239">
        <v>0</v>
      </c>
      <c r="CX247" s="239">
        <v>29395174</v>
      </c>
      <c r="CY247" s="239">
        <v>14137638</v>
      </c>
      <c r="CZ247" s="239">
        <v>11310111</v>
      </c>
      <c r="DA247" s="239">
        <v>2827528</v>
      </c>
      <c r="DB247" s="239">
        <v>0</v>
      </c>
      <c r="DC247" s="239">
        <v>28275277</v>
      </c>
      <c r="DD247" s="239">
        <v>-559949</v>
      </c>
      <c r="DE247" s="239">
        <v>-447959</v>
      </c>
      <c r="DF247" s="239">
        <v>-111989</v>
      </c>
      <c r="DG247" s="239">
        <v>0</v>
      </c>
      <c r="DH247" s="239">
        <v>-1119897</v>
      </c>
      <c r="DI247" s="239">
        <v>-983930</v>
      </c>
      <c r="DJ247" s="239">
        <v>-787142</v>
      </c>
      <c r="DK247" s="239">
        <v>-196785</v>
      </c>
      <c r="DL247" s="239">
        <v>0</v>
      </c>
      <c r="DM247" s="239">
        <v>-1967857</v>
      </c>
      <c r="DN247" s="835">
        <v>0.5</v>
      </c>
      <c r="DO247" s="835">
        <v>0.4</v>
      </c>
      <c r="DP247" s="835">
        <v>0.1</v>
      </c>
      <c r="DQ247" s="835">
        <v>0</v>
      </c>
      <c r="DR247" s="835">
        <v>1</v>
      </c>
      <c r="DS247" s="214" t="s">
        <v>1158</v>
      </c>
      <c r="DU247" s="214">
        <v>0</v>
      </c>
    </row>
    <row r="248" spans="2:125" s="214" customFormat="1" x14ac:dyDescent="0.2">
      <c r="B248" s="602" t="s">
        <v>579</v>
      </c>
      <c r="C248" s="602" t="s">
        <v>578</v>
      </c>
      <c r="D248" s="239">
        <v>11474780</v>
      </c>
      <c r="E248" s="239">
        <v>9179824</v>
      </c>
      <c r="F248" s="239">
        <v>2294956</v>
      </c>
      <c r="G248" s="239">
        <v>0</v>
      </c>
      <c r="H248" s="239">
        <v>22949560</v>
      </c>
      <c r="I248" s="239">
        <v>0</v>
      </c>
      <c r="J248" s="239">
        <v>0</v>
      </c>
      <c r="K248" s="239">
        <v>11474780</v>
      </c>
      <c r="L248" s="239">
        <v>107996</v>
      </c>
      <c r="M248" s="239">
        <v>107996</v>
      </c>
      <c r="N248" s="239">
        <v>0</v>
      </c>
      <c r="O248" s="239">
        <v>0</v>
      </c>
      <c r="P248" s="239">
        <v>340967</v>
      </c>
      <c r="Q248" s="239">
        <v>0</v>
      </c>
      <c r="R248" s="239">
        <v>340967</v>
      </c>
      <c r="S248" s="239">
        <v>0</v>
      </c>
      <c r="T248" s="239">
        <v>0</v>
      </c>
      <c r="U248" s="239">
        <v>0</v>
      </c>
      <c r="V248" s="239">
        <v>0</v>
      </c>
      <c r="W248" s="239">
        <v>0</v>
      </c>
      <c r="X248" s="239">
        <v>0</v>
      </c>
      <c r="Y248" s="239">
        <v>0</v>
      </c>
      <c r="Z248" s="239">
        <v>0</v>
      </c>
      <c r="AA248" s="239">
        <v>0</v>
      </c>
      <c r="AB248" s="239">
        <v>0</v>
      </c>
      <c r="AC248" s="239">
        <v>1095474</v>
      </c>
      <c r="AD248" s="239">
        <v>272589</v>
      </c>
      <c r="AE248" s="239">
        <v>0</v>
      </c>
      <c r="AF248" s="239">
        <v>1368063</v>
      </c>
      <c r="AG248" s="239">
        <v>431252</v>
      </c>
      <c r="AH248" s="239">
        <v>345001</v>
      </c>
      <c r="AI248" s="239">
        <v>86250</v>
      </c>
      <c r="AJ248" s="239">
        <v>0</v>
      </c>
      <c r="AK248" s="239">
        <v>862503</v>
      </c>
      <c r="AL248" s="239">
        <v>-471910</v>
      </c>
      <c r="AM248" s="239">
        <v>-377528</v>
      </c>
      <c r="AN248" s="239">
        <v>-94382</v>
      </c>
      <c r="AO248" s="239">
        <v>0</v>
      </c>
      <c r="AP248" s="239">
        <v>-943820</v>
      </c>
      <c r="AQ248" s="239">
        <v>-303550.66999999993</v>
      </c>
      <c r="AR248" s="239">
        <v>-242840</v>
      </c>
      <c r="AS248" s="239">
        <v>-60710</v>
      </c>
      <c r="AT248" s="239">
        <v>0</v>
      </c>
      <c r="AU248" s="239">
        <v>-607100.66999999993</v>
      </c>
      <c r="AV248" s="239">
        <v>0</v>
      </c>
      <c r="AW248" s="239">
        <v>0</v>
      </c>
      <c r="AX248" s="239">
        <v>0</v>
      </c>
      <c r="AY248" s="239">
        <v>0</v>
      </c>
      <c r="AZ248" s="239">
        <v>0</v>
      </c>
      <c r="BA248" s="239">
        <v>29166</v>
      </c>
      <c r="BB248" s="239">
        <v>23332</v>
      </c>
      <c r="BC248" s="239">
        <v>5833</v>
      </c>
      <c r="BD248" s="239">
        <v>0</v>
      </c>
      <c r="BE248" s="239">
        <v>58331</v>
      </c>
      <c r="BF248" s="239">
        <v>-274384.66999999993</v>
      </c>
      <c r="BG248" s="239">
        <v>-219508</v>
      </c>
      <c r="BH248" s="239">
        <v>-54877</v>
      </c>
      <c r="BI248" s="239">
        <v>0</v>
      </c>
      <c r="BJ248" s="239">
        <v>-548769.66999999993</v>
      </c>
      <c r="BK248" s="239">
        <v>-1320316</v>
      </c>
      <c r="BL248" s="239">
        <v>-1056253</v>
      </c>
      <c r="BM248" s="239">
        <v>-264063</v>
      </c>
      <c r="BN248" s="239">
        <v>0</v>
      </c>
      <c r="BO248" s="239">
        <v>-2640632</v>
      </c>
      <c r="BP248" s="239">
        <v>682883</v>
      </c>
      <c r="BQ248" s="239">
        <v>546307</v>
      </c>
      <c r="BR248" s="239">
        <v>136577</v>
      </c>
      <c r="BS248" s="239">
        <v>0</v>
      </c>
      <c r="BT248" s="239">
        <v>1365767</v>
      </c>
      <c r="BU248" s="239">
        <v>-499018</v>
      </c>
      <c r="BV248" s="239">
        <v>-399214</v>
      </c>
      <c r="BW248" s="239">
        <v>-99804</v>
      </c>
      <c r="BX248" s="239">
        <v>0</v>
      </c>
      <c r="BY248" s="239">
        <v>-998036</v>
      </c>
      <c r="BZ248" s="239">
        <v>-1136451</v>
      </c>
      <c r="CA248" s="239">
        <v>-909160</v>
      </c>
      <c r="CB248" s="239">
        <v>-227290</v>
      </c>
      <c r="CC248" s="239">
        <v>0</v>
      </c>
      <c r="CD248" s="239">
        <v>-2272901</v>
      </c>
      <c r="CE248" s="239">
        <v>-169464</v>
      </c>
      <c r="CF248" s="239">
        <v>-135571</v>
      </c>
      <c r="CG248" s="239">
        <v>-33894</v>
      </c>
      <c r="CH248" s="239">
        <v>0</v>
      </c>
      <c r="CI248" s="239">
        <v>-338929</v>
      </c>
      <c r="CJ248" s="239">
        <v>18032</v>
      </c>
      <c r="CK248" s="239">
        <v>14426</v>
      </c>
      <c r="CL248" s="239">
        <v>3607</v>
      </c>
      <c r="CM248" s="239">
        <v>0</v>
      </c>
      <c r="CN248" s="239">
        <v>36065</v>
      </c>
      <c r="CO248" s="239">
        <v>-187496</v>
      </c>
      <c r="CP248" s="239">
        <v>-149997</v>
      </c>
      <c r="CQ248" s="239">
        <v>-37501</v>
      </c>
      <c r="CR248" s="239">
        <v>0</v>
      </c>
      <c r="CS248" s="239">
        <v>-374994</v>
      </c>
      <c r="CT248" s="239">
        <v>10676901</v>
      </c>
      <c r="CU248" s="239">
        <v>8541520</v>
      </c>
      <c r="CV248" s="239">
        <v>2135380</v>
      </c>
      <c r="CW248" s="239">
        <v>0</v>
      </c>
      <c r="CX248" s="239">
        <v>21353801</v>
      </c>
      <c r="CY248" s="239">
        <v>11474780</v>
      </c>
      <c r="CZ248" s="239">
        <v>9179824</v>
      </c>
      <c r="DA248" s="239">
        <v>2294956</v>
      </c>
      <c r="DB248" s="239">
        <v>0</v>
      </c>
      <c r="DC248" s="239">
        <v>22949560</v>
      </c>
      <c r="DD248" s="239">
        <v>797879</v>
      </c>
      <c r="DE248" s="239">
        <v>638304</v>
      </c>
      <c r="DF248" s="239">
        <v>159576</v>
      </c>
      <c r="DG248" s="239">
        <v>0</v>
      </c>
      <c r="DH248" s="239">
        <v>1595759</v>
      </c>
      <c r="DI248" s="239">
        <v>610383</v>
      </c>
      <c r="DJ248" s="239">
        <v>488307</v>
      </c>
      <c r="DK248" s="239">
        <v>122075</v>
      </c>
      <c r="DL248" s="239">
        <v>0</v>
      </c>
      <c r="DM248" s="239">
        <v>1220765</v>
      </c>
      <c r="DN248" s="835">
        <v>0.5</v>
      </c>
      <c r="DO248" s="835">
        <v>0.4</v>
      </c>
      <c r="DP248" s="835">
        <v>0.1</v>
      </c>
      <c r="DQ248" s="835">
        <v>0</v>
      </c>
      <c r="DR248" s="835">
        <v>1</v>
      </c>
      <c r="DS248" s="214" t="s">
        <v>1158</v>
      </c>
      <c r="DU248" s="214">
        <v>0</v>
      </c>
    </row>
    <row r="249" spans="2:125" s="214" customFormat="1" x14ac:dyDescent="0.2">
      <c r="B249" s="602" t="s">
        <v>581</v>
      </c>
      <c r="C249" s="602" t="s">
        <v>580</v>
      </c>
      <c r="D249" s="239">
        <v>20796606</v>
      </c>
      <c r="E249" s="239">
        <v>16637285</v>
      </c>
      <c r="F249" s="239">
        <v>4159321</v>
      </c>
      <c r="G249" s="239">
        <v>0</v>
      </c>
      <c r="H249" s="239">
        <v>41593212</v>
      </c>
      <c r="I249" s="239">
        <v>0</v>
      </c>
      <c r="J249" s="239">
        <v>0</v>
      </c>
      <c r="K249" s="239">
        <v>20796606</v>
      </c>
      <c r="L249" s="239">
        <v>183863</v>
      </c>
      <c r="M249" s="239">
        <v>183863</v>
      </c>
      <c r="N249" s="239">
        <v>48442</v>
      </c>
      <c r="O249" s="239">
        <v>48442</v>
      </c>
      <c r="P249" s="239">
        <v>90098</v>
      </c>
      <c r="Q249" s="239">
        <v>0</v>
      </c>
      <c r="R249" s="239">
        <v>90098</v>
      </c>
      <c r="S249" s="239">
        <v>0</v>
      </c>
      <c r="T249" s="239">
        <v>0</v>
      </c>
      <c r="U249" s="239">
        <v>0</v>
      </c>
      <c r="V249" s="239">
        <v>0</v>
      </c>
      <c r="W249" s="239">
        <v>0</v>
      </c>
      <c r="X249" s="239">
        <v>0</v>
      </c>
      <c r="Y249" s="239">
        <v>0</v>
      </c>
      <c r="Z249" s="239">
        <v>0</v>
      </c>
      <c r="AA249" s="239">
        <v>0</v>
      </c>
      <c r="AB249" s="239">
        <v>0</v>
      </c>
      <c r="AC249" s="239">
        <v>1671924</v>
      </c>
      <c r="AD249" s="239">
        <v>417460</v>
      </c>
      <c r="AE249" s="239">
        <v>0</v>
      </c>
      <c r="AF249" s="239">
        <v>2089384</v>
      </c>
      <c r="AG249" s="239">
        <v>1024529</v>
      </c>
      <c r="AH249" s="239">
        <v>819624</v>
      </c>
      <c r="AI249" s="239">
        <v>204906</v>
      </c>
      <c r="AJ249" s="239">
        <v>0</v>
      </c>
      <c r="AK249" s="239">
        <v>2049059</v>
      </c>
      <c r="AL249" s="239">
        <v>-679593</v>
      </c>
      <c r="AM249" s="239">
        <v>-543674</v>
      </c>
      <c r="AN249" s="239">
        <v>-135919</v>
      </c>
      <c r="AO249" s="239">
        <v>0</v>
      </c>
      <c r="AP249" s="239">
        <v>-1359186</v>
      </c>
      <c r="AQ249" s="239">
        <v>-572900</v>
      </c>
      <c r="AR249" s="239">
        <v>-458320</v>
      </c>
      <c r="AS249" s="239">
        <v>-114580</v>
      </c>
      <c r="AT249" s="239">
        <v>0</v>
      </c>
      <c r="AU249" s="239">
        <v>-1145800</v>
      </c>
      <c r="AV249" s="239">
        <v>20561</v>
      </c>
      <c r="AW249" s="239">
        <v>16448</v>
      </c>
      <c r="AX249" s="239">
        <v>4112</v>
      </c>
      <c r="AY249" s="239">
        <v>0</v>
      </c>
      <c r="AZ249" s="239">
        <v>41121</v>
      </c>
      <c r="BA249" s="239">
        <v>-94991</v>
      </c>
      <c r="BB249" s="239">
        <v>-75992</v>
      </c>
      <c r="BC249" s="239">
        <v>-18998</v>
      </c>
      <c r="BD249" s="239">
        <v>0</v>
      </c>
      <c r="BE249" s="239">
        <v>-189981</v>
      </c>
      <c r="BF249" s="239">
        <v>-647330</v>
      </c>
      <c r="BG249" s="239">
        <v>-517864</v>
      </c>
      <c r="BH249" s="239">
        <v>-129466</v>
      </c>
      <c r="BI249" s="239">
        <v>0</v>
      </c>
      <c r="BJ249" s="239">
        <v>-1294660</v>
      </c>
      <c r="BK249" s="239">
        <v>-1614905</v>
      </c>
      <c r="BL249" s="239">
        <v>-1291924</v>
      </c>
      <c r="BM249" s="239">
        <v>-322981</v>
      </c>
      <c r="BN249" s="239">
        <v>0</v>
      </c>
      <c r="BO249" s="239">
        <v>-3229810</v>
      </c>
      <c r="BP249" s="239">
        <v>978631</v>
      </c>
      <c r="BQ249" s="239">
        <v>782904</v>
      </c>
      <c r="BR249" s="239">
        <v>195726</v>
      </c>
      <c r="BS249" s="239">
        <v>0</v>
      </c>
      <c r="BT249" s="239">
        <v>1957261</v>
      </c>
      <c r="BU249" s="239">
        <v>-1755876</v>
      </c>
      <c r="BV249" s="239">
        <v>-1404701</v>
      </c>
      <c r="BW249" s="239">
        <v>-351175</v>
      </c>
      <c r="BX249" s="239">
        <v>0</v>
      </c>
      <c r="BY249" s="239">
        <v>-3511752</v>
      </c>
      <c r="BZ249" s="239">
        <v>-2392150</v>
      </c>
      <c r="CA249" s="239">
        <v>-1913721</v>
      </c>
      <c r="CB249" s="239">
        <v>-478430</v>
      </c>
      <c r="CC249" s="239">
        <v>0</v>
      </c>
      <c r="CD249" s="239">
        <v>-4784301</v>
      </c>
      <c r="CE249" s="239">
        <v>-239443</v>
      </c>
      <c r="CF249" s="239">
        <v>-191555</v>
      </c>
      <c r="CG249" s="239">
        <v>-47889</v>
      </c>
      <c r="CH249" s="239">
        <v>0</v>
      </c>
      <c r="CI249" s="239">
        <v>-478887</v>
      </c>
      <c r="CJ249" s="239">
        <v>-376920</v>
      </c>
      <c r="CK249" s="239">
        <v>-301536</v>
      </c>
      <c r="CL249" s="239">
        <v>-75384</v>
      </c>
      <c r="CM249" s="239">
        <v>0</v>
      </c>
      <c r="CN249" s="239">
        <v>-753840</v>
      </c>
      <c r="CO249" s="239">
        <v>137477</v>
      </c>
      <c r="CP249" s="239">
        <v>109981</v>
      </c>
      <c r="CQ249" s="239">
        <v>27495</v>
      </c>
      <c r="CR249" s="239">
        <v>0</v>
      </c>
      <c r="CS249" s="239">
        <v>274953</v>
      </c>
      <c r="CT249" s="239">
        <v>21571741</v>
      </c>
      <c r="CU249" s="239">
        <v>17257392</v>
      </c>
      <c r="CV249" s="239">
        <v>4314348</v>
      </c>
      <c r="CW249" s="239">
        <v>0</v>
      </c>
      <c r="CX249" s="239">
        <v>43143481</v>
      </c>
      <c r="CY249" s="239">
        <v>20796606</v>
      </c>
      <c r="CZ249" s="239">
        <v>16637285</v>
      </c>
      <c r="DA249" s="239">
        <v>4159321</v>
      </c>
      <c r="DB249" s="239">
        <v>0</v>
      </c>
      <c r="DC249" s="239">
        <v>41593212</v>
      </c>
      <c r="DD249" s="239">
        <v>-775135</v>
      </c>
      <c r="DE249" s="239">
        <v>-620107</v>
      </c>
      <c r="DF249" s="239">
        <v>-155027</v>
      </c>
      <c r="DG249" s="239">
        <v>0</v>
      </c>
      <c r="DH249" s="239">
        <v>-1550269</v>
      </c>
      <c r="DI249" s="239">
        <v>-637658</v>
      </c>
      <c r="DJ249" s="239">
        <v>-510126</v>
      </c>
      <c r="DK249" s="239">
        <v>-127532</v>
      </c>
      <c r="DL249" s="239">
        <v>0</v>
      </c>
      <c r="DM249" s="239">
        <v>-1275316</v>
      </c>
      <c r="DN249" s="835">
        <v>0.5</v>
      </c>
      <c r="DO249" s="835">
        <v>0.4</v>
      </c>
      <c r="DP249" s="835">
        <v>0.1</v>
      </c>
      <c r="DQ249" s="835">
        <v>0</v>
      </c>
      <c r="DR249" s="835">
        <v>1</v>
      </c>
      <c r="DS249" s="214" t="s">
        <v>1158</v>
      </c>
      <c r="DU249" s="214">
        <v>0</v>
      </c>
    </row>
    <row r="250" spans="2:125" s="214" customFormat="1" x14ac:dyDescent="0.2">
      <c r="B250" s="602" t="s">
        <v>583</v>
      </c>
      <c r="C250" s="602" t="s">
        <v>582</v>
      </c>
      <c r="D250" s="239">
        <v>16590184</v>
      </c>
      <c r="E250" s="239">
        <v>13272147</v>
      </c>
      <c r="F250" s="239">
        <v>2986233</v>
      </c>
      <c r="G250" s="239">
        <v>331804</v>
      </c>
      <c r="H250" s="239">
        <v>33180368</v>
      </c>
      <c r="I250" s="239">
        <v>0</v>
      </c>
      <c r="J250" s="239">
        <v>0</v>
      </c>
      <c r="K250" s="239">
        <v>16590184</v>
      </c>
      <c r="L250" s="239">
        <v>124370</v>
      </c>
      <c r="M250" s="239">
        <v>124370</v>
      </c>
      <c r="N250" s="239">
        <v>0</v>
      </c>
      <c r="O250" s="239">
        <v>0</v>
      </c>
      <c r="P250" s="239">
        <v>9302</v>
      </c>
      <c r="Q250" s="239">
        <v>0</v>
      </c>
      <c r="R250" s="239">
        <v>9302</v>
      </c>
      <c r="S250" s="239">
        <v>0</v>
      </c>
      <c r="T250" s="239">
        <v>0</v>
      </c>
      <c r="U250" s="239">
        <v>0</v>
      </c>
      <c r="V250" s="239">
        <v>0</v>
      </c>
      <c r="W250" s="239">
        <v>0</v>
      </c>
      <c r="X250" s="239">
        <v>0</v>
      </c>
      <c r="Y250" s="239">
        <v>0</v>
      </c>
      <c r="Z250" s="239">
        <v>0</v>
      </c>
      <c r="AA250" s="239">
        <v>0</v>
      </c>
      <c r="AB250" s="239">
        <v>0</v>
      </c>
      <c r="AC250" s="239">
        <v>1252646</v>
      </c>
      <c r="AD250" s="239">
        <v>281815</v>
      </c>
      <c r="AE250" s="239">
        <v>31313</v>
      </c>
      <c r="AF250" s="239">
        <v>1565774</v>
      </c>
      <c r="AG250" s="239">
        <v>611467</v>
      </c>
      <c r="AH250" s="239">
        <v>489174</v>
      </c>
      <c r="AI250" s="239">
        <v>110064</v>
      </c>
      <c r="AJ250" s="239">
        <v>12229</v>
      </c>
      <c r="AK250" s="239">
        <v>1222934</v>
      </c>
      <c r="AL250" s="239">
        <v>-292060</v>
      </c>
      <c r="AM250" s="239">
        <v>-233648</v>
      </c>
      <c r="AN250" s="239">
        <v>-52571</v>
      </c>
      <c r="AO250" s="239">
        <v>-5841</v>
      </c>
      <c r="AP250" s="239">
        <v>-584120</v>
      </c>
      <c r="AQ250" s="239">
        <v>-258446</v>
      </c>
      <c r="AR250" s="239">
        <v>-206757</v>
      </c>
      <c r="AS250" s="239">
        <v>-46520</v>
      </c>
      <c r="AT250" s="239">
        <v>-5169</v>
      </c>
      <c r="AU250" s="239">
        <v>-516892</v>
      </c>
      <c r="AV250" s="239">
        <v>139301</v>
      </c>
      <c r="AW250" s="239">
        <v>111440</v>
      </c>
      <c r="AX250" s="239">
        <v>25074</v>
      </c>
      <c r="AY250" s="239">
        <v>2786</v>
      </c>
      <c r="AZ250" s="239">
        <v>278601</v>
      </c>
      <c r="BA250" s="239">
        <v>-167626</v>
      </c>
      <c r="BB250" s="239">
        <v>-134102</v>
      </c>
      <c r="BC250" s="239">
        <v>-30173</v>
      </c>
      <c r="BD250" s="239">
        <v>-3353</v>
      </c>
      <c r="BE250" s="239">
        <v>-335254</v>
      </c>
      <c r="BF250" s="239">
        <v>-286771</v>
      </c>
      <c r="BG250" s="239">
        <v>-229419</v>
      </c>
      <c r="BH250" s="239">
        <v>-51619</v>
      </c>
      <c r="BI250" s="239">
        <v>-5736</v>
      </c>
      <c r="BJ250" s="239">
        <v>-573545</v>
      </c>
      <c r="BK250" s="239">
        <v>-1500000</v>
      </c>
      <c r="BL250" s="239">
        <v>-1200000</v>
      </c>
      <c r="BM250" s="239">
        <v>-270000</v>
      </c>
      <c r="BN250" s="239">
        <v>-30000</v>
      </c>
      <c r="BO250" s="239">
        <v>-3000000</v>
      </c>
      <c r="BP250" s="239">
        <v>395147</v>
      </c>
      <c r="BQ250" s="239">
        <v>316118</v>
      </c>
      <c r="BR250" s="239">
        <v>71126</v>
      </c>
      <c r="BS250" s="239">
        <v>7903</v>
      </c>
      <c r="BT250" s="239">
        <v>790294</v>
      </c>
      <c r="BU250" s="239">
        <v>-1020147</v>
      </c>
      <c r="BV250" s="239">
        <v>-816118</v>
      </c>
      <c r="BW250" s="239">
        <v>-183626</v>
      </c>
      <c r="BX250" s="239">
        <v>-20403</v>
      </c>
      <c r="BY250" s="239">
        <v>-2040294</v>
      </c>
      <c r="BZ250" s="239">
        <v>-2125000</v>
      </c>
      <c r="CA250" s="239">
        <v>-1700000</v>
      </c>
      <c r="CB250" s="239">
        <v>-382500</v>
      </c>
      <c r="CC250" s="239">
        <v>-42500</v>
      </c>
      <c r="CD250" s="239">
        <v>-4250000</v>
      </c>
      <c r="CE250" s="239">
        <v>330798</v>
      </c>
      <c r="CF250" s="239">
        <v>264638</v>
      </c>
      <c r="CG250" s="239">
        <v>59543</v>
      </c>
      <c r="CH250" s="239">
        <v>6617</v>
      </c>
      <c r="CI250" s="239">
        <v>661596</v>
      </c>
      <c r="CJ250" s="239">
        <v>313899</v>
      </c>
      <c r="CK250" s="239">
        <v>251119</v>
      </c>
      <c r="CL250" s="239">
        <v>56502</v>
      </c>
      <c r="CM250" s="239">
        <v>6278</v>
      </c>
      <c r="CN250" s="239">
        <v>627798</v>
      </c>
      <c r="CO250" s="239">
        <v>16899</v>
      </c>
      <c r="CP250" s="239">
        <v>13519</v>
      </c>
      <c r="CQ250" s="239">
        <v>3041</v>
      </c>
      <c r="CR250" s="239">
        <v>339</v>
      </c>
      <c r="CS250" s="239">
        <v>33798</v>
      </c>
      <c r="CT250" s="239">
        <v>16371961</v>
      </c>
      <c r="CU250" s="239">
        <v>13097569</v>
      </c>
      <c r="CV250" s="239">
        <v>2946953</v>
      </c>
      <c r="CW250" s="239">
        <v>327439</v>
      </c>
      <c r="CX250" s="239">
        <v>32743922</v>
      </c>
      <c r="CY250" s="239">
        <v>16590184</v>
      </c>
      <c r="CZ250" s="239">
        <v>13272147</v>
      </c>
      <c r="DA250" s="239">
        <v>2986233</v>
      </c>
      <c r="DB250" s="239">
        <v>331804</v>
      </c>
      <c r="DC250" s="239">
        <v>33180368</v>
      </c>
      <c r="DD250" s="239">
        <v>218223</v>
      </c>
      <c r="DE250" s="239">
        <v>174578</v>
      </c>
      <c r="DF250" s="239">
        <v>39280</v>
      </c>
      <c r="DG250" s="239">
        <v>4365</v>
      </c>
      <c r="DH250" s="239">
        <v>436446</v>
      </c>
      <c r="DI250" s="239">
        <v>235122</v>
      </c>
      <c r="DJ250" s="239">
        <v>188097</v>
      </c>
      <c r="DK250" s="239">
        <v>42321</v>
      </c>
      <c r="DL250" s="239">
        <v>4704</v>
      </c>
      <c r="DM250" s="239">
        <v>470244</v>
      </c>
      <c r="DN250" s="835">
        <v>0.5</v>
      </c>
      <c r="DO250" s="835">
        <v>0.4</v>
      </c>
      <c r="DP250" s="835">
        <v>0.09</v>
      </c>
      <c r="DQ250" s="835">
        <v>0.01</v>
      </c>
      <c r="DR250" s="835">
        <v>1</v>
      </c>
      <c r="DS250" s="214" t="s">
        <v>1158</v>
      </c>
      <c r="DU250" s="214">
        <v>0</v>
      </c>
    </row>
    <row r="251" spans="2:125" s="214" customFormat="1" x14ac:dyDescent="0.2">
      <c r="B251" s="602" t="s">
        <v>585</v>
      </c>
      <c r="C251" s="602" t="s">
        <v>584</v>
      </c>
      <c r="D251" s="239">
        <v>19436875</v>
      </c>
      <c r="E251" s="239">
        <v>15549500</v>
      </c>
      <c r="F251" s="239">
        <v>3498638</v>
      </c>
      <c r="G251" s="239">
        <v>388738</v>
      </c>
      <c r="H251" s="239">
        <v>38873751</v>
      </c>
      <c r="I251" s="239">
        <v>0</v>
      </c>
      <c r="J251" s="239">
        <v>0</v>
      </c>
      <c r="K251" s="239">
        <v>19436875</v>
      </c>
      <c r="L251" s="239">
        <v>223868</v>
      </c>
      <c r="M251" s="239">
        <v>223868</v>
      </c>
      <c r="N251" s="239">
        <v>0</v>
      </c>
      <c r="O251" s="239">
        <v>0</v>
      </c>
      <c r="P251" s="239">
        <v>521513</v>
      </c>
      <c r="Q251" s="239">
        <v>0</v>
      </c>
      <c r="R251" s="239">
        <v>521513</v>
      </c>
      <c r="S251" s="239">
        <v>0</v>
      </c>
      <c r="T251" s="239">
        <v>0</v>
      </c>
      <c r="U251" s="239">
        <v>0</v>
      </c>
      <c r="V251" s="239">
        <v>0</v>
      </c>
      <c r="W251" s="239">
        <v>0</v>
      </c>
      <c r="X251" s="239">
        <v>0</v>
      </c>
      <c r="Y251" s="239">
        <v>0</v>
      </c>
      <c r="Z251" s="239">
        <v>0</v>
      </c>
      <c r="AA251" s="239">
        <v>0</v>
      </c>
      <c r="AB251" s="239">
        <v>0</v>
      </c>
      <c r="AC251" s="239">
        <v>2200465</v>
      </c>
      <c r="AD251" s="239">
        <v>493343</v>
      </c>
      <c r="AE251" s="239">
        <v>54815</v>
      </c>
      <c r="AF251" s="239">
        <v>2748623</v>
      </c>
      <c r="AG251" s="239">
        <v>1150526</v>
      </c>
      <c r="AH251" s="239">
        <v>920421</v>
      </c>
      <c r="AI251" s="239">
        <v>207095</v>
      </c>
      <c r="AJ251" s="239">
        <v>23011</v>
      </c>
      <c r="AK251" s="239">
        <v>2301053</v>
      </c>
      <c r="AL251" s="239">
        <v>-306796</v>
      </c>
      <c r="AM251" s="239">
        <v>-245436</v>
      </c>
      <c r="AN251" s="239">
        <v>-55223</v>
      </c>
      <c r="AO251" s="239">
        <v>-6136</v>
      </c>
      <c r="AP251" s="239">
        <v>-613591</v>
      </c>
      <c r="AQ251" s="239">
        <v>-543800</v>
      </c>
      <c r="AR251" s="239">
        <v>-435040</v>
      </c>
      <c r="AS251" s="239">
        <v>-97884</v>
      </c>
      <c r="AT251" s="239">
        <v>-10876</v>
      </c>
      <c r="AU251" s="239">
        <v>-1087600</v>
      </c>
      <c r="AV251" s="239">
        <v>272437</v>
      </c>
      <c r="AW251" s="239">
        <v>217950</v>
      </c>
      <c r="AX251" s="239">
        <v>49039</v>
      </c>
      <c r="AY251" s="239">
        <v>5449</v>
      </c>
      <c r="AZ251" s="239">
        <v>544875</v>
      </c>
      <c r="BA251" s="239">
        <v>-220737</v>
      </c>
      <c r="BB251" s="239">
        <v>-176590</v>
      </c>
      <c r="BC251" s="239">
        <v>-39733</v>
      </c>
      <c r="BD251" s="239">
        <v>-4415</v>
      </c>
      <c r="BE251" s="239">
        <v>-441475</v>
      </c>
      <c r="BF251" s="239">
        <v>-492100</v>
      </c>
      <c r="BG251" s="239">
        <v>-393680</v>
      </c>
      <c r="BH251" s="239">
        <v>-88578</v>
      </c>
      <c r="BI251" s="239">
        <v>-9842</v>
      </c>
      <c r="BJ251" s="239">
        <v>-984200</v>
      </c>
      <c r="BK251" s="239">
        <v>-2384485.5999999996</v>
      </c>
      <c r="BL251" s="239">
        <v>-1907588</v>
      </c>
      <c r="BM251" s="239">
        <v>-429207</v>
      </c>
      <c r="BN251" s="239">
        <v>-47690</v>
      </c>
      <c r="BO251" s="239">
        <v>-4768970.5999999996</v>
      </c>
      <c r="BP251" s="239">
        <v>2000742</v>
      </c>
      <c r="BQ251" s="239">
        <v>1600594</v>
      </c>
      <c r="BR251" s="239">
        <v>360134</v>
      </c>
      <c r="BS251" s="239">
        <v>40015</v>
      </c>
      <c r="BT251" s="239">
        <v>4001485</v>
      </c>
      <c r="BU251" s="239">
        <v>-1192028</v>
      </c>
      <c r="BV251" s="239">
        <v>-953622</v>
      </c>
      <c r="BW251" s="239">
        <v>-214565</v>
      </c>
      <c r="BX251" s="239">
        <v>-23841</v>
      </c>
      <c r="BY251" s="239">
        <v>-2384056</v>
      </c>
      <c r="BZ251" s="239">
        <v>-1575771.5999999996</v>
      </c>
      <c r="CA251" s="239">
        <v>-1260616</v>
      </c>
      <c r="CB251" s="239">
        <v>-283638</v>
      </c>
      <c r="CC251" s="239">
        <v>-31516</v>
      </c>
      <c r="CD251" s="239">
        <v>-3151541.5999999996</v>
      </c>
      <c r="CE251" s="239">
        <v>735643</v>
      </c>
      <c r="CF251" s="239">
        <v>588516</v>
      </c>
      <c r="CG251" s="239">
        <v>132416</v>
      </c>
      <c r="CH251" s="239">
        <v>14714</v>
      </c>
      <c r="CI251" s="239">
        <v>1471289</v>
      </c>
      <c r="CJ251" s="239">
        <v>648348</v>
      </c>
      <c r="CK251" s="239">
        <v>518678</v>
      </c>
      <c r="CL251" s="239">
        <v>116703</v>
      </c>
      <c r="CM251" s="239">
        <v>12967</v>
      </c>
      <c r="CN251" s="239">
        <v>1296696</v>
      </c>
      <c r="CO251" s="239">
        <v>87295</v>
      </c>
      <c r="CP251" s="239">
        <v>69838</v>
      </c>
      <c r="CQ251" s="239">
        <v>15713</v>
      </c>
      <c r="CR251" s="239">
        <v>1747</v>
      </c>
      <c r="CS251" s="239">
        <v>174593</v>
      </c>
      <c r="CT251" s="239">
        <v>20820114</v>
      </c>
      <c r="CU251" s="239">
        <v>16656090</v>
      </c>
      <c r="CV251" s="239">
        <v>3747620</v>
      </c>
      <c r="CW251" s="239">
        <v>416402</v>
      </c>
      <c r="CX251" s="239">
        <v>41640226</v>
      </c>
      <c r="CY251" s="239">
        <v>19436875</v>
      </c>
      <c r="CZ251" s="239">
        <v>15549500</v>
      </c>
      <c r="DA251" s="239">
        <v>3498638</v>
      </c>
      <c r="DB251" s="239">
        <v>388738</v>
      </c>
      <c r="DC251" s="239">
        <v>38873751</v>
      </c>
      <c r="DD251" s="239">
        <v>-1383239</v>
      </c>
      <c r="DE251" s="239">
        <v>-1106590</v>
      </c>
      <c r="DF251" s="239">
        <v>-248982</v>
      </c>
      <c r="DG251" s="239">
        <v>-27664</v>
      </c>
      <c r="DH251" s="239">
        <v>-2766475</v>
      </c>
      <c r="DI251" s="239">
        <v>-1295944</v>
      </c>
      <c r="DJ251" s="239">
        <v>-1036752</v>
      </c>
      <c r="DK251" s="239">
        <v>-233269</v>
      </c>
      <c r="DL251" s="239">
        <v>-25917</v>
      </c>
      <c r="DM251" s="239">
        <v>-2591882</v>
      </c>
      <c r="DN251" s="835">
        <v>0.5</v>
      </c>
      <c r="DO251" s="835">
        <v>0.4</v>
      </c>
      <c r="DP251" s="835">
        <v>0.09</v>
      </c>
      <c r="DQ251" s="835">
        <v>0.01</v>
      </c>
      <c r="DR251" s="835">
        <v>1</v>
      </c>
      <c r="DS251" s="214" t="s">
        <v>1158</v>
      </c>
      <c r="DU251" s="214">
        <v>0</v>
      </c>
    </row>
    <row r="252" spans="2:125" s="214" customFormat="1" x14ac:dyDescent="0.2">
      <c r="B252" s="602" t="s">
        <v>587</v>
      </c>
      <c r="C252" s="602" t="s">
        <v>586</v>
      </c>
      <c r="D252" s="239">
        <v>11195391</v>
      </c>
      <c r="E252" s="239">
        <v>8956312</v>
      </c>
      <c r="F252" s="239">
        <v>2015170</v>
      </c>
      <c r="G252" s="239">
        <v>223908</v>
      </c>
      <c r="H252" s="239">
        <v>22390781</v>
      </c>
      <c r="I252" s="239">
        <v>77645</v>
      </c>
      <c r="J252" s="239">
        <v>77645</v>
      </c>
      <c r="K252" s="239">
        <v>11117746</v>
      </c>
      <c r="L252" s="239">
        <v>104320</v>
      </c>
      <c r="M252" s="239">
        <v>104320</v>
      </c>
      <c r="N252" s="239">
        <v>2367446</v>
      </c>
      <c r="O252" s="239">
        <v>2367446</v>
      </c>
      <c r="P252" s="239">
        <v>42172</v>
      </c>
      <c r="Q252" s="239">
        <v>185612</v>
      </c>
      <c r="R252" s="239">
        <v>227784</v>
      </c>
      <c r="S252" s="239">
        <v>77645.081545064371</v>
      </c>
      <c r="T252" s="239">
        <v>0</v>
      </c>
      <c r="U252" s="239">
        <v>0</v>
      </c>
      <c r="V252" s="239">
        <v>77645.081545064371</v>
      </c>
      <c r="W252" s="239">
        <v>0</v>
      </c>
      <c r="X252" s="239">
        <v>0</v>
      </c>
      <c r="Y252" s="239">
        <v>0</v>
      </c>
      <c r="Z252" s="239">
        <v>0</v>
      </c>
      <c r="AA252" s="239">
        <v>0</v>
      </c>
      <c r="AB252" s="239">
        <v>0</v>
      </c>
      <c r="AC252" s="239">
        <v>1111354</v>
      </c>
      <c r="AD252" s="239">
        <v>244698</v>
      </c>
      <c r="AE252" s="239">
        <v>26880</v>
      </c>
      <c r="AF252" s="239">
        <v>1382932</v>
      </c>
      <c r="AG252" s="239">
        <v>419809</v>
      </c>
      <c r="AH252" s="239">
        <v>335847</v>
      </c>
      <c r="AI252" s="239">
        <v>75566</v>
      </c>
      <c r="AJ252" s="239">
        <v>8396</v>
      </c>
      <c r="AK252" s="239">
        <v>839618</v>
      </c>
      <c r="AL252" s="239">
        <v>-285631</v>
      </c>
      <c r="AM252" s="239">
        <v>-228505</v>
      </c>
      <c r="AN252" s="239">
        <v>-51414</v>
      </c>
      <c r="AO252" s="239">
        <v>-5713</v>
      </c>
      <c r="AP252" s="239">
        <v>-571263</v>
      </c>
      <c r="AQ252" s="239">
        <v>-266500</v>
      </c>
      <c r="AR252" s="239">
        <v>-213200</v>
      </c>
      <c r="AS252" s="239">
        <v>-47970</v>
      </c>
      <c r="AT252" s="239">
        <v>-5330</v>
      </c>
      <c r="AU252" s="239">
        <v>-533000</v>
      </c>
      <c r="AV252" s="239">
        <v>87710</v>
      </c>
      <c r="AW252" s="239">
        <v>70168</v>
      </c>
      <c r="AX252" s="239">
        <v>15788</v>
      </c>
      <c r="AY252" s="239">
        <v>1754</v>
      </c>
      <c r="AZ252" s="239">
        <v>175420</v>
      </c>
      <c r="BA252" s="239">
        <v>-79710</v>
      </c>
      <c r="BB252" s="239">
        <v>-63768</v>
      </c>
      <c r="BC252" s="239">
        <v>-14348</v>
      </c>
      <c r="BD252" s="239">
        <v>-1594</v>
      </c>
      <c r="BE252" s="239">
        <v>-159420</v>
      </c>
      <c r="BF252" s="239">
        <v>-258500</v>
      </c>
      <c r="BG252" s="239">
        <v>-206800</v>
      </c>
      <c r="BH252" s="239">
        <v>-46530</v>
      </c>
      <c r="BI252" s="239">
        <v>-5170</v>
      </c>
      <c r="BJ252" s="239">
        <v>-517000</v>
      </c>
      <c r="BK252" s="239">
        <v>-1436000</v>
      </c>
      <c r="BL252" s="239">
        <v>-1148800</v>
      </c>
      <c r="BM252" s="239">
        <v>-258480</v>
      </c>
      <c r="BN252" s="239">
        <v>-28720</v>
      </c>
      <c r="BO252" s="239">
        <v>-2872000</v>
      </c>
      <c r="BP252" s="239">
        <v>318577</v>
      </c>
      <c r="BQ252" s="239">
        <v>254862</v>
      </c>
      <c r="BR252" s="239">
        <v>57344</v>
      </c>
      <c r="BS252" s="239">
        <v>6372</v>
      </c>
      <c r="BT252" s="239">
        <v>637155</v>
      </c>
      <c r="BU252" s="239">
        <v>-151767</v>
      </c>
      <c r="BV252" s="239">
        <v>-121414</v>
      </c>
      <c r="BW252" s="239">
        <v>-27318</v>
      </c>
      <c r="BX252" s="239">
        <v>-3035</v>
      </c>
      <c r="BY252" s="239">
        <v>-303534</v>
      </c>
      <c r="BZ252" s="239">
        <v>-1269190</v>
      </c>
      <c r="CA252" s="239">
        <v>-1015352</v>
      </c>
      <c r="CB252" s="239">
        <v>-228454</v>
      </c>
      <c r="CC252" s="239">
        <v>-25383</v>
      </c>
      <c r="CD252" s="239">
        <v>-2538379</v>
      </c>
      <c r="CE252" s="239">
        <v>-432120</v>
      </c>
      <c r="CF252" s="239">
        <v>-345698</v>
      </c>
      <c r="CG252" s="239">
        <v>-77783</v>
      </c>
      <c r="CH252" s="239">
        <v>-8642</v>
      </c>
      <c r="CI252" s="239">
        <v>-864243</v>
      </c>
      <c r="CJ252" s="239">
        <v>174</v>
      </c>
      <c r="CK252" s="239">
        <v>139</v>
      </c>
      <c r="CL252" s="239">
        <v>31</v>
      </c>
      <c r="CM252" s="239">
        <v>3</v>
      </c>
      <c r="CN252" s="239">
        <v>347</v>
      </c>
      <c r="CO252" s="239">
        <v>-432294</v>
      </c>
      <c r="CP252" s="239">
        <v>-345837</v>
      </c>
      <c r="CQ252" s="239">
        <v>-77814</v>
      </c>
      <c r="CR252" s="239">
        <v>-8645</v>
      </c>
      <c r="CS252" s="239">
        <v>-864590</v>
      </c>
      <c r="CT252" s="239">
        <v>10556914</v>
      </c>
      <c r="CU252" s="239">
        <v>8445531</v>
      </c>
      <c r="CV252" s="239">
        <v>1900244</v>
      </c>
      <c r="CW252" s="239">
        <v>211138</v>
      </c>
      <c r="CX252" s="239">
        <v>21113827</v>
      </c>
      <c r="CY252" s="239">
        <v>11195391</v>
      </c>
      <c r="CZ252" s="239">
        <v>8956312</v>
      </c>
      <c r="DA252" s="239">
        <v>2015170</v>
      </c>
      <c r="DB252" s="239">
        <v>223908</v>
      </c>
      <c r="DC252" s="239">
        <v>22390781</v>
      </c>
      <c r="DD252" s="239">
        <v>638477</v>
      </c>
      <c r="DE252" s="239">
        <v>510781</v>
      </c>
      <c r="DF252" s="239">
        <v>114926</v>
      </c>
      <c r="DG252" s="239">
        <v>12770</v>
      </c>
      <c r="DH252" s="239">
        <v>1276954</v>
      </c>
      <c r="DI252" s="239">
        <v>206183</v>
      </c>
      <c r="DJ252" s="239">
        <v>164944</v>
      </c>
      <c r="DK252" s="239">
        <v>37112</v>
      </c>
      <c r="DL252" s="239">
        <v>4125</v>
      </c>
      <c r="DM252" s="239">
        <v>412364</v>
      </c>
      <c r="DN252" s="835">
        <v>0.5</v>
      </c>
      <c r="DO252" s="835">
        <v>0.4</v>
      </c>
      <c r="DP252" s="835">
        <v>0.09</v>
      </c>
      <c r="DQ252" s="835">
        <v>0.01</v>
      </c>
      <c r="DR252" s="835">
        <v>1</v>
      </c>
      <c r="DS252" s="214" t="s">
        <v>1158</v>
      </c>
      <c r="DU252" s="214">
        <v>0</v>
      </c>
    </row>
    <row r="253" spans="2:125" s="214" customFormat="1" x14ac:dyDescent="0.2">
      <c r="B253" s="602" t="s">
        <v>589</v>
      </c>
      <c r="C253" s="602" t="s">
        <v>588</v>
      </c>
      <c r="D253" s="239">
        <v>13709487</v>
      </c>
      <c r="E253" s="239">
        <v>13435298</v>
      </c>
      <c r="F253" s="239">
        <v>0</v>
      </c>
      <c r="G253" s="239">
        <v>274190</v>
      </c>
      <c r="H253" s="239">
        <v>27418975</v>
      </c>
      <c r="I253" s="239">
        <v>0</v>
      </c>
      <c r="J253" s="239">
        <v>0</v>
      </c>
      <c r="K253" s="239">
        <v>13709487</v>
      </c>
      <c r="L253" s="239">
        <v>150198</v>
      </c>
      <c r="M253" s="239">
        <v>150198</v>
      </c>
      <c r="N253" s="239">
        <v>0</v>
      </c>
      <c r="O253" s="239">
        <v>0</v>
      </c>
      <c r="P253" s="239">
        <v>0</v>
      </c>
      <c r="Q253" s="239">
        <v>0</v>
      </c>
      <c r="R253" s="239">
        <v>0</v>
      </c>
      <c r="S253" s="239">
        <v>0</v>
      </c>
      <c r="T253" s="239">
        <v>0</v>
      </c>
      <c r="U253" s="239">
        <v>0</v>
      </c>
      <c r="V253" s="239">
        <v>0</v>
      </c>
      <c r="W253" s="239">
        <v>0</v>
      </c>
      <c r="X253" s="239">
        <v>0</v>
      </c>
      <c r="Y253" s="239">
        <v>0</v>
      </c>
      <c r="Z253" s="239">
        <v>0</v>
      </c>
      <c r="AA253" s="239">
        <v>0</v>
      </c>
      <c r="AB253" s="239">
        <v>0</v>
      </c>
      <c r="AC253" s="239">
        <v>1650799</v>
      </c>
      <c r="AD253" s="239">
        <v>0</v>
      </c>
      <c r="AE253" s="239">
        <v>33690</v>
      </c>
      <c r="AF253" s="239">
        <v>1684489</v>
      </c>
      <c r="AG253" s="239">
        <v>941898</v>
      </c>
      <c r="AH253" s="239">
        <v>923060</v>
      </c>
      <c r="AI253" s="239">
        <v>0</v>
      </c>
      <c r="AJ253" s="239">
        <v>18838</v>
      </c>
      <c r="AK253" s="239">
        <v>1883796</v>
      </c>
      <c r="AL253" s="239">
        <v>-580755</v>
      </c>
      <c r="AM253" s="239">
        <v>-569140</v>
      </c>
      <c r="AN253" s="239">
        <v>0</v>
      </c>
      <c r="AO253" s="239">
        <v>-11615</v>
      </c>
      <c r="AP253" s="239">
        <v>-1161510</v>
      </c>
      <c r="AQ253" s="239">
        <v>-373221.93000000005</v>
      </c>
      <c r="AR253" s="239">
        <v>-365757</v>
      </c>
      <c r="AS253" s="239">
        <v>0</v>
      </c>
      <c r="AT253" s="239">
        <v>-7464</v>
      </c>
      <c r="AU253" s="239">
        <v>-746442.93</v>
      </c>
      <c r="AV253" s="239">
        <v>108293</v>
      </c>
      <c r="AW253" s="239">
        <v>106127</v>
      </c>
      <c r="AX253" s="239">
        <v>0</v>
      </c>
      <c r="AY253" s="239">
        <v>2166</v>
      </c>
      <c r="AZ253" s="239">
        <v>216586</v>
      </c>
      <c r="BA253" s="239">
        <v>-146302</v>
      </c>
      <c r="BB253" s="239">
        <v>-143376</v>
      </c>
      <c r="BC253" s="239">
        <v>0</v>
      </c>
      <c r="BD253" s="239">
        <v>-2926</v>
      </c>
      <c r="BE253" s="239">
        <v>-292604</v>
      </c>
      <c r="BF253" s="239">
        <v>-411230.93000000005</v>
      </c>
      <c r="BG253" s="239">
        <v>-403006</v>
      </c>
      <c r="BH253" s="239">
        <v>0</v>
      </c>
      <c r="BI253" s="239">
        <v>-8224</v>
      </c>
      <c r="BJ253" s="239">
        <v>-822460.93</v>
      </c>
      <c r="BK253" s="239">
        <v>-972649</v>
      </c>
      <c r="BL253" s="239">
        <v>-953196</v>
      </c>
      <c r="BM253" s="239">
        <v>0</v>
      </c>
      <c r="BN253" s="239">
        <v>-19453</v>
      </c>
      <c r="BO253" s="239">
        <v>-1945298</v>
      </c>
      <c r="BP253" s="239">
        <v>521408</v>
      </c>
      <c r="BQ253" s="239">
        <v>510980</v>
      </c>
      <c r="BR253" s="239">
        <v>0</v>
      </c>
      <c r="BS253" s="239">
        <v>10428</v>
      </c>
      <c r="BT253" s="239">
        <v>1042816</v>
      </c>
      <c r="BU253" s="239">
        <v>-636641</v>
      </c>
      <c r="BV253" s="239">
        <v>-623909</v>
      </c>
      <c r="BW253" s="239">
        <v>0</v>
      </c>
      <c r="BX253" s="239">
        <v>-12733</v>
      </c>
      <c r="BY253" s="239">
        <v>-1273283</v>
      </c>
      <c r="BZ253" s="239">
        <v>-1087882</v>
      </c>
      <c r="CA253" s="239">
        <v>-1066125</v>
      </c>
      <c r="CB253" s="239">
        <v>0</v>
      </c>
      <c r="CC253" s="239">
        <v>-21758</v>
      </c>
      <c r="CD253" s="239">
        <v>-2175765</v>
      </c>
      <c r="CE253" s="239">
        <v>-604105</v>
      </c>
      <c r="CF253" s="239">
        <v>-592025</v>
      </c>
      <c r="CG253" s="239">
        <v>0</v>
      </c>
      <c r="CH253" s="239">
        <v>-12082</v>
      </c>
      <c r="CI253" s="239">
        <v>-1208212</v>
      </c>
      <c r="CJ253" s="239">
        <v>-379355</v>
      </c>
      <c r="CK253" s="239">
        <v>-371767</v>
      </c>
      <c r="CL253" s="239">
        <v>0</v>
      </c>
      <c r="CM253" s="239">
        <v>-7587</v>
      </c>
      <c r="CN253" s="239">
        <v>-758709</v>
      </c>
      <c r="CO253" s="239">
        <v>-224750</v>
      </c>
      <c r="CP253" s="239">
        <v>-220258</v>
      </c>
      <c r="CQ253" s="239">
        <v>0</v>
      </c>
      <c r="CR253" s="239">
        <v>-4495</v>
      </c>
      <c r="CS253" s="239">
        <v>-449503</v>
      </c>
      <c r="CT253" s="239">
        <v>14649319</v>
      </c>
      <c r="CU253" s="239">
        <v>14356333</v>
      </c>
      <c r="CV253" s="239">
        <v>0</v>
      </c>
      <c r="CW253" s="239">
        <v>292986</v>
      </c>
      <c r="CX253" s="239">
        <v>29298638</v>
      </c>
      <c r="CY253" s="239">
        <v>13709487</v>
      </c>
      <c r="CZ253" s="239">
        <v>13435298</v>
      </c>
      <c r="DA253" s="239">
        <v>0</v>
      </c>
      <c r="DB253" s="239">
        <v>274190</v>
      </c>
      <c r="DC253" s="239">
        <v>27418975</v>
      </c>
      <c r="DD253" s="239">
        <v>-939832</v>
      </c>
      <c r="DE253" s="239">
        <v>-921035</v>
      </c>
      <c r="DF253" s="239">
        <v>0</v>
      </c>
      <c r="DG253" s="239">
        <v>-18796</v>
      </c>
      <c r="DH253" s="239">
        <v>-1879663</v>
      </c>
      <c r="DI253" s="239">
        <v>-1164582</v>
      </c>
      <c r="DJ253" s="239">
        <v>-1141293</v>
      </c>
      <c r="DK253" s="239">
        <v>0</v>
      </c>
      <c r="DL253" s="239">
        <v>-23291</v>
      </c>
      <c r="DM253" s="239">
        <v>-2329166</v>
      </c>
      <c r="DN253" s="835">
        <v>0.5</v>
      </c>
      <c r="DO253" s="835">
        <v>0.49</v>
      </c>
      <c r="DP253" s="835">
        <v>0</v>
      </c>
      <c r="DQ253" s="835">
        <v>0.01</v>
      </c>
      <c r="DR253" s="835">
        <v>1</v>
      </c>
      <c r="DS253" s="214" t="s">
        <v>1160</v>
      </c>
      <c r="DU253" s="214">
        <v>0</v>
      </c>
    </row>
    <row r="254" spans="2:125" s="214" customFormat="1" x14ac:dyDescent="0.2">
      <c r="B254" s="602" t="s">
        <v>591</v>
      </c>
      <c r="C254" s="602" t="s">
        <v>590</v>
      </c>
      <c r="D254" s="239">
        <v>49945485</v>
      </c>
      <c r="E254" s="239">
        <v>48946575</v>
      </c>
      <c r="F254" s="239">
        <v>0</v>
      </c>
      <c r="G254" s="239">
        <v>998910</v>
      </c>
      <c r="H254" s="239">
        <v>99890970</v>
      </c>
      <c r="I254" s="239">
        <v>0</v>
      </c>
      <c r="J254" s="239">
        <v>0</v>
      </c>
      <c r="K254" s="239">
        <v>49945485</v>
      </c>
      <c r="L254" s="239">
        <v>310662</v>
      </c>
      <c r="M254" s="239">
        <v>310662</v>
      </c>
      <c r="N254" s="239">
        <v>0</v>
      </c>
      <c r="O254" s="239">
        <v>0</v>
      </c>
      <c r="P254" s="239">
        <v>0</v>
      </c>
      <c r="Q254" s="239">
        <v>0</v>
      </c>
      <c r="R254" s="239">
        <v>0</v>
      </c>
      <c r="S254" s="239">
        <v>0</v>
      </c>
      <c r="T254" s="239">
        <v>0</v>
      </c>
      <c r="U254" s="239">
        <v>0</v>
      </c>
      <c r="V254" s="239">
        <v>0</v>
      </c>
      <c r="W254" s="239">
        <v>0</v>
      </c>
      <c r="X254" s="239">
        <v>0</v>
      </c>
      <c r="Y254" s="239">
        <v>0</v>
      </c>
      <c r="Z254" s="239">
        <v>0</v>
      </c>
      <c r="AA254" s="239">
        <v>0</v>
      </c>
      <c r="AB254" s="239">
        <v>0</v>
      </c>
      <c r="AC254" s="239">
        <v>3054793</v>
      </c>
      <c r="AD254" s="239">
        <v>0</v>
      </c>
      <c r="AE254" s="239">
        <v>62342</v>
      </c>
      <c r="AF254" s="239">
        <v>3117135</v>
      </c>
      <c r="AG254" s="239">
        <v>3593670</v>
      </c>
      <c r="AH254" s="239">
        <v>3521797</v>
      </c>
      <c r="AI254" s="239">
        <v>0</v>
      </c>
      <c r="AJ254" s="239">
        <v>71873</v>
      </c>
      <c r="AK254" s="239">
        <v>7187340</v>
      </c>
      <c r="AL254" s="239">
        <v>-2797685</v>
      </c>
      <c r="AM254" s="239">
        <v>-2741732</v>
      </c>
      <c r="AN254" s="239">
        <v>0</v>
      </c>
      <c r="AO254" s="239">
        <v>-55954</v>
      </c>
      <c r="AP254" s="239">
        <v>-5595371</v>
      </c>
      <c r="AQ254" s="239">
        <v>-1641195</v>
      </c>
      <c r="AR254" s="239">
        <v>-1608371</v>
      </c>
      <c r="AS254" s="239">
        <v>0</v>
      </c>
      <c r="AT254" s="239">
        <v>-32824</v>
      </c>
      <c r="AU254" s="239">
        <v>-3282390</v>
      </c>
      <c r="AV254" s="239">
        <v>312298</v>
      </c>
      <c r="AW254" s="239">
        <v>306053</v>
      </c>
      <c r="AX254" s="239">
        <v>0</v>
      </c>
      <c r="AY254" s="239">
        <v>6246</v>
      </c>
      <c r="AZ254" s="239">
        <v>624597</v>
      </c>
      <c r="BA254" s="239">
        <v>-1114841</v>
      </c>
      <c r="BB254" s="239">
        <v>-1092545</v>
      </c>
      <c r="BC254" s="239">
        <v>0</v>
      </c>
      <c r="BD254" s="239">
        <v>-22297</v>
      </c>
      <c r="BE254" s="239">
        <v>-2229683</v>
      </c>
      <c r="BF254" s="239">
        <v>-2443738</v>
      </c>
      <c r="BG254" s="239">
        <v>-2394863</v>
      </c>
      <c r="BH254" s="239">
        <v>0</v>
      </c>
      <c r="BI254" s="239">
        <v>-48875</v>
      </c>
      <c r="BJ254" s="239">
        <v>-4887476</v>
      </c>
      <c r="BK254" s="239">
        <v>-9411767</v>
      </c>
      <c r="BL254" s="239">
        <v>-9223531</v>
      </c>
      <c r="BM254" s="239">
        <v>0</v>
      </c>
      <c r="BN254" s="239">
        <v>-188235</v>
      </c>
      <c r="BO254" s="239">
        <v>-18823533</v>
      </c>
      <c r="BP254" s="239">
        <v>3590366</v>
      </c>
      <c r="BQ254" s="239">
        <v>3518559</v>
      </c>
      <c r="BR254" s="239">
        <v>0</v>
      </c>
      <c r="BS254" s="239">
        <v>71807</v>
      </c>
      <c r="BT254" s="239">
        <v>7180732</v>
      </c>
      <c r="BU254" s="239">
        <v>-4010128</v>
      </c>
      <c r="BV254" s="239">
        <v>-3929926</v>
      </c>
      <c r="BW254" s="239">
        <v>0</v>
      </c>
      <c r="BX254" s="239">
        <v>-80203</v>
      </c>
      <c r="BY254" s="239">
        <v>-8020257</v>
      </c>
      <c r="BZ254" s="239">
        <v>-9831529</v>
      </c>
      <c r="CA254" s="239">
        <v>-9634898</v>
      </c>
      <c r="CB254" s="239">
        <v>0</v>
      </c>
      <c r="CC254" s="239">
        <v>-196631</v>
      </c>
      <c r="CD254" s="239">
        <v>-19663058</v>
      </c>
      <c r="CE254" s="239">
        <v>3087599</v>
      </c>
      <c r="CF254" s="239">
        <v>3025847</v>
      </c>
      <c r="CG254" s="239">
        <v>0</v>
      </c>
      <c r="CH254" s="239">
        <v>61751</v>
      </c>
      <c r="CI254" s="239">
        <v>6175197</v>
      </c>
      <c r="CJ254" s="239">
        <v>2370103</v>
      </c>
      <c r="CK254" s="239">
        <v>2322701</v>
      </c>
      <c r="CL254" s="239">
        <v>0</v>
      </c>
      <c r="CM254" s="239">
        <v>47402</v>
      </c>
      <c r="CN254" s="239">
        <v>4740206</v>
      </c>
      <c r="CO254" s="239">
        <v>717496</v>
      </c>
      <c r="CP254" s="239">
        <v>703146</v>
      </c>
      <c r="CQ254" s="239">
        <v>0</v>
      </c>
      <c r="CR254" s="239">
        <v>14349</v>
      </c>
      <c r="CS254" s="239">
        <v>1434991</v>
      </c>
      <c r="CT254" s="239">
        <v>48892026</v>
      </c>
      <c r="CU254" s="239">
        <v>47914185</v>
      </c>
      <c r="CV254" s="239">
        <v>0</v>
      </c>
      <c r="CW254" s="239">
        <v>977841</v>
      </c>
      <c r="CX254" s="239">
        <v>97784052</v>
      </c>
      <c r="CY254" s="239">
        <v>49945485</v>
      </c>
      <c r="CZ254" s="239">
        <v>48946575</v>
      </c>
      <c r="DA254" s="239">
        <v>0</v>
      </c>
      <c r="DB254" s="239">
        <v>998910</v>
      </c>
      <c r="DC254" s="239">
        <v>99890970</v>
      </c>
      <c r="DD254" s="239">
        <v>1053459</v>
      </c>
      <c r="DE254" s="239">
        <v>1032390</v>
      </c>
      <c r="DF254" s="239">
        <v>0</v>
      </c>
      <c r="DG254" s="239">
        <v>21069</v>
      </c>
      <c r="DH254" s="239">
        <v>2106918</v>
      </c>
      <c r="DI254" s="239">
        <v>1770955</v>
      </c>
      <c r="DJ254" s="239">
        <v>1735536</v>
      </c>
      <c r="DK254" s="239">
        <v>0</v>
      </c>
      <c r="DL254" s="239">
        <v>35418</v>
      </c>
      <c r="DM254" s="239">
        <v>3541909</v>
      </c>
      <c r="DN254" s="835">
        <v>0.5</v>
      </c>
      <c r="DO254" s="835">
        <v>0.49</v>
      </c>
      <c r="DP254" s="835">
        <v>0</v>
      </c>
      <c r="DQ254" s="835">
        <v>0.01</v>
      </c>
      <c r="DR254" s="835">
        <v>1</v>
      </c>
      <c r="DS254" s="214" t="s">
        <v>746</v>
      </c>
      <c r="DU254" s="214">
        <v>0</v>
      </c>
    </row>
    <row r="255" spans="2:125" s="214" customFormat="1" x14ac:dyDescent="0.2">
      <c r="B255" s="602" t="s">
        <v>593</v>
      </c>
      <c r="C255" s="602" t="s">
        <v>592</v>
      </c>
      <c r="D255" s="239">
        <v>20658738.229999997</v>
      </c>
      <c r="E255" s="239">
        <v>20245564</v>
      </c>
      <c r="F255" s="239">
        <v>0</v>
      </c>
      <c r="G255" s="239">
        <v>413175</v>
      </c>
      <c r="H255" s="239">
        <v>41317477.229999997</v>
      </c>
      <c r="I255" s="239">
        <v>0</v>
      </c>
      <c r="J255" s="239">
        <v>0</v>
      </c>
      <c r="K255" s="239">
        <v>20658738.229999997</v>
      </c>
      <c r="L255" s="239">
        <v>234382</v>
      </c>
      <c r="M255" s="239">
        <v>234382</v>
      </c>
      <c r="N255" s="239">
        <v>0</v>
      </c>
      <c r="O255" s="239">
        <v>0</v>
      </c>
      <c r="P255" s="239">
        <v>0</v>
      </c>
      <c r="Q255" s="239">
        <v>0</v>
      </c>
      <c r="R255" s="239">
        <v>0</v>
      </c>
      <c r="S255" s="239">
        <v>0</v>
      </c>
      <c r="T255" s="239">
        <v>0</v>
      </c>
      <c r="U255" s="239">
        <v>0</v>
      </c>
      <c r="V255" s="239">
        <v>0</v>
      </c>
      <c r="W255" s="239">
        <v>0</v>
      </c>
      <c r="X255" s="239">
        <v>0</v>
      </c>
      <c r="Y255" s="239">
        <v>0</v>
      </c>
      <c r="Z255" s="239">
        <v>0</v>
      </c>
      <c r="AA255" s="239">
        <v>0</v>
      </c>
      <c r="AB255" s="239">
        <v>0</v>
      </c>
      <c r="AC255" s="239">
        <v>2909354</v>
      </c>
      <c r="AD255" s="239">
        <v>0</v>
      </c>
      <c r="AE255" s="239">
        <v>59373</v>
      </c>
      <c r="AF255" s="239">
        <v>2968727</v>
      </c>
      <c r="AG255" s="239">
        <v>902942</v>
      </c>
      <c r="AH255" s="239">
        <v>884884</v>
      </c>
      <c r="AI255" s="239">
        <v>0</v>
      </c>
      <c r="AJ255" s="239">
        <v>18059</v>
      </c>
      <c r="AK255" s="239">
        <v>1805885</v>
      </c>
      <c r="AL255" s="239">
        <v>-821741</v>
      </c>
      <c r="AM255" s="239">
        <v>-805306</v>
      </c>
      <c r="AN255" s="239">
        <v>0</v>
      </c>
      <c r="AO255" s="239">
        <v>-16435</v>
      </c>
      <c r="AP255" s="239">
        <v>-1643482</v>
      </c>
      <c r="AQ255" s="239">
        <v>-360680.99</v>
      </c>
      <c r="AR255" s="239">
        <v>-353468</v>
      </c>
      <c r="AS255" s="239">
        <v>0</v>
      </c>
      <c r="AT255" s="239">
        <v>-7214</v>
      </c>
      <c r="AU255" s="239">
        <v>-721362.99</v>
      </c>
      <c r="AV255" s="239">
        <v>171601</v>
      </c>
      <c r="AW255" s="239">
        <v>168169</v>
      </c>
      <c r="AX255" s="239">
        <v>0</v>
      </c>
      <c r="AY255" s="239">
        <v>3432</v>
      </c>
      <c r="AZ255" s="239">
        <v>343202</v>
      </c>
      <c r="BA255" s="239">
        <v>-207686</v>
      </c>
      <c r="BB255" s="239">
        <v>-203532</v>
      </c>
      <c r="BC255" s="239">
        <v>0</v>
      </c>
      <c r="BD255" s="239">
        <v>-4154</v>
      </c>
      <c r="BE255" s="239">
        <v>-415372</v>
      </c>
      <c r="BF255" s="239">
        <v>-396765.99</v>
      </c>
      <c r="BG255" s="239">
        <v>-388831</v>
      </c>
      <c r="BH255" s="239">
        <v>0</v>
      </c>
      <c r="BI255" s="239">
        <v>-7936</v>
      </c>
      <c r="BJ255" s="239">
        <v>-793532.99</v>
      </c>
      <c r="BK255" s="239">
        <v>-2296153.2000000002</v>
      </c>
      <c r="BL255" s="239">
        <v>-2250231</v>
      </c>
      <c r="BM255" s="239">
        <v>0</v>
      </c>
      <c r="BN255" s="239">
        <v>-45923</v>
      </c>
      <c r="BO255" s="239">
        <v>-4592307.2</v>
      </c>
      <c r="BP255" s="239">
        <v>2018299</v>
      </c>
      <c r="BQ255" s="239">
        <v>1977933</v>
      </c>
      <c r="BR255" s="239">
        <v>0</v>
      </c>
      <c r="BS255" s="239">
        <v>40366</v>
      </c>
      <c r="BT255" s="239">
        <v>4036598</v>
      </c>
      <c r="BU255" s="239">
        <v>-1259890.77</v>
      </c>
      <c r="BV255" s="239">
        <v>-1234694</v>
      </c>
      <c r="BW255" s="239">
        <v>0</v>
      </c>
      <c r="BX255" s="239">
        <v>-25198</v>
      </c>
      <c r="BY255" s="239">
        <v>-2519782.77</v>
      </c>
      <c r="BZ255" s="239">
        <v>-1537744.9700000002</v>
      </c>
      <c r="CA255" s="239">
        <v>-1506992</v>
      </c>
      <c r="CB255" s="239">
        <v>0</v>
      </c>
      <c r="CC255" s="239">
        <v>-30755</v>
      </c>
      <c r="CD255" s="239">
        <v>-3075491.97</v>
      </c>
      <c r="CE255" s="239">
        <v>-2550011</v>
      </c>
      <c r="CF255" s="239">
        <v>-2499011</v>
      </c>
      <c r="CG255" s="239">
        <v>0</v>
      </c>
      <c r="CH255" s="239">
        <v>-51000</v>
      </c>
      <c r="CI255" s="239">
        <v>-5100022</v>
      </c>
      <c r="CJ255" s="239">
        <v>-2161092</v>
      </c>
      <c r="CK255" s="239">
        <v>-2117870</v>
      </c>
      <c r="CL255" s="239">
        <v>0</v>
      </c>
      <c r="CM255" s="239">
        <v>-43222</v>
      </c>
      <c r="CN255" s="239">
        <v>-4322184</v>
      </c>
      <c r="CO255" s="239">
        <v>-388919</v>
      </c>
      <c r="CP255" s="239">
        <v>-381141</v>
      </c>
      <c r="CQ255" s="239">
        <v>0</v>
      </c>
      <c r="CR255" s="239">
        <v>-7778</v>
      </c>
      <c r="CS255" s="239">
        <v>-777838</v>
      </c>
      <c r="CT255" s="239">
        <v>21107515</v>
      </c>
      <c r="CU255" s="239">
        <v>20685365</v>
      </c>
      <c r="CV255" s="239">
        <v>0</v>
      </c>
      <c r="CW255" s="239">
        <v>422150</v>
      </c>
      <c r="CX255" s="239">
        <v>42215030</v>
      </c>
      <c r="CY255" s="239">
        <v>20658738.229999997</v>
      </c>
      <c r="CZ255" s="239">
        <v>20245564</v>
      </c>
      <c r="DA255" s="239">
        <v>0</v>
      </c>
      <c r="DB255" s="239">
        <v>413175</v>
      </c>
      <c r="DC255" s="239">
        <v>41317477.229999997</v>
      </c>
      <c r="DD255" s="239">
        <v>-448776.77000000328</v>
      </c>
      <c r="DE255" s="239">
        <v>-439801</v>
      </c>
      <c r="DF255" s="239">
        <v>0</v>
      </c>
      <c r="DG255" s="239">
        <v>-8975</v>
      </c>
      <c r="DH255" s="239">
        <v>-897552.77000000328</v>
      </c>
      <c r="DI255" s="239">
        <v>-837695.77000000328</v>
      </c>
      <c r="DJ255" s="239">
        <v>-820942</v>
      </c>
      <c r="DK255" s="239">
        <v>0</v>
      </c>
      <c r="DL255" s="239">
        <v>-16753</v>
      </c>
      <c r="DM255" s="239">
        <v>-1675390.7700000033</v>
      </c>
      <c r="DN255" s="835">
        <v>0.5</v>
      </c>
      <c r="DO255" s="835">
        <v>0.49</v>
      </c>
      <c r="DP255" s="835">
        <v>0</v>
      </c>
      <c r="DQ255" s="835">
        <v>0.01</v>
      </c>
      <c r="DR255" s="835">
        <v>1</v>
      </c>
      <c r="DS255" s="214" t="s">
        <v>746</v>
      </c>
      <c r="DU255" s="214">
        <v>0</v>
      </c>
    </row>
    <row r="256" spans="2:125" s="214" customFormat="1" x14ac:dyDescent="0.2">
      <c r="B256" s="602" t="s">
        <v>595</v>
      </c>
      <c r="C256" s="602" t="s">
        <v>594</v>
      </c>
      <c r="D256" s="239">
        <v>100657927</v>
      </c>
      <c r="E256" s="239">
        <v>91507206</v>
      </c>
      <c r="F256" s="239">
        <v>112858888</v>
      </c>
      <c r="G256" s="239">
        <v>0</v>
      </c>
      <c r="H256" s="239">
        <v>305024021</v>
      </c>
      <c r="I256" s="239">
        <v>0</v>
      </c>
      <c r="J256" s="239">
        <v>0</v>
      </c>
      <c r="K256" s="239">
        <v>100657927</v>
      </c>
      <c r="L256" s="239">
        <v>720423</v>
      </c>
      <c r="M256" s="239">
        <v>720423</v>
      </c>
      <c r="N256" s="239">
        <v>0</v>
      </c>
      <c r="O256" s="239">
        <v>0</v>
      </c>
      <c r="P256" s="239">
        <v>0</v>
      </c>
      <c r="Q256" s="239">
        <v>0</v>
      </c>
      <c r="R256" s="239">
        <v>0</v>
      </c>
      <c r="S256" s="239">
        <v>0</v>
      </c>
      <c r="T256" s="239">
        <v>0</v>
      </c>
      <c r="U256" s="239">
        <v>0</v>
      </c>
      <c r="V256" s="239">
        <v>0</v>
      </c>
      <c r="W256" s="239">
        <v>0</v>
      </c>
      <c r="X256" s="239">
        <v>0</v>
      </c>
      <c r="Y256" s="239">
        <v>0</v>
      </c>
      <c r="Z256" s="239">
        <v>0</v>
      </c>
      <c r="AA256" s="239">
        <v>0</v>
      </c>
      <c r="AB256" s="239">
        <v>0</v>
      </c>
      <c r="AC256" s="239">
        <v>4573347</v>
      </c>
      <c r="AD256" s="239">
        <v>5640459</v>
      </c>
      <c r="AE256" s="239">
        <v>0</v>
      </c>
      <c r="AF256" s="239">
        <v>10213806</v>
      </c>
      <c r="AG256" s="239">
        <v>12580271</v>
      </c>
      <c r="AH256" s="239">
        <v>11436610</v>
      </c>
      <c r="AI256" s="239">
        <v>14105152</v>
      </c>
      <c r="AJ256" s="239">
        <v>0</v>
      </c>
      <c r="AK256" s="239">
        <v>38122033</v>
      </c>
      <c r="AL256" s="239">
        <v>-7862494</v>
      </c>
      <c r="AM256" s="239">
        <v>-7147723</v>
      </c>
      <c r="AN256" s="239">
        <v>-8815525</v>
      </c>
      <c r="AO256" s="239">
        <v>0</v>
      </c>
      <c r="AP256" s="239">
        <v>-23825742</v>
      </c>
      <c r="AQ256" s="239">
        <v>-1875687</v>
      </c>
      <c r="AR256" s="239">
        <v>-1705171</v>
      </c>
      <c r="AS256" s="239">
        <v>-2103044</v>
      </c>
      <c r="AT256" s="239">
        <v>0</v>
      </c>
      <c r="AU256" s="239">
        <v>-5683902</v>
      </c>
      <c r="AV256" s="239">
        <v>23641</v>
      </c>
      <c r="AW256" s="239">
        <v>21493</v>
      </c>
      <c r="AX256" s="239">
        <v>26508</v>
      </c>
      <c r="AY256" s="239">
        <v>0</v>
      </c>
      <c r="AZ256" s="239">
        <v>71642</v>
      </c>
      <c r="BA256" s="239">
        <v>-101079</v>
      </c>
      <c r="BB256" s="239">
        <v>-91890</v>
      </c>
      <c r="BC256" s="239">
        <v>-113331</v>
      </c>
      <c r="BD256" s="239">
        <v>0</v>
      </c>
      <c r="BE256" s="239">
        <v>-306300</v>
      </c>
      <c r="BF256" s="239">
        <v>-1953125</v>
      </c>
      <c r="BG256" s="239">
        <v>-1775568</v>
      </c>
      <c r="BH256" s="239">
        <v>-2189867</v>
      </c>
      <c r="BI256" s="239">
        <v>0</v>
      </c>
      <c r="BJ256" s="239">
        <v>-5918560</v>
      </c>
      <c r="BK256" s="239">
        <v>-13308830</v>
      </c>
      <c r="BL256" s="239">
        <v>-12098936</v>
      </c>
      <c r="BM256" s="239">
        <v>-14922021</v>
      </c>
      <c r="BN256" s="239">
        <v>0</v>
      </c>
      <c r="BO256" s="239">
        <v>-40329787</v>
      </c>
      <c r="BP256" s="239">
        <v>726590</v>
      </c>
      <c r="BQ256" s="239">
        <v>660537</v>
      </c>
      <c r="BR256" s="239">
        <v>814662</v>
      </c>
      <c r="BS256" s="239">
        <v>0</v>
      </c>
      <c r="BT256" s="239">
        <v>2201789</v>
      </c>
      <c r="BU256" s="239">
        <v>1589595</v>
      </c>
      <c r="BV256" s="239">
        <v>1445086</v>
      </c>
      <c r="BW256" s="239">
        <v>1782273</v>
      </c>
      <c r="BX256" s="239">
        <v>0</v>
      </c>
      <c r="BY256" s="239">
        <v>4816954</v>
      </c>
      <c r="BZ256" s="239">
        <v>-10992645</v>
      </c>
      <c r="CA256" s="239">
        <v>-9993313</v>
      </c>
      <c r="CB256" s="239">
        <v>-12325086</v>
      </c>
      <c r="CC256" s="239">
        <v>0</v>
      </c>
      <c r="CD256" s="239">
        <v>-33311044</v>
      </c>
      <c r="CE256" s="239">
        <v>854304</v>
      </c>
      <c r="CF256" s="239">
        <v>512582</v>
      </c>
      <c r="CG256" s="239">
        <v>341723</v>
      </c>
      <c r="CH256" s="239">
        <v>0</v>
      </c>
      <c r="CI256" s="239">
        <v>1708609</v>
      </c>
      <c r="CJ256" s="239">
        <v>7575590</v>
      </c>
      <c r="CK256" s="239">
        <v>4545354</v>
      </c>
      <c r="CL256" s="239">
        <v>3030236</v>
      </c>
      <c r="CM256" s="239">
        <v>0</v>
      </c>
      <c r="CN256" s="239">
        <v>15151180</v>
      </c>
      <c r="CO256" s="239">
        <v>-6721286</v>
      </c>
      <c r="CP256" s="239">
        <v>-4032772</v>
      </c>
      <c r="CQ256" s="239">
        <v>-2688513</v>
      </c>
      <c r="CR256" s="239">
        <v>0</v>
      </c>
      <c r="CS256" s="239">
        <v>-13442571</v>
      </c>
      <c r="CT256" s="239">
        <v>90584043</v>
      </c>
      <c r="CU256" s="239">
        <v>82349130</v>
      </c>
      <c r="CV256" s="239">
        <v>101563927</v>
      </c>
      <c r="CW256" s="239">
        <v>0</v>
      </c>
      <c r="CX256" s="239">
        <v>274497100</v>
      </c>
      <c r="CY256" s="239">
        <v>100657927</v>
      </c>
      <c r="CZ256" s="239">
        <v>91507206</v>
      </c>
      <c r="DA256" s="239">
        <v>112858888</v>
      </c>
      <c r="DB256" s="239">
        <v>0</v>
      </c>
      <c r="DC256" s="239">
        <v>305024021</v>
      </c>
      <c r="DD256" s="239">
        <v>10073884</v>
      </c>
      <c r="DE256" s="239">
        <v>9158076</v>
      </c>
      <c r="DF256" s="239">
        <v>11294961</v>
      </c>
      <c r="DG256" s="239">
        <v>0</v>
      </c>
      <c r="DH256" s="239">
        <v>30526921</v>
      </c>
      <c r="DI256" s="239">
        <v>3352598</v>
      </c>
      <c r="DJ256" s="239">
        <v>5125304</v>
      </c>
      <c r="DK256" s="239">
        <v>8606448</v>
      </c>
      <c r="DL256" s="239">
        <v>0</v>
      </c>
      <c r="DM256" s="239">
        <v>17084350</v>
      </c>
      <c r="DN256" s="835">
        <v>0.33</v>
      </c>
      <c r="DO256" s="835">
        <v>0.3</v>
      </c>
      <c r="DP256" s="835">
        <v>0.37</v>
      </c>
      <c r="DQ256" s="835">
        <v>0</v>
      </c>
      <c r="DR256" s="835">
        <v>1</v>
      </c>
      <c r="DS256" s="214" t="s">
        <v>1161</v>
      </c>
      <c r="DU256" s="214">
        <v>0</v>
      </c>
    </row>
    <row r="257" spans="1:125" s="214" customFormat="1" x14ac:dyDescent="0.2">
      <c r="A257" s="215" t="s">
        <v>1668</v>
      </c>
      <c r="B257" s="602" t="s">
        <v>597</v>
      </c>
      <c r="C257" s="602" t="s">
        <v>596</v>
      </c>
      <c r="D257" s="239">
        <v>21798056</v>
      </c>
      <c r="E257" s="239">
        <v>17438445</v>
      </c>
      <c r="F257" s="239">
        <v>4359611</v>
      </c>
      <c r="G257" s="239">
        <v>0</v>
      </c>
      <c r="H257" s="239">
        <v>43596112</v>
      </c>
      <c r="I257" s="239">
        <v>0</v>
      </c>
      <c r="J257" s="239">
        <v>0</v>
      </c>
      <c r="K257" s="239">
        <v>21798056</v>
      </c>
      <c r="L257" s="239">
        <v>128748</v>
      </c>
      <c r="M257" s="239">
        <v>128748</v>
      </c>
      <c r="N257" s="239">
        <v>0</v>
      </c>
      <c r="O257" s="239">
        <v>0</v>
      </c>
      <c r="P257" s="239">
        <v>0</v>
      </c>
      <c r="Q257" s="239">
        <v>0</v>
      </c>
      <c r="R257" s="239">
        <v>0</v>
      </c>
      <c r="S257" s="239">
        <v>0</v>
      </c>
      <c r="T257" s="239">
        <v>0</v>
      </c>
      <c r="U257" s="239">
        <v>0</v>
      </c>
      <c r="V257" s="239">
        <v>0</v>
      </c>
      <c r="W257" s="239">
        <v>0</v>
      </c>
      <c r="X257" s="239">
        <v>0</v>
      </c>
      <c r="Y257" s="239">
        <v>0</v>
      </c>
      <c r="Z257" s="239">
        <v>0</v>
      </c>
      <c r="AA257" s="239">
        <v>0</v>
      </c>
      <c r="AB257" s="239">
        <v>0</v>
      </c>
      <c r="AC257" s="239">
        <v>1037346</v>
      </c>
      <c r="AD257" s="239">
        <v>259337</v>
      </c>
      <c r="AE257" s="239">
        <v>0</v>
      </c>
      <c r="AF257" s="239">
        <v>1296683</v>
      </c>
      <c r="AG257" s="239">
        <v>662734</v>
      </c>
      <c r="AH257" s="239">
        <v>530187</v>
      </c>
      <c r="AI257" s="239">
        <v>132547</v>
      </c>
      <c r="AJ257" s="239">
        <v>0</v>
      </c>
      <c r="AK257" s="239">
        <v>1325468</v>
      </c>
      <c r="AL257" s="239">
        <v>-955262</v>
      </c>
      <c r="AM257" s="239">
        <v>-764210</v>
      </c>
      <c r="AN257" s="239">
        <v>-191053</v>
      </c>
      <c r="AO257" s="239">
        <v>0</v>
      </c>
      <c r="AP257" s="239">
        <v>-1910525</v>
      </c>
      <c r="AQ257" s="239">
        <v>-303723</v>
      </c>
      <c r="AR257" s="239">
        <v>-242978</v>
      </c>
      <c r="AS257" s="239">
        <v>-60745</v>
      </c>
      <c r="AT257" s="239">
        <v>0</v>
      </c>
      <c r="AU257" s="239">
        <v>-607446</v>
      </c>
      <c r="AV257" s="239">
        <v>0</v>
      </c>
      <c r="AW257" s="239">
        <v>0</v>
      </c>
      <c r="AX257" s="239">
        <v>0</v>
      </c>
      <c r="AY257" s="239">
        <v>0</v>
      </c>
      <c r="AZ257" s="239">
        <v>0</v>
      </c>
      <c r="BA257" s="239">
        <v>-151500</v>
      </c>
      <c r="BB257" s="239">
        <v>-121200</v>
      </c>
      <c r="BC257" s="239">
        <v>-30300</v>
      </c>
      <c r="BD257" s="239">
        <v>0</v>
      </c>
      <c r="BE257" s="239">
        <v>-303000</v>
      </c>
      <c r="BF257" s="239">
        <v>-455223</v>
      </c>
      <c r="BG257" s="239">
        <v>-364178</v>
      </c>
      <c r="BH257" s="239">
        <v>-91045</v>
      </c>
      <c r="BI257" s="239">
        <v>0</v>
      </c>
      <c r="BJ257" s="239">
        <v>-910446</v>
      </c>
      <c r="BK257" s="239">
        <v>-1541745</v>
      </c>
      <c r="BL257" s="239">
        <v>-1233396</v>
      </c>
      <c r="BM257" s="239">
        <v>-308349</v>
      </c>
      <c r="BN257" s="239">
        <v>0</v>
      </c>
      <c r="BO257" s="239">
        <v>-3083490</v>
      </c>
      <c r="BP257" s="239">
        <v>1217651</v>
      </c>
      <c r="BQ257" s="239">
        <v>974121</v>
      </c>
      <c r="BR257" s="239">
        <v>243530</v>
      </c>
      <c r="BS257" s="239">
        <v>0</v>
      </c>
      <c r="BT257" s="239">
        <v>2435302</v>
      </c>
      <c r="BU257" s="239">
        <v>-2250000</v>
      </c>
      <c r="BV257" s="239">
        <v>-1800000</v>
      </c>
      <c r="BW257" s="239">
        <v>-450000</v>
      </c>
      <c r="BX257" s="239">
        <v>0</v>
      </c>
      <c r="BY257" s="239">
        <v>-4500000</v>
      </c>
      <c r="BZ257" s="239">
        <v>-2574094</v>
      </c>
      <c r="CA257" s="239">
        <v>-2059275</v>
      </c>
      <c r="CB257" s="239">
        <v>-514819</v>
      </c>
      <c r="CC257" s="239">
        <v>0</v>
      </c>
      <c r="CD257" s="239">
        <v>-5148188</v>
      </c>
      <c r="CE257" s="239">
        <v>38112</v>
      </c>
      <c r="CF257" s="239">
        <v>30491</v>
      </c>
      <c r="CG257" s="239">
        <v>7622</v>
      </c>
      <c r="CH257" s="239">
        <v>0</v>
      </c>
      <c r="CI257" s="239">
        <v>76225</v>
      </c>
      <c r="CJ257" s="239">
        <v>1129500</v>
      </c>
      <c r="CK257" s="239">
        <v>903600</v>
      </c>
      <c r="CL257" s="239">
        <v>225900</v>
      </c>
      <c r="CM257" s="239">
        <v>0</v>
      </c>
      <c r="CN257" s="239">
        <v>2259000</v>
      </c>
      <c r="CO257" s="239">
        <v>-1091388</v>
      </c>
      <c r="CP257" s="239">
        <v>-873109</v>
      </c>
      <c r="CQ257" s="239">
        <v>-218278</v>
      </c>
      <c r="CR257" s="239">
        <v>0</v>
      </c>
      <c r="CS257" s="239">
        <v>-2182775</v>
      </c>
      <c r="CT257" s="239">
        <v>24388188</v>
      </c>
      <c r="CU257" s="239">
        <v>19510550</v>
      </c>
      <c r="CV257" s="239">
        <v>4877638</v>
      </c>
      <c r="CW257" s="239">
        <v>0</v>
      </c>
      <c r="CX257" s="239">
        <v>48776376</v>
      </c>
      <c r="CY257" s="239">
        <v>21798056</v>
      </c>
      <c r="CZ257" s="239">
        <v>17438445</v>
      </c>
      <c r="DA257" s="239">
        <v>4359611</v>
      </c>
      <c r="DB257" s="239">
        <v>0</v>
      </c>
      <c r="DC257" s="239">
        <v>43596112</v>
      </c>
      <c r="DD257" s="239">
        <v>-2590132</v>
      </c>
      <c r="DE257" s="239">
        <v>-2072105</v>
      </c>
      <c r="DF257" s="239">
        <v>-518027</v>
      </c>
      <c r="DG257" s="239">
        <v>0</v>
      </c>
      <c r="DH257" s="239">
        <v>-5180264</v>
      </c>
      <c r="DI257" s="239">
        <v>-3681520</v>
      </c>
      <c r="DJ257" s="239">
        <v>-2945214</v>
      </c>
      <c r="DK257" s="239">
        <v>-736305</v>
      </c>
      <c r="DL257" s="239">
        <v>0</v>
      </c>
      <c r="DM257" s="239">
        <v>-7363039</v>
      </c>
      <c r="DN257" s="835">
        <v>0.5</v>
      </c>
      <c r="DO257" s="835">
        <v>0.4</v>
      </c>
      <c r="DP257" s="835">
        <v>0.1</v>
      </c>
      <c r="DQ257" s="835">
        <v>0</v>
      </c>
      <c r="DR257" s="835">
        <v>1</v>
      </c>
      <c r="DS257" s="214" t="s">
        <v>1158</v>
      </c>
      <c r="DU257" s="214">
        <v>0</v>
      </c>
    </row>
    <row r="258" spans="1:125" s="214" customFormat="1" x14ac:dyDescent="0.2">
      <c r="B258" s="602" t="s">
        <v>599</v>
      </c>
      <c r="C258" s="602" t="s">
        <v>598</v>
      </c>
      <c r="D258" s="239">
        <v>30180032</v>
      </c>
      <c r="E258" s="239">
        <v>24144026</v>
      </c>
      <c r="F258" s="239">
        <v>6036007</v>
      </c>
      <c r="G258" s="239">
        <v>0</v>
      </c>
      <c r="H258" s="239">
        <v>60360065</v>
      </c>
      <c r="I258" s="239">
        <v>0</v>
      </c>
      <c r="J258" s="239">
        <v>0</v>
      </c>
      <c r="K258" s="239">
        <v>30180032</v>
      </c>
      <c r="L258" s="239">
        <v>188622</v>
      </c>
      <c r="M258" s="239">
        <v>188622</v>
      </c>
      <c r="N258" s="239">
        <v>4941</v>
      </c>
      <c r="O258" s="239">
        <v>4941</v>
      </c>
      <c r="P258" s="239">
        <v>0</v>
      </c>
      <c r="Q258" s="239">
        <v>0</v>
      </c>
      <c r="R258" s="239">
        <v>0</v>
      </c>
      <c r="S258" s="239">
        <v>0</v>
      </c>
      <c r="T258" s="239">
        <v>0</v>
      </c>
      <c r="U258" s="239">
        <v>0</v>
      </c>
      <c r="V258" s="239">
        <v>0</v>
      </c>
      <c r="W258" s="239">
        <v>0</v>
      </c>
      <c r="X258" s="239">
        <v>0</v>
      </c>
      <c r="Y258" s="239">
        <v>0</v>
      </c>
      <c r="Z258" s="239">
        <v>0</v>
      </c>
      <c r="AA258" s="239">
        <v>0</v>
      </c>
      <c r="AB258" s="239">
        <v>0</v>
      </c>
      <c r="AC258" s="239">
        <v>1465747</v>
      </c>
      <c r="AD258" s="239">
        <v>366419</v>
      </c>
      <c r="AE258" s="239">
        <v>0</v>
      </c>
      <c r="AF258" s="239">
        <v>1832166</v>
      </c>
      <c r="AG258" s="239">
        <v>586932</v>
      </c>
      <c r="AH258" s="239">
        <v>469545</v>
      </c>
      <c r="AI258" s="239">
        <v>117386</v>
      </c>
      <c r="AJ258" s="239">
        <v>0</v>
      </c>
      <c r="AK258" s="239">
        <v>1173863</v>
      </c>
      <c r="AL258" s="239">
        <v>-421001</v>
      </c>
      <c r="AM258" s="239">
        <v>-336801</v>
      </c>
      <c r="AN258" s="239">
        <v>-84200</v>
      </c>
      <c r="AO258" s="239">
        <v>0</v>
      </c>
      <c r="AP258" s="239">
        <v>-842002</v>
      </c>
      <c r="AQ258" s="239">
        <v>-799500</v>
      </c>
      <c r="AR258" s="239">
        <v>-639600</v>
      </c>
      <c r="AS258" s="239">
        <v>-159900</v>
      </c>
      <c r="AT258" s="239">
        <v>0</v>
      </c>
      <c r="AU258" s="239">
        <v>-1599000</v>
      </c>
      <c r="AV258" s="239">
        <v>656024</v>
      </c>
      <c r="AW258" s="239">
        <v>524820</v>
      </c>
      <c r="AX258" s="239">
        <v>131205</v>
      </c>
      <c r="AY258" s="239">
        <v>0</v>
      </c>
      <c r="AZ258" s="239">
        <v>1312049</v>
      </c>
      <c r="BA258" s="239">
        <v>-233024</v>
      </c>
      <c r="BB258" s="239">
        <v>-186420</v>
      </c>
      <c r="BC258" s="239">
        <v>-46605</v>
      </c>
      <c r="BD258" s="239">
        <v>0</v>
      </c>
      <c r="BE258" s="239">
        <v>-466049</v>
      </c>
      <c r="BF258" s="239">
        <v>-376500</v>
      </c>
      <c r="BG258" s="239">
        <v>-301200</v>
      </c>
      <c r="BH258" s="239">
        <v>-75300</v>
      </c>
      <c r="BI258" s="239">
        <v>0</v>
      </c>
      <c r="BJ258" s="239">
        <v>-753000</v>
      </c>
      <c r="BK258" s="239">
        <v>-4860000.8000000007</v>
      </c>
      <c r="BL258" s="239">
        <v>-3888000</v>
      </c>
      <c r="BM258" s="239">
        <v>-972000</v>
      </c>
      <c r="BN258" s="239">
        <v>0</v>
      </c>
      <c r="BO258" s="239">
        <v>-9720000.8000000007</v>
      </c>
      <c r="BP258" s="239">
        <v>906380</v>
      </c>
      <c r="BQ258" s="239">
        <v>725104</v>
      </c>
      <c r="BR258" s="239">
        <v>181276</v>
      </c>
      <c r="BS258" s="239">
        <v>0</v>
      </c>
      <c r="BT258" s="239">
        <v>1812760</v>
      </c>
      <c r="BU258" s="239">
        <v>-125380</v>
      </c>
      <c r="BV258" s="239">
        <v>-100304</v>
      </c>
      <c r="BW258" s="239">
        <v>-25076</v>
      </c>
      <c r="BX258" s="239">
        <v>0</v>
      </c>
      <c r="BY258" s="239">
        <v>-250760</v>
      </c>
      <c r="BZ258" s="239">
        <v>-4079000.8000000007</v>
      </c>
      <c r="CA258" s="239">
        <v>-3263200</v>
      </c>
      <c r="CB258" s="239">
        <v>-815800</v>
      </c>
      <c r="CC258" s="239">
        <v>0</v>
      </c>
      <c r="CD258" s="239">
        <v>-8158000.8000000007</v>
      </c>
      <c r="CE258" s="239">
        <v>-3121377</v>
      </c>
      <c r="CF258" s="239">
        <v>-2497102</v>
      </c>
      <c r="CG258" s="239">
        <v>-624276</v>
      </c>
      <c r="CH258" s="239">
        <v>0</v>
      </c>
      <c r="CI258" s="239">
        <v>-6242755</v>
      </c>
      <c r="CJ258" s="239">
        <v>-144326</v>
      </c>
      <c r="CK258" s="239">
        <v>-115461</v>
      </c>
      <c r="CL258" s="239">
        <v>-28865</v>
      </c>
      <c r="CM258" s="239">
        <v>0</v>
      </c>
      <c r="CN258" s="239">
        <v>-288652</v>
      </c>
      <c r="CO258" s="239">
        <v>-2977051</v>
      </c>
      <c r="CP258" s="239">
        <v>-2381641</v>
      </c>
      <c r="CQ258" s="239">
        <v>-595411</v>
      </c>
      <c r="CR258" s="239">
        <v>0</v>
      </c>
      <c r="CS258" s="239">
        <v>-5954103</v>
      </c>
      <c r="CT258" s="239">
        <v>28983849</v>
      </c>
      <c r="CU258" s="239">
        <v>23187079</v>
      </c>
      <c r="CV258" s="239">
        <v>5796770</v>
      </c>
      <c r="CW258" s="239">
        <v>0</v>
      </c>
      <c r="CX258" s="239">
        <v>57967698</v>
      </c>
      <c r="CY258" s="239">
        <v>30180032</v>
      </c>
      <c r="CZ258" s="239">
        <v>24144026</v>
      </c>
      <c r="DA258" s="239">
        <v>6036007</v>
      </c>
      <c r="DB258" s="239">
        <v>0</v>
      </c>
      <c r="DC258" s="239">
        <v>60360065</v>
      </c>
      <c r="DD258" s="239">
        <v>1196183</v>
      </c>
      <c r="DE258" s="239">
        <v>956947</v>
      </c>
      <c r="DF258" s="239">
        <v>239237</v>
      </c>
      <c r="DG258" s="239">
        <v>0</v>
      </c>
      <c r="DH258" s="239">
        <v>2392367</v>
      </c>
      <c r="DI258" s="239">
        <v>-1780868</v>
      </c>
      <c r="DJ258" s="239">
        <v>-1424694</v>
      </c>
      <c r="DK258" s="239">
        <v>-356174</v>
      </c>
      <c r="DL258" s="239">
        <v>0</v>
      </c>
      <c r="DM258" s="239">
        <v>-3561736</v>
      </c>
      <c r="DN258" s="835">
        <v>0.5</v>
      </c>
      <c r="DO258" s="835">
        <v>0.4</v>
      </c>
      <c r="DP258" s="835">
        <v>0.1</v>
      </c>
      <c r="DQ258" s="835">
        <v>0</v>
      </c>
      <c r="DR258" s="835">
        <v>1</v>
      </c>
      <c r="DS258" s="214" t="s">
        <v>1158</v>
      </c>
      <c r="DU258" s="214">
        <v>0</v>
      </c>
    </row>
    <row r="259" spans="1:125" s="214" customFormat="1" x14ac:dyDescent="0.2">
      <c r="B259" s="602" t="s">
        <v>601</v>
      </c>
      <c r="C259" s="602" t="s">
        <v>600</v>
      </c>
      <c r="D259" s="239">
        <v>21684219</v>
      </c>
      <c r="E259" s="239">
        <v>17347376</v>
      </c>
      <c r="F259" s="239">
        <v>4336844</v>
      </c>
      <c r="G259" s="239">
        <v>0</v>
      </c>
      <c r="H259" s="239">
        <v>43368439</v>
      </c>
      <c r="I259" s="239">
        <v>0</v>
      </c>
      <c r="J259" s="239">
        <v>0</v>
      </c>
      <c r="K259" s="239">
        <v>21684219</v>
      </c>
      <c r="L259" s="239">
        <v>158330</v>
      </c>
      <c r="M259" s="239">
        <v>158330</v>
      </c>
      <c r="N259" s="239">
        <v>0</v>
      </c>
      <c r="O259" s="239">
        <v>0</v>
      </c>
      <c r="P259" s="239">
        <v>252599</v>
      </c>
      <c r="Q259" s="239">
        <v>0</v>
      </c>
      <c r="R259" s="239">
        <v>252599</v>
      </c>
      <c r="S259" s="239">
        <v>0</v>
      </c>
      <c r="T259" s="239">
        <v>0</v>
      </c>
      <c r="U259" s="239">
        <v>0</v>
      </c>
      <c r="V259" s="239">
        <v>0</v>
      </c>
      <c r="W259" s="239">
        <v>0</v>
      </c>
      <c r="X259" s="239">
        <v>0</v>
      </c>
      <c r="Y259" s="239">
        <v>0</v>
      </c>
      <c r="Z259" s="239">
        <v>0</v>
      </c>
      <c r="AA259" s="239">
        <v>0</v>
      </c>
      <c r="AB259" s="239">
        <v>0</v>
      </c>
      <c r="AC259" s="239">
        <v>1314452</v>
      </c>
      <c r="AD259" s="239">
        <v>327665</v>
      </c>
      <c r="AE259" s="239">
        <v>0</v>
      </c>
      <c r="AF259" s="239">
        <v>1642117</v>
      </c>
      <c r="AG259" s="239">
        <v>876562</v>
      </c>
      <c r="AH259" s="239">
        <v>701249</v>
      </c>
      <c r="AI259" s="239">
        <v>175312</v>
      </c>
      <c r="AJ259" s="239">
        <v>0</v>
      </c>
      <c r="AK259" s="239">
        <v>1753123</v>
      </c>
      <c r="AL259" s="239">
        <v>-463740</v>
      </c>
      <c r="AM259" s="239">
        <v>-370992</v>
      </c>
      <c r="AN259" s="239">
        <v>-92748</v>
      </c>
      <c r="AO259" s="239">
        <v>0</v>
      </c>
      <c r="AP259" s="239">
        <v>-927480</v>
      </c>
      <c r="AQ259" s="239">
        <v>-301002.17000000004</v>
      </c>
      <c r="AR259" s="239">
        <v>-240802</v>
      </c>
      <c r="AS259" s="239">
        <v>-60201</v>
      </c>
      <c r="AT259" s="239">
        <v>0</v>
      </c>
      <c r="AU259" s="239">
        <v>-602005.17000000004</v>
      </c>
      <c r="AV259" s="239">
        <v>208337</v>
      </c>
      <c r="AW259" s="239">
        <v>166670</v>
      </c>
      <c r="AX259" s="239">
        <v>41668</v>
      </c>
      <c r="AY259" s="239">
        <v>0</v>
      </c>
      <c r="AZ259" s="239">
        <v>416675</v>
      </c>
      <c r="BA259" s="239">
        <v>-177481</v>
      </c>
      <c r="BB259" s="239">
        <v>-141985</v>
      </c>
      <c r="BC259" s="239">
        <v>-35496</v>
      </c>
      <c r="BD259" s="239">
        <v>0</v>
      </c>
      <c r="BE259" s="239">
        <v>-354962</v>
      </c>
      <c r="BF259" s="239">
        <v>-270146.17000000004</v>
      </c>
      <c r="BG259" s="239">
        <v>-216117</v>
      </c>
      <c r="BH259" s="239">
        <v>-54029</v>
      </c>
      <c r="BI259" s="239">
        <v>0</v>
      </c>
      <c r="BJ259" s="239">
        <v>-540292.17000000004</v>
      </c>
      <c r="BK259" s="239">
        <v>-1386772</v>
      </c>
      <c r="BL259" s="239">
        <v>-1109418</v>
      </c>
      <c r="BM259" s="239">
        <v>-277355</v>
      </c>
      <c r="BN259" s="239">
        <v>0</v>
      </c>
      <c r="BO259" s="239">
        <v>-2773545</v>
      </c>
      <c r="BP259" s="239">
        <v>1299153</v>
      </c>
      <c r="BQ259" s="239">
        <v>1039323</v>
      </c>
      <c r="BR259" s="239">
        <v>259831</v>
      </c>
      <c r="BS259" s="239">
        <v>0</v>
      </c>
      <c r="BT259" s="239">
        <v>2598307</v>
      </c>
      <c r="BU259" s="239">
        <v>-1404750</v>
      </c>
      <c r="BV259" s="239">
        <v>-1123800</v>
      </c>
      <c r="BW259" s="239">
        <v>-280950</v>
      </c>
      <c r="BX259" s="239">
        <v>0</v>
      </c>
      <c r="BY259" s="239">
        <v>-2809500</v>
      </c>
      <c r="BZ259" s="239">
        <v>-1492369</v>
      </c>
      <c r="CA259" s="239">
        <v>-1193895</v>
      </c>
      <c r="CB259" s="239">
        <v>-298474</v>
      </c>
      <c r="CC259" s="239">
        <v>0</v>
      </c>
      <c r="CD259" s="239">
        <v>-2984738</v>
      </c>
      <c r="CE259" s="239">
        <v>785158.28000000119</v>
      </c>
      <c r="CF259" s="239">
        <v>628127</v>
      </c>
      <c r="CG259" s="239">
        <v>157031</v>
      </c>
      <c r="CH259" s="239">
        <v>0</v>
      </c>
      <c r="CI259" s="239">
        <v>1570316.2800000012</v>
      </c>
      <c r="CJ259" s="239">
        <v>944171</v>
      </c>
      <c r="CK259" s="239">
        <v>755337</v>
      </c>
      <c r="CL259" s="239">
        <v>188834</v>
      </c>
      <c r="CM259" s="239">
        <v>0</v>
      </c>
      <c r="CN259" s="239">
        <v>1888342</v>
      </c>
      <c r="CO259" s="239">
        <v>-159012.71999999881</v>
      </c>
      <c r="CP259" s="239">
        <v>-127210</v>
      </c>
      <c r="CQ259" s="239">
        <v>-31803</v>
      </c>
      <c r="CR259" s="239">
        <v>0</v>
      </c>
      <c r="CS259" s="239">
        <v>-318025.71999999881</v>
      </c>
      <c r="CT259" s="239">
        <v>22199286</v>
      </c>
      <c r="CU259" s="239">
        <v>17759428</v>
      </c>
      <c r="CV259" s="239">
        <v>4439857</v>
      </c>
      <c r="CW259" s="239">
        <v>0</v>
      </c>
      <c r="CX259" s="239">
        <v>44398571</v>
      </c>
      <c r="CY259" s="239">
        <v>21684219</v>
      </c>
      <c r="CZ259" s="239">
        <v>17347376</v>
      </c>
      <c r="DA259" s="239">
        <v>4336844</v>
      </c>
      <c r="DB259" s="239">
        <v>0</v>
      </c>
      <c r="DC259" s="239">
        <v>43368439</v>
      </c>
      <c r="DD259" s="239">
        <v>-515067</v>
      </c>
      <c r="DE259" s="239">
        <v>-412052</v>
      </c>
      <c r="DF259" s="239">
        <v>-103013</v>
      </c>
      <c r="DG259" s="239">
        <v>0</v>
      </c>
      <c r="DH259" s="239">
        <v>-1030132</v>
      </c>
      <c r="DI259" s="239">
        <v>-674079.71999999881</v>
      </c>
      <c r="DJ259" s="239">
        <v>-539262</v>
      </c>
      <c r="DK259" s="239">
        <v>-134816</v>
      </c>
      <c r="DL259" s="239">
        <v>0</v>
      </c>
      <c r="DM259" s="239">
        <v>-1348157.7199999988</v>
      </c>
      <c r="DN259" s="835">
        <v>0.5</v>
      </c>
      <c r="DO259" s="835">
        <v>0.4</v>
      </c>
      <c r="DP259" s="835">
        <v>0.1</v>
      </c>
      <c r="DQ259" s="835">
        <v>0</v>
      </c>
      <c r="DR259" s="835">
        <v>1</v>
      </c>
      <c r="DS259" s="214" t="s">
        <v>1158</v>
      </c>
      <c r="DU259" s="214">
        <v>0</v>
      </c>
    </row>
    <row r="260" spans="1:125" s="214" customFormat="1" x14ac:dyDescent="0.2">
      <c r="B260" s="602" t="s">
        <v>603</v>
      </c>
      <c r="C260" s="602" t="s">
        <v>602</v>
      </c>
      <c r="D260" s="239">
        <v>0</v>
      </c>
      <c r="E260" s="239">
        <v>45349079</v>
      </c>
      <c r="F260" s="239">
        <v>0</v>
      </c>
      <c r="G260" s="239">
        <v>458072</v>
      </c>
      <c r="H260" s="239">
        <v>45807151</v>
      </c>
      <c r="I260" s="239">
        <v>0</v>
      </c>
      <c r="J260" s="239">
        <v>0</v>
      </c>
      <c r="K260" s="239">
        <v>0</v>
      </c>
      <c r="L260" s="239">
        <v>190546</v>
      </c>
      <c r="M260" s="239">
        <v>190546</v>
      </c>
      <c r="N260" s="239">
        <v>0</v>
      </c>
      <c r="O260" s="239">
        <v>0</v>
      </c>
      <c r="P260" s="239">
        <v>0</v>
      </c>
      <c r="Q260" s="239">
        <v>0</v>
      </c>
      <c r="R260" s="239">
        <v>0</v>
      </c>
      <c r="S260" s="239">
        <v>0</v>
      </c>
      <c r="T260" s="239">
        <v>0</v>
      </c>
      <c r="U260" s="239">
        <v>0</v>
      </c>
      <c r="V260" s="239">
        <v>0</v>
      </c>
      <c r="W260" s="239">
        <v>0</v>
      </c>
      <c r="X260" s="239">
        <v>0</v>
      </c>
      <c r="Y260" s="239">
        <v>0</v>
      </c>
      <c r="Z260" s="239">
        <v>0</v>
      </c>
      <c r="AA260" s="239">
        <v>0</v>
      </c>
      <c r="AB260" s="239">
        <v>0</v>
      </c>
      <c r="AC260" s="239">
        <v>4273599</v>
      </c>
      <c r="AD260" s="239">
        <v>0</v>
      </c>
      <c r="AE260" s="239">
        <v>43167</v>
      </c>
      <c r="AF260" s="239">
        <v>4316766</v>
      </c>
      <c r="AG260" s="239">
        <v>0</v>
      </c>
      <c r="AH260" s="239">
        <v>5200208</v>
      </c>
      <c r="AI260" s="239">
        <v>0</v>
      </c>
      <c r="AJ260" s="239">
        <v>52527</v>
      </c>
      <c r="AK260" s="239">
        <v>5252735</v>
      </c>
      <c r="AL260" s="239">
        <v>0</v>
      </c>
      <c r="AM260" s="239">
        <v>-1520827</v>
      </c>
      <c r="AN260" s="239">
        <v>0</v>
      </c>
      <c r="AO260" s="239">
        <v>-15362</v>
      </c>
      <c r="AP260" s="239">
        <v>-1536189</v>
      </c>
      <c r="AQ260" s="239">
        <v>0</v>
      </c>
      <c r="AR260" s="239">
        <v>-4009983</v>
      </c>
      <c r="AS260" s="239">
        <v>0</v>
      </c>
      <c r="AT260" s="239">
        <v>-40505</v>
      </c>
      <c r="AU260" s="239">
        <v>-4050488</v>
      </c>
      <c r="AV260" s="239">
        <v>0</v>
      </c>
      <c r="AW260" s="239">
        <v>563961</v>
      </c>
      <c r="AX260" s="239">
        <v>0</v>
      </c>
      <c r="AY260" s="239">
        <v>5697</v>
      </c>
      <c r="AZ260" s="239">
        <v>569658</v>
      </c>
      <c r="BA260" s="239">
        <v>0</v>
      </c>
      <c r="BB260" s="239">
        <v>-956890</v>
      </c>
      <c r="BC260" s="239">
        <v>0</v>
      </c>
      <c r="BD260" s="239">
        <v>-9666</v>
      </c>
      <c r="BE260" s="239">
        <v>-966556</v>
      </c>
      <c r="BF260" s="239">
        <v>0</v>
      </c>
      <c r="BG260" s="239">
        <v>-4402912</v>
      </c>
      <c r="BH260" s="239">
        <v>0</v>
      </c>
      <c r="BI260" s="239">
        <v>-44474</v>
      </c>
      <c r="BJ260" s="239">
        <v>-4447386</v>
      </c>
      <c r="BK260" s="239">
        <v>0</v>
      </c>
      <c r="BL260" s="239">
        <v>-9272626</v>
      </c>
      <c r="BM260" s="239">
        <v>0</v>
      </c>
      <c r="BN260" s="239">
        <v>-93663</v>
      </c>
      <c r="BO260" s="239">
        <v>-9366289</v>
      </c>
      <c r="BP260" s="239">
        <v>0</v>
      </c>
      <c r="BQ260" s="239">
        <v>1022969</v>
      </c>
      <c r="BR260" s="239">
        <v>0</v>
      </c>
      <c r="BS260" s="239">
        <v>10333</v>
      </c>
      <c r="BT260" s="239">
        <v>1033302</v>
      </c>
      <c r="BU260" s="239">
        <v>0</v>
      </c>
      <c r="BV260" s="239">
        <v>-3911538</v>
      </c>
      <c r="BW260" s="239">
        <v>0</v>
      </c>
      <c r="BX260" s="239">
        <v>-39510</v>
      </c>
      <c r="BY260" s="239">
        <v>-3951048</v>
      </c>
      <c r="BZ260" s="239">
        <v>0</v>
      </c>
      <c r="CA260" s="239">
        <v>-12161195</v>
      </c>
      <c r="CB260" s="239">
        <v>0</v>
      </c>
      <c r="CC260" s="239">
        <v>-122840</v>
      </c>
      <c r="CD260" s="239">
        <v>-12284035</v>
      </c>
      <c r="CE260" s="239">
        <v>480466</v>
      </c>
      <c r="CF260" s="239">
        <v>470856</v>
      </c>
      <c r="CG260" s="239">
        <v>0</v>
      </c>
      <c r="CH260" s="239">
        <v>9609</v>
      </c>
      <c r="CI260" s="239">
        <v>960931</v>
      </c>
      <c r="CJ260" s="239">
        <v>142991</v>
      </c>
      <c r="CK260" s="239">
        <v>140131</v>
      </c>
      <c r="CL260" s="239">
        <v>0</v>
      </c>
      <c r="CM260" s="239">
        <v>2860</v>
      </c>
      <c r="CN260" s="239">
        <v>285982</v>
      </c>
      <c r="CO260" s="239">
        <v>337475</v>
      </c>
      <c r="CP260" s="239">
        <v>330725</v>
      </c>
      <c r="CQ260" s="239">
        <v>0</v>
      </c>
      <c r="CR260" s="239">
        <v>6749</v>
      </c>
      <c r="CS260" s="239">
        <v>674949</v>
      </c>
      <c r="CT260" s="239">
        <v>0</v>
      </c>
      <c r="CU260" s="239">
        <v>44582176</v>
      </c>
      <c r="CV260" s="239">
        <v>0</v>
      </c>
      <c r="CW260" s="239">
        <v>450325</v>
      </c>
      <c r="CX260" s="239">
        <v>45032501</v>
      </c>
      <c r="CY260" s="239">
        <v>0</v>
      </c>
      <c r="CZ260" s="239">
        <v>45349079</v>
      </c>
      <c r="DA260" s="239">
        <v>0</v>
      </c>
      <c r="DB260" s="239">
        <v>458072</v>
      </c>
      <c r="DC260" s="239">
        <v>45807151</v>
      </c>
      <c r="DD260" s="239">
        <v>0</v>
      </c>
      <c r="DE260" s="239">
        <v>766903</v>
      </c>
      <c r="DF260" s="239">
        <v>0</v>
      </c>
      <c r="DG260" s="239">
        <v>7747</v>
      </c>
      <c r="DH260" s="239">
        <v>774650</v>
      </c>
      <c r="DI260" s="239">
        <v>337475</v>
      </c>
      <c r="DJ260" s="239">
        <v>1097628</v>
      </c>
      <c r="DK260" s="239">
        <v>0</v>
      </c>
      <c r="DL260" s="239">
        <v>14496</v>
      </c>
      <c r="DM260" s="239">
        <v>1449599</v>
      </c>
      <c r="DN260" s="835">
        <v>0</v>
      </c>
      <c r="DO260" s="835">
        <v>0.99</v>
      </c>
      <c r="DP260" s="835">
        <v>0</v>
      </c>
      <c r="DQ260" s="835">
        <v>0.01</v>
      </c>
      <c r="DR260" s="835">
        <v>1</v>
      </c>
      <c r="DS260" s="214" t="s">
        <v>1160</v>
      </c>
      <c r="DU260" s="214">
        <v>0</v>
      </c>
    </row>
    <row r="261" spans="1:125" s="214" customFormat="1" x14ac:dyDescent="0.2">
      <c r="B261" s="602" t="s">
        <v>605</v>
      </c>
      <c r="C261" s="602" t="s">
        <v>604</v>
      </c>
      <c r="D261" s="239">
        <v>23340414</v>
      </c>
      <c r="E261" s="239">
        <v>18672332</v>
      </c>
      <c r="F261" s="239">
        <v>4201275</v>
      </c>
      <c r="G261" s="239">
        <v>466808</v>
      </c>
      <c r="H261" s="239">
        <v>46680829</v>
      </c>
      <c r="I261" s="239">
        <v>0</v>
      </c>
      <c r="J261" s="239">
        <v>0</v>
      </c>
      <c r="K261" s="239">
        <v>23340414</v>
      </c>
      <c r="L261" s="239">
        <v>167690</v>
      </c>
      <c r="M261" s="239">
        <v>167690</v>
      </c>
      <c r="N261" s="239">
        <v>0</v>
      </c>
      <c r="O261" s="239">
        <v>0</v>
      </c>
      <c r="P261" s="239">
        <v>0</v>
      </c>
      <c r="Q261" s="239">
        <v>0</v>
      </c>
      <c r="R261" s="239">
        <v>0</v>
      </c>
      <c r="S261" s="239">
        <v>0</v>
      </c>
      <c r="T261" s="239">
        <v>0</v>
      </c>
      <c r="U261" s="239">
        <v>0</v>
      </c>
      <c r="V261" s="239">
        <v>0</v>
      </c>
      <c r="W261" s="239">
        <v>0</v>
      </c>
      <c r="X261" s="239">
        <v>0</v>
      </c>
      <c r="Y261" s="239">
        <v>0</v>
      </c>
      <c r="Z261" s="239">
        <v>0</v>
      </c>
      <c r="AA261" s="239">
        <v>0</v>
      </c>
      <c r="AB261" s="239">
        <v>0</v>
      </c>
      <c r="AC261" s="239">
        <v>1606429</v>
      </c>
      <c r="AD261" s="239">
        <v>361445</v>
      </c>
      <c r="AE261" s="239">
        <v>40160</v>
      </c>
      <c r="AF261" s="239">
        <v>2008034</v>
      </c>
      <c r="AG261" s="239">
        <v>944125</v>
      </c>
      <c r="AH261" s="239">
        <v>755300</v>
      </c>
      <c r="AI261" s="239">
        <v>169943</v>
      </c>
      <c r="AJ261" s="239">
        <v>18883</v>
      </c>
      <c r="AK261" s="239">
        <v>1888251</v>
      </c>
      <c r="AL261" s="239">
        <v>-356347</v>
      </c>
      <c r="AM261" s="239">
        <v>-285077</v>
      </c>
      <c r="AN261" s="239">
        <v>-64142</v>
      </c>
      <c r="AO261" s="239">
        <v>-7127</v>
      </c>
      <c r="AP261" s="239">
        <v>-712693</v>
      </c>
      <c r="AQ261" s="239">
        <v>-499241</v>
      </c>
      <c r="AR261" s="239">
        <v>-399392</v>
      </c>
      <c r="AS261" s="239">
        <v>-89863</v>
      </c>
      <c r="AT261" s="239">
        <v>-9985</v>
      </c>
      <c r="AU261" s="239">
        <v>-998481</v>
      </c>
      <c r="AV261" s="239">
        <v>171146</v>
      </c>
      <c r="AW261" s="239">
        <v>136917</v>
      </c>
      <c r="AX261" s="239">
        <v>30806</v>
      </c>
      <c r="AY261" s="239">
        <v>3423</v>
      </c>
      <c r="AZ261" s="239">
        <v>342292</v>
      </c>
      <c r="BA261" s="239">
        <v>-181334</v>
      </c>
      <c r="BB261" s="239">
        <v>-145067</v>
      </c>
      <c r="BC261" s="239">
        <v>-32640</v>
      </c>
      <c r="BD261" s="239">
        <v>-3627</v>
      </c>
      <c r="BE261" s="239">
        <v>-362668</v>
      </c>
      <c r="BF261" s="239">
        <v>-509429</v>
      </c>
      <c r="BG261" s="239">
        <v>-407542</v>
      </c>
      <c r="BH261" s="239">
        <v>-91697</v>
      </c>
      <c r="BI261" s="239">
        <v>-10189</v>
      </c>
      <c r="BJ261" s="239">
        <v>-1018857</v>
      </c>
      <c r="BK261" s="239">
        <v>-2458338</v>
      </c>
      <c r="BL261" s="239">
        <v>-1966671</v>
      </c>
      <c r="BM261" s="239">
        <v>-442501</v>
      </c>
      <c r="BN261" s="239">
        <v>-49167</v>
      </c>
      <c r="BO261" s="239">
        <v>-4916677</v>
      </c>
      <c r="BP261" s="239">
        <v>609556</v>
      </c>
      <c r="BQ261" s="239">
        <v>487644</v>
      </c>
      <c r="BR261" s="239">
        <v>109720</v>
      </c>
      <c r="BS261" s="239">
        <v>12191</v>
      </c>
      <c r="BT261" s="239">
        <v>1219111</v>
      </c>
      <c r="BU261" s="239">
        <v>-1460740</v>
      </c>
      <c r="BV261" s="239">
        <v>-1168592</v>
      </c>
      <c r="BW261" s="239">
        <v>-262933</v>
      </c>
      <c r="BX261" s="239">
        <v>-29215</v>
      </c>
      <c r="BY261" s="239">
        <v>-2921480</v>
      </c>
      <c r="BZ261" s="239">
        <v>-3309522</v>
      </c>
      <c r="CA261" s="239">
        <v>-2647619</v>
      </c>
      <c r="CB261" s="239">
        <v>-595714</v>
      </c>
      <c r="CC261" s="239">
        <v>-66191</v>
      </c>
      <c r="CD261" s="239">
        <v>-6619046</v>
      </c>
      <c r="CE261" s="239">
        <v>2402836</v>
      </c>
      <c r="CF261" s="239">
        <v>1922269</v>
      </c>
      <c r="CG261" s="239">
        <v>432511</v>
      </c>
      <c r="CH261" s="239">
        <v>48056</v>
      </c>
      <c r="CI261" s="239">
        <v>4805672</v>
      </c>
      <c r="CJ261" s="239">
        <v>2504107</v>
      </c>
      <c r="CK261" s="239">
        <v>2003286</v>
      </c>
      <c r="CL261" s="239">
        <v>450739</v>
      </c>
      <c r="CM261" s="239">
        <v>50082</v>
      </c>
      <c r="CN261" s="239">
        <v>5008214</v>
      </c>
      <c r="CO261" s="239">
        <v>-101271</v>
      </c>
      <c r="CP261" s="239">
        <v>-81017</v>
      </c>
      <c r="CQ261" s="239">
        <v>-18228</v>
      </c>
      <c r="CR261" s="239">
        <v>-2026</v>
      </c>
      <c r="CS261" s="239">
        <v>-202542</v>
      </c>
      <c r="CT261" s="239">
        <v>23008564</v>
      </c>
      <c r="CU261" s="239">
        <v>18406851</v>
      </c>
      <c r="CV261" s="239">
        <v>4141541</v>
      </c>
      <c r="CW261" s="239">
        <v>460171</v>
      </c>
      <c r="CX261" s="239">
        <v>46017127</v>
      </c>
      <c r="CY261" s="239">
        <v>23340414</v>
      </c>
      <c r="CZ261" s="239">
        <v>18672332</v>
      </c>
      <c r="DA261" s="239">
        <v>4201275</v>
      </c>
      <c r="DB261" s="239">
        <v>466808</v>
      </c>
      <c r="DC261" s="239">
        <v>46680829</v>
      </c>
      <c r="DD261" s="239">
        <v>331850</v>
      </c>
      <c r="DE261" s="239">
        <v>265481</v>
      </c>
      <c r="DF261" s="239">
        <v>59734</v>
      </c>
      <c r="DG261" s="239">
        <v>6637</v>
      </c>
      <c r="DH261" s="239">
        <v>663702</v>
      </c>
      <c r="DI261" s="239">
        <v>230579</v>
      </c>
      <c r="DJ261" s="239">
        <v>184464</v>
      </c>
      <c r="DK261" s="239">
        <v>41506</v>
      </c>
      <c r="DL261" s="239">
        <v>4611</v>
      </c>
      <c r="DM261" s="239">
        <v>461160</v>
      </c>
      <c r="DN261" s="835">
        <v>0.5</v>
      </c>
      <c r="DO261" s="835">
        <v>0.4</v>
      </c>
      <c r="DP261" s="835">
        <v>0.09</v>
      </c>
      <c r="DQ261" s="835">
        <v>0.01</v>
      </c>
      <c r="DR261" s="835">
        <v>1</v>
      </c>
      <c r="DS261" s="214" t="s">
        <v>1158</v>
      </c>
      <c r="DU261" s="214">
        <v>0</v>
      </c>
    </row>
    <row r="262" spans="1:125" s="214" customFormat="1" x14ac:dyDescent="0.2">
      <c r="B262" s="602" t="s">
        <v>607</v>
      </c>
      <c r="C262" s="602" t="s">
        <v>606</v>
      </c>
      <c r="D262" s="239">
        <v>9411499</v>
      </c>
      <c r="E262" s="239">
        <v>7529199</v>
      </c>
      <c r="F262" s="239">
        <v>1694070</v>
      </c>
      <c r="G262" s="239">
        <v>188230</v>
      </c>
      <c r="H262" s="239">
        <v>18822998</v>
      </c>
      <c r="I262" s="239">
        <v>0</v>
      </c>
      <c r="J262" s="239">
        <v>0</v>
      </c>
      <c r="K262" s="239">
        <v>9411499</v>
      </c>
      <c r="L262" s="239">
        <v>115457</v>
      </c>
      <c r="M262" s="239">
        <v>115457</v>
      </c>
      <c r="N262" s="239">
        <v>0</v>
      </c>
      <c r="O262" s="239">
        <v>0</v>
      </c>
      <c r="P262" s="239">
        <v>0</v>
      </c>
      <c r="Q262" s="239">
        <v>0</v>
      </c>
      <c r="R262" s="239">
        <v>0</v>
      </c>
      <c r="S262" s="239">
        <v>0</v>
      </c>
      <c r="T262" s="239">
        <v>0</v>
      </c>
      <c r="U262" s="239">
        <v>0</v>
      </c>
      <c r="V262" s="239">
        <v>0</v>
      </c>
      <c r="W262" s="239">
        <v>0</v>
      </c>
      <c r="X262" s="239">
        <v>0</v>
      </c>
      <c r="Y262" s="239">
        <v>0</v>
      </c>
      <c r="Z262" s="239">
        <v>0</v>
      </c>
      <c r="AA262" s="239">
        <v>0</v>
      </c>
      <c r="AB262" s="239">
        <v>0</v>
      </c>
      <c r="AC262" s="239">
        <v>1138354</v>
      </c>
      <c r="AD262" s="239">
        <v>256129</v>
      </c>
      <c r="AE262" s="239">
        <v>28458</v>
      </c>
      <c r="AF262" s="239">
        <v>1422941</v>
      </c>
      <c r="AG262" s="239">
        <v>320809</v>
      </c>
      <c r="AH262" s="239">
        <v>256648</v>
      </c>
      <c r="AI262" s="239">
        <v>57746</v>
      </c>
      <c r="AJ262" s="239">
        <v>6416</v>
      </c>
      <c r="AK262" s="239">
        <v>641619</v>
      </c>
      <c r="AL262" s="239">
        <v>-266121</v>
      </c>
      <c r="AM262" s="239">
        <v>-212897</v>
      </c>
      <c r="AN262" s="239">
        <v>-47902</v>
      </c>
      <c r="AO262" s="239">
        <v>-5322</v>
      </c>
      <c r="AP262" s="239">
        <v>-532242</v>
      </c>
      <c r="AQ262" s="239">
        <v>-218656</v>
      </c>
      <c r="AR262" s="239">
        <v>-174925</v>
      </c>
      <c r="AS262" s="239">
        <v>-39358</v>
      </c>
      <c r="AT262" s="239">
        <v>-4373</v>
      </c>
      <c r="AU262" s="239">
        <v>-437312</v>
      </c>
      <c r="AV262" s="239">
        <v>135903</v>
      </c>
      <c r="AW262" s="239">
        <v>108722</v>
      </c>
      <c r="AX262" s="239">
        <v>24462</v>
      </c>
      <c r="AY262" s="239">
        <v>2718</v>
      </c>
      <c r="AZ262" s="239">
        <v>271805</v>
      </c>
      <c r="BA262" s="239">
        <v>-106645</v>
      </c>
      <c r="BB262" s="239">
        <v>-85316</v>
      </c>
      <c r="BC262" s="239">
        <v>-19196</v>
      </c>
      <c r="BD262" s="239">
        <v>-2133</v>
      </c>
      <c r="BE262" s="239">
        <v>-213290</v>
      </c>
      <c r="BF262" s="239">
        <v>-189398</v>
      </c>
      <c r="BG262" s="239">
        <v>-151519</v>
      </c>
      <c r="BH262" s="239">
        <v>-34092</v>
      </c>
      <c r="BI262" s="239">
        <v>-3788</v>
      </c>
      <c r="BJ262" s="239">
        <v>-378797</v>
      </c>
      <c r="BK262" s="239">
        <v>-1001282.5</v>
      </c>
      <c r="BL262" s="239">
        <v>-801027</v>
      </c>
      <c r="BM262" s="239">
        <v>-180231</v>
      </c>
      <c r="BN262" s="239">
        <v>-20026</v>
      </c>
      <c r="BO262" s="239">
        <v>-2002566.5</v>
      </c>
      <c r="BP262" s="239">
        <v>164357</v>
      </c>
      <c r="BQ262" s="239">
        <v>131485</v>
      </c>
      <c r="BR262" s="239">
        <v>29584</v>
      </c>
      <c r="BS262" s="239">
        <v>3287</v>
      </c>
      <c r="BT262" s="239">
        <v>328713</v>
      </c>
      <c r="BU262" s="239">
        <v>-808875</v>
      </c>
      <c r="BV262" s="239">
        <v>-647099</v>
      </c>
      <c r="BW262" s="239">
        <v>-145597</v>
      </c>
      <c r="BX262" s="239">
        <v>-16177</v>
      </c>
      <c r="BY262" s="239">
        <v>-1617748</v>
      </c>
      <c r="BZ262" s="239">
        <v>-1645800.5</v>
      </c>
      <c r="CA262" s="239">
        <v>-1316641</v>
      </c>
      <c r="CB262" s="239">
        <v>-296244</v>
      </c>
      <c r="CC262" s="239">
        <v>-32916</v>
      </c>
      <c r="CD262" s="239">
        <v>-3291601.5</v>
      </c>
      <c r="CE262" s="239">
        <v>-339390</v>
      </c>
      <c r="CF262" s="239">
        <v>-271513</v>
      </c>
      <c r="CG262" s="239">
        <v>-61091</v>
      </c>
      <c r="CH262" s="239">
        <v>-6788</v>
      </c>
      <c r="CI262" s="239">
        <v>-678782</v>
      </c>
      <c r="CJ262" s="239">
        <v>-180658</v>
      </c>
      <c r="CK262" s="239">
        <v>-144527</v>
      </c>
      <c r="CL262" s="239">
        <v>-32519</v>
      </c>
      <c r="CM262" s="239">
        <v>-3613</v>
      </c>
      <c r="CN262" s="239">
        <v>-361317</v>
      </c>
      <c r="CO262" s="239">
        <v>-158732</v>
      </c>
      <c r="CP262" s="239">
        <v>-126986</v>
      </c>
      <c r="CQ262" s="239">
        <v>-28572</v>
      </c>
      <c r="CR262" s="239">
        <v>-3175</v>
      </c>
      <c r="CS262" s="239">
        <v>-317465</v>
      </c>
      <c r="CT262" s="239">
        <v>10169119</v>
      </c>
      <c r="CU262" s="239">
        <v>8135294</v>
      </c>
      <c r="CV262" s="239">
        <v>1830441</v>
      </c>
      <c r="CW262" s="239">
        <v>203382</v>
      </c>
      <c r="CX262" s="239">
        <v>20338236</v>
      </c>
      <c r="CY262" s="239">
        <v>9411499</v>
      </c>
      <c r="CZ262" s="239">
        <v>7529199</v>
      </c>
      <c r="DA262" s="239">
        <v>1694070</v>
      </c>
      <c r="DB262" s="239">
        <v>188230</v>
      </c>
      <c r="DC262" s="239">
        <v>18822998</v>
      </c>
      <c r="DD262" s="239">
        <v>-757620</v>
      </c>
      <c r="DE262" s="239">
        <v>-606095</v>
      </c>
      <c r="DF262" s="239">
        <v>-136371</v>
      </c>
      <c r="DG262" s="239">
        <v>-15152</v>
      </c>
      <c r="DH262" s="239">
        <v>-1515238</v>
      </c>
      <c r="DI262" s="239">
        <v>-916352</v>
      </c>
      <c r="DJ262" s="239">
        <v>-733081</v>
      </c>
      <c r="DK262" s="239">
        <v>-164943</v>
      </c>
      <c r="DL262" s="239">
        <v>-18327</v>
      </c>
      <c r="DM262" s="239">
        <v>-1832703</v>
      </c>
      <c r="DN262" s="835">
        <v>0.5</v>
      </c>
      <c r="DO262" s="835">
        <v>0.4</v>
      </c>
      <c r="DP262" s="835">
        <v>0.09</v>
      </c>
      <c r="DQ262" s="835">
        <v>0.01</v>
      </c>
      <c r="DR262" s="835">
        <v>1</v>
      </c>
      <c r="DS262" s="214" t="s">
        <v>1158</v>
      </c>
      <c r="DU262" s="214">
        <v>0</v>
      </c>
    </row>
    <row r="263" spans="1:125" s="214" customFormat="1" x14ac:dyDescent="0.2">
      <c r="B263" s="602" t="s">
        <v>609</v>
      </c>
      <c r="C263" s="602" t="s">
        <v>608</v>
      </c>
      <c r="D263" s="239">
        <v>21542845</v>
      </c>
      <c r="E263" s="239">
        <v>17234276</v>
      </c>
      <c r="F263" s="239">
        <v>4308569</v>
      </c>
      <c r="G263" s="239">
        <v>0</v>
      </c>
      <c r="H263" s="239">
        <v>43085690</v>
      </c>
      <c r="I263" s="239">
        <v>0</v>
      </c>
      <c r="J263" s="239">
        <v>0</v>
      </c>
      <c r="K263" s="239">
        <v>21542845</v>
      </c>
      <c r="L263" s="239">
        <v>109538</v>
      </c>
      <c r="M263" s="239">
        <v>109538</v>
      </c>
      <c r="N263" s="239">
        <v>0</v>
      </c>
      <c r="O263" s="239">
        <v>0</v>
      </c>
      <c r="P263" s="239">
        <v>0</v>
      </c>
      <c r="Q263" s="239">
        <v>0</v>
      </c>
      <c r="R263" s="239">
        <v>0</v>
      </c>
      <c r="S263" s="239">
        <v>0</v>
      </c>
      <c r="T263" s="239">
        <v>0</v>
      </c>
      <c r="U263" s="239">
        <v>0</v>
      </c>
      <c r="V263" s="239">
        <v>0</v>
      </c>
      <c r="W263" s="239">
        <v>0</v>
      </c>
      <c r="X263" s="239">
        <v>0</v>
      </c>
      <c r="Y263" s="239">
        <v>0</v>
      </c>
      <c r="Z263" s="239">
        <v>0</v>
      </c>
      <c r="AA263" s="239">
        <v>0</v>
      </c>
      <c r="AB263" s="239">
        <v>0</v>
      </c>
      <c r="AC263" s="239">
        <v>810013</v>
      </c>
      <c r="AD263" s="239">
        <v>202505</v>
      </c>
      <c r="AE263" s="239">
        <v>0</v>
      </c>
      <c r="AF263" s="239">
        <v>1012518</v>
      </c>
      <c r="AG263" s="239">
        <v>423781</v>
      </c>
      <c r="AH263" s="239">
        <v>339025</v>
      </c>
      <c r="AI263" s="239">
        <v>84756</v>
      </c>
      <c r="AJ263" s="239">
        <v>0</v>
      </c>
      <c r="AK263" s="239">
        <v>847562</v>
      </c>
      <c r="AL263" s="239">
        <v>-789920</v>
      </c>
      <c r="AM263" s="239">
        <v>-631936</v>
      </c>
      <c r="AN263" s="239">
        <v>-157984</v>
      </c>
      <c r="AO263" s="239">
        <v>0</v>
      </c>
      <c r="AP263" s="239">
        <v>-1579840</v>
      </c>
      <c r="AQ263" s="239">
        <v>-695147</v>
      </c>
      <c r="AR263" s="239">
        <v>-556118</v>
      </c>
      <c r="AS263" s="239">
        <v>-139029</v>
      </c>
      <c r="AT263" s="239">
        <v>0</v>
      </c>
      <c r="AU263" s="239">
        <v>-1390294</v>
      </c>
      <c r="AV263" s="239">
        <v>254591</v>
      </c>
      <c r="AW263" s="239">
        <v>203673</v>
      </c>
      <c r="AX263" s="239">
        <v>50918</v>
      </c>
      <c r="AY263" s="239">
        <v>0</v>
      </c>
      <c r="AZ263" s="239">
        <v>509182</v>
      </c>
      <c r="BA263" s="239">
        <v>-33379</v>
      </c>
      <c r="BB263" s="239">
        <v>-26703</v>
      </c>
      <c r="BC263" s="239">
        <v>-6676</v>
      </c>
      <c r="BD263" s="239">
        <v>0</v>
      </c>
      <c r="BE263" s="239">
        <v>-66758</v>
      </c>
      <c r="BF263" s="239">
        <v>-473935</v>
      </c>
      <c r="BG263" s="239">
        <v>-379148</v>
      </c>
      <c r="BH263" s="239">
        <v>-94787</v>
      </c>
      <c r="BI263" s="239">
        <v>0</v>
      </c>
      <c r="BJ263" s="239">
        <v>-947870</v>
      </c>
      <c r="BK263" s="239">
        <v>-3617379</v>
      </c>
      <c r="BL263" s="239">
        <v>-2893904</v>
      </c>
      <c r="BM263" s="239">
        <v>-723476</v>
      </c>
      <c r="BN263" s="239">
        <v>0</v>
      </c>
      <c r="BO263" s="239">
        <v>-7234759</v>
      </c>
      <c r="BP263" s="239">
        <v>204967</v>
      </c>
      <c r="BQ263" s="239">
        <v>163973</v>
      </c>
      <c r="BR263" s="239">
        <v>40993</v>
      </c>
      <c r="BS263" s="239">
        <v>0</v>
      </c>
      <c r="BT263" s="239">
        <v>409933</v>
      </c>
      <c r="BU263" s="239">
        <v>-779401</v>
      </c>
      <c r="BV263" s="239">
        <v>-623521</v>
      </c>
      <c r="BW263" s="239">
        <v>-155880</v>
      </c>
      <c r="BX263" s="239">
        <v>0</v>
      </c>
      <c r="BY263" s="239">
        <v>-1558802</v>
      </c>
      <c r="BZ263" s="239">
        <v>-4191813</v>
      </c>
      <c r="CA263" s="239">
        <v>-3353452</v>
      </c>
      <c r="CB263" s="239">
        <v>-838363</v>
      </c>
      <c r="CC263" s="239">
        <v>0</v>
      </c>
      <c r="CD263" s="239">
        <v>-8383628</v>
      </c>
      <c r="CE263" s="239">
        <v>664285</v>
      </c>
      <c r="CF263" s="239">
        <v>531428</v>
      </c>
      <c r="CG263" s="239">
        <v>132857</v>
      </c>
      <c r="CH263" s="239">
        <v>0</v>
      </c>
      <c r="CI263" s="239">
        <v>1328570</v>
      </c>
      <c r="CJ263" s="239">
        <v>597572</v>
      </c>
      <c r="CK263" s="239">
        <v>478058</v>
      </c>
      <c r="CL263" s="239">
        <v>119514</v>
      </c>
      <c r="CM263" s="239">
        <v>0</v>
      </c>
      <c r="CN263" s="239">
        <v>1195144</v>
      </c>
      <c r="CO263" s="239">
        <v>66713</v>
      </c>
      <c r="CP263" s="239">
        <v>53370</v>
      </c>
      <c r="CQ263" s="239">
        <v>13343</v>
      </c>
      <c r="CR263" s="239">
        <v>0</v>
      </c>
      <c r="CS263" s="239">
        <v>133426</v>
      </c>
      <c r="CT263" s="239">
        <v>21095492</v>
      </c>
      <c r="CU263" s="239">
        <v>16876393</v>
      </c>
      <c r="CV263" s="239">
        <v>4219098</v>
      </c>
      <c r="CW263" s="239">
        <v>0</v>
      </c>
      <c r="CX263" s="239">
        <v>42190983</v>
      </c>
      <c r="CY263" s="239">
        <v>21542845</v>
      </c>
      <c r="CZ263" s="239">
        <v>17234276</v>
      </c>
      <c r="DA263" s="239">
        <v>4308569</v>
      </c>
      <c r="DB263" s="239">
        <v>0</v>
      </c>
      <c r="DC263" s="239">
        <v>43085690</v>
      </c>
      <c r="DD263" s="239">
        <v>447353</v>
      </c>
      <c r="DE263" s="239">
        <v>357883</v>
      </c>
      <c r="DF263" s="239">
        <v>89471</v>
      </c>
      <c r="DG263" s="239">
        <v>0</v>
      </c>
      <c r="DH263" s="239">
        <v>894707</v>
      </c>
      <c r="DI263" s="239">
        <v>514066</v>
      </c>
      <c r="DJ263" s="239">
        <v>411253</v>
      </c>
      <c r="DK263" s="239">
        <v>102814</v>
      </c>
      <c r="DL263" s="239">
        <v>0</v>
      </c>
      <c r="DM263" s="239">
        <v>1028133</v>
      </c>
      <c r="DN263" s="835">
        <v>0.5</v>
      </c>
      <c r="DO263" s="835">
        <v>0.4</v>
      </c>
      <c r="DP263" s="835">
        <v>0.1</v>
      </c>
      <c r="DQ263" s="835">
        <v>0</v>
      </c>
      <c r="DR263" s="835">
        <v>1</v>
      </c>
      <c r="DS263" s="214" t="s">
        <v>1158</v>
      </c>
      <c r="DU263" s="214">
        <v>0</v>
      </c>
    </row>
    <row r="264" spans="1:125" s="214" customFormat="1" x14ac:dyDescent="0.2">
      <c r="B264" s="602" t="s">
        <v>611</v>
      </c>
      <c r="C264" s="602" t="s">
        <v>610</v>
      </c>
      <c r="D264" s="239">
        <v>-3.0000001192092896E-2</v>
      </c>
      <c r="E264" s="239">
        <v>78116077</v>
      </c>
      <c r="F264" s="239">
        <v>0</v>
      </c>
      <c r="G264" s="239">
        <v>789051</v>
      </c>
      <c r="H264" s="239">
        <v>78905127.969999999</v>
      </c>
      <c r="I264" s="239">
        <v>0</v>
      </c>
      <c r="J264" s="239">
        <v>0</v>
      </c>
      <c r="K264" s="239">
        <v>-3.0000001192092896E-2</v>
      </c>
      <c r="L264" s="239">
        <v>428357</v>
      </c>
      <c r="M264" s="239">
        <v>428357</v>
      </c>
      <c r="N264" s="239">
        <v>0</v>
      </c>
      <c r="O264" s="239">
        <v>0</v>
      </c>
      <c r="P264" s="239">
        <v>0</v>
      </c>
      <c r="Q264" s="239">
        <v>0</v>
      </c>
      <c r="R264" s="239">
        <v>0</v>
      </c>
      <c r="S264" s="239">
        <v>0</v>
      </c>
      <c r="T264" s="239">
        <v>0</v>
      </c>
      <c r="U264" s="239">
        <v>0</v>
      </c>
      <c r="V264" s="239">
        <v>0</v>
      </c>
      <c r="W264" s="239">
        <v>0</v>
      </c>
      <c r="X264" s="239">
        <v>0</v>
      </c>
      <c r="Y264" s="239">
        <v>0</v>
      </c>
      <c r="Z264" s="239">
        <v>0</v>
      </c>
      <c r="AA264" s="239">
        <v>0</v>
      </c>
      <c r="AB264" s="239">
        <v>0</v>
      </c>
      <c r="AC264" s="239">
        <v>9187845</v>
      </c>
      <c r="AD264" s="239">
        <v>0</v>
      </c>
      <c r="AE264" s="239">
        <v>92807</v>
      </c>
      <c r="AF264" s="239">
        <v>9280652</v>
      </c>
      <c r="AG264" s="239">
        <v>0</v>
      </c>
      <c r="AH264" s="239">
        <v>7814470</v>
      </c>
      <c r="AI264" s="239">
        <v>0</v>
      </c>
      <c r="AJ264" s="239">
        <v>78934</v>
      </c>
      <c r="AK264" s="239">
        <v>7893404</v>
      </c>
      <c r="AL264" s="239">
        <v>0</v>
      </c>
      <c r="AM264" s="239">
        <v>-3717253</v>
      </c>
      <c r="AN264" s="239">
        <v>0</v>
      </c>
      <c r="AO264" s="239">
        <v>-37548</v>
      </c>
      <c r="AP264" s="239">
        <v>-3754801</v>
      </c>
      <c r="AQ264" s="239">
        <v>0</v>
      </c>
      <c r="AR264" s="239">
        <v>-5003910</v>
      </c>
      <c r="AS264" s="239">
        <v>0</v>
      </c>
      <c r="AT264" s="239">
        <v>-50545</v>
      </c>
      <c r="AU264" s="239">
        <v>-5054455</v>
      </c>
      <c r="AV264" s="239">
        <v>-0.53000000002793968</v>
      </c>
      <c r="AW264" s="239">
        <v>1107369</v>
      </c>
      <c r="AX264" s="239">
        <v>0</v>
      </c>
      <c r="AY264" s="239">
        <v>11186</v>
      </c>
      <c r="AZ264" s="239">
        <v>1118554.47</v>
      </c>
      <c r="BA264" s="239">
        <v>0.43999999994412065</v>
      </c>
      <c r="BB264" s="239">
        <v>-853680</v>
      </c>
      <c r="BC264" s="239">
        <v>0</v>
      </c>
      <c r="BD264" s="239">
        <v>-8623</v>
      </c>
      <c r="BE264" s="239">
        <v>-862302.56</v>
      </c>
      <c r="BF264" s="239">
        <v>-9.0000000083819032E-2</v>
      </c>
      <c r="BG264" s="239">
        <v>-4750221</v>
      </c>
      <c r="BH264" s="239">
        <v>0</v>
      </c>
      <c r="BI264" s="239">
        <v>-47982</v>
      </c>
      <c r="BJ264" s="239">
        <v>-4798203.09</v>
      </c>
      <c r="BK264" s="239">
        <v>0</v>
      </c>
      <c r="BL264" s="239">
        <v>-6973757</v>
      </c>
      <c r="BM264" s="239">
        <v>0</v>
      </c>
      <c r="BN264" s="239">
        <v>-70442</v>
      </c>
      <c r="BO264" s="239">
        <v>-7044199</v>
      </c>
      <c r="BP264" s="239">
        <v>0</v>
      </c>
      <c r="BQ264" s="239">
        <v>1910033</v>
      </c>
      <c r="BR264" s="239">
        <v>0</v>
      </c>
      <c r="BS264" s="239">
        <v>19293</v>
      </c>
      <c r="BT264" s="239">
        <v>1929326</v>
      </c>
      <c r="BU264" s="239">
        <v>-0.46999999973922968</v>
      </c>
      <c r="BV264" s="239">
        <v>-4250112</v>
      </c>
      <c r="BW264" s="239">
        <v>0</v>
      </c>
      <c r="BX264" s="239">
        <v>-42930</v>
      </c>
      <c r="BY264" s="239">
        <v>-4293042.47</v>
      </c>
      <c r="BZ264" s="239">
        <v>-0.46999999973922968</v>
      </c>
      <c r="CA264" s="239">
        <v>-9313836</v>
      </c>
      <c r="CB264" s="239">
        <v>0</v>
      </c>
      <c r="CC264" s="239">
        <v>-94079</v>
      </c>
      <c r="CD264" s="239">
        <v>-9407915.4699999988</v>
      </c>
      <c r="CE264" s="239">
        <v>-80447</v>
      </c>
      <c r="CF264" s="239">
        <v>-78838</v>
      </c>
      <c r="CG264" s="239">
        <v>0</v>
      </c>
      <c r="CH264" s="239">
        <v>-1609</v>
      </c>
      <c r="CI264" s="239">
        <v>-160894</v>
      </c>
      <c r="CJ264" s="239">
        <v>-362500</v>
      </c>
      <c r="CK264" s="239">
        <v>-355250</v>
      </c>
      <c r="CL264" s="239">
        <v>0</v>
      </c>
      <c r="CM264" s="239">
        <v>-7250</v>
      </c>
      <c r="CN264" s="239">
        <v>-725000</v>
      </c>
      <c r="CO264" s="239">
        <v>282053</v>
      </c>
      <c r="CP264" s="239">
        <v>276412</v>
      </c>
      <c r="CQ264" s="239">
        <v>0</v>
      </c>
      <c r="CR264" s="239">
        <v>5641</v>
      </c>
      <c r="CS264" s="239">
        <v>564106</v>
      </c>
      <c r="CT264" s="239">
        <v>0</v>
      </c>
      <c r="CU264" s="239">
        <v>81092606</v>
      </c>
      <c r="CV264" s="239">
        <v>0</v>
      </c>
      <c r="CW264" s="239">
        <v>819117</v>
      </c>
      <c r="CX264" s="239">
        <v>81911723</v>
      </c>
      <c r="CY264" s="239">
        <v>-3.0000001192092896E-2</v>
      </c>
      <c r="CZ264" s="239">
        <v>78116077</v>
      </c>
      <c r="DA264" s="239">
        <v>0</v>
      </c>
      <c r="DB264" s="239">
        <v>789051</v>
      </c>
      <c r="DC264" s="239">
        <v>78905127.969999999</v>
      </c>
      <c r="DD264" s="239">
        <v>-3.0000001192092896E-2</v>
      </c>
      <c r="DE264" s="239">
        <v>-2976529</v>
      </c>
      <c r="DF264" s="239">
        <v>0</v>
      </c>
      <c r="DG264" s="239">
        <v>-30066</v>
      </c>
      <c r="DH264" s="239">
        <v>-3006595.0300000012</v>
      </c>
      <c r="DI264" s="239">
        <v>282052.96999999881</v>
      </c>
      <c r="DJ264" s="239">
        <v>-2700117</v>
      </c>
      <c r="DK264" s="239">
        <v>0</v>
      </c>
      <c r="DL264" s="239">
        <v>-24425</v>
      </c>
      <c r="DM264" s="239">
        <v>-2442489.0300000012</v>
      </c>
      <c r="DN264" s="835">
        <v>0</v>
      </c>
      <c r="DO264" s="835">
        <v>0.99</v>
      </c>
      <c r="DP264" s="835">
        <v>0</v>
      </c>
      <c r="DQ264" s="835">
        <v>0.01</v>
      </c>
      <c r="DR264" s="835">
        <v>1</v>
      </c>
      <c r="DS264" s="214" t="s">
        <v>1160</v>
      </c>
      <c r="DU264" s="214">
        <v>0</v>
      </c>
    </row>
    <row r="265" spans="1:125" s="214" customFormat="1" x14ac:dyDescent="0.2">
      <c r="B265" s="602" t="s">
        <v>613</v>
      </c>
      <c r="C265" s="602" t="s">
        <v>612</v>
      </c>
      <c r="D265" s="239">
        <v>37668697</v>
      </c>
      <c r="E265" s="239">
        <v>36915324</v>
      </c>
      <c r="F265" s="239">
        <v>0</v>
      </c>
      <c r="G265" s="239">
        <v>753374</v>
      </c>
      <c r="H265" s="239">
        <v>75337395</v>
      </c>
      <c r="I265" s="239">
        <v>100571</v>
      </c>
      <c r="J265" s="239">
        <v>100571</v>
      </c>
      <c r="K265" s="239">
        <v>37568126</v>
      </c>
      <c r="L265" s="239">
        <v>241804</v>
      </c>
      <c r="M265" s="239">
        <v>241804</v>
      </c>
      <c r="N265" s="239">
        <v>154687</v>
      </c>
      <c r="O265" s="239">
        <v>154687</v>
      </c>
      <c r="P265" s="239">
        <v>116586</v>
      </c>
      <c r="Q265" s="239">
        <v>0</v>
      </c>
      <c r="R265" s="239">
        <v>116586</v>
      </c>
      <c r="S265" s="239">
        <v>100296.34103004291</v>
      </c>
      <c r="T265" s="239">
        <v>0</v>
      </c>
      <c r="U265" s="239">
        <v>274.01519313304721</v>
      </c>
      <c r="V265" s="239">
        <v>100570.35622317596</v>
      </c>
      <c r="W265" s="239">
        <v>0</v>
      </c>
      <c r="X265" s="239">
        <v>0</v>
      </c>
      <c r="Y265" s="239">
        <v>0</v>
      </c>
      <c r="Z265" s="239">
        <v>0</v>
      </c>
      <c r="AA265" s="239">
        <v>0</v>
      </c>
      <c r="AB265" s="239">
        <v>0</v>
      </c>
      <c r="AC265" s="239">
        <v>2291097</v>
      </c>
      <c r="AD265" s="239">
        <v>0</v>
      </c>
      <c r="AE265" s="239">
        <v>46116</v>
      </c>
      <c r="AF265" s="239">
        <v>2337213</v>
      </c>
      <c r="AG265" s="239">
        <v>429438</v>
      </c>
      <c r="AH265" s="239">
        <v>420849</v>
      </c>
      <c r="AI265" s="239">
        <v>0</v>
      </c>
      <c r="AJ265" s="239">
        <v>8589</v>
      </c>
      <c r="AK265" s="239">
        <v>858876</v>
      </c>
      <c r="AL265" s="239">
        <v>-650206</v>
      </c>
      <c r="AM265" s="239">
        <v>-637201</v>
      </c>
      <c r="AN265" s="239">
        <v>0</v>
      </c>
      <c r="AO265" s="239">
        <v>-13004</v>
      </c>
      <c r="AP265" s="239">
        <v>-1300411</v>
      </c>
      <c r="AQ265" s="239">
        <v>-449999.5</v>
      </c>
      <c r="AR265" s="239">
        <v>-441000</v>
      </c>
      <c r="AS265" s="239">
        <v>0</v>
      </c>
      <c r="AT265" s="239">
        <v>-9000</v>
      </c>
      <c r="AU265" s="239">
        <v>-899999.5</v>
      </c>
      <c r="AV265" s="239">
        <v>165786</v>
      </c>
      <c r="AW265" s="239">
        <v>162470</v>
      </c>
      <c r="AX265" s="239">
        <v>0</v>
      </c>
      <c r="AY265" s="239">
        <v>3316</v>
      </c>
      <c r="AZ265" s="239">
        <v>331572</v>
      </c>
      <c r="BA265" s="239">
        <v>-65786</v>
      </c>
      <c r="BB265" s="239">
        <v>-64470</v>
      </c>
      <c r="BC265" s="239">
        <v>0</v>
      </c>
      <c r="BD265" s="239">
        <v>-1316</v>
      </c>
      <c r="BE265" s="239">
        <v>-131572</v>
      </c>
      <c r="BF265" s="239">
        <v>-349999.5</v>
      </c>
      <c r="BG265" s="239">
        <v>-343000</v>
      </c>
      <c r="BH265" s="239">
        <v>0</v>
      </c>
      <c r="BI265" s="239">
        <v>-7000</v>
      </c>
      <c r="BJ265" s="239">
        <v>-699999.5</v>
      </c>
      <c r="BK265" s="239">
        <v>-3304093</v>
      </c>
      <c r="BL265" s="239">
        <v>-3238012</v>
      </c>
      <c r="BM265" s="239">
        <v>0</v>
      </c>
      <c r="BN265" s="239">
        <v>-66082</v>
      </c>
      <c r="BO265" s="239">
        <v>-6608187</v>
      </c>
      <c r="BP265" s="239">
        <v>1380053</v>
      </c>
      <c r="BQ265" s="239">
        <v>1352451</v>
      </c>
      <c r="BR265" s="239">
        <v>0</v>
      </c>
      <c r="BS265" s="239">
        <v>27601</v>
      </c>
      <c r="BT265" s="239">
        <v>2760105</v>
      </c>
      <c r="BU265" s="239">
        <v>-2543709</v>
      </c>
      <c r="BV265" s="239">
        <v>-2492835</v>
      </c>
      <c r="BW265" s="239">
        <v>0</v>
      </c>
      <c r="BX265" s="239">
        <v>-50874</v>
      </c>
      <c r="BY265" s="239">
        <v>-5087418</v>
      </c>
      <c r="BZ265" s="239">
        <v>-4467749</v>
      </c>
      <c r="CA265" s="239">
        <v>-4378396</v>
      </c>
      <c r="CB265" s="239">
        <v>0</v>
      </c>
      <c r="CC265" s="239">
        <v>-89355</v>
      </c>
      <c r="CD265" s="239">
        <v>-8935500</v>
      </c>
      <c r="CE265" s="239">
        <v>3090929.5</v>
      </c>
      <c r="CF265" s="239">
        <v>3029110</v>
      </c>
      <c r="CG265" s="239">
        <v>0</v>
      </c>
      <c r="CH265" s="239">
        <v>61819</v>
      </c>
      <c r="CI265" s="239">
        <v>6181858.5</v>
      </c>
      <c r="CJ265" s="239">
        <v>0</v>
      </c>
      <c r="CK265" s="239">
        <v>0</v>
      </c>
      <c r="CL265" s="239">
        <v>0</v>
      </c>
      <c r="CM265" s="239">
        <v>0</v>
      </c>
      <c r="CN265" s="239">
        <v>0</v>
      </c>
      <c r="CO265" s="239">
        <v>3090929.5</v>
      </c>
      <c r="CP265" s="239">
        <v>3029110</v>
      </c>
      <c r="CQ265" s="239">
        <v>0</v>
      </c>
      <c r="CR265" s="239">
        <v>61819</v>
      </c>
      <c r="CS265" s="239">
        <v>6181858.5</v>
      </c>
      <c r="CT265" s="239">
        <v>37069756</v>
      </c>
      <c r="CU265" s="239">
        <v>36328360</v>
      </c>
      <c r="CV265" s="239">
        <v>0</v>
      </c>
      <c r="CW265" s="239">
        <v>741395</v>
      </c>
      <c r="CX265" s="239">
        <v>74139511</v>
      </c>
      <c r="CY265" s="239">
        <v>37668697</v>
      </c>
      <c r="CZ265" s="239">
        <v>36915324</v>
      </c>
      <c r="DA265" s="239">
        <v>0</v>
      </c>
      <c r="DB265" s="239">
        <v>753374</v>
      </c>
      <c r="DC265" s="239">
        <v>75337395</v>
      </c>
      <c r="DD265" s="239">
        <v>598941</v>
      </c>
      <c r="DE265" s="239">
        <v>586964</v>
      </c>
      <c r="DF265" s="239">
        <v>0</v>
      </c>
      <c r="DG265" s="239">
        <v>11979</v>
      </c>
      <c r="DH265" s="239">
        <v>1197884</v>
      </c>
      <c r="DI265" s="239">
        <v>3689870.5</v>
      </c>
      <c r="DJ265" s="239">
        <v>3616074</v>
      </c>
      <c r="DK265" s="239">
        <v>0</v>
      </c>
      <c r="DL265" s="239">
        <v>73798</v>
      </c>
      <c r="DM265" s="239">
        <v>7379742.5</v>
      </c>
      <c r="DN265" s="835">
        <v>0.5</v>
      </c>
      <c r="DO265" s="835">
        <v>0.49</v>
      </c>
      <c r="DP265" s="835">
        <v>0</v>
      </c>
      <c r="DQ265" s="835">
        <v>0.01</v>
      </c>
      <c r="DR265" s="835">
        <v>1</v>
      </c>
      <c r="DS265" s="214" t="s">
        <v>746</v>
      </c>
      <c r="DU265" s="214">
        <v>0</v>
      </c>
    </row>
    <row r="266" spans="1:125" s="214" customFormat="1" x14ac:dyDescent="0.2">
      <c r="B266" s="602" t="s">
        <v>615</v>
      </c>
      <c r="C266" s="602" t="s">
        <v>614</v>
      </c>
      <c r="D266" s="239">
        <v>43123847</v>
      </c>
      <c r="E266" s="239">
        <v>42261371</v>
      </c>
      <c r="F266" s="239">
        <v>0</v>
      </c>
      <c r="G266" s="239">
        <v>862477</v>
      </c>
      <c r="H266" s="239">
        <v>86247695</v>
      </c>
      <c r="I266" s="239">
        <v>0</v>
      </c>
      <c r="J266" s="239">
        <v>0</v>
      </c>
      <c r="K266" s="239">
        <v>43123847</v>
      </c>
      <c r="L266" s="239">
        <v>361940</v>
      </c>
      <c r="M266" s="239">
        <v>361940</v>
      </c>
      <c r="N266" s="239">
        <v>466642</v>
      </c>
      <c r="O266" s="239">
        <v>466642</v>
      </c>
      <c r="P266" s="239">
        <v>0</v>
      </c>
      <c r="Q266" s="239">
        <v>0</v>
      </c>
      <c r="R266" s="239">
        <v>0</v>
      </c>
      <c r="S266" s="239">
        <v>0</v>
      </c>
      <c r="T266" s="239">
        <v>0</v>
      </c>
      <c r="U266" s="239">
        <v>0</v>
      </c>
      <c r="V266" s="239">
        <v>0</v>
      </c>
      <c r="W266" s="239">
        <v>0</v>
      </c>
      <c r="X266" s="239">
        <v>0</v>
      </c>
      <c r="Y266" s="239">
        <v>0</v>
      </c>
      <c r="Z266" s="239">
        <v>0</v>
      </c>
      <c r="AA266" s="239">
        <v>0</v>
      </c>
      <c r="AB266" s="239">
        <v>0</v>
      </c>
      <c r="AC266" s="239">
        <v>4082675</v>
      </c>
      <c r="AD266" s="239">
        <v>0</v>
      </c>
      <c r="AE266" s="239">
        <v>83176</v>
      </c>
      <c r="AF266" s="239">
        <v>4165851</v>
      </c>
      <c r="AG266" s="239">
        <v>2782067</v>
      </c>
      <c r="AH266" s="239">
        <v>2726426</v>
      </c>
      <c r="AI266" s="239">
        <v>0</v>
      </c>
      <c r="AJ266" s="239">
        <v>55641</v>
      </c>
      <c r="AK266" s="239">
        <v>5564134</v>
      </c>
      <c r="AL266" s="239">
        <v>-1327426</v>
      </c>
      <c r="AM266" s="239">
        <v>-1300878</v>
      </c>
      <c r="AN266" s="239">
        <v>0</v>
      </c>
      <c r="AO266" s="239">
        <v>-26549</v>
      </c>
      <c r="AP266" s="239">
        <v>-2654853</v>
      </c>
      <c r="AQ266" s="239">
        <v>-1879717</v>
      </c>
      <c r="AR266" s="239">
        <v>-1842122</v>
      </c>
      <c r="AS266" s="239">
        <v>0</v>
      </c>
      <c r="AT266" s="239">
        <v>-37594</v>
      </c>
      <c r="AU266" s="239">
        <v>-3759433</v>
      </c>
      <c r="AV266" s="239">
        <v>651772</v>
      </c>
      <c r="AW266" s="239">
        <v>638736</v>
      </c>
      <c r="AX266" s="239">
        <v>0</v>
      </c>
      <c r="AY266" s="239">
        <v>13035</v>
      </c>
      <c r="AZ266" s="239">
        <v>1303543</v>
      </c>
      <c r="BA266" s="239">
        <v>-665969</v>
      </c>
      <c r="BB266" s="239">
        <v>-652650</v>
      </c>
      <c r="BC266" s="239">
        <v>0</v>
      </c>
      <c r="BD266" s="239">
        <v>-13319</v>
      </c>
      <c r="BE266" s="239">
        <v>-1331938</v>
      </c>
      <c r="BF266" s="239">
        <v>-1893914</v>
      </c>
      <c r="BG266" s="239">
        <v>-1856036</v>
      </c>
      <c r="BH266" s="239">
        <v>0</v>
      </c>
      <c r="BI266" s="239">
        <v>-37878</v>
      </c>
      <c r="BJ266" s="239">
        <v>-3787828</v>
      </c>
      <c r="BK266" s="239">
        <v>-3748935</v>
      </c>
      <c r="BL266" s="239">
        <v>-3673956</v>
      </c>
      <c r="BM266" s="239">
        <v>0</v>
      </c>
      <c r="BN266" s="239">
        <v>-74979</v>
      </c>
      <c r="BO266" s="239">
        <v>-7497870</v>
      </c>
      <c r="BP266" s="239">
        <v>883805</v>
      </c>
      <c r="BQ266" s="239">
        <v>866128</v>
      </c>
      <c r="BR266" s="239">
        <v>0</v>
      </c>
      <c r="BS266" s="239">
        <v>17676</v>
      </c>
      <c r="BT266" s="239">
        <v>1767609</v>
      </c>
      <c r="BU266" s="239">
        <v>-1224869</v>
      </c>
      <c r="BV266" s="239">
        <v>-1200372</v>
      </c>
      <c r="BW266" s="239">
        <v>0</v>
      </c>
      <c r="BX266" s="239">
        <v>-24497</v>
      </c>
      <c r="BY266" s="239">
        <v>-2449738</v>
      </c>
      <c r="BZ266" s="239">
        <v>-4089999</v>
      </c>
      <c r="CA266" s="239">
        <v>-4008200</v>
      </c>
      <c r="CB266" s="239">
        <v>0</v>
      </c>
      <c r="CC266" s="239">
        <v>-81800</v>
      </c>
      <c r="CD266" s="239">
        <v>-8179999</v>
      </c>
      <c r="CE266" s="239">
        <v>3705397</v>
      </c>
      <c r="CF266" s="239">
        <v>3631290</v>
      </c>
      <c r="CG266" s="239">
        <v>0</v>
      </c>
      <c r="CH266" s="239">
        <v>74107</v>
      </c>
      <c r="CI266" s="239">
        <v>7410794</v>
      </c>
      <c r="CJ266" s="239">
        <v>3343338</v>
      </c>
      <c r="CK266" s="239">
        <v>3276471</v>
      </c>
      <c r="CL266" s="239">
        <v>0</v>
      </c>
      <c r="CM266" s="239">
        <v>66867</v>
      </c>
      <c r="CN266" s="239">
        <v>6686676</v>
      </c>
      <c r="CO266" s="239">
        <v>362059</v>
      </c>
      <c r="CP266" s="239">
        <v>354819</v>
      </c>
      <c r="CQ266" s="239">
        <v>0</v>
      </c>
      <c r="CR266" s="239">
        <v>7240</v>
      </c>
      <c r="CS266" s="239">
        <v>724118</v>
      </c>
      <c r="CT266" s="239">
        <v>44611209</v>
      </c>
      <c r="CU266" s="239">
        <v>43718985</v>
      </c>
      <c r="CV266" s="239">
        <v>0</v>
      </c>
      <c r="CW266" s="239">
        <v>892224</v>
      </c>
      <c r="CX266" s="239">
        <v>89222418</v>
      </c>
      <c r="CY266" s="239">
        <v>43123847</v>
      </c>
      <c r="CZ266" s="239">
        <v>42261371</v>
      </c>
      <c r="DA266" s="239">
        <v>0</v>
      </c>
      <c r="DB266" s="239">
        <v>862477</v>
      </c>
      <c r="DC266" s="239">
        <v>86247695</v>
      </c>
      <c r="DD266" s="239">
        <v>-1487362</v>
      </c>
      <c r="DE266" s="239">
        <v>-1457614</v>
      </c>
      <c r="DF266" s="239">
        <v>0</v>
      </c>
      <c r="DG266" s="239">
        <v>-29747</v>
      </c>
      <c r="DH266" s="239">
        <v>-2974723</v>
      </c>
      <c r="DI266" s="239">
        <v>-1125303</v>
      </c>
      <c r="DJ266" s="239">
        <v>-1102795</v>
      </c>
      <c r="DK266" s="239">
        <v>0</v>
      </c>
      <c r="DL266" s="239">
        <v>-22507</v>
      </c>
      <c r="DM266" s="239">
        <v>-2250605</v>
      </c>
      <c r="DN266" s="835">
        <v>0.5</v>
      </c>
      <c r="DO266" s="835">
        <v>0.49</v>
      </c>
      <c r="DP266" s="835">
        <v>0</v>
      </c>
      <c r="DQ266" s="835">
        <v>0.01</v>
      </c>
      <c r="DR266" s="835">
        <v>1</v>
      </c>
      <c r="DS266" s="214" t="s">
        <v>746</v>
      </c>
      <c r="DU266" s="214">
        <v>0</v>
      </c>
    </row>
    <row r="267" spans="1:125" s="214" customFormat="1" x14ac:dyDescent="0.2">
      <c r="B267" s="602" t="s">
        <v>617</v>
      </c>
      <c r="C267" s="602" t="s">
        <v>616</v>
      </c>
      <c r="D267" s="239">
        <v>25844587</v>
      </c>
      <c r="E267" s="239">
        <v>20675670</v>
      </c>
      <c r="F267" s="239">
        <v>5168918</v>
      </c>
      <c r="G267" s="239">
        <v>0</v>
      </c>
      <c r="H267" s="239">
        <v>51689175</v>
      </c>
      <c r="I267" s="239">
        <v>0</v>
      </c>
      <c r="J267" s="239">
        <v>0</v>
      </c>
      <c r="K267" s="239">
        <v>25844587</v>
      </c>
      <c r="L267" s="239">
        <v>214845</v>
      </c>
      <c r="M267" s="239">
        <v>214845</v>
      </c>
      <c r="N267" s="239">
        <v>0</v>
      </c>
      <c r="O267" s="239">
        <v>0</v>
      </c>
      <c r="P267" s="239">
        <v>32846</v>
      </c>
      <c r="Q267" s="239">
        <v>0</v>
      </c>
      <c r="R267" s="239">
        <v>32846</v>
      </c>
      <c r="S267" s="239">
        <v>0</v>
      </c>
      <c r="T267" s="239">
        <v>0</v>
      </c>
      <c r="U267" s="239">
        <v>0</v>
      </c>
      <c r="V267" s="239">
        <v>0</v>
      </c>
      <c r="W267" s="239">
        <v>0</v>
      </c>
      <c r="X267" s="239">
        <v>0</v>
      </c>
      <c r="Y267" s="239">
        <v>0</v>
      </c>
      <c r="Z267" s="239">
        <v>0</v>
      </c>
      <c r="AA267" s="239">
        <v>0</v>
      </c>
      <c r="AB267" s="239">
        <v>0</v>
      </c>
      <c r="AC267" s="239">
        <v>2082397</v>
      </c>
      <c r="AD267" s="239">
        <v>520476</v>
      </c>
      <c r="AE267" s="239">
        <v>0</v>
      </c>
      <c r="AF267" s="239">
        <v>2602873</v>
      </c>
      <c r="AG267" s="239">
        <v>851077</v>
      </c>
      <c r="AH267" s="239">
        <v>680862</v>
      </c>
      <c r="AI267" s="239">
        <v>170215</v>
      </c>
      <c r="AJ267" s="239">
        <v>0</v>
      </c>
      <c r="AK267" s="239">
        <v>1702154</v>
      </c>
      <c r="AL267" s="239">
        <v>-260643</v>
      </c>
      <c r="AM267" s="239">
        <v>-208514</v>
      </c>
      <c r="AN267" s="239">
        <v>-52129</v>
      </c>
      <c r="AO267" s="239">
        <v>0</v>
      </c>
      <c r="AP267" s="239">
        <v>-521286</v>
      </c>
      <c r="AQ267" s="239">
        <v>-229756</v>
      </c>
      <c r="AR267" s="239">
        <v>-183805</v>
      </c>
      <c r="AS267" s="239">
        <v>-45951</v>
      </c>
      <c r="AT267" s="239">
        <v>0</v>
      </c>
      <c r="AU267" s="239">
        <v>-459512</v>
      </c>
      <c r="AV267" s="239">
        <v>175169</v>
      </c>
      <c r="AW267" s="239">
        <v>140136</v>
      </c>
      <c r="AX267" s="239">
        <v>35034</v>
      </c>
      <c r="AY267" s="239">
        <v>0</v>
      </c>
      <c r="AZ267" s="239">
        <v>350339</v>
      </c>
      <c r="BA267" s="239">
        <v>-262388</v>
      </c>
      <c r="BB267" s="239">
        <v>-209911</v>
      </c>
      <c r="BC267" s="239">
        <v>-52478</v>
      </c>
      <c r="BD267" s="239">
        <v>0</v>
      </c>
      <c r="BE267" s="239">
        <v>-524777</v>
      </c>
      <c r="BF267" s="239">
        <v>-316975</v>
      </c>
      <c r="BG267" s="239">
        <v>-253580</v>
      </c>
      <c r="BH267" s="239">
        <v>-63395</v>
      </c>
      <c r="BI267" s="239">
        <v>0</v>
      </c>
      <c r="BJ267" s="239">
        <v>-633950</v>
      </c>
      <c r="BK267" s="239">
        <v>-1162322</v>
      </c>
      <c r="BL267" s="239">
        <v>-929858</v>
      </c>
      <c r="BM267" s="239">
        <v>-232465</v>
      </c>
      <c r="BN267" s="239">
        <v>0</v>
      </c>
      <c r="BO267" s="239">
        <v>-2324645</v>
      </c>
      <c r="BP267" s="239">
        <v>179106</v>
      </c>
      <c r="BQ267" s="239">
        <v>143285</v>
      </c>
      <c r="BR267" s="239">
        <v>35821</v>
      </c>
      <c r="BS267" s="239">
        <v>0</v>
      </c>
      <c r="BT267" s="239">
        <v>358212</v>
      </c>
      <c r="BU267" s="239">
        <v>-1055573</v>
      </c>
      <c r="BV267" s="239">
        <v>-844458</v>
      </c>
      <c r="BW267" s="239">
        <v>-211115</v>
      </c>
      <c r="BX267" s="239">
        <v>0</v>
      </c>
      <c r="BY267" s="239">
        <v>-2111146</v>
      </c>
      <c r="BZ267" s="239">
        <v>-2038789</v>
      </c>
      <c r="CA267" s="239">
        <v>-1631031</v>
      </c>
      <c r="CB267" s="239">
        <v>-407759</v>
      </c>
      <c r="CC267" s="239">
        <v>0</v>
      </c>
      <c r="CD267" s="239">
        <v>-4077579</v>
      </c>
      <c r="CE267" s="239">
        <v>-392351</v>
      </c>
      <c r="CF267" s="239">
        <v>-313880</v>
      </c>
      <c r="CG267" s="239">
        <v>-78470</v>
      </c>
      <c r="CH267" s="239">
        <v>0</v>
      </c>
      <c r="CI267" s="239">
        <v>-784701</v>
      </c>
      <c r="CJ267" s="239">
        <v>-214598</v>
      </c>
      <c r="CK267" s="239">
        <v>-171679</v>
      </c>
      <c r="CL267" s="239">
        <v>-42920</v>
      </c>
      <c r="CM267" s="239">
        <v>0</v>
      </c>
      <c r="CN267" s="239">
        <v>-429197</v>
      </c>
      <c r="CO267" s="239">
        <v>-177753</v>
      </c>
      <c r="CP267" s="239">
        <v>-142201</v>
      </c>
      <c r="CQ267" s="239">
        <v>-35550</v>
      </c>
      <c r="CR267" s="239">
        <v>0</v>
      </c>
      <c r="CS267" s="239">
        <v>-355504</v>
      </c>
      <c r="CT267" s="239">
        <v>26008557</v>
      </c>
      <c r="CU267" s="239">
        <v>20806845</v>
      </c>
      <c r="CV267" s="239">
        <v>5201711</v>
      </c>
      <c r="CW267" s="239">
        <v>0</v>
      </c>
      <c r="CX267" s="239">
        <v>52017113</v>
      </c>
      <c r="CY267" s="239">
        <v>25844587</v>
      </c>
      <c r="CZ267" s="239">
        <v>20675670</v>
      </c>
      <c r="DA267" s="239">
        <v>5168918</v>
      </c>
      <c r="DB267" s="239">
        <v>0</v>
      </c>
      <c r="DC267" s="239">
        <v>51689175</v>
      </c>
      <c r="DD267" s="239">
        <v>-163970</v>
      </c>
      <c r="DE267" s="239">
        <v>-131175</v>
      </c>
      <c r="DF267" s="239">
        <v>-32793</v>
      </c>
      <c r="DG267" s="239">
        <v>0</v>
      </c>
      <c r="DH267" s="239">
        <v>-327938</v>
      </c>
      <c r="DI267" s="239">
        <v>-341723</v>
      </c>
      <c r="DJ267" s="239">
        <v>-273376</v>
      </c>
      <c r="DK267" s="239">
        <v>-68343</v>
      </c>
      <c r="DL267" s="239">
        <v>0</v>
      </c>
      <c r="DM267" s="239">
        <v>-683442</v>
      </c>
      <c r="DN267" s="835">
        <v>0.5</v>
      </c>
      <c r="DO267" s="835">
        <v>0.4</v>
      </c>
      <c r="DP267" s="835">
        <v>0.1</v>
      </c>
      <c r="DQ267" s="835">
        <v>0</v>
      </c>
      <c r="DR267" s="835">
        <v>1</v>
      </c>
      <c r="DS267" s="214" t="s">
        <v>1158</v>
      </c>
      <c r="DU267" s="214">
        <v>0</v>
      </c>
    </row>
    <row r="268" spans="1:125" s="214" customFormat="1" x14ac:dyDescent="0.2">
      <c r="B268" s="602" t="s">
        <v>619</v>
      </c>
      <c r="C268" s="602" t="s">
        <v>618</v>
      </c>
      <c r="D268" s="239">
        <v>13356732</v>
      </c>
      <c r="E268" s="239">
        <v>10685386</v>
      </c>
      <c r="F268" s="239">
        <v>2671346</v>
      </c>
      <c r="G268" s="239">
        <v>0</v>
      </c>
      <c r="H268" s="239">
        <v>26713464</v>
      </c>
      <c r="I268" s="239">
        <v>0</v>
      </c>
      <c r="J268" s="239">
        <v>0</v>
      </c>
      <c r="K268" s="239">
        <v>13356732</v>
      </c>
      <c r="L268" s="239">
        <v>158662</v>
      </c>
      <c r="M268" s="239">
        <v>158662</v>
      </c>
      <c r="N268" s="239">
        <v>0</v>
      </c>
      <c r="O268" s="239">
        <v>0</v>
      </c>
      <c r="P268" s="239">
        <v>107748</v>
      </c>
      <c r="Q268" s="239">
        <v>0</v>
      </c>
      <c r="R268" s="239">
        <v>107748</v>
      </c>
      <c r="S268" s="239">
        <v>0</v>
      </c>
      <c r="T268" s="239">
        <v>0</v>
      </c>
      <c r="U268" s="239">
        <v>0</v>
      </c>
      <c r="V268" s="239">
        <v>0</v>
      </c>
      <c r="W268" s="239">
        <v>0</v>
      </c>
      <c r="X268" s="239">
        <v>0</v>
      </c>
      <c r="Y268" s="239">
        <v>0</v>
      </c>
      <c r="Z268" s="239">
        <v>0</v>
      </c>
      <c r="AA268" s="239">
        <v>0</v>
      </c>
      <c r="AB268" s="239">
        <v>0</v>
      </c>
      <c r="AC268" s="239">
        <v>1355230</v>
      </c>
      <c r="AD268" s="239">
        <v>338404</v>
      </c>
      <c r="AE268" s="239">
        <v>0</v>
      </c>
      <c r="AF268" s="239">
        <v>1693634</v>
      </c>
      <c r="AG268" s="239">
        <v>394757</v>
      </c>
      <c r="AH268" s="239">
        <v>315806</v>
      </c>
      <c r="AI268" s="239">
        <v>78951</v>
      </c>
      <c r="AJ268" s="239">
        <v>0</v>
      </c>
      <c r="AK268" s="239">
        <v>789514</v>
      </c>
      <c r="AL268" s="239">
        <v>-225723</v>
      </c>
      <c r="AM268" s="239">
        <v>-180579</v>
      </c>
      <c r="AN268" s="239">
        <v>-45145</v>
      </c>
      <c r="AO268" s="239">
        <v>0</v>
      </c>
      <c r="AP268" s="239">
        <v>-451447</v>
      </c>
      <c r="AQ268" s="239">
        <v>-198097.25</v>
      </c>
      <c r="AR268" s="239">
        <v>-158479</v>
      </c>
      <c r="AS268" s="239">
        <v>-39620</v>
      </c>
      <c r="AT268" s="239">
        <v>0</v>
      </c>
      <c r="AU268" s="239">
        <v>-396196.25</v>
      </c>
      <c r="AV268" s="239">
        <v>128298</v>
      </c>
      <c r="AW268" s="239">
        <v>102639</v>
      </c>
      <c r="AX268" s="239">
        <v>25660</v>
      </c>
      <c r="AY268" s="239">
        <v>0</v>
      </c>
      <c r="AZ268" s="239">
        <v>256597</v>
      </c>
      <c r="BA268" s="239">
        <v>-133777</v>
      </c>
      <c r="BB268" s="239">
        <v>-107021</v>
      </c>
      <c r="BC268" s="239">
        <v>-26755</v>
      </c>
      <c r="BD268" s="239">
        <v>0</v>
      </c>
      <c r="BE268" s="239">
        <v>-267553</v>
      </c>
      <c r="BF268" s="239">
        <v>-203576.25</v>
      </c>
      <c r="BG268" s="239">
        <v>-162861</v>
      </c>
      <c r="BH268" s="239">
        <v>-40715</v>
      </c>
      <c r="BI268" s="239">
        <v>0</v>
      </c>
      <c r="BJ268" s="239">
        <v>-407152.25</v>
      </c>
      <c r="BK268" s="239">
        <v>-647802</v>
      </c>
      <c r="BL268" s="239">
        <v>-518241</v>
      </c>
      <c r="BM268" s="239">
        <v>-129560</v>
      </c>
      <c r="BN268" s="239">
        <v>0</v>
      </c>
      <c r="BO268" s="239">
        <v>-1295603</v>
      </c>
      <c r="BP268" s="239">
        <v>215025</v>
      </c>
      <c r="BQ268" s="239">
        <v>172020</v>
      </c>
      <c r="BR268" s="239">
        <v>43005</v>
      </c>
      <c r="BS268" s="239">
        <v>0</v>
      </c>
      <c r="BT268" s="239">
        <v>430050</v>
      </c>
      <c r="BU268" s="239">
        <v>-402102</v>
      </c>
      <c r="BV268" s="239">
        <v>-321681</v>
      </c>
      <c r="BW268" s="239">
        <v>-80420</v>
      </c>
      <c r="BX268" s="239">
        <v>0</v>
      </c>
      <c r="BY268" s="239">
        <v>-804203</v>
      </c>
      <c r="BZ268" s="239">
        <v>-834879</v>
      </c>
      <c r="CA268" s="239">
        <v>-667902</v>
      </c>
      <c r="CB268" s="239">
        <v>-166975</v>
      </c>
      <c r="CC268" s="239">
        <v>0</v>
      </c>
      <c r="CD268" s="239">
        <v>-1669756</v>
      </c>
      <c r="CE268" s="239">
        <v>-27471</v>
      </c>
      <c r="CF268" s="239">
        <v>-21976</v>
      </c>
      <c r="CG268" s="239">
        <v>-5494</v>
      </c>
      <c r="CH268" s="239">
        <v>0</v>
      </c>
      <c r="CI268" s="239">
        <v>-54941</v>
      </c>
      <c r="CJ268" s="239">
        <v>48493</v>
      </c>
      <c r="CK268" s="239">
        <v>38795</v>
      </c>
      <c r="CL268" s="239">
        <v>9699</v>
      </c>
      <c r="CM268" s="239">
        <v>0</v>
      </c>
      <c r="CN268" s="239">
        <v>96987</v>
      </c>
      <c r="CO268" s="239">
        <v>-75964</v>
      </c>
      <c r="CP268" s="239">
        <v>-60771</v>
      </c>
      <c r="CQ268" s="239">
        <v>-15193</v>
      </c>
      <c r="CR268" s="239">
        <v>0</v>
      </c>
      <c r="CS268" s="239">
        <v>-151928</v>
      </c>
      <c r="CT268" s="239">
        <v>13351043</v>
      </c>
      <c r="CU268" s="239">
        <v>10680835</v>
      </c>
      <c r="CV268" s="239">
        <v>2670209</v>
      </c>
      <c r="CW268" s="239">
        <v>0</v>
      </c>
      <c r="CX268" s="239">
        <v>26702087</v>
      </c>
      <c r="CY268" s="239">
        <v>13356732</v>
      </c>
      <c r="CZ268" s="239">
        <v>10685386</v>
      </c>
      <c r="DA268" s="239">
        <v>2671346</v>
      </c>
      <c r="DB268" s="239">
        <v>0</v>
      </c>
      <c r="DC268" s="239">
        <v>26713464</v>
      </c>
      <c r="DD268" s="239">
        <v>5689</v>
      </c>
      <c r="DE268" s="239">
        <v>4551</v>
      </c>
      <c r="DF268" s="239">
        <v>1137</v>
      </c>
      <c r="DG268" s="239">
        <v>0</v>
      </c>
      <c r="DH268" s="239">
        <v>11377</v>
      </c>
      <c r="DI268" s="239">
        <v>-70275</v>
      </c>
      <c r="DJ268" s="239">
        <v>-56220</v>
      </c>
      <c r="DK268" s="239">
        <v>-14056</v>
      </c>
      <c r="DL268" s="239">
        <v>0</v>
      </c>
      <c r="DM268" s="239">
        <v>-140551</v>
      </c>
      <c r="DN268" s="835">
        <v>0.5</v>
      </c>
      <c r="DO268" s="835">
        <v>0.4</v>
      </c>
      <c r="DP268" s="835">
        <v>0.1</v>
      </c>
      <c r="DQ268" s="835">
        <v>0</v>
      </c>
      <c r="DR268" s="835">
        <v>1</v>
      </c>
      <c r="DS268" s="214" t="s">
        <v>1158</v>
      </c>
      <c r="DU268" s="214">
        <v>0</v>
      </c>
    </row>
    <row r="269" spans="1:125" s="214" customFormat="1" x14ac:dyDescent="0.2">
      <c r="B269" s="602" t="s">
        <v>621</v>
      </c>
      <c r="C269" s="602" t="s">
        <v>620</v>
      </c>
      <c r="D269" s="239">
        <v>30205860</v>
      </c>
      <c r="E269" s="239">
        <v>24164688</v>
      </c>
      <c r="F269" s="239">
        <v>6041172</v>
      </c>
      <c r="G269" s="239">
        <v>0</v>
      </c>
      <c r="H269" s="239">
        <v>60411720</v>
      </c>
      <c r="I269" s="239">
        <v>0</v>
      </c>
      <c r="J269" s="239">
        <v>0</v>
      </c>
      <c r="K269" s="239">
        <v>30205860</v>
      </c>
      <c r="L269" s="239">
        <v>269565</v>
      </c>
      <c r="M269" s="239">
        <v>269565</v>
      </c>
      <c r="N269" s="239">
        <v>0</v>
      </c>
      <c r="O269" s="239">
        <v>0</v>
      </c>
      <c r="P269" s="239">
        <v>149175</v>
      </c>
      <c r="Q269" s="239">
        <v>0</v>
      </c>
      <c r="R269" s="239">
        <v>149175</v>
      </c>
      <c r="S269" s="239">
        <v>0</v>
      </c>
      <c r="T269" s="239">
        <v>0</v>
      </c>
      <c r="U269" s="239">
        <v>0</v>
      </c>
      <c r="V269" s="239">
        <v>0</v>
      </c>
      <c r="W269" s="239">
        <v>0</v>
      </c>
      <c r="X269" s="239">
        <v>0</v>
      </c>
      <c r="Y269" s="239">
        <v>0</v>
      </c>
      <c r="Z269" s="239">
        <v>0</v>
      </c>
      <c r="AA269" s="239">
        <v>0</v>
      </c>
      <c r="AB269" s="239">
        <v>0</v>
      </c>
      <c r="AC269" s="239">
        <v>1882183</v>
      </c>
      <c r="AD269" s="239">
        <v>469986</v>
      </c>
      <c r="AE269" s="239">
        <v>0</v>
      </c>
      <c r="AF269" s="239">
        <v>2352169</v>
      </c>
      <c r="AG269" s="239">
        <v>630442</v>
      </c>
      <c r="AH269" s="239">
        <v>504353</v>
      </c>
      <c r="AI269" s="239">
        <v>126088</v>
      </c>
      <c r="AJ269" s="239">
        <v>0</v>
      </c>
      <c r="AK269" s="239">
        <v>1260883</v>
      </c>
      <c r="AL269" s="239">
        <v>-1106147</v>
      </c>
      <c r="AM269" s="239">
        <v>-884918</v>
      </c>
      <c r="AN269" s="239">
        <v>-221229</v>
      </c>
      <c r="AO269" s="239">
        <v>0</v>
      </c>
      <c r="AP269" s="239">
        <v>-2212294</v>
      </c>
      <c r="AQ269" s="239">
        <v>-369084</v>
      </c>
      <c r="AR269" s="239">
        <v>-295268</v>
      </c>
      <c r="AS269" s="239">
        <v>-73817</v>
      </c>
      <c r="AT269" s="239">
        <v>0</v>
      </c>
      <c r="AU269" s="239">
        <v>-738169</v>
      </c>
      <c r="AV269" s="239">
        <v>10740</v>
      </c>
      <c r="AW269" s="239">
        <v>8592</v>
      </c>
      <c r="AX269" s="239">
        <v>2148</v>
      </c>
      <c r="AY269" s="239">
        <v>0</v>
      </c>
      <c r="AZ269" s="239">
        <v>21480</v>
      </c>
      <c r="BA269" s="239">
        <v>-81349</v>
      </c>
      <c r="BB269" s="239">
        <v>-65079</v>
      </c>
      <c r="BC269" s="239">
        <v>-16270</v>
      </c>
      <c r="BD269" s="239">
        <v>0</v>
      </c>
      <c r="BE269" s="239">
        <v>-162698</v>
      </c>
      <c r="BF269" s="239">
        <v>-439693</v>
      </c>
      <c r="BG269" s="239">
        <v>-351755</v>
      </c>
      <c r="BH269" s="239">
        <v>-87939</v>
      </c>
      <c r="BI269" s="239">
        <v>0</v>
      </c>
      <c r="BJ269" s="239">
        <v>-879387</v>
      </c>
      <c r="BK269" s="239">
        <v>-3081266</v>
      </c>
      <c r="BL269" s="239">
        <v>-2465012</v>
      </c>
      <c r="BM269" s="239">
        <v>-616253</v>
      </c>
      <c r="BN269" s="239">
        <v>0</v>
      </c>
      <c r="BO269" s="239">
        <v>-6162531</v>
      </c>
      <c r="BP269" s="239">
        <v>729785</v>
      </c>
      <c r="BQ269" s="239">
        <v>583828</v>
      </c>
      <c r="BR269" s="239">
        <v>145957</v>
      </c>
      <c r="BS269" s="239">
        <v>0</v>
      </c>
      <c r="BT269" s="239">
        <v>1459570</v>
      </c>
      <c r="BU269" s="239">
        <v>-1028042</v>
      </c>
      <c r="BV269" s="239">
        <v>-822434</v>
      </c>
      <c r="BW269" s="239">
        <v>-205608</v>
      </c>
      <c r="BX269" s="239">
        <v>0</v>
      </c>
      <c r="BY269" s="239">
        <v>-2056084</v>
      </c>
      <c r="BZ269" s="239">
        <v>-3379523</v>
      </c>
      <c r="CA269" s="239">
        <v>-2703618</v>
      </c>
      <c r="CB269" s="239">
        <v>-675904</v>
      </c>
      <c r="CC269" s="239">
        <v>0</v>
      </c>
      <c r="CD269" s="239">
        <v>-6759045</v>
      </c>
      <c r="CE269" s="239">
        <v>-1135272</v>
      </c>
      <c r="CF269" s="239">
        <v>-908217</v>
      </c>
      <c r="CG269" s="239">
        <v>-227054</v>
      </c>
      <c r="CH269" s="239">
        <v>0</v>
      </c>
      <c r="CI269" s="239">
        <v>-2270543</v>
      </c>
      <c r="CJ269" s="239">
        <v>-1410967</v>
      </c>
      <c r="CK269" s="239">
        <v>-1128774</v>
      </c>
      <c r="CL269" s="239">
        <v>-282193</v>
      </c>
      <c r="CM269" s="239">
        <v>0</v>
      </c>
      <c r="CN269" s="239">
        <v>-2821934</v>
      </c>
      <c r="CO269" s="239">
        <v>275695</v>
      </c>
      <c r="CP269" s="239">
        <v>220557</v>
      </c>
      <c r="CQ269" s="239">
        <v>55139</v>
      </c>
      <c r="CR269" s="239">
        <v>0</v>
      </c>
      <c r="CS269" s="239">
        <v>551391</v>
      </c>
      <c r="CT269" s="239">
        <v>30738706</v>
      </c>
      <c r="CU269" s="239">
        <v>24590965</v>
      </c>
      <c r="CV269" s="239">
        <v>6147741</v>
      </c>
      <c r="CW269" s="239">
        <v>0</v>
      </c>
      <c r="CX269" s="239">
        <v>61477412</v>
      </c>
      <c r="CY269" s="239">
        <v>30205860</v>
      </c>
      <c r="CZ269" s="239">
        <v>24164688</v>
      </c>
      <c r="DA269" s="239">
        <v>6041172</v>
      </c>
      <c r="DB269" s="239">
        <v>0</v>
      </c>
      <c r="DC269" s="239">
        <v>60411720</v>
      </c>
      <c r="DD269" s="239">
        <v>-532846</v>
      </c>
      <c r="DE269" s="239">
        <v>-426277</v>
      </c>
      <c r="DF269" s="239">
        <v>-106569</v>
      </c>
      <c r="DG269" s="239">
        <v>0</v>
      </c>
      <c r="DH269" s="239">
        <v>-1065692</v>
      </c>
      <c r="DI269" s="239">
        <v>-257151</v>
      </c>
      <c r="DJ269" s="239">
        <v>-205720</v>
      </c>
      <c r="DK269" s="239">
        <v>-51430</v>
      </c>
      <c r="DL269" s="239">
        <v>0</v>
      </c>
      <c r="DM269" s="239">
        <v>-514301</v>
      </c>
      <c r="DN269" s="835">
        <v>0.5</v>
      </c>
      <c r="DO269" s="835">
        <v>0.4</v>
      </c>
      <c r="DP269" s="835">
        <v>0.1</v>
      </c>
      <c r="DQ269" s="835">
        <v>0</v>
      </c>
      <c r="DR269" s="835">
        <v>1</v>
      </c>
      <c r="DS269" s="214" t="s">
        <v>1158</v>
      </c>
      <c r="DU269" s="214">
        <v>0</v>
      </c>
    </row>
    <row r="270" spans="1:125" s="214" customFormat="1" x14ac:dyDescent="0.2">
      <c r="B270" s="602" t="s">
        <v>623</v>
      </c>
      <c r="C270" s="602" t="s">
        <v>622</v>
      </c>
      <c r="D270" s="239">
        <v>42252834</v>
      </c>
      <c r="E270" s="239">
        <v>41407777</v>
      </c>
      <c r="F270" s="239">
        <v>0</v>
      </c>
      <c r="G270" s="239">
        <v>845057</v>
      </c>
      <c r="H270" s="239">
        <v>84505668</v>
      </c>
      <c r="I270" s="239">
        <v>0</v>
      </c>
      <c r="J270" s="239">
        <v>0</v>
      </c>
      <c r="K270" s="239">
        <v>42252834</v>
      </c>
      <c r="L270" s="239">
        <v>341354</v>
      </c>
      <c r="M270" s="239">
        <v>341354</v>
      </c>
      <c r="N270" s="239">
        <v>707511</v>
      </c>
      <c r="O270" s="239">
        <v>707511</v>
      </c>
      <c r="P270" s="239">
        <v>0</v>
      </c>
      <c r="Q270" s="239">
        <v>0</v>
      </c>
      <c r="R270" s="239">
        <v>0</v>
      </c>
      <c r="S270" s="239">
        <v>0</v>
      </c>
      <c r="T270" s="239">
        <v>0</v>
      </c>
      <c r="U270" s="239">
        <v>0</v>
      </c>
      <c r="V270" s="239">
        <v>0</v>
      </c>
      <c r="W270" s="239">
        <v>0</v>
      </c>
      <c r="X270" s="239">
        <v>0</v>
      </c>
      <c r="Y270" s="239">
        <v>0</v>
      </c>
      <c r="Z270" s="239">
        <v>0</v>
      </c>
      <c r="AA270" s="239">
        <v>0</v>
      </c>
      <c r="AB270" s="239">
        <v>0</v>
      </c>
      <c r="AC270" s="239">
        <v>3462987</v>
      </c>
      <c r="AD270" s="239">
        <v>0</v>
      </c>
      <c r="AE270" s="239">
        <v>70425</v>
      </c>
      <c r="AF270" s="239">
        <v>3533412</v>
      </c>
      <c r="AG270" s="239">
        <v>2932974</v>
      </c>
      <c r="AH270" s="239">
        <v>2874316</v>
      </c>
      <c r="AI270" s="239">
        <v>0</v>
      </c>
      <c r="AJ270" s="239">
        <v>58660</v>
      </c>
      <c r="AK270" s="239">
        <v>5865950</v>
      </c>
      <c r="AL270" s="239">
        <v>-913821</v>
      </c>
      <c r="AM270" s="239">
        <v>-895545</v>
      </c>
      <c r="AN270" s="239">
        <v>0</v>
      </c>
      <c r="AO270" s="239">
        <v>-18276</v>
      </c>
      <c r="AP270" s="239">
        <v>-1827642</v>
      </c>
      <c r="AQ270" s="239">
        <v>-2685985</v>
      </c>
      <c r="AR270" s="239">
        <v>-2632266</v>
      </c>
      <c r="AS270" s="239">
        <v>0</v>
      </c>
      <c r="AT270" s="239">
        <v>-53720</v>
      </c>
      <c r="AU270" s="239">
        <v>-5371971</v>
      </c>
      <c r="AV270" s="239">
        <v>730917</v>
      </c>
      <c r="AW270" s="239">
        <v>716299</v>
      </c>
      <c r="AX270" s="239">
        <v>0</v>
      </c>
      <c r="AY270" s="239">
        <v>14618</v>
      </c>
      <c r="AZ270" s="239">
        <v>1461834</v>
      </c>
      <c r="BA270" s="239">
        <v>-362624</v>
      </c>
      <c r="BB270" s="239">
        <v>-355371</v>
      </c>
      <c r="BC270" s="239">
        <v>0</v>
      </c>
      <c r="BD270" s="239">
        <v>-7252</v>
      </c>
      <c r="BE270" s="239">
        <v>-725247</v>
      </c>
      <c r="BF270" s="239">
        <v>-2317692</v>
      </c>
      <c r="BG270" s="239">
        <v>-2271338</v>
      </c>
      <c r="BH270" s="239">
        <v>0</v>
      </c>
      <c r="BI270" s="239">
        <v>-46354</v>
      </c>
      <c r="BJ270" s="239">
        <v>-4635384</v>
      </c>
      <c r="BK270" s="239">
        <v>-7388769</v>
      </c>
      <c r="BL270" s="239">
        <v>-7240993</v>
      </c>
      <c r="BM270" s="239">
        <v>0</v>
      </c>
      <c r="BN270" s="239">
        <v>-147775</v>
      </c>
      <c r="BO270" s="239">
        <v>-14777537</v>
      </c>
      <c r="BP270" s="239">
        <v>2755267</v>
      </c>
      <c r="BQ270" s="239">
        <v>2700162</v>
      </c>
      <c r="BR270" s="239">
        <v>0</v>
      </c>
      <c r="BS270" s="239">
        <v>55105</v>
      </c>
      <c r="BT270" s="239">
        <v>5510534</v>
      </c>
      <c r="BU270" s="239">
        <v>-2649933</v>
      </c>
      <c r="BV270" s="239">
        <v>-2596935</v>
      </c>
      <c r="BW270" s="239">
        <v>0</v>
      </c>
      <c r="BX270" s="239">
        <v>-52999</v>
      </c>
      <c r="BY270" s="239">
        <v>-5299867</v>
      </c>
      <c r="BZ270" s="239">
        <v>-7283435</v>
      </c>
      <c r="CA270" s="239">
        <v>-7137766</v>
      </c>
      <c r="CB270" s="239">
        <v>0</v>
      </c>
      <c r="CC270" s="239">
        <v>-145669</v>
      </c>
      <c r="CD270" s="239">
        <v>-14566870</v>
      </c>
      <c r="CE270" s="239">
        <v>220875</v>
      </c>
      <c r="CF270" s="239">
        <v>216457</v>
      </c>
      <c r="CG270" s="239">
        <v>0</v>
      </c>
      <c r="CH270" s="239">
        <v>4418</v>
      </c>
      <c r="CI270" s="239">
        <v>441750</v>
      </c>
      <c r="CJ270" s="239">
        <v>0</v>
      </c>
      <c r="CK270" s="239">
        <v>0</v>
      </c>
      <c r="CL270" s="239">
        <v>0</v>
      </c>
      <c r="CM270" s="239">
        <v>0</v>
      </c>
      <c r="CN270" s="239">
        <v>0</v>
      </c>
      <c r="CO270" s="239">
        <v>220875</v>
      </c>
      <c r="CP270" s="239">
        <v>216457</v>
      </c>
      <c r="CQ270" s="239">
        <v>0</v>
      </c>
      <c r="CR270" s="239">
        <v>4418</v>
      </c>
      <c r="CS270" s="239">
        <v>441750</v>
      </c>
      <c r="CT270" s="239">
        <v>41735825</v>
      </c>
      <c r="CU270" s="239">
        <v>40901108</v>
      </c>
      <c r="CV270" s="239">
        <v>0</v>
      </c>
      <c r="CW270" s="239">
        <v>834716</v>
      </c>
      <c r="CX270" s="239">
        <v>83471649</v>
      </c>
      <c r="CY270" s="239">
        <v>42252834</v>
      </c>
      <c r="CZ270" s="239">
        <v>41407777</v>
      </c>
      <c r="DA270" s="239">
        <v>0</v>
      </c>
      <c r="DB270" s="239">
        <v>845057</v>
      </c>
      <c r="DC270" s="239">
        <v>84505668</v>
      </c>
      <c r="DD270" s="239">
        <v>517009</v>
      </c>
      <c r="DE270" s="239">
        <v>506669</v>
      </c>
      <c r="DF270" s="239">
        <v>0</v>
      </c>
      <c r="DG270" s="239">
        <v>10341</v>
      </c>
      <c r="DH270" s="239">
        <v>1034019</v>
      </c>
      <c r="DI270" s="239">
        <v>737884</v>
      </c>
      <c r="DJ270" s="239">
        <v>723126</v>
      </c>
      <c r="DK270" s="239">
        <v>0</v>
      </c>
      <c r="DL270" s="239">
        <v>14759</v>
      </c>
      <c r="DM270" s="239">
        <v>1475769</v>
      </c>
      <c r="DN270" s="835">
        <v>0.5</v>
      </c>
      <c r="DO270" s="835">
        <v>0.49</v>
      </c>
      <c r="DP270" s="835">
        <v>0</v>
      </c>
      <c r="DQ270" s="835">
        <v>0.01</v>
      </c>
      <c r="DR270" s="835">
        <v>1</v>
      </c>
      <c r="DS270" s="214" t="s">
        <v>1160</v>
      </c>
      <c r="DU270" s="214">
        <v>0</v>
      </c>
    </row>
    <row r="271" spans="1:125" s="214" customFormat="1" x14ac:dyDescent="0.2">
      <c r="B271" s="602" t="s">
        <v>625</v>
      </c>
      <c r="C271" s="602" t="s">
        <v>624</v>
      </c>
      <c r="D271" s="239">
        <v>16401519</v>
      </c>
      <c r="E271" s="239">
        <v>13121215</v>
      </c>
      <c r="F271" s="239">
        <v>3280304</v>
      </c>
      <c r="G271" s="239">
        <v>0</v>
      </c>
      <c r="H271" s="239">
        <v>32803038</v>
      </c>
      <c r="I271" s="239">
        <v>0</v>
      </c>
      <c r="J271" s="239">
        <v>0</v>
      </c>
      <c r="K271" s="239">
        <v>16401519</v>
      </c>
      <c r="L271" s="239">
        <v>123229</v>
      </c>
      <c r="M271" s="239">
        <v>123229</v>
      </c>
      <c r="N271" s="239">
        <v>0</v>
      </c>
      <c r="O271" s="239">
        <v>0</v>
      </c>
      <c r="P271" s="239">
        <v>0</v>
      </c>
      <c r="Q271" s="239">
        <v>0</v>
      </c>
      <c r="R271" s="239">
        <v>0</v>
      </c>
      <c r="S271" s="239">
        <v>0</v>
      </c>
      <c r="T271" s="239">
        <v>0</v>
      </c>
      <c r="U271" s="239">
        <v>0</v>
      </c>
      <c r="V271" s="239">
        <v>0</v>
      </c>
      <c r="W271" s="239">
        <v>0</v>
      </c>
      <c r="X271" s="239">
        <v>0</v>
      </c>
      <c r="Y271" s="239">
        <v>0</v>
      </c>
      <c r="Z271" s="239">
        <v>0</v>
      </c>
      <c r="AA271" s="239">
        <v>0</v>
      </c>
      <c r="AB271" s="239">
        <v>0</v>
      </c>
      <c r="AC271" s="239">
        <v>1055825</v>
      </c>
      <c r="AD271" s="239">
        <v>263956</v>
      </c>
      <c r="AE271" s="239">
        <v>0</v>
      </c>
      <c r="AF271" s="239">
        <v>1319781</v>
      </c>
      <c r="AG271" s="239">
        <v>1066878</v>
      </c>
      <c r="AH271" s="239">
        <v>853503</v>
      </c>
      <c r="AI271" s="239">
        <v>213376</v>
      </c>
      <c r="AJ271" s="239">
        <v>0</v>
      </c>
      <c r="AK271" s="239">
        <v>2133757</v>
      </c>
      <c r="AL271" s="239">
        <v>-420380</v>
      </c>
      <c r="AM271" s="239">
        <v>-336304</v>
      </c>
      <c r="AN271" s="239">
        <v>-84076</v>
      </c>
      <c r="AO271" s="239">
        <v>0</v>
      </c>
      <c r="AP271" s="239">
        <v>-840760</v>
      </c>
      <c r="AQ271" s="239">
        <v>-216267</v>
      </c>
      <c r="AR271" s="239">
        <v>-173014</v>
      </c>
      <c r="AS271" s="239">
        <v>-43254</v>
      </c>
      <c r="AT271" s="239">
        <v>0</v>
      </c>
      <c r="AU271" s="239">
        <v>-432535</v>
      </c>
      <c r="AV271" s="239">
        <v>212026</v>
      </c>
      <c r="AW271" s="239">
        <v>169620</v>
      </c>
      <c r="AX271" s="239">
        <v>42405</v>
      </c>
      <c r="AY271" s="239">
        <v>0</v>
      </c>
      <c r="AZ271" s="239">
        <v>424051</v>
      </c>
      <c r="BA271" s="239">
        <v>-366352</v>
      </c>
      <c r="BB271" s="239">
        <v>-293082</v>
      </c>
      <c r="BC271" s="239">
        <v>-73271</v>
      </c>
      <c r="BD271" s="239">
        <v>0</v>
      </c>
      <c r="BE271" s="239">
        <v>-732705</v>
      </c>
      <c r="BF271" s="239">
        <v>-370593</v>
      </c>
      <c r="BG271" s="239">
        <v>-296476</v>
      </c>
      <c r="BH271" s="239">
        <v>-74120</v>
      </c>
      <c r="BI271" s="239">
        <v>0</v>
      </c>
      <c r="BJ271" s="239">
        <v>-741189</v>
      </c>
      <c r="BK271" s="239">
        <v>-1953163</v>
      </c>
      <c r="BL271" s="239">
        <v>-1562531</v>
      </c>
      <c r="BM271" s="239">
        <v>-390633</v>
      </c>
      <c r="BN271" s="239">
        <v>0</v>
      </c>
      <c r="BO271" s="239">
        <v>-3906327</v>
      </c>
      <c r="BP271" s="239">
        <v>0</v>
      </c>
      <c r="BQ271" s="239">
        <v>0</v>
      </c>
      <c r="BR271" s="239">
        <v>0</v>
      </c>
      <c r="BS271" s="239">
        <v>0</v>
      </c>
      <c r="BT271" s="239">
        <v>0</v>
      </c>
      <c r="BU271" s="239">
        <v>-1436837</v>
      </c>
      <c r="BV271" s="239">
        <v>-1149469</v>
      </c>
      <c r="BW271" s="239">
        <v>-287367</v>
      </c>
      <c r="BX271" s="239">
        <v>0</v>
      </c>
      <c r="BY271" s="239">
        <v>-2873673</v>
      </c>
      <c r="BZ271" s="239">
        <v>-3390000</v>
      </c>
      <c r="CA271" s="239">
        <v>-2712000</v>
      </c>
      <c r="CB271" s="239">
        <v>-678000</v>
      </c>
      <c r="CC271" s="239">
        <v>0</v>
      </c>
      <c r="CD271" s="239">
        <v>-6780000</v>
      </c>
      <c r="CE271" s="239">
        <v>1783460</v>
      </c>
      <c r="CF271" s="239">
        <v>1426768</v>
      </c>
      <c r="CG271" s="239">
        <v>356692</v>
      </c>
      <c r="CH271" s="239">
        <v>0</v>
      </c>
      <c r="CI271" s="239">
        <v>3566920</v>
      </c>
      <c r="CJ271" s="239">
        <v>1027642</v>
      </c>
      <c r="CK271" s="239">
        <v>822113</v>
      </c>
      <c r="CL271" s="239">
        <v>205528</v>
      </c>
      <c r="CM271" s="239">
        <v>0</v>
      </c>
      <c r="CN271" s="239">
        <v>2055283</v>
      </c>
      <c r="CO271" s="239">
        <v>755818</v>
      </c>
      <c r="CP271" s="239">
        <v>604655</v>
      </c>
      <c r="CQ271" s="239">
        <v>151164</v>
      </c>
      <c r="CR271" s="239">
        <v>0</v>
      </c>
      <c r="CS271" s="239">
        <v>1511637</v>
      </c>
      <c r="CT271" s="239">
        <v>17251330</v>
      </c>
      <c r="CU271" s="239">
        <v>13801064</v>
      </c>
      <c r="CV271" s="239">
        <v>3450266</v>
      </c>
      <c r="CW271" s="239">
        <v>0</v>
      </c>
      <c r="CX271" s="239">
        <v>34502660</v>
      </c>
      <c r="CY271" s="239">
        <v>16401519</v>
      </c>
      <c r="CZ271" s="239">
        <v>13121215</v>
      </c>
      <c r="DA271" s="239">
        <v>3280304</v>
      </c>
      <c r="DB271" s="239">
        <v>0</v>
      </c>
      <c r="DC271" s="239">
        <v>32803038</v>
      </c>
      <c r="DD271" s="239">
        <v>-849811</v>
      </c>
      <c r="DE271" s="239">
        <v>-679849</v>
      </c>
      <c r="DF271" s="239">
        <v>-169962</v>
      </c>
      <c r="DG271" s="239">
        <v>0</v>
      </c>
      <c r="DH271" s="239">
        <v>-1699622</v>
      </c>
      <c r="DI271" s="239">
        <v>-93993</v>
      </c>
      <c r="DJ271" s="239">
        <v>-75194</v>
      </c>
      <c r="DK271" s="239">
        <v>-18798</v>
      </c>
      <c r="DL271" s="239">
        <v>0</v>
      </c>
      <c r="DM271" s="239">
        <v>-187985</v>
      </c>
      <c r="DN271" s="835">
        <v>0.5</v>
      </c>
      <c r="DO271" s="835">
        <v>0.4</v>
      </c>
      <c r="DP271" s="835">
        <v>0.1</v>
      </c>
      <c r="DQ271" s="835">
        <v>0</v>
      </c>
      <c r="DR271" s="835">
        <v>1</v>
      </c>
      <c r="DS271" s="214" t="s">
        <v>1158</v>
      </c>
      <c r="DU271" s="214">
        <v>0</v>
      </c>
    </row>
    <row r="272" spans="1:125" s="214" customFormat="1" x14ac:dyDescent="0.2">
      <c r="B272" s="602" t="s">
        <v>627</v>
      </c>
      <c r="C272" s="602" t="s">
        <v>626</v>
      </c>
      <c r="D272" s="239">
        <v>16016893</v>
      </c>
      <c r="E272" s="239">
        <v>14560813</v>
      </c>
      <c r="F272" s="239">
        <v>17958336</v>
      </c>
      <c r="G272" s="239">
        <v>0</v>
      </c>
      <c r="H272" s="239">
        <v>48536042</v>
      </c>
      <c r="I272" s="239">
        <v>0</v>
      </c>
      <c r="J272" s="239">
        <v>0</v>
      </c>
      <c r="K272" s="239">
        <v>16016893</v>
      </c>
      <c r="L272" s="239">
        <v>193376</v>
      </c>
      <c r="M272" s="239">
        <v>193376</v>
      </c>
      <c r="N272" s="239">
        <v>0</v>
      </c>
      <c r="O272" s="239">
        <v>0</v>
      </c>
      <c r="P272" s="239">
        <v>0</v>
      </c>
      <c r="Q272" s="239">
        <v>0</v>
      </c>
      <c r="R272" s="239">
        <v>0</v>
      </c>
      <c r="S272" s="239">
        <v>0</v>
      </c>
      <c r="T272" s="239">
        <v>0</v>
      </c>
      <c r="U272" s="239">
        <v>0</v>
      </c>
      <c r="V272" s="239">
        <v>0</v>
      </c>
      <c r="W272" s="239">
        <v>0</v>
      </c>
      <c r="X272" s="239">
        <v>0</v>
      </c>
      <c r="Y272" s="239">
        <v>0</v>
      </c>
      <c r="Z272" s="239">
        <v>0</v>
      </c>
      <c r="AA272" s="239">
        <v>0</v>
      </c>
      <c r="AB272" s="239">
        <v>0</v>
      </c>
      <c r="AC272" s="239">
        <v>1379983</v>
      </c>
      <c r="AD272" s="239">
        <v>1701979</v>
      </c>
      <c r="AE272" s="239">
        <v>0</v>
      </c>
      <c r="AF272" s="239">
        <v>3081962</v>
      </c>
      <c r="AG272" s="239">
        <v>630652</v>
      </c>
      <c r="AH272" s="239">
        <v>573320</v>
      </c>
      <c r="AI272" s="239">
        <v>707095</v>
      </c>
      <c r="AJ272" s="239">
        <v>0</v>
      </c>
      <c r="AK272" s="239">
        <v>1911067</v>
      </c>
      <c r="AL272" s="239">
        <v>-327232</v>
      </c>
      <c r="AM272" s="239">
        <v>-297484</v>
      </c>
      <c r="AN272" s="239">
        <v>-366896</v>
      </c>
      <c r="AO272" s="239">
        <v>0</v>
      </c>
      <c r="AP272" s="239">
        <v>-991612</v>
      </c>
      <c r="AQ272" s="239">
        <v>-270066</v>
      </c>
      <c r="AR272" s="239">
        <v>-245514</v>
      </c>
      <c r="AS272" s="239">
        <v>-302801</v>
      </c>
      <c r="AT272" s="239">
        <v>0</v>
      </c>
      <c r="AU272" s="239">
        <v>-818381</v>
      </c>
      <c r="AV272" s="239">
        <v>201848</v>
      </c>
      <c r="AW272" s="239">
        <v>183498</v>
      </c>
      <c r="AX272" s="239">
        <v>226315</v>
      </c>
      <c r="AY272" s="239">
        <v>0</v>
      </c>
      <c r="AZ272" s="239">
        <v>611661</v>
      </c>
      <c r="BA272" s="239">
        <v>-263076</v>
      </c>
      <c r="BB272" s="239">
        <v>-239160</v>
      </c>
      <c r="BC272" s="239">
        <v>-294964</v>
      </c>
      <c r="BD272" s="239">
        <v>0</v>
      </c>
      <c r="BE272" s="239">
        <v>-797200</v>
      </c>
      <c r="BF272" s="239">
        <v>-331294</v>
      </c>
      <c r="BG272" s="239">
        <v>-301176</v>
      </c>
      <c r="BH272" s="239">
        <v>-371450</v>
      </c>
      <c r="BI272" s="239">
        <v>0</v>
      </c>
      <c r="BJ272" s="239">
        <v>-1003920</v>
      </c>
      <c r="BK272" s="239">
        <v>-560997</v>
      </c>
      <c r="BL272" s="239">
        <v>-509997</v>
      </c>
      <c r="BM272" s="239">
        <v>-628996</v>
      </c>
      <c r="BN272" s="239">
        <v>0</v>
      </c>
      <c r="BO272" s="239">
        <v>-1699990</v>
      </c>
      <c r="BP272" s="239">
        <v>766699</v>
      </c>
      <c r="BQ272" s="239">
        <v>696998</v>
      </c>
      <c r="BR272" s="239">
        <v>859631</v>
      </c>
      <c r="BS272" s="239">
        <v>0</v>
      </c>
      <c r="BT272" s="239">
        <v>2323328</v>
      </c>
      <c r="BU272" s="239">
        <v>-1869364</v>
      </c>
      <c r="BV272" s="239">
        <v>-1699421</v>
      </c>
      <c r="BW272" s="239">
        <v>-2095953</v>
      </c>
      <c r="BX272" s="239">
        <v>0</v>
      </c>
      <c r="BY272" s="239">
        <v>-5664738</v>
      </c>
      <c r="BZ272" s="239">
        <v>-1663662</v>
      </c>
      <c r="CA272" s="239">
        <v>-1512420</v>
      </c>
      <c r="CB272" s="239">
        <v>-1865318</v>
      </c>
      <c r="CC272" s="239">
        <v>0</v>
      </c>
      <c r="CD272" s="239">
        <v>-5041400</v>
      </c>
      <c r="CE272" s="239">
        <v>-1523199.4000000004</v>
      </c>
      <c r="CF272" s="239">
        <v>-913919</v>
      </c>
      <c r="CG272" s="239">
        <v>-609280</v>
      </c>
      <c r="CH272" s="239">
        <v>0</v>
      </c>
      <c r="CI272" s="239">
        <v>-3046398.4000000004</v>
      </c>
      <c r="CJ272" s="239">
        <v>-1132211</v>
      </c>
      <c r="CK272" s="239">
        <v>-679327</v>
      </c>
      <c r="CL272" s="239">
        <v>-452884</v>
      </c>
      <c r="CM272" s="239">
        <v>0</v>
      </c>
      <c r="CN272" s="239">
        <v>-2264422</v>
      </c>
      <c r="CO272" s="239">
        <v>-390988.40000000037</v>
      </c>
      <c r="CP272" s="239">
        <v>-234592</v>
      </c>
      <c r="CQ272" s="239">
        <v>-156396</v>
      </c>
      <c r="CR272" s="239">
        <v>0</v>
      </c>
      <c r="CS272" s="239">
        <v>-781976.40000000037</v>
      </c>
      <c r="CT272" s="239">
        <v>17644684</v>
      </c>
      <c r="CU272" s="239">
        <v>16040623</v>
      </c>
      <c r="CV272" s="239">
        <v>19783435</v>
      </c>
      <c r="CW272" s="239">
        <v>0</v>
      </c>
      <c r="CX272" s="239">
        <v>53468742</v>
      </c>
      <c r="CY272" s="239">
        <v>16016893</v>
      </c>
      <c r="CZ272" s="239">
        <v>14560813</v>
      </c>
      <c r="DA272" s="239">
        <v>17958336</v>
      </c>
      <c r="DB272" s="239">
        <v>0</v>
      </c>
      <c r="DC272" s="239">
        <v>48536042</v>
      </c>
      <c r="DD272" s="239">
        <v>-1627791</v>
      </c>
      <c r="DE272" s="239">
        <v>-1479810</v>
      </c>
      <c r="DF272" s="239">
        <v>-1825099</v>
      </c>
      <c r="DG272" s="239">
        <v>0</v>
      </c>
      <c r="DH272" s="239">
        <v>-4932700</v>
      </c>
      <c r="DI272" s="239">
        <v>-2018779.4000000004</v>
      </c>
      <c r="DJ272" s="239">
        <v>-1714402</v>
      </c>
      <c r="DK272" s="239">
        <v>-1981495</v>
      </c>
      <c r="DL272" s="239">
        <v>0</v>
      </c>
      <c r="DM272" s="239">
        <v>-5714676.4000000004</v>
      </c>
      <c r="DN272" s="835">
        <v>0.33</v>
      </c>
      <c r="DO272" s="835">
        <v>0.3</v>
      </c>
      <c r="DP272" s="835">
        <v>0.37</v>
      </c>
      <c r="DQ272" s="835">
        <v>0</v>
      </c>
      <c r="DR272" s="835">
        <v>1</v>
      </c>
      <c r="DS272" s="214" t="s">
        <v>1159</v>
      </c>
      <c r="DU272" s="214">
        <v>0</v>
      </c>
    </row>
    <row r="273" spans="2:125" s="214" customFormat="1" x14ac:dyDescent="0.2">
      <c r="B273" s="602" t="s">
        <v>629</v>
      </c>
      <c r="C273" s="602" t="s">
        <v>628</v>
      </c>
      <c r="D273" s="239">
        <v>22182909</v>
      </c>
      <c r="E273" s="239">
        <v>17746326</v>
      </c>
      <c r="F273" s="239">
        <v>3992923</v>
      </c>
      <c r="G273" s="239">
        <v>443658</v>
      </c>
      <c r="H273" s="239">
        <v>44365816</v>
      </c>
      <c r="I273" s="239">
        <v>0</v>
      </c>
      <c r="J273" s="239">
        <v>0</v>
      </c>
      <c r="K273" s="239">
        <v>22182909</v>
      </c>
      <c r="L273" s="239">
        <v>182037</v>
      </c>
      <c r="M273" s="239">
        <v>182037</v>
      </c>
      <c r="N273" s="239">
        <v>0</v>
      </c>
      <c r="O273" s="239">
        <v>0</v>
      </c>
      <c r="P273" s="239">
        <v>416317</v>
      </c>
      <c r="Q273" s="239">
        <v>821485</v>
      </c>
      <c r="R273" s="239">
        <v>1237802</v>
      </c>
      <c r="S273" s="239">
        <v>0</v>
      </c>
      <c r="T273" s="239">
        <v>0</v>
      </c>
      <c r="U273" s="239">
        <v>0</v>
      </c>
      <c r="V273" s="239">
        <v>0</v>
      </c>
      <c r="W273" s="239">
        <v>0</v>
      </c>
      <c r="X273" s="239">
        <v>0</v>
      </c>
      <c r="Y273" s="239">
        <v>0</v>
      </c>
      <c r="Z273" s="239">
        <v>0</v>
      </c>
      <c r="AA273" s="239">
        <v>0</v>
      </c>
      <c r="AB273" s="239">
        <v>0</v>
      </c>
      <c r="AC273" s="239">
        <v>1856854</v>
      </c>
      <c r="AD273" s="239">
        <v>428723</v>
      </c>
      <c r="AE273" s="239">
        <v>46265</v>
      </c>
      <c r="AF273" s="239">
        <v>2331842</v>
      </c>
      <c r="AG273" s="239">
        <v>952348</v>
      </c>
      <c r="AH273" s="239">
        <v>761879</v>
      </c>
      <c r="AI273" s="239">
        <v>171423</v>
      </c>
      <c r="AJ273" s="239">
        <v>19047</v>
      </c>
      <c r="AK273" s="239">
        <v>1904697</v>
      </c>
      <c r="AL273" s="239">
        <v>-461877</v>
      </c>
      <c r="AM273" s="239">
        <v>-369502</v>
      </c>
      <c r="AN273" s="239">
        <v>-83138</v>
      </c>
      <c r="AO273" s="239">
        <v>-9238</v>
      </c>
      <c r="AP273" s="239">
        <v>-923755</v>
      </c>
      <c r="AQ273" s="239">
        <v>-557119</v>
      </c>
      <c r="AR273" s="239">
        <v>-445694</v>
      </c>
      <c r="AS273" s="239">
        <v>-100281</v>
      </c>
      <c r="AT273" s="239">
        <v>-11142</v>
      </c>
      <c r="AU273" s="239">
        <v>-1114236</v>
      </c>
      <c r="AV273" s="239">
        <v>87180</v>
      </c>
      <c r="AW273" s="239">
        <v>69745</v>
      </c>
      <c r="AX273" s="239">
        <v>15693</v>
      </c>
      <c r="AY273" s="239">
        <v>1744</v>
      </c>
      <c r="AZ273" s="239">
        <v>174362</v>
      </c>
      <c r="BA273" s="239">
        <v>-264469</v>
      </c>
      <c r="BB273" s="239">
        <v>-211575</v>
      </c>
      <c r="BC273" s="239">
        <v>-47604</v>
      </c>
      <c r="BD273" s="239">
        <v>-5289</v>
      </c>
      <c r="BE273" s="239">
        <v>-528937</v>
      </c>
      <c r="BF273" s="239">
        <v>-734408</v>
      </c>
      <c r="BG273" s="239">
        <v>-587524</v>
      </c>
      <c r="BH273" s="239">
        <v>-132192</v>
      </c>
      <c r="BI273" s="239">
        <v>-14687</v>
      </c>
      <c r="BJ273" s="239">
        <v>-1468811</v>
      </c>
      <c r="BK273" s="239">
        <v>-3880189.3</v>
      </c>
      <c r="BL273" s="239">
        <v>-3104152</v>
      </c>
      <c r="BM273" s="239">
        <v>-698434</v>
      </c>
      <c r="BN273" s="239">
        <v>-77604</v>
      </c>
      <c r="BO273" s="239">
        <v>-7760379.2999999998</v>
      </c>
      <c r="BP273" s="239">
        <v>309875</v>
      </c>
      <c r="BQ273" s="239">
        <v>247900</v>
      </c>
      <c r="BR273" s="239">
        <v>55778</v>
      </c>
      <c r="BS273" s="239">
        <v>6198</v>
      </c>
      <c r="BT273" s="239">
        <v>619751</v>
      </c>
      <c r="BU273" s="239">
        <v>-700983</v>
      </c>
      <c r="BV273" s="239">
        <v>-560787</v>
      </c>
      <c r="BW273" s="239">
        <v>-126177</v>
      </c>
      <c r="BX273" s="239">
        <v>-14020</v>
      </c>
      <c r="BY273" s="239">
        <v>-1401967</v>
      </c>
      <c r="BZ273" s="239">
        <v>-4271297.3</v>
      </c>
      <c r="CA273" s="239">
        <v>-3417039</v>
      </c>
      <c r="CB273" s="239">
        <v>-768833</v>
      </c>
      <c r="CC273" s="239">
        <v>-85426</v>
      </c>
      <c r="CD273" s="239">
        <v>-8542595.3000000007</v>
      </c>
      <c r="CE273" s="239">
        <v>1221838</v>
      </c>
      <c r="CF273" s="239">
        <v>977468</v>
      </c>
      <c r="CG273" s="239">
        <v>219930</v>
      </c>
      <c r="CH273" s="239">
        <v>24437</v>
      </c>
      <c r="CI273" s="239">
        <v>2443673</v>
      </c>
      <c r="CJ273" s="239">
        <v>1223481</v>
      </c>
      <c r="CK273" s="239">
        <v>978784</v>
      </c>
      <c r="CL273" s="239">
        <v>220226</v>
      </c>
      <c r="CM273" s="239">
        <v>24470</v>
      </c>
      <c r="CN273" s="239">
        <v>2446961</v>
      </c>
      <c r="CO273" s="239">
        <v>-1643</v>
      </c>
      <c r="CP273" s="239">
        <v>-1316</v>
      </c>
      <c r="CQ273" s="239">
        <v>-296</v>
      </c>
      <c r="CR273" s="239">
        <v>-33</v>
      </c>
      <c r="CS273" s="239">
        <v>-3288</v>
      </c>
      <c r="CT273" s="239">
        <v>22044593</v>
      </c>
      <c r="CU273" s="239">
        <v>17635674</v>
      </c>
      <c r="CV273" s="239">
        <v>3968027</v>
      </c>
      <c r="CW273" s="239">
        <v>440892</v>
      </c>
      <c r="CX273" s="239">
        <v>44089186</v>
      </c>
      <c r="CY273" s="239">
        <v>22182909</v>
      </c>
      <c r="CZ273" s="239">
        <v>17746326</v>
      </c>
      <c r="DA273" s="239">
        <v>3992923</v>
      </c>
      <c r="DB273" s="239">
        <v>443658</v>
      </c>
      <c r="DC273" s="239">
        <v>44365816</v>
      </c>
      <c r="DD273" s="239">
        <v>138316</v>
      </c>
      <c r="DE273" s="239">
        <v>110652</v>
      </c>
      <c r="DF273" s="239">
        <v>24896</v>
      </c>
      <c r="DG273" s="239">
        <v>2766</v>
      </c>
      <c r="DH273" s="239">
        <v>276630</v>
      </c>
      <c r="DI273" s="239">
        <v>136673</v>
      </c>
      <c r="DJ273" s="239">
        <v>109336</v>
      </c>
      <c r="DK273" s="239">
        <v>24600</v>
      </c>
      <c r="DL273" s="239">
        <v>2733</v>
      </c>
      <c r="DM273" s="239">
        <v>273342</v>
      </c>
      <c r="DN273" s="835">
        <v>0.5</v>
      </c>
      <c r="DO273" s="835">
        <v>0.4</v>
      </c>
      <c r="DP273" s="835">
        <v>0.09</v>
      </c>
      <c r="DQ273" s="835">
        <v>0.01</v>
      </c>
      <c r="DR273" s="835">
        <v>1</v>
      </c>
      <c r="DS273" s="214" t="s">
        <v>1158</v>
      </c>
      <c r="DU273" s="214">
        <v>0</v>
      </c>
    </row>
    <row r="274" spans="2:125" s="214" customFormat="1" x14ac:dyDescent="0.2">
      <c r="B274" s="602" t="s">
        <v>631</v>
      </c>
      <c r="C274" s="602" t="s">
        <v>630</v>
      </c>
      <c r="D274" s="239">
        <v>49846490</v>
      </c>
      <c r="E274" s="239">
        <v>48849561</v>
      </c>
      <c r="F274" s="239">
        <v>0</v>
      </c>
      <c r="G274" s="239">
        <v>996930</v>
      </c>
      <c r="H274" s="239">
        <v>99692981</v>
      </c>
      <c r="I274" s="239">
        <v>0</v>
      </c>
      <c r="J274" s="239">
        <v>0</v>
      </c>
      <c r="K274" s="239">
        <v>49846490</v>
      </c>
      <c r="L274" s="239">
        <v>265619</v>
      </c>
      <c r="M274" s="239">
        <v>265619</v>
      </c>
      <c r="N274" s="239">
        <v>0</v>
      </c>
      <c r="O274" s="239">
        <v>0</v>
      </c>
      <c r="P274" s="239">
        <v>558182</v>
      </c>
      <c r="Q274" s="239">
        <v>0</v>
      </c>
      <c r="R274" s="239">
        <v>558182</v>
      </c>
      <c r="S274" s="239">
        <v>0</v>
      </c>
      <c r="T274" s="239">
        <v>0</v>
      </c>
      <c r="U274" s="239">
        <v>0</v>
      </c>
      <c r="V274" s="239">
        <v>0</v>
      </c>
      <c r="W274" s="239">
        <v>0</v>
      </c>
      <c r="X274" s="239">
        <v>0</v>
      </c>
      <c r="Y274" s="239">
        <v>0</v>
      </c>
      <c r="Z274" s="239">
        <v>0</v>
      </c>
      <c r="AA274" s="239">
        <v>0</v>
      </c>
      <c r="AB274" s="239">
        <v>0</v>
      </c>
      <c r="AC274" s="239">
        <v>2534041</v>
      </c>
      <c r="AD274" s="239">
        <v>0</v>
      </c>
      <c r="AE274" s="239">
        <v>51543</v>
      </c>
      <c r="AF274" s="239">
        <v>2585584</v>
      </c>
      <c r="AG274" s="239">
        <v>1811638</v>
      </c>
      <c r="AH274" s="239">
        <v>1775405</v>
      </c>
      <c r="AI274" s="239">
        <v>0</v>
      </c>
      <c r="AJ274" s="239">
        <v>36233</v>
      </c>
      <c r="AK274" s="239">
        <v>3623276</v>
      </c>
      <c r="AL274" s="239">
        <v>-834481</v>
      </c>
      <c r="AM274" s="239">
        <v>-817792</v>
      </c>
      <c r="AN274" s="239">
        <v>0</v>
      </c>
      <c r="AO274" s="239">
        <v>-16690</v>
      </c>
      <c r="AP274" s="239">
        <v>-1668963</v>
      </c>
      <c r="AQ274" s="239">
        <v>-704334</v>
      </c>
      <c r="AR274" s="239">
        <v>-690247</v>
      </c>
      <c r="AS274" s="239">
        <v>0</v>
      </c>
      <c r="AT274" s="239">
        <v>-14087</v>
      </c>
      <c r="AU274" s="239">
        <v>-1408668</v>
      </c>
      <c r="AV274" s="239">
        <v>474444</v>
      </c>
      <c r="AW274" s="239">
        <v>464956</v>
      </c>
      <c r="AX274" s="239">
        <v>0</v>
      </c>
      <c r="AY274" s="239">
        <v>9489</v>
      </c>
      <c r="AZ274" s="239">
        <v>948889</v>
      </c>
      <c r="BA274" s="239">
        <v>-386389</v>
      </c>
      <c r="BB274" s="239">
        <v>-378661</v>
      </c>
      <c r="BC274" s="239">
        <v>0</v>
      </c>
      <c r="BD274" s="239">
        <v>-7728</v>
      </c>
      <c r="BE274" s="239">
        <v>-772778</v>
      </c>
      <c r="BF274" s="239">
        <v>-616279</v>
      </c>
      <c r="BG274" s="239">
        <v>-603952</v>
      </c>
      <c r="BH274" s="239">
        <v>0</v>
      </c>
      <c r="BI274" s="239">
        <v>-12326</v>
      </c>
      <c r="BJ274" s="239">
        <v>-1232557</v>
      </c>
      <c r="BK274" s="239">
        <v>-5089653</v>
      </c>
      <c r="BL274" s="239">
        <v>-4987860</v>
      </c>
      <c r="BM274" s="239">
        <v>0</v>
      </c>
      <c r="BN274" s="239">
        <v>-101793</v>
      </c>
      <c r="BO274" s="239">
        <v>-10179306</v>
      </c>
      <c r="BP274" s="239">
        <v>943335</v>
      </c>
      <c r="BQ274" s="239">
        <v>924469</v>
      </c>
      <c r="BR274" s="239">
        <v>0</v>
      </c>
      <c r="BS274" s="239">
        <v>18867</v>
      </c>
      <c r="BT274" s="239">
        <v>1886671</v>
      </c>
      <c r="BU274" s="239">
        <v>-2246326</v>
      </c>
      <c r="BV274" s="239">
        <v>-2201399</v>
      </c>
      <c r="BW274" s="239">
        <v>0</v>
      </c>
      <c r="BX274" s="239">
        <v>-44927</v>
      </c>
      <c r="BY274" s="239">
        <v>-4492652</v>
      </c>
      <c r="BZ274" s="239">
        <v>-6392644</v>
      </c>
      <c r="CA274" s="239">
        <v>-6264790</v>
      </c>
      <c r="CB274" s="239">
        <v>0</v>
      </c>
      <c r="CC274" s="239">
        <v>-127853</v>
      </c>
      <c r="CD274" s="239">
        <v>-12785287</v>
      </c>
      <c r="CE274" s="239">
        <v>121087</v>
      </c>
      <c r="CF274" s="239">
        <v>118665</v>
      </c>
      <c r="CG274" s="239">
        <v>0</v>
      </c>
      <c r="CH274" s="239">
        <v>2422</v>
      </c>
      <c r="CI274" s="239">
        <v>242174</v>
      </c>
      <c r="CJ274" s="239">
        <v>-20370</v>
      </c>
      <c r="CK274" s="239">
        <v>-19962</v>
      </c>
      <c r="CL274" s="239">
        <v>0</v>
      </c>
      <c r="CM274" s="239">
        <v>-407</v>
      </c>
      <c r="CN274" s="239">
        <v>-40739</v>
      </c>
      <c r="CO274" s="239">
        <v>141457</v>
      </c>
      <c r="CP274" s="239">
        <v>138627</v>
      </c>
      <c r="CQ274" s="239">
        <v>0</v>
      </c>
      <c r="CR274" s="239">
        <v>2829</v>
      </c>
      <c r="CS274" s="239">
        <v>282913</v>
      </c>
      <c r="CT274" s="239">
        <v>48348947</v>
      </c>
      <c r="CU274" s="239">
        <v>47381969</v>
      </c>
      <c r="CV274" s="239">
        <v>0</v>
      </c>
      <c r="CW274" s="239">
        <v>966979</v>
      </c>
      <c r="CX274" s="239">
        <v>96697895</v>
      </c>
      <c r="CY274" s="239">
        <v>49846490</v>
      </c>
      <c r="CZ274" s="239">
        <v>48849561</v>
      </c>
      <c r="DA274" s="239">
        <v>0</v>
      </c>
      <c r="DB274" s="239">
        <v>996930</v>
      </c>
      <c r="DC274" s="239">
        <v>99692981</v>
      </c>
      <c r="DD274" s="239">
        <v>1497543</v>
      </c>
      <c r="DE274" s="239">
        <v>1467592</v>
      </c>
      <c r="DF274" s="239">
        <v>0</v>
      </c>
      <c r="DG274" s="239">
        <v>29951</v>
      </c>
      <c r="DH274" s="239">
        <v>2995086</v>
      </c>
      <c r="DI274" s="239">
        <v>1639000</v>
      </c>
      <c r="DJ274" s="239">
        <v>1606219</v>
      </c>
      <c r="DK274" s="239">
        <v>0</v>
      </c>
      <c r="DL274" s="239">
        <v>32780</v>
      </c>
      <c r="DM274" s="239">
        <v>3277999</v>
      </c>
      <c r="DN274" s="835">
        <v>0.5</v>
      </c>
      <c r="DO274" s="835">
        <v>0.49</v>
      </c>
      <c r="DP274" s="835">
        <v>0</v>
      </c>
      <c r="DQ274" s="835">
        <v>0.01</v>
      </c>
      <c r="DR274" s="835">
        <v>1</v>
      </c>
      <c r="DS274" s="214" t="s">
        <v>746</v>
      </c>
      <c r="DU274" s="214">
        <v>0</v>
      </c>
    </row>
    <row r="275" spans="2:125" s="214" customFormat="1" x14ac:dyDescent="0.2">
      <c r="B275" s="602" t="s">
        <v>633</v>
      </c>
      <c r="C275" s="602" t="s">
        <v>632</v>
      </c>
      <c r="D275" s="239">
        <v>0</v>
      </c>
      <c r="E275" s="239">
        <v>52715131</v>
      </c>
      <c r="F275" s="239">
        <v>0</v>
      </c>
      <c r="G275" s="239">
        <v>532476</v>
      </c>
      <c r="H275" s="239">
        <v>53247607</v>
      </c>
      <c r="I275" s="239">
        <v>0</v>
      </c>
      <c r="J275" s="239">
        <v>0</v>
      </c>
      <c r="K275" s="239">
        <v>0</v>
      </c>
      <c r="L275" s="239">
        <v>291392</v>
      </c>
      <c r="M275" s="239">
        <v>291392</v>
      </c>
      <c r="N275" s="239">
        <v>0</v>
      </c>
      <c r="O275" s="239">
        <v>0</v>
      </c>
      <c r="P275" s="239">
        <v>0</v>
      </c>
      <c r="Q275" s="239">
        <v>0</v>
      </c>
      <c r="R275" s="239">
        <v>0</v>
      </c>
      <c r="S275" s="239">
        <v>0</v>
      </c>
      <c r="T275" s="239">
        <v>0</v>
      </c>
      <c r="U275" s="239">
        <v>0</v>
      </c>
      <c r="V275" s="239">
        <v>0</v>
      </c>
      <c r="W275" s="239">
        <v>0</v>
      </c>
      <c r="X275" s="239">
        <v>0</v>
      </c>
      <c r="Y275" s="239">
        <v>0</v>
      </c>
      <c r="Z275" s="239">
        <v>0</v>
      </c>
      <c r="AA275" s="239">
        <v>0</v>
      </c>
      <c r="AB275" s="239">
        <v>0</v>
      </c>
      <c r="AC275" s="239">
        <v>6824515</v>
      </c>
      <c r="AD275" s="239">
        <v>0</v>
      </c>
      <c r="AE275" s="239">
        <v>68934</v>
      </c>
      <c r="AF275" s="239">
        <v>6893449</v>
      </c>
      <c r="AG275" s="239">
        <v>0</v>
      </c>
      <c r="AH275" s="239">
        <v>6285644</v>
      </c>
      <c r="AI275" s="239">
        <v>0</v>
      </c>
      <c r="AJ275" s="239">
        <v>63491</v>
      </c>
      <c r="AK275" s="239">
        <v>6349135</v>
      </c>
      <c r="AL275" s="239">
        <v>0</v>
      </c>
      <c r="AM275" s="239">
        <v>-2010308</v>
      </c>
      <c r="AN275" s="239">
        <v>0</v>
      </c>
      <c r="AO275" s="239">
        <v>-20306</v>
      </c>
      <c r="AP275" s="239">
        <v>-2030614</v>
      </c>
      <c r="AQ275" s="239">
        <v>0.10000000009313226</v>
      </c>
      <c r="AR275" s="239">
        <v>-3099782</v>
      </c>
      <c r="AS275" s="239">
        <v>0</v>
      </c>
      <c r="AT275" s="239">
        <v>-31311</v>
      </c>
      <c r="AU275" s="239">
        <v>-3131092.9</v>
      </c>
      <c r="AV275" s="239">
        <v>0</v>
      </c>
      <c r="AW275" s="239">
        <v>809358</v>
      </c>
      <c r="AX275" s="239">
        <v>0</v>
      </c>
      <c r="AY275" s="239">
        <v>8175</v>
      </c>
      <c r="AZ275" s="239">
        <v>817533</v>
      </c>
      <c r="BA275" s="239">
        <v>0</v>
      </c>
      <c r="BB275" s="239">
        <v>11967</v>
      </c>
      <c r="BC275" s="239">
        <v>0</v>
      </c>
      <c r="BD275" s="239">
        <v>121</v>
      </c>
      <c r="BE275" s="239">
        <v>12088</v>
      </c>
      <c r="BF275" s="239">
        <v>0.10000000009313226</v>
      </c>
      <c r="BG275" s="239">
        <v>-2278457</v>
      </c>
      <c r="BH275" s="239">
        <v>0</v>
      </c>
      <c r="BI275" s="239">
        <v>-23015</v>
      </c>
      <c r="BJ275" s="239">
        <v>-2301471.9</v>
      </c>
      <c r="BK275" s="239">
        <v>0</v>
      </c>
      <c r="BL275" s="239">
        <v>-7663042</v>
      </c>
      <c r="BM275" s="239">
        <v>0</v>
      </c>
      <c r="BN275" s="239">
        <v>-77404</v>
      </c>
      <c r="BO275" s="239">
        <v>-7740446</v>
      </c>
      <c r="BP275" s="239">
        <v>0</v>
      </c>
      <c r="BQ275" s="239">
        <v>1874199</v>
      </c>
      <c r="BR275" s="239">
        <v>0</v>
      </c>
      <c r="BS275" s="239">
        <v>18931</v>
      </c>
      <c r="BT275" s="239">
        <v>1893130</v>
      </c>
      <c r="BU275" s="239">
        <v>0</v>
      </c>
      <c r="BV275" s="239">
        <v>-1169060</v>
      </c>
      <c r="BW275" s="239">
        <v>0</v>
      </c>
      <c r="BX275" s="239">
        <v>-11809</v>
      </c>
      <c r="BY275" s="239">
        <v>-1180869</v>
      </c>
      <c r="BZ275" s="239">
        <v>0</v>
      </c>
      <c r="CA275" s="239">
        <v>-6957903</v>
      </c>
      <c r="CB275" s="239">
        <v>0</v>
      </c>
      <c r="CC275" s="239">
        <v>-70282</v>
      </c>
      <c r="CD275" s="239">
        <v>-7028185</v>
      </c>
      <c r="CE275" s="239">
        <v>-3329835</v>
      </c>
      <c r="CF275" s="239">
        <v>-3263240</v>
      </c>
      <c r="CG275" s="239">
        <v>0</v>
      </c>
      <c r="CH275" s="239">
        <v>-66596</v>
      </c>
      <c r="CI275" s="239">
        <v>-6659671</v>
      </c>
      <c r="CJ275" s="239">
        <v>-1776604</v>
      </c>
      <c r="CK275" s="239">
        <v>-1741072</v>
      </c>
      <c r="CL275" s="239">
        <v>0</v>
      </c>
      <c r="CM275" s="239">
        <v>-35532</v>
      </c>
      <c r="CN275" s="239">
        <v>-3553208</v>
      </c>
      <c r="CO275" s="239">
        <v>-1553231</v>
      </c>
      <c r="CP275" s="239">
        <v>-1522168</v>
      </c>
      <c r="CQ275" s="239">
        <v>0</v>
      </c>
      <c r="CR275" s="239">
        <v>-31064</v>
      </c>
      <c r="CS275" s="239">
        <v>-3106463</v>
      </c>
      <c r="CT275" s="239">
        <v>0</v>
      </c>
      <c r="CU275" s="239">
        <v>49701960</v>
      </c>
      <c r="CV275" s="239">
        <v>0</v>
      </c>
      <c r="CW275" s="239">
        <v>502040</v>
      </c>
      <c r="CX275" s="239">
        <v>50204000</v>
      </c>
      <c r="CY275" s="239">
        <v>0</v>
      </c>
      <c r="CZ275" s="239">
        <v>52715131</v>
      </c>
      <c r="DA275" s="239">
        <v>0</v>
      </c>
      <c r="DB275" s="239">
        <v>532476</v>
      </c>
      <c r="DC275" s="239">
        <v>53247607</v>
      </c>
      <c r="DD275" s="239">
        <v>0</v>
      </c>
      <c r="DE275" s="239">
        <v>3013171</v>
      </c>
      <c r="DF275" s="239">
        <v>0</v>
      </c>
      <c r="DG275" s="239">
        <v>30436</v>
      </c>
      <c r="DH275" s="239">
        <v>3043607</v>
      </c>
      <c r="DI275" s="239">
        <v>-1553231</v>
      </c>
      <c r="DJ275" s="239">
        <v>1491003</v>
      </c>
      <c r="DK275" s="239">
        <v>0</v>
      </c>
      <c r="DL275" s="239">
        <v>-628</v>
      </c>
      <c r="DM275" s="239">
        <v>-62856</v>
      </c>
      <c r="DN275" s="835">
        <v>0</v>
      </c>
      <c r="DO275" s="835">
        <v>0.99</v>
      </c>
      <c r="DP275" s="835">
        <v>0</v>
      </c>
      <c r="DQ275" s="835">
        <v>0.01</v>
      </c>
      <c r="DR275" s="835">
        <v>1</v>
      </c>
      <c r="DS275" s="214" t="s">
        <v>1160</v>
      </c>
      <c r="DU275" s="214">
        <v>0</v>
      </c>
    </row>
    <row r="276" spans="2:125" s="214" customFormat="1" x14ac:dyDescent="0.2">
      <c r="B276" s="602" t="s">
        <v>635</v>
      </c>
      <c r="C276" s="602" t="s">
        <v>634</v>
      </c>
      <c r="D276" s="239">
        <v>16928270</v>
      </c>
      <c r="E276" s="239">
        <v>13542616</v>
      </c>
      <c r="F276" s="239">
        <v>3047089</v>
      </c>
      <c r="G276" s="239">
        <v>338565</v>
      </c>
      <c r="H276" s="239">
        <v>33856540</v>
      </c>
      <c r="I276" s="239">
        <v>0</v>
      </c>
      <c r="J276" s="239">
        <v>0</v>
      </c>
      <c r="K276" s="239">
        <v>16928270</v>
      </c>
      <c r="L276" s="239">
        <v>91080</v>
      </c>
      <c r="M276" s="239">
        <v>91080</v>
      </c>
      <c r="N276" s="239">
        <v>0</v>
      </c>
      <c r="O276" s="239">
        <v>0</v>
      </c>
      <c r="P276" s="239">
        <v>0</v>
      </c>
      <c r="Q276" s="239">
        <v>0</v>
      </c>
      <c r="R276" s="239">
        <v>0</v>
      </c>
      <c r="S276" s="239">
        <v>0</v>
      </c>
      <c r="T276" s="239">
        <v>0</v>
      </c>
      <c r="U276" s="239">
        <v>0</v>
      </c>
      <c r="V276" s="239">
        <v>0</v>
      </c>
      <c r="W276" s="239">
        <v>0</v>
      </c>
      <c r="X276" s="239">
        <v>0</v>
      </c>
      <c r="Y276" s="239">
        <v>0</v>
      </c>
      <c r="Z276" s="239">
        <v>0</v>
      </c>
      <c r="AA276" s="239">
        <v>0</v>
      </c>
      <c r="AB276" s="239">
        <v>0</v>
      </c>
      <c r="AC276" s="239">
        <v>909128</v>
      </c>
      <c r="AD276" s="239">
        <v>204554</v>
      </c>
      <c r="AE276" s="239">
        <v>22729</v>
      </c>
      <c r="AF276" s="239">
        <v>1136411</v>
      </c>
      <c r="AG276" s="239">
        <v>423341</v>
      </c>
      <c r="AH276" s="239">
        <v>338672</v>
      </c>
      <c r="AI276" s="239">
        <v>76201</v>
      </c>
      <c r="AJ276" s="239">
        <v>8467</v>
      </c>
      <c r="AK276" s="239">
        <v>846681</v>
      </c>
      <c r="AL276" s="239">
        <v>-760690</v>
      </c>
      <c r="AM276" s="239">
        <v>-608552</v>
      </c>
      <c r="AN276" s="239">
        <v>-136924</v>
      </c>
      <c r="AO276" s="239">
        <v>-15214</v>
      </c>
      <c r="AP276" s="239">
        <v>-1521380</v>
      </c>
      <c r="AQ276" s="239">
        <v>-513414.76</v>
      </c>
      <c r="AR276" s="239">
        <v>-410731</v>
      </c>
      <c r="AS276" s="239">
        <v>-92414</v>
      </c>
      <c r="AT276" s="239">
        <v>-10268</v>
      </c>
      <c r="AU276" s="239">
        <v>-1026827.76</v>
      </c>
      <c r="AV276" s="239">
        <v>176086</v>
      </c>
      <c r="AW276" s="239">
        <v>140869</v>
      </c>
      <c r="AX276" s="239">
        <v>31695</v>
      </c>
      <c r="AY276" s="239">
        <v>3522</v>
      </c>
      <c r="AZ276" s="239">
        <v>352172</v>
      </c>
      <c r="BA276" s="239">
        <v>-29261</v>
      </c>
      <c r="BB276" s="239">
        <v>-23409</v>
      </c>
      <c r="BC276" s="239">
        <v>-5267</v>
      </c>
      <c r="BD276" s="239">
        <v>-585</v>
      </c>
      <c r="BE276" s="239">
        <v>-58522</v>
      </c>
      <c r="BF276" s="239">
        <v>-366589.76</v>
      </c>
      <c r="BG276" s="239">
        <v>-293271</v>
      </c>
      <c r="BH276" s="239">
        <v>-65986</v>
      </c>
      <c r="BI276" s="239">
        <v>-7331</v>
      </c>
      <c r="BJ276" s="239">
        <v>-733177.76</v>
      </c>
      <c r="BK276" s="239">
        <v>-2371291</v>
      </c>
      <c r="BL276" s="239">
        <v>-1897034</v>
      </c>
      <c r="BM276" s="239">
        <v>-426833</v>
      </c>
      <c r="BN276" s="239">
        <v>-47426</v>
      </c>
      <c r="BO276" s="239">
        <v>-4742584</v>
      </c>
      <c r="BP276" s="239">
        <v>437967</v>
      </c>
      <c r="BQ276" s="239">
        <v>350374</v>
      </c>
      <c r="BR276" s="239">
        <v>78834</v>
      </c>
      <c r="BS276" s="239">
        <v>8759</v>
      </c>
      <c r="BT276" s="239">
        <v>875934</v>
      </c>
      <c r="BU276" s="239">
        <v>11836</v>
      </c>
      <c r="BV276" s="239">
        <v>9468</v>
      </c>
      <c r="BW276" s="239">
        <v>2130</v>
      </c>
      <c r="BX276" s="239">
        <v>237</v>
      </c>
      <c r="BY276" s="239">
        <v>23671</v>
      </c>
      <c r="BZ276" s="239">
        <v>-1921488</v>
      </c>
      <c r="CA276" s="239">
        <v>-1537192</v>
      </c>
      <c r="CB276" s="239">
        <v>-345869</v>
      </c>
      <c r="CC276" s="239">
        <v>-38430</v>
      </c>
      <c r="CD276" s="239">
        <v>-3842979</v>
      </c>
      <c r="CE276" s="239">
        <v>406362</v>
      </c>
      <c r="CF276" s="239">
        <v>325092</v>
      </c>
      <c r="CG276" s="239">
        <v>73146</v>
      </c>
      <c r="CH276" s="239">
        <v>8128</v>
      </c>
      <c r="CI276" s="239">
        <v>812728</v>
      </c>
      <c r="CJ276" s="239">
        <v>422641</v>
      </c>
      <c r="CK276" s="239">
        <v>338112</v>
      </c>
      <c r="CL276" s="239">
        <v>76075</v>
      </c>
      <c r="CM276" s="239">
        <v>8453</v>
      </c>
      <c r="CN276" s="239">
        <v>845281</v>
      </c>
      <c r="CO276" s="239">
        <v>-16279</v>
      </c>
      <c r="CP276" s="239">
        <v>-13020</v>
      </c>
      <c r="CQ276" s="239">
        <v>-2929</v>
      </c>
      <c r="CR276" s="239">
        <v>-325</v>
      </c>
      <c r="CS276" s="239">
        <v>-32553</v>
      </c>
      <c r="CT276" s="239">
        <v>16566688</v>
      </c>
      <c r="CU276" s="239">
        <v>13253351</v>
      </c>
      <c r="CV276" s="239">
        <v>2982004</v>
      </c>
      <c r="CW276" s="239">
        <v>331334</v>
      </c>
      <c r="CX276" s="239">
        <v>33133377</v>
      </c>
      <c r="CY276" s="239">
        <v>16928270</v>
      </c>
      <c r="CZ276" s="239">
        <v>13542616</v>
      </c>
      <c r="DA276" s="239">
        <v>3047089</v>
      </c>
      <c r="DB276" s="239">
        <v>338565</v>
      </c>
      <c r="DC276" s="239">
        <v>33856540</v>
      </c>
      <c r="DD276" s="239">
        <v>361582</v>
      </c>
      <c r="DE276" s="239">
        <v>289265</v>
      </c>
      <c r="DF276" s="239">
        <v>65085</v>
      </c>
      <c r="DG276" s="239">
        <v>7231</v>
      </c>
      <c r="DH276" s="239">
        <v>723163</v>
      </c>
      <c r="DI276" s="239">
        <v>345303</v>
      </c>
      <c r="DJ276" s="239">
        <v>276245</v>
      </c>
      <c r="DK276" s="239">
        <v>62156</v>
      </c>
      <c r="DL276" s="239">
        <v>6906</v>
      </c>
      <c r="DM276" s="239">
        <v>690610</v>
      </c>
      <c r="DN276" s="835">
        <v>0.5</v>
      </c>
      <c r="DO276" s="835">
        <v>0.4</v>
      </c>
      <c r="DP276" s="835">
        <v>0.09</v>
      </c>
      <c r="DQ276" s="835">
        <v>0.01</v>
      </c>
      <c r="DR276" s="835">
        <v>1</v>
      </c>
      <c r="DS276" s="214" t="s">
        <v>1158</v>
      </c>
      <c r="DU276" s="214">
        <v>0</v>
      </c>
    </row>
    <row r="277" spans="2:125" s="214" customFormat="1" x14ac:dyDescent="0.2">
      <c r="B277" s="602" t="s">
        <v>637</v>
      </c>
      <c r="C277" s="602" t="s">
        <v>636</v>
      </c>
      <c r="D277" s="239">
        <v>9751958</v>
      </c>
      <c r="E277" s="239">
        <v>7801567</v>
      </c>
      <c r="F277" s="239">
        <v>1950392</v>
      </c>
      <c r="G277" s="239">
        <v>0</v>
      </c>
      <c r="H277" s="239">
        <v>19503917</v>
      </c>
      <c r="I277" s="239">
        <v>0</v>
      </c>
      <c r="J277" s="239">
        <v>0</v>
      </c>
      <c r="K277" s="239">
        <v>9751958</v>
      </c>
      <c r="L277" s="239">
        <v>125069</v>
      </c>
      <c r="M277" s="239">
        <v>125069</v>
      </c>
      <c r="N277" s="239">
        <v>0</v>
      </c>
      <c r="O277" s="239">
        <v>0</v>
      </c>
      <c r="P277" s="239">
        <v>0</v>
      </c>
      <c r="Q277" s="239">
        <v>0</v>
      </c>
      <c r="R277" s="239">
        <v>0</v>
      </c>
      <c r="S277" s="239">
        <v>0</v>
      </c>
      <c r="T277" s="239">
        <v>0</v>
      </c>
      <c r="U277" s="239">
        <v>0</v>
      </c>
      <c r="V277" s="239">
        <v>0</v>
      </c>
      <c r="W277" s="239">
        <v>0</v>
      </c>
      <c r="X277" s="239">
        <v>0</v>
      </c>
      <c r="Y277" s="239">
        <v>0</v>
      </c>
      <c r="Z277" s="239">
        <v>0</v>
      </c>
      <c r="AA277" s="239">
        <v>0</v>
      </c>
      <c r="AB277" s="239">
        <v>0</v>
      </c>
      <c r="AC277" s="239">
        <v>1121070</v>
      </c>
      <c r="AD277" s="239">
        <v>280268</v>
      </c>
      <c r="AE277" s="239">
        <v>0</v>
      </c>
      <c r="AF277" s="239">
        <v>1401338</v>
      </c>
      <c r="AG277" s="239">
        <v>785383</v>
      </c>
      <c r="AH277" s="239">
        <v>628306</v>
      </c>
      <c r="AI277" s="239">
        <v>157077</v>
      </c>
      <c r="AJ277" s="239">
        <v>0</v>
      </c>
      <c r="AK277" s="239">
        <v>1570766</v>
      </c>
      <c r="AL277" s="239">
        <v>-834730</v>
      </c>
      <c r="AM277" s="239">
        <v>-667784</v>
      </c>
      <c r="AN277" s="239">
        <v>-166946</v>
      </c>
      <c r="AO277" s="239">
        <v>0</v>
      </c>
      <c r="AP277" s="239">
        <v>-1669460</v>
      </c>
      <c r="AQ277" s="239">
        <v>-45707</v>
      </c>
      <c r="AR277" s="239">
        <v>-36565</v>
      </c>
      <c r="AS277" s="239">
        <v>-9141</v>
      </c>
      <c r="AT277" s="239">
        <v>0</v>
      </c>
      <c r="AU277" s="239">
        <v>-91413</v>
      </c>
      <c r="AV277" s="239">
        <v>23304</v>
      </c>
      <c r="AW277" s="239">
        <v>18643</v>
      </c>
      <c r="AX277" s="239">
        <v>4661</v>
      </c>
      <c r="AY277" s="239">
        <v>0</v>
      </c>
      <c r="AZ277" s="239">
        <v>46608</v>
      </c>
      <c r="BA277" s="239">
        <v>-26719</v>
      </c>
      <c r="BB277" s="239">
        <v>-21376</v>
      </c>
      <c r="BC277" s="239">
        <v>-5344</v>
      </c>
      <c r="BD277" s="239">
        <v>0</v>
      </c>
      <c r="BE277" s="239">
        <v>-53439</v>
      </c>
      <c r="BF277" s="239">
        <v>-49122</v>
      </c>
      <c r="BG277" s="239">
        <v>-39298</v>
      </c>
      <c r="BH277" s="239">
        <v>-9824</v>
      </c>
      <c r="BI277" s="239">
        <v>0</v>
      </c>
      <c r="BJ277" s="239">
        <v>-98244</v>
      </c>
      <c r="BK277" s="239">
        <v>-877522</v>
      </c>
      <c r="BL277" s="239">
        <v>-702018</v>
      </c>
      <c r="BM277" s="239">
        <v>-175505</v>
      </c>
      <c r="BN277" s="239">
        <v>0</v>
      </c>
      <c r="BO277" s="239">
        <v>-1755045</v>
      </c>
      <c r="BP277" s="239">
        <v>815350</v>
      </c>
      <c r="BQ277" s="239">
        <v>652280</v>
      </c>
      <c r="BR277" s="239">
        <v>163070</v>
      </c>
      <c r="BS277" s="239">
        <v>0</v>
      </c>
      <c r="BT277" s="239">
        <v>1630700</v>
      </c>
      <c r="BU277" s="239">
        <v>-755315</v>
      </c>
      <c r="BV277" s="239">
        <v>-604252</v>
      </c>
      <c r="BW277" s="239">
        <v>-151063</v>
      </c>
      <c r="BX277" s="239">
        <v>0</v>
      </c>
      <c r="BY277" s="239">
        <v>-1510630</v>
      </c>
      <c r="BZ277" s="239">
        <v>-817487</v>
      </c>
      <c r="CA277" s="239">
        <v>-653990</v>
      </c>
      <c r="CB277" s="239">
        <v>-163498</v>
      </c>
      <c r="CC277" s="239">
        <v>0</v>
      </c>
      <c r="CD277" s="239">
        <v>-1634975</v>
      </c>
      <c r="CE277" s="239">
        <v>-1345366</v>
      </c>
      <c r="CF277" s="239">
        <v>-1076291</v>
      </c>
      <c r="CG277" s="239">
        <v>-269072</v>
      </c>
      <c r="CH277" s="239">
        <v>0</v>
      </c>
      <c r="CI277" s="239">
        <v>-2690729</v>
      </c>
      <c r="CJ277" s="239">
        <v>-424914</v>
      </c>
      <c r="CK277" s="239">
        <v>-339932</v>
      </c>
      <c r="CL277" s="239">
        <v>-84983</v>
      </c>
      <c r="CM277" s="239">
        <v>0</v>
      </c>
      <c r="CN277" s="239">
        <v>-849829</v>
      </c>
      <c r="CO277" s="239">
        <v>-920452</v>
      </c>
      <c r="CP277" s="239">
        <v>-736359</v>
      </c>
      <c r="CQ277" s="239">
        <v>-184089</v>
      </c>
      <c r="CR277" s="239">
        <v>0</v>
      </c>
      <c r="CS277" s="239">
        <v>-1840900</v>
      </c>
      <c r="CT277" s="239">
        <v>10399392</v>
      </c>
      <c r="CU277" s="239">
        <v>8319513</v>
      </c>
      <c r="CV277" s="239">
        <v>2079878</v>
      </c>
      <c r="CW277" s="239">
        <v>0</v>
      </c>
      <c r="CX277" s="239">
        <v>20798783</v>
      </c>
      <c r="CY277" s="239">
        <v>9751958</v>
      </c>
      <c r="CZ277" s="239">
        <v>7801567</v>
      </c>
      <c r="DA277" s="239">
        <v>1950392</v>
      </c>
      <c r="DB277" s="239">
        <v>0</v>
      </c>
      <c r="DC277" s="239">
        <v>19503917</v>
      </c>
      <c r="DD277" s="239">
        <v>-647434</v>
      </c>
      <c r="DE277" s="239">
        <v>-517946</v>
      </c>
      <c r="DF277" s="239">
        <v>-129486</v>
      </c>
      <c r="DG277" s="239">
        <v>0</v>
      </c>
      <c r="DH277" s="239">
        <v>-1294866</v>
      </c>
      <c r="DI277" s="239">
        <v>-1567886</v>
      </c>
      <c r="DJ277" s="239">
        <v>-1254305</v>
      </c>
      <c r="DK277" s="239">
        <v>-313575</v>
      </c>
      <c r="DL277" s="239">
        <v>0</v>
      </c>
      <c r="DM277" s="239">
        <v>-3135766</v>
      </c>
      <c r="DN277" s="835">
        <v>0.5</v>
      </c>
      <c r="DO277" s="835">
        <v>0.4</v>
      </c>
      <c r="DP277" s="835">
        <v>0.1</v>
      </c>
      <c r="DQ277" s="835">
        <v>0</v>
      </c>
      <c r="DR277" s="835">
        <v>1</v>
      </c>
      <c r="DS277" s="214" t="s">
        <v>1158</v>
      </c>
      <c r="DU277" s="214">
        <v>0</v>
      </c>
    </row>
    <row r="278" spans="2:125" s="214" customFormat="1" x14ac:dyDescent="0.2">
      <c r="B278" s="602" t="s">
        <v>639</v>
      </c>
      <c r="C278" s="602" t="s">
        <v>638</v>
      </c>
      <c r="D278" s="239">
        <v>17669356</v>
      </c>
      <c r="E278" s="239">
        <v>14135485</v>
      </c>
      <c r="F278" s="239">
        <v>3180484</v>
      </c>
      <c r="G278" s="239">
        <v>353387</v>
      </c>
      <c r="H278" s="239">
        <v>35338712</v>
      </c>
      <c r="I278" s="239">
        <v>0</v>
      </c>
      <c r="J278" s="239">
        <v>0</v>
      </c>
      <c r="K278" s="239">
        <v>17669356</v>
      </c>
      <c r="L278" s="239">
        <v>168758</v>
      </c>
      <c r="M278" s="239">
        <v>168758</v>
      </c>
      <c r="N278" s="239">
        <v>0</v>
      </c>
      <c r="O278" s="239">
        <v>0</v>
      </c>
      <c r="P278" s="239">
        <v>355595</v>
      </c>
      <c r="Q278" s="239">
        <v>0</v>
      </c>
      <c r="R278" s="239">
        <v>355595</v>
      </c>
      <c r="S278" s="239">
        <v>0</v>
      </c>
      <c r="T278" s="239">
        <v>0</v>
      </c>
      <c r="U278" s="239">
        <v>0</v>
      </c>
      <c r="V278" s="239">
        <v>0</v>
      </c>
      <c r="W278" s="239">
        <v>0</v>
      </c>
      <c r="X278" s="239">
        <v>0</v>
      </c>
      <c r="Y278" s="239">
        <v>0</v>
      </c>
      <c r="Z278" s="239">
        <v>0</v>
      </c>
      <c r="AA278" s="239">
        <v>0</v>
      </c>
      <c r="AB278" s="239">
        <v>0</v>
      </c>
      <c r="AC278" s="239">
        <v>1609576</v>
      </c>
      <c r="AD278" s="239">
        <v>360952</v>
      </c>
      <c r="AE278" s="239">
        <v>40105</v>
      </c>
      <c r="AF278" s="239">
        <v>2010633</v>
      </c>
      <c r="AG278" s="239">
        <v>1067037</v>
      </c>
      <c r="AH278" s="239">
        <v>853630</v>
      </c>
      <c r="AI278" s="239">
        <v>192067</v>
      </c>
      <c r="AJ278" s="239">
        <v>21341</v>
      </c>
      <c r="AK278" s="239">
        <v>2134075</v>
      </c>
      <c r="AL278" s="239">
        <v>-514554</v>
      </c>
      <c r="AM278" s="239">
        <v>-411643</v>
      </c>
      <c r="AN278" s="239">
        <v>-92620</v>
      </c>
      <c r="AO278" s="239">
        <v>-10291</v>
      </c>
      <c r="AP278" s="239">
        <v>-1029108</v>
      </c>
      <c r="AQ278" s="239">
        <v>-328167</v>
      </c>
      <c r="AR278" s="239">
        <v>-262534</v>
      </c>
      <c r="AS278" s="239">
        <v>-59070</v>
      </c>
      <c r="AT278" s="239">
        <v>-6563</v>
      </c>
      <c r="AU278" s="239">
        <v>-656334</v>
      </c>
      <c r="AV278" s="239">
        <v>150158</v>
      </c>
      <c r="AW278" s="239">
        <v>120127</v>
      </c>
      <c r="AX278" s="239">
        <v>27029</v>
      </c>
      <c r="AY278" s="239">
        <v>3003</v>
      </c>
      <c r="AZ278" s="239">
        <v>300317</v>
      </c>
      <c r="BA278" s="239">
        <v>-195168</v>
      </c>
      <c r="BB278" s="239">
        <v>-156134</v>
      </c>
      <c r="BC278" s="239">
        <v>-35130</v>
      </c>
      <c r="BD278" s="239">
        <v>-3903</v>
      </c>
      <c r="BE278" s="239">
        <v>-390335</v>
      </c>
      <c r="BF278" s="239">
        <v>-373177</v>
      </c>
      <c r="BG278" s="239">
        <v>-298541</v>
      </c>
      <c r="BH278" s="239">
        <v>-67171</v>
      </c>
      <c r="BI278" s="239">
        <v>-7463</v>
      </c>
      <c r="BJ278" s="239">
        <v>-746352</v>
      </c>
      <c r="BK278" s="239">
        <v>-1167839</v>
      </c>
      <c r="BL278" s="239">
        <v>-934272</v>
      </c>
      <c r="BM278" s="239">
        <v>-210211</v>
      </c>
      <c r="BN278" s="239">
        <v>-23357</v>
      </c>
      <c r="BO278" s="239">
        <v>-2335679</v>
      </c>
      <c r="BP278" s="239">
        <v>160355</v>
      </c>
      <c r="BQ278" s="239">
        <v>128284</v>
      </c>
      <c r="BR278" s="239">
        <v>28864</v>
      </c>
      <c r="BS278" s="239">
        <v>3207</v>
      </c>
      <c r="BT278" s="239">
        <v>320710</v>
      </c>
      <c r="BU278" s="239">
        <v>-902747</v>
      </c>
      <c r="BV278" s="239">
        <v>-722197</v>
      </c>
      <c r="BW278" s="239">
        <v>-162494</v>
      </c>
      <c r="BX278" s="239">
        <v>-18055</v>
      </c>
      <c r="BY278" s="239">
        <v>-1805493</v>
      </c>
      <c r="BZ278" s="239">
        <v>-1910231</v>
      </c>
      <c r="CA278" s="239">
        <v>-1528185</v>
      </c>
      <c r="CB278" s="239">
        <v>-343841</v>
      </c>
      <c r="CC278" s="239">
        <v>-38205</v>
      </c>
      <c r="CD278" s="239">
        <v>-3820462</v>
      </c>
      <c r="CE278" s="239">
        <v>-247063</v>
      </c>
      <c r="CF278" s="239">
        <v>-197648</v>
      </c>
      <c r="CG278" s="239">
        <v>-44471</v>
      </c>
      <c r="CH278" s="239">
        <v>-4941</v>
      </c>
      <c r="CI278" s="239">
        <v>-494123</v>
      </c>
      <c r="CJ278" s="239">
        <v>-48031</v>
      </c>
      <c r="CK278" s="239">
        <v>-38425</v>
      </c>
      <c r="CL278" s="239">
        <v>-8646</v>
      </c>
      <c r="CM278" s="239">
        <v>-961</v>
      </c>
      <c r="CN278" s="239">
        <v>-96063</v>
      </c>
      <c r="CO278" s="239">
        <v>-199032</v>
      </c>
      <c r="CP278" s="239">
        <v>-159223</v>
      </c>
      <c r="CQ278" s="239">
        <v>-35825</v>
      </c>
      <c r="CR278" s="239">
        <v>-3980</v>
      </c>
      <c r="CS278" s="239">
        <v>-398060</v>
      </c>
      <c r="CT278" s="239">
        <v>18522254</v>
      </c>
      <c r="CU278" s="239">
        <v>14817804</v>
      </c>
      <c r="CV278" s="239">
        <v>3334006</v>
      </c>
      <c r="CW278" s="239">
        <v>370445</v>
      </c>
      <c r="CX278" s="239">
        <v>37044509</v>
      </c>
      <c r="CY278" s="239">
        <v>17669356</v>
      </c>
      <c r="CZ278" s="239">
        <v>14135485</v>
      </c>
      <c r="DA278" s="239">
        <v>3180484</v>
      </c>
      <c r="DB278" s="239">
        <v>353387</v>
      </c>
      <c r="DC278" s="239">
        <v>35338712</v>
      </c>
      <c r="DD278" s="239">
        <v>-852898</v>
      </c>
      <c r="DE278" s="239">
        <v>-682319</v>
      </c>
      <c r="DF278" s="239">
        <v>-153522</v>
      </c>
      <c r="DG278" s="239">
        <v>-17058</v>
      </c>
      <c r="DH278" s="239">
        <v>-1705797</v>
      </c>
      <c r="DI278" s="239">
        <v>-1051930</v>
      </c>
      <c r="DJ278" s="239">
        <v>-841542</v>
      </c>
      <c r="DK278" s="239">
        <v>-189347</v>
      </c>
      <c r="DL278" s="239">
        <v>-21038</v>
      </c>
      <c r="DM278" s="239">
        <v>-2103857</v>
      </c>
      <c r="DN278" s="835">
        <v>0.5</v>
      </c>
      <c r="DO278" s="835">
        <v>0.4</v>
      </c>
      <c r="DP278" s="835">
        <v>0.09</v>
      </c>
      <c r="DQ278" s="835">
        <v>0.01</v>
      </c>
      <c r="DR278" s="835">
        <v>1</v>
      </c>
      <c r="DS278" s="214" t="s">
        <v>1158</v>
      </c>
      <c r="DU278" s="214">
        <v>0</v>
      </c>
    </row>
    <row r="279" spans="2:125" s="214" customFormat="1" x14ac:dyDescent="0.2">
      <c r="B279" s="602" t="s">
        <v>641</v>
      </c>
      <c r="C279" s="602" t="s">
        <v>640</v>
      </c>
      <c r="D279" s="239">
        <v>13921627</v>
      </c>
      <c r="E279" s="239">
        <v>11137302</v>
      </c>
      <c r="F279" s="239">
        <v>2505893</v>
      </c>
      <c r="G279" s="239">
        <v>278433</v>
      </c>
      <c r="H279" s="239">
        <v>27843255</v>
      </c>
      <c r="I279" s="239">
        <v>0</v>
      </c>
      <c r="J279" s="239">
        <v>0</v>
      </c>
      <c r="K279" s="239">
        <v>13921627</v>
      </c>
      <c r="L279" s="239">
        <v>189507</v>
      </c>
      <c r="M279" s="239">
        <v>189507</v>
      </c>
      <c r="N279" s="239">
        <v>0</v>
      </c>
      <c r="O279" s="239">
        <v>0</v>
      </c>
      <c r="P279" s="239">
        <v>73316</v>
      </c>
      <c r="Q279" s="239">
        <v>0</v>
      </c>
      <c r="R279" s="239">
        <v>73316</v>
      </c>
      <c r="S279" s="239">
        <v>0</v>
      </c>
      <c r="T279" s="239">
        <v>0</v>
      </c>
      <c r="U279" s="239">
        <v>0</v>
      </c>
      <c r="V279" s="239">
        <v>0</v>
      </c>
      <c r="W279" s="239">
        <v>0</v>
      </c>
      <c r="X279" s="239">
        <v>0</v>
      </c>
      <c r="Y279" s="239">
        <v>0</v>
      </c>
      <c r="Z279" s="239">
        <v>0</v>
      </c>
      <c r="AA279" s="239">
        <v>0</v>
      </c>
      <c r="AB279" s="239">
        <v>0</v>
      </c>
      <c r="AC279" s="239">
        <v>1907174</v>
      </c>
      <c r="AD279" s="239">
        <v>428866</v>
      </c>
      <c r="AE279" s="239">
        <v>47650</v>
      </c>
      <c r="AF279" s="239">
        <v>2383690</v>
      </c>
      <c r="AG279" s="239">
        <v>198525</v>
      </c>
      <c r="AH279" s="239">
        <v>158820</v>
      </c>
      <c r="AI279" s="239">
        <v>35734</v>
      </c>
      <c r="AJ279" s="239">
        <v>3970</v>
      </c>
      <c r="AK279" s="239">
        <v>397049</v>
      </c>
      <c r="AL279" s="239">
        <v>-219392</v>
      </c>
      <c r="AM279" s="239">
        <v>-175514</v>
      </c>
      <c r="AN279" s="239">
        <v>-39491</v>
      </c>
      <c r="AO279" s="239">
        <v>-4388</v>
      </c>
      <c r="AP279" s="239">
        <v>-438785</v>
      </c>
      <c r="AQ279" s="239">
        <v>-150000</v>
      </c>
      <c r="AR279" s="239">
        <v>-120000</v>
      </c>
      <c r="AS279" s="239">
        <v>-27000</v>
      </c>
      <c r="AT279" s="239">
        <v>-3000</v>
      </c>
      <c r="AU279" s="239">
        <v>-300000</v>
      </c>
      <c r="AV279" s="239">
        <v>56790</v>
      </c>
      <c r="AW279" s="239">
        <v>45432</v>
      </c>
      <c r="AX279" s="239">
        <v>10222</v>
      </c>
      <c r="AY279" s="239">
        <v>1136</v>
      </c>
      <c r="AZ279" s="239">
        <v>113580</v>
      </c>
      <c r="BA279" s="239">
        <v>-36790</v>
      </c>
      <c r="BB279" s="239">
        <v>-29432</v>
      </c>
      <c r="BC279" s="239">
        <v>-6622</v>
      </c>
      <c r="BD279" s="239">
        <v>-736</v>
      </c>
      <c r="BE279" s="239">
        <v>-73580</v>
      </c>
      <c r="BF279" s="239">
        <v>-130000</v>
      </c>
      <c r="BG279" s="239">
        <v>-104000</v>
      </c>
      <c r="BH279" s="239">
        <v>-23400</v>
      </c>
      <c r="BI279" s="239">
        <v>-2600</v>
      </c>
      <c r="BJ279" s="239">
        <v>-260000</v>
      </c>
      <c r="BK279" s="239">
        <v>-200000</v>
      </c>
      <c r="BL279" s="239">
        <v>-160000</v>
      </c>
      <c r="BM279" s="239">
        <v>-36000</v>
      </c>
      <c r="BN279" s="239">
        <v>-4000</v>
      </c>
      <c r="BO279" s="239">
        <v>-400000</v>
      </c>
      <c r="BP279" s="239">
        <v>511981</v>
      </c>
      <c r="BQ279" s="239">
        <v>409585</v>
      </c>
      <c r="BR279" s="239">
        <v>92157</v>
      </c>
      <c r="BS279" s="239">
        <v>10240</v>
      </c>
      <c r="BT279" s="239">
        <v>1023963</v>
      </c>
      <c r="BU279" s="239">
        <v>-1061981</v>
      </c>
      <c r="BV279" s="239">
        <v>-849585</v>
      </c>
      <c r="BW279" s="239">
        <v>-191157</v>
      </c>
      <c r="BX279" s="239">
        <v>-21240</v>
      </c>
      <c r="BY279" s="239">
        <v>-2123963</v>
      </c>
      <c r="BZ279" s="239">
        <v>-750000</v>
      </c>
      <c r="CA279" s="239">
        <v>-600000</v>
      </c>
      <c r="CB279" s="239">
        <v>-135000</v>
      </c>
      <c r="CC279" s="239">
        <v>-15000</v>
      </c>
      <c r="CD279" s="239">
        <v>-1500000</v>
      </c>
      <c r="CE279" s="239">
        <v>-1472104</v>
      </c>
      <c r="CF279" s="239">
        <v>-1177683</v>
      </c>
      <c r="CG279" s="239">
        <v>-264979</v>
      </c>
      <c r="CH279" s="239">
        <v>-29442</v>
      </c>
      <c r="CI279" s="239">
        <v>-2944208</v>
      </c>
      <c r="CJ279" s="239">
        <v>-1116000</v>
      </c>
      <c r="CK279" s="239">
        <v>-892800</v>
      </c>
      <c r="CL279" s="239">
        <v>-200880</v>
      </c>
      <c r="CM279" s="239">
        <v>-22320</v>
      </c>
      <c r="CN279" s="239">
        <v>-2232000</v>
      </c>
      <c r="CO279" s="239">
        <v>-356104</v>
      </c>
      <c r="CP279" s="239">
        <v>-284883</v>
      </c>
      <c r="CQ279" s="239">
        <v>-64099</v>
      </c>
      <c r="CR279" s="239">
        <v>-7122</v>
      </c>
      <c r="CS279" s="239">
        <v>-712208</v>
      </c>
      <c r="CT279" s="239">
        <v>15526983</v>
      </c>
      <c r="CU279" s="239">
        <v>12421587</v>
      </c>
      <c r="CV279" s="239">
        <v>2794857</v>
      </c>
      <c r="CW279" s="239">
        <v>310540</v>
      </c>
      <c r="CX279" s="239">
        <v>31053967</v>
      </c>
      <c r="CY279" s="239">
        <v>13921627</v>
      </c>
      <c r="CZ279" s="239">
        <v>11137302</v>
      </c>
      <c r="DA279" s="239">
        <v>2505893</v>
      </c>
      <c r="DB279" s="239">
        <v>278433</v>
      </c>
      <c r="DC279" s="239">
        <v>27843255</v>
      </c>
      <c r="DD279" s="239">
        <v>-1605356</v>
      </c>
      <c r="DE279" s="239">
        <v>-1284285</v>
      </c>
      <c r="DF279" s="239">
        <v>-288964</v>
      </c>
      <c r="DG279" s="239">
        <v>-32107</v>
      </c>
      <c r="DH279" s="239">
        <v>-3210712</v>
      </c>
      <c r="DI279" s="239">
        <v>-1961460</v>
      </c>
      <c r="DJ279" s="239">
        <v>-1569168</v>
      </c>
      <c r="DK279" s="239">
        <v>-353063</v>
      </c>
      <c r="DL279" s="239">
        <v>-39229</v>
      </c>
      <c r="DM279" s="239">
        <v>-3922920</v>
      </c>
      <c r="DN279" s="835">
        <v>0.5</v>
      </c>
      <c r="DO279" s="835">
        <v>0.4</v>
      </c>
      <c r="DP279" s="835">
        <v>0.09</v>
      </c>
      <c r="DQ279" s="835">
        <v>0.01</v>
      </c>
      <c r="DR279" s="835">
        <v>1</v>
      </c>
      <c r="DS279" s="214" t="s">
        <v>1158</v>
      </c>
      <c r="DU279" s="214">
        <v>0</v>
      </c>
    </row>
    <row r="280" spans="2:125" s="214" customFormat="1" x14ac:dyDescent="0.2">
      <c r="B280" s="602" t="s">
        <v>643</v>
      </c>
      <c r="C280" s="602" t="s">
        <v>642</v>
      </c>
      <c r="D280" s="239">
        <v>34533389</v>
      </c>
      <c r="E280" s="239">
        <v>33842722</v>
      </c>
      <c r="F280" s="239">
        <v>0</v>
      </c>
      <c r="G280" s="239">
        <v>690668</v>
      </c>
      <c r="H280" s="239">
        <v>69066779</v>
      </c>
      <c r="I280" s="239">
        <v>0</v>
      </c>
      <c r="J280" s="239">
        <v>0</v>
      </c>
      <c r="K280" s="239">
        <v>34533389</v>
      </c>
      <c r="L280" s="239">
        <v>216826</v>
      </c>
      <c r="M280" s="239">
        <v>216826</v>
      </c>
      <c r="N280" s="239">
        <v>0</v>
      </c>
      <c r="O280" s="239">
        <v>0</v>
      </c>
      <c r="P280" s="239">
        <v>90964</v>
      </c>
      <c r="Q280" s="239">
        <v>0</v>
      </c>
      <c r="R280" s="239">
        <v>90964</v>
      </c>
      <c r="S280" s="239">
        <v>0</v>
      </c>
      <c r="T280" s="239">
        <v>0</v>
      </c>
      <c r="U280" s="239">
        <v>0</v>
      </c>
      <c r="V280" s="239">
        <v>0</v>
      </c>
      <c r="W280" s="239">
        <v>0</v>
      </c>
      <c r="X280" s="239">
        <v>0</v>
      </c>
      <c r="Y280" s="239">
        <v>0</v>
      </c>
      <c r="Z280" s="239">
        <v>0</v>
      </c>
      <c r="AA280" s="239">
        <v>0</v>
      </c>
      <c r="AB280" s="239">
        <v>0</v>
      </c>
      <c r="AC280" s="239">
        <v>2413683</v>
      </c>
      <c r="AD280" s="239">
        <v>0</v>
      </c>
      <c r="AE280" s="239">
        <v>49231</v>
      </c>
      <c r="AF280" s="239">
        <v>2462914</v>
      </c>
      <c r="AG280" s="239">
        <v>993160</v>
      </c>
      <c r="AH280" s="239">
        <v>973296</v>
      </c>
      <c r="AI280" s="239">
        <v>0</v>
      </c>
      <c r="AJ280" s="239">
        <v>19863</v>
      </c>
      <c r="AK280" s="239">
        <v>1986319</v>
      </c>
      <c r="AL280" s="239">
        <v>-1506626</v>
      </c>
      <c r="AM280" s="239">
        <v>-1476494</v>
      </c>
      <c r="AN280" s="239">
        <v>0</v>
      </c>
      <c r="AO280" s="239">
        <v>-30133</v>
      </c>
      <c r="AP280" s="239">
        <v>-3013253</v>
      </c>
      <c r="AQ280" s="239">
        <v>-627000</v>
      </c>
      <c r="AR280" s="239">
        <v>-614460</v>
      </c>
      <c r="AS280" s="239">
        <v>0</v>
      </c>
      <c r="AT280" s="239">
        <v>-12540</v>
      </c>
      <c r="AU280" s="239">
        <v>-1254000</v>
      </c>
      <c r="AV280" s="239">
        <v>316759</v>
      </c>
      <c r="AW280" s="239">
        <v>310423</v>
      </c>
      <c r="AX280" s="239">
        <v>0</v>
      </c>
      <c r="AY280" s="239">
        <v>6335</v>
      </c>
      <c r="AZ280" s="239">
        <v>633517</v>
      </c>
      <c r="BA280" s="239">
        <v>-296259</v>
      </c>
      <c r="BB280" s="239">
        <v>-290333</v>
      </c>
      <c r="BC280" s="239">
        <v>0</v>
      </c>
      <c r="BD280" s="239">
        <v>-5925</v>
      </c>
      <c r="BE280" s="239">
        <v>-592517</v>
      </c>
      <c r="BF280" s="239">
        <v>-606500</v>
      </c>
      <c r="BG280" s="239">
        <v>-594370</v>
      </c>
      <c r="BH280" s="239">
        <v>0</v>
      </c>
      <c r="BI280" s="239">
        <v>-12130</v>
      </c>
      <c r="BJ280" s="239">
        <v>-1213000</v>
      </c>
      <c r="BK280" s="239">
        <v>-3360000</v>
      </c>
      <c r="BL280" s="239">
        <v>-3292800</v>
      </c>
      <c r="BM280" s="239">
        <v>0</v>
      </c>
      <c r="BN280" s="239">
        <v>-67200</v>
      </c>
      <c r="BO280" s="239">
        <v>-6720000</v>
      </c>
      <c r="BP280" s="239">
        <v>1051038</v>
      </c>
      <c r="BQ280" s="239">
        <v>1030018</v>
      </c>
      <c r="BR280" s="239">
        <v>0</v>
      </c>
      <c r="BS280" s="239">
        <v>21021</v>
      </c>
      <c r="BT280" s="239">
        <v>2102077</v>
      </c>
      <c r="BU280" s="239">
        <v>-1577038</v>
      </c>
      <c r="BV280" s="239">
        <v>-1545498</v>
      </c>
      <c r="BW280" s="239">
        <v>0</v>
      </c>
      <c r="BX280" s="239">
        <v>-31541</v>
      </c>
      <c r="BY280" s="239">
        <v>-3154077</v>
      </c>
      <c r="BZ280" s="239">
        <v>-3886000</v>
      </c>
      <c r="CA280" s="239">
        <v>-3808280</v>
      </c>
      <c r="CB280" s="239">
        <v>0</v>
      </c>
      <c r="CC280" s="239">
        <v>-77720</v>
      </c>
      <c r="CD280" s="239">
        <v>-7772000</v>
      </c>
      <c r="CE280" s="239">
        <v>1686864</v>
      </c>
      <c r="CF280" s="239">
        <v>1653126</v>
      </c>
      <c r="CG280" s="239">
        <v>0</v>
      </c>
      <c r="CH280" s="239">
        <v>33737</v>
      </c>
      <c r="CI280" s="239">
        <v>3373727</v>
      </c>
      <c r="CJ280" s="239">
        <v>1861699</v>
      </c>
      <c r="CK280" s="239">
        <v>1824465</v>
      </c>
      <c r="CL280" s="239">
        <v>0</v>
      </c>
      <c r="CM280" s="239">
        <v>37234</v>
      </c>
      <c r="CN280" s="239">
        <v>3723398</v>
      </c>
      <c r="CO280" s="239">
        <v>-174835</v>
      </c>
      <c r="CP280" s="239">
        <v>-171339</v>
      </c>
      <c r="CQ280" s="239">
        <v>0</v>
      </c>
      <c r="CR280" s="239">
        <v>-3497</v>
      </c>
      <c r="CS280" s="239">
        <v>-349671</v>
      </c>
      <c r="CT280" s="239">
        <v>33954694</v>
      </c>
      <c r="CU280" s="239">
        <v>33275601</v>
      </c>
      <c r="CV280" s="239">
        <v>0</v>
      </c>
      <c r="CW280" s="239">
        <v>679094</v>
      </c>
      <c r="CX280" s="239">
        <v>67909389</v>
      </c>
      <c r="CY280" s="239">
        <v>34533389</v>
      </c>
      <c r="CZ280" s="239">
        <v>33842722</v>
      </c>
      <c r="DA280" s="239">
        <v>0</v>
      </c>
      <c r="DB280" s="239">
        <v>690668</v>
      </c>
      <c r="DC280" s="239">
        <v>69066779</v>
      </c>
      <c r="DD280" s="239">
        <v>578695</v>
      </c>
      <c r="DE280" s="239">
        <v>567121</v>
      </c>
      <c r="DF280" s="239">
        <v>0</v>
      </c>
      <c r="DG280" s="239">
        <v>11574</v>
      </c>
      <c r="DH280" s="239">
        <v>1157390</v>
      </c>
      <c r="DI280" s="239">
        <v>403860</v>
      </c>
      <c r="DJ280" s="239">
        <v>395782</v>
      </c>
      <c r="DK280" s="239">
        <v>0</v>
      </c>
      <c r="DL280" s="239">
        <v>8077</v>
      </c>
      <c r="DM280" s="239">
        <v>807719</v>
      </c>
      <c r="DN280" s="835">
        <v>0.5</v>
      </c>
      <c r="DO280" s="835">
        <v>0.49</v>
      </c>
      <c r="DP280" s="835">
        <v>0</v>
      </c>
      <c r="DQ280" s="835">
        <v>0.01</v>
      </c>
      <c r="DR280" s="835">
        <v>1</v>
      </c>
      <c r="DS280" s="214" t="s">
        <v>746</v>
      </c>
      <c r="DU280" s="214">
        <v>0</v>
      </c>
    </row>
    <row r="281" spans="2:125" s="214" customFormat="1" x14ac:dyDescent="0.2">
      <c r="B281" s="602" t="s">
        <v>645</v>
      </c>
      <c r="C281" s="602" t="s">
        <v>644</v>
      </c>
      <c r="D281" s="239">
        <v>13033928</v>
      </c>
      <c r="E281" s="239">
        <v>10427142</v>
      </c>
      <c r="F281" s="239">
        <v>2346107</v>
      </c>
      <c r="G281" s="239">
        <v>260679</v>
      </c>
      <c r="H281" s="239">
        <v>26067856</v>
      </c>
      <c r="I281" s="239">
        <v>0</v>
      </c>
      <c r="J281" s="239">
        <v>0</v>
      </c>
      <c r="K281" s="239">
        <v>13033928</v>
      </c>
      <c r="L281" s="239">
        <v>290060</v>
      </c>
      <c r="M281" s="239">
        <v>290060</v>
      </c>
      <c r="N281" s="239">
        <v>0</v>
      </c>
      <c r="O281" s="239">
        <v>0</v>
      </c>
      <c r="P281" s="239">
        <v>288644</v>
      </c>
      <c r="Q281" s="239">
        <v>0</v>
      </c>
      <c r="R281" s="239">
        <v>288644</v>
      </c>
      <c r="S281" s="239">
        <v>0</v>
      </c>
      <c r="T281" s="239">
        <v>0</v>
      </c>
      <c r="U281" s="239">
        <v>0</v>
      </c>
      <c r="V281" s="239">
        <v>0</v>
      </c>
      <c r="W281" s="239">
        <v>0</v>
      </c>
      <c r="X281" s="239">
        <v>0</v>
      </c>
      <c r="Y281" s="239">
        <v>0</v>
      </c>
      <c r="Z281" s="239">
        <v>0</v>
      </c>
      <c r="AA281" s="239">
        <v>0</v>
      </c>
      <c r="AB281" s="239">
        <v>0</v>
      </c>
      <c r="AC281" s="239">
        <v>1948876</v>
      </c>
      <c r="AD281" s="239">
        <v>437522</v>
      </c>
      <c r="AE281" s="239">
        <v>48613</v>
      </c>
      <c r="AF281" s="239">
        <v>2435011</v>
      </c>
      <c r="AG281" s="239">
        <v>413567</v>
      </c>
      <c r="AH281" s="239">
        <v>330853</v>
      </c>
      <c r="AI281" s="239">
        <v>74442</v>
      </c>
      <c r="AJ281" s="239">
        <v>8271</v>
      </c>
      <c r="AK281" s="239">
        <v>827133</v>
      </c>
      <c r="AL281" s="239">
        <v>-462458</v>
      </c>
      <c r="AM281" s="239">
        <v>-369966</v>
      </c>
      <c r="AN281" s="239">
        <v>-83242</v>
      </c>
      <c r="AO281" s="239">
        <v>-9249</v>
      </c>
      <c r="AP281" s="239">
        <v>-924915</v>
      </c>
      <c r="AQ281" s="239">
        <v>-81692</v>
      </c>
      <c r="AR281" s="239">
        <v>-65354</v>
      </c>
      <c r="AS281" s="239">
        <v>-14705</v>
      </c>
      <c r="AT281" s="239">
        <v>-1634</v>
      </c>
      <c r="AU281" s="239">
        <v>-163385</v>
      </c>
      <c r="AV281" s="239">
        <v>136131</v>
      </c>
      <c r="AW281" s="239">
        <v>108905</v>
      </c>
      <c r="AX281" s="239">
        <v>24504</v>
      </c>
      <c r="AY281" s="239">
        <v>2723</v>
      </c>
      <c r="AZ281" s="239">
        <v>272263</v>
      </c>
      <c r="BA281" s="239">
        <v>-152339</v>
      </c>
      <c r="BB281" s="239">
        <v>-121872</v>
      </c>
      <c r="BC281" s="239">
        <v>-27421</v>
      </c>
      <c r="BD281" s="239">
        <v>-3047</v>
      </c>
      <c r="BE281" s="239">
        <v>-304679</v>
      </c>
      <c r="BF281" s="239">
        <v>-97900</v>
      </c>
      <c r="BG281" s="239">
        <v>-78321</v>
      </c>
      <c r="BH281" s="239">
        <v>-17622</v>
      </c>
      <c r="BI281" s="239">
        <v>-1958</v>
      </c>
      <c r="BJ281" s="239">
        <v>-195801</v>
      </c>
      <c r="BK281" s="239">
        <v>-1221500</v>
      </c>
      <c r="BL281" s="239">
        <v>-977200</v>
      </c>
      <c r="BM281" s="239">
        <v>-219870</v>
      </c>
      <c r="BN281" s="239">
        <v>-24430</v>
      </c>
      <c r="BO281" s="239">
        <v>-2443000</v>
      </c>
      <c r="BP281" s="239">
        <v>258500</v>
      </c>
      <c r="BQ281" s="239">
        <v>206800</v>
      </c>
      <c r="BR281" s="239">
        <v>46530</v>
      </c>
      <c r="BS281" s="239">
        <v>5170</v>
      </c>
      <c r="BT281" s="239">
        <v>517000</v>
      </c>
      <c r="BU281" s="239">
        <v>-461000</v>
      </c>
      <c r="BV281" s="239">
        <v>-368800</v>
      </c>
      <c r="BW281" s="239">
        <v>-82980</v>
      </c>
      <c r="BX281" s="239">
        <v>-9220</v>
      </c>
      <c r="BY281" s="239">
        <v>-922000</v>
      </c>
      <c r="BZ281" s="239">
        <v>-1424000</v>
      </c>
      <c r="CA281" s="239">
        <v>-1139200</v>
      </c>
      <c r="CB281" s="239">
        <v>-256320</v>
      </c>
      <c r="CC281" s="239">
        <v>-28480</v>
      </c>
      <c r="CD281" s="239">
        <v>-2848000</v>
      </c>
      <c r="CE281" s="239">
        <v>13426</v>
      </c>
      <c r="CF281" s="239">
        <v>10741</v>
      </c>
      <c r="CG281" s="239">
        <v>2417</v>
      </c>
      <c r="CH281" s="239">
        <v>269</v>
      </c>
      <c r="CI281" s="239">
        <v>26853</v>
      </c>
      <c r="CJ281" s="239">
        <v>-187314</v>
      </c>
      <c r="CK281" s="239">
        <v>-149850</v>
      </c>
      <c r="CL281" s="239">
        <v>-33716</v>
      </c>
      <c r="CM281" s="239">
        <v>-3746</v>
      </c>
      <c r="CN281" s="239">
        <v>-374626</v>
      </c>
      <c r="CO281" s="239">
        <v>200740</v>
      </c>
      <c r="CP281" s="239">
        <v>160591</v>
      </c>
      <c r="CQ281" s="239">
        <v>36133</v>
      </c>
      <c r="CR281" s="239">
        <v>4015</v>
      </c>
      <c r="CS281" s="239">
        <v>401479</v>
      </c>
      <c r="CT281" s="239">
        <v>12289456</v>
      </c>
      <c r="CU281" s="239">
        <v>9831565</v>
      </c>
      <c r="CV281" s="239">
        <v>2212102</v>
      </c>
      <c r="CW281" s="239">
        <v>245789</v>
      </c>
      <c r="CX281" s="239">
        <v>24578912</v>
      </c>
      <c r="CY281" s="239">
        <v>13033928</v>
      </c>
      <c r="CZ281" s="239">
        <v>10427142</v>
      </c>
      <c r="DA281" s="239">
        <v>2346107</v>
      </c>
      <c r="DB281" s="239">
        <v>260679</v>
      </c>
      <c r="DC281" s="239">
        <v>26067856</v>
      </c>
      <c r="DD281" s="239">
        <v>744472</v>
      </c>
      <c r="DE281" s="239">
        <v>595577</v>
      </c>
      <c r="DF281" s="239">
        <v>134005</v>
      </c>
      <c r="DG281" s="239">
        <v>14890</v>
      </c>
      <c r="DH281" s="239">
        <v>1488944</v>
      </c>
      <c r="DI281" s="239">
        <v>945212</v>
      </c>
      <c r="DJ281" s="239">
        <v>756168</v>
      </c>
      <c r="DK281" s="239">
        <v>170138</v>
      </c>
      <c r="DL281" s="239">
        <v>18905</v>
      </c>
      <c r="DM281" s="239">
        <v>1890423</v>
      </c>
      <c r="DN281" s="835">
        <v>0.5</v>
      </c>
      <c r="DO281" s="835">
        <v>0.4</v>
      </c>
      <c r="DP281" s="835">
        <v>0.09</v>
      </c>
      <c r="DQ281" s="835">
        <v>0.01</v>
      </c>
      <c r="DR281" s="835">
        <v>1</v>
      </c>
      <c r="DS281" s="214" t="s">
        <v>1158</v>
      </c>
      <c r="DU281" s="214">
        <v>0</v>
      </c>
    </row>
    <row r="282" spans="2:125" s="214" customFormat="1" x14ac:dyDescent="0.2">
      <c r="B282" s="602" t="s">
        <v>647</v>
      </c>
      <c r="C282" s="602" t="s">
        <v>646</v>
      </c>
      <c r="D282" s="239">
        <v>27282352</v>
      </c>
      <c r="E282" s="239">
        <v>21825881</v>
      </c>
      <c r="F282" s="239">
        <v>4910823</v>
      </c>
      <c r="G282" s="239">
        <v>545647</v>
      </c>
      <c r="H282" s="239">
        <v>54564703</v>
      </c>
      <c r="I282" s="239">
        <v>0</v>
      </c>
      <c r="J282" s="239">
        <v>0</v>
      </c>
      <c r="K282" s="239">
        <v>27282352</v>
      </c>
      <c r="L282" s="239">
        <v>188253</v>
      </c>
      <c r="M282" s="239">
        <v>188253</v>
      </c>
      <c r="N282" s="239">
        <v>0</v>
      </c>
      <c r="O282" s="239">
        <v>0</v>
      </c>
      <c r="P282" s="239">
        <v>675417</v>
      </c>
      <c r="Q282" s="239">
        <v>0</v>
      </c>
      <c r="R282" s="239">
        <v>675417</v>
      </c>
      <c r="S282" s="239">
        <v>0</v>
      </c>
      <c r="T282" s="239">
        <v>0</v>
      </c>
      <c r="U282" s="239">
        <v>0</v>
      </c>
      <c r="V282" s="239">
        <v>0</v>
      </c>
      <c r="W282" s="239">
        <v>0</v>
      </c>
      <c r="X282" s="239">
        <v>0</v>
      </c>
      <c r="Y282" s="239">
        <v>0</v>
      </c>
      <c r="Z282" s="239">
        <v>0</v>
      </c>
      <c r="AA282" s="239">
        <v>0</v>
      </c>
      <c r="AB282" s="239">
        <v>0</v>
      </c>
      <c r="AC282" s="239">
        <v>1808478</v>
      </c>
      <c r="AD282" s="239">
        <v>404626</v>
      </c>
      <c r="AE282" s="239">
        <v>44959</v>
      </c>
      <c r="AF282" s="239">
        <v>2258063</v>
      </c>
      <c r="AG282" s="239">
        <v>1050760</v>
      </c>
      <c r="AH282" s="239">
        <v>840608</v>
      </c>
      <c r="AI282" s="239">
        <v>189137</v>
      </c>
      <c r="AJ282" s="239">
        <v>21015</v>
      </c>
      <c r="AK282" s="239">
        <v>2101520</v>
      </c>
      <c r="AL282" s="239">
        <v>-382819</v>
      </c>
      <c r="AM282" s="239">
        <v>-306256</v>
      </c>
      <c r="AN282" s="239">
        <v>-68908</v>
      </c>
      <c r="AO282" s="239">
        <v>-7656</v>
      </c>
      <c r="AP282" s="239">
        <v>-765639</v>
      </c>
      <c r="AQ282" s="239">
        <v>-497448</v>
      </c>
      <c r="AR282" s="239">
        <v>-397958</v>
      </c>
      <c r="AS282" s="239">
        <v>-89541</v>
      </c>
      <c r="AT282" s="239">
        <v>-9949</v>
      </c>
      <c r="AU282" s="239">
        <v>-994896</v>
      </c>
      <c r="AV282" s="239">
        <v>224020</v>
      </c>
      <c r="AW282" s="239">
        <v>179216</v>
      </c>
      <c r="AX282" s="239">
        <v>40324</v>
      </c>
      <c r="AY282" s="239">
        <v>4480</v>
      </c>
      <c r="AZ282" s="239">
        <v>448040</v>
      </c>
      <c r="BA282" s="239">
        <v>-97838</v>
      </c>
      <c r="BB282" s="239">
        <v>-78271</v>
      </c>
      <c r="BC282" s="239">
        <v>-17611</v>
      </c>
      <c r="BD282" s="239">
        <v>-1957</v>
      </c>
      <c r="BE282" s="239">
        <v>-195677</v>
      </c>
      <c r="BF282" s="239">
        <v>-371266</v>
      </c>
      <c r="BG282" s="239">
        <v>-297013</v>
      </c>
      <c r="BH282" s="239">
        <v>-66828</v>
      </c>
      <c r="BI282" s="239">
        <v>-7426</v>
      </c>
      <c r="BJ282" s="239">
        <v>-742533</v>
      </c>
      <c r="BK282" s="239">
        <v>-2156724</v>
      </c>
      <c r="BL282" s="239">
        <v>-1725378</v>
      </c>
      <c r="BM282" s="239">
        <v>-388210</v>
      </c>
      <c r="BN282" s="239">
        <v>-43134</v>
      </c>
      <c r="BO282" s="239">
        <v>-4313446</v>
      </c>
      <c r="BP282" s="239">
        <v>422603</v>
      </c>
      <c r="BQ282" s="239">
        <v>338083</v>
      </c>
      <c r="BR282" s="239">
        <v>76069</v>
      </c>
      <c r="BS282" s="239">
        <v>8452</v>
      </c>
      <c r="BT282" s="239">
        <v>845207</v>
      </c>
      <c r="BU282" s="239">
        <v>139986</v>
      </c>
      <c r="BV282" s="239">
        <v>111990</v>
      </c>
      <c r="BW282" s="239">
        <v>25198</v>
      </c>
      <c r="BX282" s="239">
        <v>2800</v>
      </c>
      <c r="BY282" s="239">
        <v>279974</v>
      </c>
      <c r="BZ282" s="239">
        <v>-1594135</v>
      </c>
      <c r="CA282" s="239">
        <v>-1275305</v>
      </c>
      <c r="CB282" s="239">
        <v>-286943</v>
      </c>
      <c r="CC282" s="239">
        <v>-31882</v>
      </c>
      <c r="CD282" s="239">
        <v>-3188265</v>
      </c>
      <c r="CE282" s="239">
        <v>6667</v>
      </c>
      <c r="CF282" s="239">
        <v>5333</v>
      </c>
      <c r="CG282" s="239">
        <v>1200</v>
      </c>
      <c r="CH282" s="239">
        <v>134</v>
      </c>
      <c r="CI282" s="239">
        <v>13334</v>
      </c>
      <c r="CJ282" s="239">
        <v>793044</v>
      </c>
      <c r="CK282" s="239">
        <v>634436</v>
      </c>
      <c r="CL282" s="239">
        <v>142748</v>
      </c>
      <c r="CM282" s="239">
        <v>15861</v>
      </c>
      <c r="CN282" s="239">
        <v>1586089</v>
      </c>
      <c r="CO282" s="239">
        <v>-786377</v>
      </c>
      <c r="CP282" s="239">
        <v>-629103</v>
      </c>
      <c r="CQ282" s="239">
        <v>-141548</v>
      </c>
      <c r="CR282" s="239">
        <v>-15727</v>
      </c>
      <c r="CS282" s="239">
        <v>-1572755</v>
      </c>
      <c r="CT282" s="239">
        <v>25645881</v>
      </c>
      <c r="CU282" s="239">
        <v>20516704</v>
      </c>
      <c r="CV282" s="239">
        <v>4616258</v>
      </c>
      <c r="CW282" s="239">
        <v>512918</v>
      </c>
      <c r="CX282" s="239">
        <v>51291761</v>
      </c>
      <c r="CY282" s="239">
        <v>27282352</v>
      </c>
      <c r="CZ282" s="239">
        <v>21825881</v>
      </c>
      <c r="DA282" s="239">
        <v>4910823</v>
      </c>
      <c r="DB282" s="239">
        <v>545647</v>
      </c>
      <c r="DC282" s="239">
        <v>54564703</v>
      </c>
      <c r="DD282" s="239">
        <v>1636471</v>
      </c>
      <c r="DE282" s="239">
        <v>1309177</v>
      </c>
      <c r="DF282" s="239">
        <v>294565</v>
      </c>
      <c r="DG282" s="239">
        <v>32729</v>
      </c>
      <c r="DH282" s="239">
        <v>3272942</v>
      </c>
      <c r="DI282" s="239">
        <v>850094</v>
      </c>
      <c r="DJ282" s="239">
        <v>680074</v>
      </c>
      <c r="DK282" s="239">
        <v>153017</v>
      </c>
      <c r="DL282" s="239">
        <v>17002</v>
      </c>
      <c r="DM282" s="239">
        <v>1700187</v>
      </c>
      <c r="DN282" s="835">
        <v>0.5</v>
      </c>
      <c r="DO282" s="835">
        <v>0.4</v>
      </c>
      <c r="DP282" s="835">
        <v>0.09</v>
      </c>
      <c r="DQ282" s="835">
        <v>0.01</v>
      </c>
      <c r="DR282" s="835">
        <v>1</v>
      </c>
      <c r="DS282" s="214" t="s">
        <v>1158</v>
      </c>
      <c r="DU282" s="214">
        <v>0</v>
      </c>
    </row>
    <row r="283" spans="2:125" s="214" customFormat="1" x14ac:dyDescent="0.2">
      <c r="B283" s="602" t="s">
        <v>649</v>
      </c>
      <c r="C283" s="602" t="s">
        <v>648</v>
      </c>
      <c r="D283" s="239">
        <v>17521843</v>
      </c>
      <c r="E283" s="239">
        <v>14017475</v>
      </c>
      <c r="F283" s="239">
        <v>3504369</v>
      </c>
      <c r="G283" s="239">
        <v>0</v>
      </c>
      <c r="H283" s="239">
        <v>35043687</v>
      </c>
      <c r="I283" s="239">
        <v>0</v>
      </c>
      <c r="J283" s="239">
        <v>0</v>
      </c>
      <c r="K283" s="239">
        <v>17521843</v>
      </c>
      <c r="L283" s="239">
        <v>123791</v>
      </c>
      <c r="M283" s="239">
        <v>123791</v>
      </c>
      <c r="N283" s="239">
        <v>0</v>
      </c>
      <c r="O283" s="239">
        <v>0</v>
      </c>
      <c r="P283" s="239">
        <v>288581</v>
      </c>
      <c r="Q283" s="239">
        <v>191118</v>
      </c>
      <c r="R283" s="239">
        <v>479699</v>
      </c>
      <c r="S283" s="239">
        <v>0</v>
      </c>
      <c r="T283" s="239">
        <v>0</v>
      </c>
      <c r="U283" s="239">
        <v>0</v>
      </c>
      <c r="V283" s="239">
        <v>0</v>
      </c>
      <c r="W283" s="239">
        <v>0</v>
      </c>
      <c r="X283" s="239">
        <v>0</v>
      </c>
      <c r="Y283" s="239">
        <v>0</v>
      </c>
      <c r="Z283" s="239">
        <v>0</v>
      </c>
      <c r="AA283" s="239">
        <v>0</v>
      </c>
      <c r="AB283" s="239">
        <v>0</v>
      </c>
      <c r="AC283" s="239">
        <v>1073420</v>
      </c>
      <c r="AD283" s="239">
        <v>270142</v>
      </c>
      <c r="AE283" s="239">
        <v>0</v>
      </c>
      <c r="AF283" s="239">
        <v>1343562</v>
      </c>
      <c r="AG283" s="239">
        <v>199953</v>
      </c>
      <c r="AH283" s="239">
        <v>159962</v>
      </c>
      <c r="AI283" s="239">
        <v>39991</v>
      </c>
      <c r="AJ283" s="239">
        <v>0</v>
      </c>
      <c r="AK283" s="239">
        <v>399906</v>
      </c>
      <c r="AL283" s="239">
        <v>-106537</v>
      </c>
      <c r="AM283" s="239">
        <v>-85230</v>
      </c>
      <c r="AN283" s="239">
        <v>-21307</v>
      </c>
      <c r="AO283" s="239">
        <v>0</v>
      </c>
      <c r="AP283" s="239">
        <v>-213074</v>
      </c>
      <c r="AQ283" s="239">
        <v>-61431</v>
      </c>
      <c r="AR283" s="239">
        <v>-49144</v>
      </c>
      <c r="AS283" s="239">
        <v>-12286</v>
      </c>
      <c r="AT283" s="239">
        <v>0</v>
      </c>
      <c r="AU283" s="239">
        <v>-122861</v>
      </c>
      <c r="AV283" s="239">
        <v>23989</v>
      </c>
      <c r="AW283" s="239">
        <v>19192</v>
      </c>
      <c r="AX283" s="239">
        <v>4798</v>
      </c>
      <c r="AY283" s="239">
        <v>0</v>
      </c>
      <c r="AZ283" s="239">
        <v>47979</v>
      </c>
      <c r="BA283" s="239">
        <v>-39617</v>
      </c>
      <c r="BB283" s="239">
        <v>-31694</v>
      </c>
      <c r="BC283" s="239">
        <v>-7923</v>
      </c>
      <c r="BD283" s="239">
        <v>0</v>
      </c>
      <c r="BE283" s="239">
        <v>-79234</v>
      </c>
      <c r="BF283" s="239">
        <v>-77059</v>
      </c>
      <c r="BG283" s="239">
        <v>-61646</v>
      </c>
      <c r="BH283" s="239">
        <v>-15411</v>
      </c>
      <c r="BI283" s="239">
        <v>0</v>
      </c>
      <c r="BJ283" s="239">
        <v>-154116</v>
      </c>
      <c r="BK283" s="239">
        <v>-4097412</v>
      </c>
      <c r="BL283" s="239">
        <v>-3277930</v>
      </c>
      <c r="BM283" s="239">
        <v>-819483</v>
      </c>
      <c r="BN283" s="239">
        <v>0</v>
      </c>
      <c r="BO283" s="239">
        <v>-8194825</v>
      </c>
      <c r="BP283" s="239">
        <v>352214</v>
      </c>
      <c r="BQ283" s="239">
        <v>281771</v>
      </c>
      <c r="BR283" s="239">
        <v>70443</v>
      </c>
      <c r="BS283" s="239">
        <v>0</v>
      </c>
      <c r="BT283" s="239">
        <v>704428</v>
      </c>
      <c r="BU283" s="239">
        <v>-1208757</v>
      </c>
      <c r="BV283" s="239">
        <v>-967006</v>
      </c>
      <c r="BW283" s="239">
        <v>-241752</v>
      </c>
      <c r="BX283" s="239">
        <v>0</v>
      </c>
      <c r="BY283" s="239">
        <v>-2417515</v>
      </c>
      <c r="BZ283" s="239">
        <v>-4953955</v>
      </c>
      <c r="CA283" s="239">
        <v>-3963165</v>
      </c>
      <c r="CB283" s="239">
        <v>-990792</v>
      </c>
      <c r="CC283" s="239">
        <v>0</v>
      </c>
      <c r="CD283" s="239">
        <v>-9907912</v>
      </c>
      <c r="CE283" s="239">
        <v>-1933232</v>
      </c>
      <c r="CF283" s="239">
        <v>-1546586</v>
      </c>
      <c r="CG283" s="239">
        <v>-386646</v>
      </c>
      <c r="CH283" s="239">
        <v>0</v>
      </c>
      <c r="CI283" s="239">
        <v>-3866464</v>
      </c>
      <c r="CJ283" s="239">
        <v>-1037876</v>
      </c>
      <c r="CK283" s="239">
        <v>-830301</v>
      </c>
      <c r="CL283" s="239">
        <v>-207575</v>
      </c>
      <c r="CM283" s="239">
        <v>0</v>
      </c>
      <c r="CN283" s="239">
        <v>-2075752</v>
      </c>
      <c r="CO283" s="239">
        <v>-895356</v>
      </c>
      <c r="CP283" s="239">
        <v>-716285</v>
      </c>
      <c r="CQ283" s="239">
        <v>-179071</v>
      </c>
      <c r="CR283" s="239">
        <v>0</v>
      </c>
      <c r="CS283" s="239">
        <v>-1790712</v>
      </c>
      <c r="CT283" s="239">
        <v>17521783</v>
      </c>
      <c r="CU283" s="239">
        <v>14017426</v>
      </c>
      <c r="CV283" s="239">
        <v>3504357</v>
      </c>
      <c r="CW283" s="239">
        <v>0</v>
      </c>
      <c r="CX283" s="239">
        <v>35043566</v>
      </c>
      <c r="CY283" s="239">
        <v>17521843</v>
      </c>
      <c r="CZ283" s="239">
        <v>14017475</v>
      </c>
      <c r="DA283" s="239">
        <v>3504369</v>
      </c>
      <c r="DB283" s="239">
        <v>0</v>
      </c>
      <c r="DC283" s="239">
        <v>35043687</v>
      </c>
      <c r="DD283" s="239">
        <v>60</v>
      </c>
      <c r="DE283" s="239">
        <v>49</v>
      </c>
      <c r="DF283" s="239">
        <v>12</v>
      </c>
      <c r="DG283" s="239">
        <v>0</v>
      </c>
      <c r="DH283" s="239">
        <v>121</v>
      </c>
      <c r="DI283" s="239">
        <v>-895296</v>
      </c>
      <c r="DJ283" s="239">
        <v>-716236</v>
      </c>
      <c r="DK283" s="239">
        <v>-179059</v>
      </c>
      <c r="DL283" s="239">
        <v>0</v>
      </c>
      <c r="DM283" s="239">
        <v>-1790591</v>
      </c>
      <c r="DN283" s="835">
        <v>0.5</v>
      </c>
      <c r="DO283" s="835">
        <v>0.4</v>
      </c>
      <c r="DP283" s="835">
        <v>0.1</v>
      </c>
      <c r="DQ283" s="835">
        <v>0</v>
      </c>
      <c r="DR283" s="835">
        <v>1</v>
      </c>
      <c r="DS283" s="214" t="s">
        <v>1158</v>
      </c>
      <c r="DU283" s="214">
        <v>0</v>
      </c>
    </row>
    <row r="284" spans="2:125" s="214" customFormat="1" x14ac:dyDescent="0.2">
      <c r="B284" s="602" t="s">
        <v>651</v>
      </c>
      <c r="C284" s="602" t="s">
        <v>650</v>
      </c>
      <c r="D284" s="239">
        <v>15689830</v>
      </c>
      <c r="E284" s="239">
        <v>12551865</v>
      </c>
      <c r="F284" s="239">
        <v>2824170</v>
      </c>
      <c r="G284" s="239">
        <v>313797</v>
      </c>
      <c r="H284" s="239">
        <v>31379662</v>
      </c>
      <c r="I284" s="239">
        <v>0</v>
      </c>
      <c r="J284" s="239">
        <v>0</v>
      </c>
      <c r="K284" s="239">
        <v>15689830</v>
      </c>
      <c r="L284" s="239">
        <v>191748</v>
      </c>
      <c r="M284" s="239">
        <v>191748</v>
      </c>
      <c r="N284" s="239">
        <v>0</v>
      </c>
      <c r="O284" s="239">
        <v>0</v>
      </c>
      <c r="P284" s="239">
        <v>0</v>
      </c>
      <c r="Q284" s="239">
        <v>0</v>
      </c>
      <c r="R284" s="239">
        <v>0</v>
      </c>
      <c r="S284" s="239">
        <v>0</v>
      </c>
      <c r="T284" s="239">
        <v>0</v>
      </c>
      <c r="U284" s="239">
        <v>0</v>
      </c>
      <c r="V284" s="239">
        <v>0</v>
      </c>
      <c r="W284" s="239">
        <v>0</v>
      </c>
      <c r="X284" s="239">
        <v>0</v>
      </c>
      <c r="Y284" s="239">
        <v>0</v>
      </c>
      <c r="Z284" s="239">
        <v>0</v>
      </c>
      <c r="AA284" s="239">
        <v>0</v>
      </c>
      <c r="AB284" s="239">
        <v>0</v>
      </c>
      <c r="AC284" s="239">
        <v>1830386</v>
      </c>
      <c r="AD284" s="239">
        <v>411836</v>
      </c>
      <c r="AE284" s="239">
        <v>45759</v>
      </c>
      <c r="AF284" s="239">
        <v>2287981</v>
      </c>
      <c r="AG284" s="239">
        <v>835824</v>
      </c>
      <c r="AH284" s="239">
        <v>668660</v>
      </c>
      <c r="AI284" s="239">
        <v>150449</v>
      </c>
      <c r="AJ284" s="239">
        <v>16717</v>
      </c>
      <c r="AK284" s="239">
        <v>1671650</v>
      </c>
      <c r="AL284" s="239">
        <v>-426879</v>
      </c>
      <c r="AM284" s="239">
        <v>-341504</v>
      </c>
      <c r="AN284" s="239">
        <v>-76838</v>
      </c>
      <c r="AO284" s="239">
        <v>-8538</v>
      </c>
      <c r="AP284" s="239">
        <v>-853759</v>
      </c>
      <c r="AQ284" s="239">
        <v>-482753</v>
      </c>
      <c r="AR284" s="239">
        <v>-386202</v>
      </c>
      <c r="AS284" s="239">
        <v>-86896</v>
      </c>
      <c r="AT284" s="239">
        <v>-9655</v>
      </c>
      <c r="AU284" s="239">
        <v>-965506</v>
      </c>
      <c r="AV284" s="239">
        <v>27839</v>
      </c>
      <c r="AW284" s="239">
        <v>22272</v>
      </c>
      <c r="AX284" s="239">
        <v>5011</v>
      </c>
      <c r="AY284" s="239">
        <v>557</v>
      </c>
      <c r="AZ284" s="239">
        <v>55679</v>
      </c>
      <c r="BA284" s="239">
        <v>-129017</v>
      </c>
      <c r="BB284" s="239">
        <v>-103214</v>
      </c>
      <c r="BC284" s="239">
        <v>-23223</v>
      </c>
      <c r="BD284" s="239">
        <v>-2580</v>
      </c>
      <c r="BE284" s="239">
        <v>-258034</v>
      </c>
      <c r="BF284" s="239">
        <v>-583931</v>
      </c>
      <c r="BG284" s="239">
        <v>-467144</v>
      </c>
      <c r="BH284" s="239">
        <v>-105108</v>
      </c>
      <c r="BI284" s="239">
        <v>-11678</v>
      </c>
      <c r="BJ284" s="239">
        <v>-1167861</v>
      </c>
      <c r="BK284" s="239">
        <v>-2631651</v>
      </c>
      <c r="BL284" s="239">
        <v>-2105320</v>
      </c>
      <c r="BM284" s="239">
        <v>-473697</v>
      </c>
      <c r="BN284" s="239">
        <v>-52633</v>
      </c>
      <c r="BO284" s="239">
        <v>-5263301</v>
      </c>
      <c r="BP284" s="239">
        <v>429370</v>
      </c>
      <c r="BQ284" s="239">
        <v>343496</v>
      </c>
      <c r="BR284" s="239">
        <v>77287</v>
      </c>
      <c r="BS284" s="239">
        <v>8587</v>
      </c>
      <c r="BT284" s="239">
        <v>858740</v>
      </c>
      <c r="BU284" s="239">
        <v>-917217</v>
      </c>
      <c r="BV284" s="239">
        <v>-733774</v>
      </c>
      <c r="BW284" s="239">
        <v>-165099</v>
      </c>
      <c r="BX284" s="239">
        <v>-18344</v>
      </c>
      <c r="BY284" s="239">
        <v>-1834434</v>
      </c>
      <c r="BZ284" s="239">
        <v>-3119498</v>
      </c>
      <c r="CA284" s="239">
        <v>-2495598</v>
      </c>
      <c r="CB284" s="239">
        <v>-561509</v>
      </c>
      <c r="CC284" s="239">
        <v>-62390</v>
      </c>
      <c r="CD284" s="239">
        <v>-6238995</v>
      </c>
      <c r="CE284" s="239">
        <v>1710552</v>
      </c>
      <c r="CF284" s="239">
        <v>1368441</v>
      </c>
      <c r="CG284" s="239">
        <v>307900</v>
      </c>
      <c r="CH284" s="239">
        <v>34212</v>
      </c>
      <c r="CI284" s="239">
        <v>3421105</v>
      </c>
      <c r="CJ284" s="239">
        <v>1559046</v>
      </c>
      <c r="CK284" s="239">
        <v>1247237</v>
      </c>
      <c r="CL284" s="239">
        <v>280628</v>
      </c>
      <c r="CM284" s="239">
        <v>31181</v>
      </c>
      <c r="CN284" s="239">
        <v>3118092</v>
      </c>
      <c r="CO284" s="239">
        <v>151506</v>
      </c>
      <c r="CP284" s="239">
        <v>121204</v>
      </c>
      <c r="CQ284" s="239">
        <v>27272</v>
      </c>
      <c r="CR284" s="239">
        <v>3031</v>
      </c>
      <c r="CS284" s="239">
        <v>303013</v>
      </c>
      <c r="CT284" s="239">
        <v>15635802</v>
      </c>
      <c r="CU284" s="239">
        <v>12508641</v>
      </c>
      <c r="CV284" s="239">
        <v>2814444</v>
      </c>
      <c r="CW284" s="239">
        <v>312716</v>
      </c>
      <c r="CX284" s="239">
        <v>31271603</v>
      </c>
      <c r="CY284" s="239">
        <v>15689830</v>
      </c>
      <c r="CZ284" s="239">
        <v>12551865</v>
      </c>
      <c r="DA284" s="239">
        <v>2824170</v>
      </c>
      <c r="DB284" s="239">
        <v>313797</v>
      </c>
      <c r="DC284" s="239">
        <v>31379662</v>
      </c>
      <c r="DD284" s="239">
        <v>54028</v>
      </c>
      <c r="DE284" s="239">
        <v>43224</v>
      </c>
      <c r="DF284" s="239">
        <v>9726</v>
      </c>
      <c r="DG284" s="239">
        <v>1081</v>
      </c>
      <c r="DH284" s="239">
        <v>108059</v>
      </c>
      <c r="DI284" s="239">
        <v>205534</v>
      </c>
      <c r="DJ284" s="239">
        <v>164428</v>
      </c>
      <c r="DK284" s="239">
        <v>36998</v>
      </c>
      <c r="DL284" s="239">
        <v>4112</v>
      </c>
      <c r="DM284" s="239">
        <v>411072</v>
      </c>
      <c r="DN284" s="835">
        <v>0.5</v>
      </c>
      <c r="DO284" s="835">
        <v>0.4</v>
      </c>
      <c r="DP284" s="835">
        <v>0.09</v>
      </c>
      <c r="DQ284" s="835">
        <v>0.01</v>
      </c>
      <c r="DR284" s="835">
        <v>1</v>
      </c>
      <c r="DS284" s="214" t="s">
        <v>1158</v>
      </c>
      <c r="DU284" s="214">
        <v>0</v>
      </c>
    </row>
    <row r="285" spans="2:125" s="214" customFormat="1" x14ac:dyDescent="0.2">
      <c r="B285" s="602" t="s">
        <v>653</v>
      </c>
      <c r="C285" s="602" t="s">
        <v>652</v>
      </c>
      <c r="D285" s="239">
        <v>12340543</v>
      </c>
      <c r="E285" s="239">
        <v>9872435</v>
      </c>
      <c r="F285" s="239">
        <v>2468109</v>
      </c>
      <c r="G285" s="239">
        <v>0</v>
      </c>
      <c r="H285" s="239">
        <v>24681087</v>
      </c>
      <c r="I285" s="239">
        <v>0</v>
      </c>
      <c r="J285" s="239">
        <v>0</v>
      </c>
      <c r="K285" s="239">
        <v>12340543</v>
      </c>
      <c r="L285" s="239">
        <v>92778</v>
      </c>
      <c r="M285" s="239">
        <v>92778</v>
      </c>
      <c r="N285" s="239">
        <v>0</v>
      </c>
      <c r="O285" s="239">
        <v>0</v>
      </c>
      <c r="P285" s="239">
        <v>0</v>
      </c>
      <c r="Q285" s="239">
        <v>0</v>
      </c>
      <c r="R285" s="239">
        <v>0</v>
      </c>
      <c r="S285" s="239">
        <v>0</v>
      </c>
      <c r="T285" s="239">
        <v>0</v>
      </c>
      <c r="U285" s="239">
        <v>0</v>
      </c>
      <c r="V285" s="239">
        <v>0</v>
      </c>
      <c r="W285" s="239">
        <v>0</v>
      </c>
      <c r="X285" s="239">
        <v>0</v>
      </c>
      <c r="Y285" s="239">
        <v>0</v>
      </c>
      <c r="Z285" s="239">
        <v>0</v>
      </c>
      <c r="AA285" s="239">
        <v>0</v>
      </c>
      <c r="AB285" s="239">
        <v>0</v>
      </c>
      <c r="AC285" s="239">
        <v>781578</v>
      </c>
      <c r="AD285" s="239">
        <v>195395</v>
      </c>
      <c r="AE285" s="239">
        <v>0</v>
      </c>
      <c r="AF285" s="239">
        <v>976973</v>
      </c>
      <c r="AG285" s="239">
        <v>287192</v>
      </c>
      <c r="AH285" s="239">
        <v>229754</v>
      </c>
      <c r="AI285" s="239">
        <v>57438</v>
      </c>
      <c r="AJ285" s="239">
        <v>0</v>
      </c>
      <c r="AK285" s="239">
        <v>574384</v>
      </c>
      <c r="AL285" s="239">
        <v>-582621</v>
      </c>
      <c r="AM285" s="239">
        <v>-466096</v>
      </c>
      <c r="AN285" s="239">
        <v>-116524</v>
      </c>
      <c r="AO285" s="239">
        <v>0</v>
      </c>
      <c r="AP285" s="239">
        <v>-1165241</v>
      </c>
      <c r="AQ285" s="239">
        <v>-338765</v>
      </c>
      <c r="AR285" s="239">
        <v>-271012</v>
      </c>
      <c r="AS285" s="239">
        <v>-67753</v>
      </c>
      <c r="AT285" s="239">
        <v>0</v>
      </c>
      <c r="AU285" s="239">
        <v>-677530</v>
      </c>
      <c r="AV285" s="239">
        <v>44176</v>
      </c>
      <c r="AW285" s="239">
        <v>35340</v>
      </c>
      <c r="AX285" s="239">
        <v>8835</v>
      </c>
      <c r="AY285" s="239">
        <v>0</v>
      </c>
      <c r="AZ285" s="239">
        <v>88351</v>
      </c>
      <c r="BA285" s="239">
        <v>-85430</v>
      </c>
      <c r="BB285" s="239">
        <v>-68344</v>
      </c>
      <c r="BC285" s="239">
        <v>-17086</v>
      </c>
      <c r="BD285" s="239">
        <v>0</v>
      </c>
      <c r="BE285" s="239">
        <v>-170860</v>
      </c>
      <c r="BF285" s="239">
        <v>-380019</v>
      </c>
      <c r="BG285" s="239">
        <v>-304016</v>
      </c>
      <c r="BH285" s="239">
        <v>-76004</v>
      </c>
      <c r="BI285" s="239">
        <v>0</v>
      </c>
      <c r="BJ285" s="239">
        <v>-760039</v>
      </c>
      <c r="BK285" s="239">
        <v>-1112592</v>
      </c>
      <c r="BL285" s="239">
        <v>-890074</v>
      </c>
      <c r="BM285" s="239">
        <v>-222518</v>
      </c>
      <c r="BN285" s="239">
        <v>0</v>
      </c>
      <c r="BO285" s="239">
        <v>-2225184</v>
      </c>
      <c r="BP285" s="239">
        <v>610704</v>
      </c>
      <c r="BQ285" s="239">
        <v>488564</v>
      </c>
      <c r="BR285" s="239">
        <v>122141</v>
      </c>
      <c r="BS285" s="239">
        <v>0</v>
      </c>
      <c r="BT285" s="239">
        <v>1221409</v>
      </c>
      <c r="BU285" s="239">
        <v>-1505881</v>
      </c>
      <c r="BV285" s="239">
        <v>-1204705</v>
      </c>
      <c r="BW285" s="239">
        <v>-301176</v>
      </c>
      <c r="BX285" s="239">
        <v>0</v>
      </c>
      <c r="BY285" s="239">
        <v>-3011762</v>
      </c>
      <c r="BZ285" s="239">
        <v>-2007769</v>
      </c>
      <c r="CA285" s="239">
        <v>-1606215</v>
      </c>
      <c r="CB285" s="239">
        <v>-401553</v>
      </c>
      <c r="CC285" s="239">
        <v>0</v>
      </c>
      <c r="CD285" s="239">
        <v>-4015537</v>
      </c>
      <c r="CE285" s="239">
        <v>-4931769</v>
      </c>
      <c r="CF285" s="239">
        <v>-3945415</v>
      </c>
      <c r="CG285" s="239">
        <v>-986354</v>
      </c>
      <c r="CH285" s="239">
        <v>0</v>
      </c>
      <c r="CI285" s="239">
        <v>-9863538</v>
      </c>
      <c r="CJ285" s="239">
        <v>-6488253</v>
      </c>
      <c r="CK285" s="239">
        <v>-5190602</v>
      </c>
      <c r="CL285" s="239">
        <v>-1297651</v>
      </c>
      <c r="CM285" s="239">
        <v>0</v>
      </c>
      <c r="CN285" s="239">
        <v>-12976506</v>
      </c>
      <c r="CO285" s="239">
        <v>1556484</v>
      </c>
      <c r="CP285" s="239">
        <v>1245187</v>
      </c>
      <c r="CQ285" s="239">
        <v>311297</v>
      </c>
      <c r="CR285" s="239">
        <v>0</v>
      </c>
      <c r="CS285" s="239">
        <v>3112968</v>
      </c>
      <c r="CT285" s="239">
        <v>12883077</v>
      </c>
      <c r="CU285" s="239">
        <v>10306462</v>
      </c>
      <c r="CV285" s="239">
        <v>2576616</v>
      </c>
      <c r="CW285" s="239">
        <v>0</v>
      </c>
      <c r="CX285" s="239">
        <v>25766155</v>
      </c>
      <c r="CY285" s="239">
        <v>12340543</v>
      </c>
      <c r="CZ285" s="239">
        <v>9872435</v>
      </c>
      <c r="DA285" s="239">
        <v>2468109</v>
      </c>
      <c r="DB285" s="239">
        <v>0</v>
      </c>
      <c r="DC285" s="239">
        <v>24681087</v>
      </c>
      <c r="DD285" s="239">
        <v>-542534</v>
      </c>
      <c r="DE285" s="239">
        <v>-434027</v>
      </c>
      <c r="DF285" s="239">
        <v>-108507</v>
      </c>
      <c r="DG285" s="239">
        <v>0</v>
      </c>
      <c r="DH285" s="239">
        <v>-1085068</v>
      </c>
      <c r="DI285" s="239">
        <v>1013950</v>
      </c>
      <c r="DJ285" s="239">
        <v>811160</v>
      </c>
      <c r="DK285" s="239">
        <v>202790</v>
      </c>
      <c r="DL285" s="239">
        <v>0</v>
      </c>
      <c r="DM285" s="239">
        <v>2027900</v>
      </c>
      <c r="DN285" s="835">
        <v>0.5</v>
      </c>
      <c r="DO285" s="835">
        <v>0.4</v>
      </c>
      <c r="DP285" s="835">
        <v>0.1</v>
      </c>
      <c r="DQ285" s="835">
        <v>0</v>
      </c>
      <c r="DR285" s="835">
        <v>1</v>
      </c>
      <c r="DS285" s="214" t="s">
        <v>1158</v>
      </c>
      <c r="DU285" s="214">
        <v>0</v>
      </c>
    </row>
    <row r="286" spans="2:125" s="214" customFormat="1" x14ac:dyDescent="0.2">
      <c r="B286" s="602" t="s">
        <v>655</v>
      </c>
      <c r="C286" s="602" t="s">
        <v>654</v>
      </c>
      <c r="D286" s="239">
        <v>52751962</v>
      </c>
      <c r="E286" s="239">
        <v>51696922</v>
      </c>
      <c r="F286" s="239">
        <v>0</v>
      </c>
      <c r="G286" s="239">
        <v>1055039</v>
      </c>
      <c r="H286" s="239">
        <v>105503923</v>
      </c>
      <c r="I286" s="239">
        <v>0</v>
      </c>
      <c r="J286" s="239">
        <v>0</v>
      </c>
      <c r="K286" s="239">
        <v>52751962</v>
      </c>
      <c r="L286" s="239">
        <v>229558</v>
      </c>
      <c r="M286" s="239">
        <v>229558</v>
      </c>
      <c r="N286" s="239">
        <v>0</v>
      </c>
      <c r="O286" s="239">
        <v>0</v>
      </c>
      <c r="P286" s="239">
        <v>0</v>
      </c>
      <c r="Q286" s="239">
        <v>0</v>
      </c>
      <c r="R286" s="239">
        <v>0</v>
      </c>
      <c r="S286" s="239">
        <v>0</v>
      </c>
      <c r="T286" s="239">
        <v>0</v>
      </c>
      <c r="U286" s="239">
        <v>0</v>
      </c>
      <c r="V286" s="239">
        <v>0</v>
      </c>
      <c r="W286" s="239">
        <v>0</v>
      </c>
      <c r="X286" s="239">
        <v>0</v>
      </c>
      <c r="Y286" s="239">
        <v>0</v>
      </c>
      <c r="Z286" s="239">
        <v>0</v>
      </c>
      <c r="AA286" s="239">
        <v>0</v>
      </c>
      <c r="AB286" s="239">
        <v>0</v>
      </c>
      <c r="AC286" s="239">
        <v>2327258</v>
      </c>
      <c r="AD286" s="239">
        <v>0</v>
      </c>
      <c r="AE286" s="239">
        <v>47494</v>
      </c>
      <c r="AF286" s="239">
        <v>2374752</v>
      </c>
      <c r="AG286" s="239">
        <v>452734</v>
      </c>
      <c r="AH286" s="239">
        <v>443680</v>
      </c>
      <c r="AI286" s="239">
        <v>0</v>
      </c>
      <c r="AJ286" s="239">
        <v>9055</v>
      </c>
      <c r="AK286" s="239">
        <v>905469</v>
      </c>
      <c r="AL286" s="239">
        <v>-328209</v>
      </c>
      <c r="AM286" s="239">
        <v>-321645</v>
      </c>
      <c r="AN286" s="239">
        <v>0</v>
      </c>
      <c r="AO286" s="239">
        <v>-6564</v>
      </c>
      <c r="AP286" s="239">
        <v>-656418</v>
      </c>
      <c r="AQ286" s="239">
        <v>41831</v>
      </c>
      <c r="AR286" s="239">
        <v>40995</v>
      </c>
      <c r="AS286" s="239">
        <v>0</v>
      </c>
      <c r="AT286" s="239">
        <v>837</v>
      </c>
      <c r="AU286" s="239">
        <v>83663</v>
      </c>
      <c r="AV286" s="239">
        <v>174385</v>
      </c>
      <c r="AW286" s="239">
        <v>170898</v>
      </c>
      <c r="AX286" s="239">
        <v>0</v>
      </c>
      <c r="AY286" s="239">
        <v>3488</v>
      </c>
      <c r="AZ286" s="239">
        <v>348771</v>
      </c>
      <c r="BA286" s="239">
        <v>-162051</v>
      </c>
      <c r="BB286" s="239">
        <v>-158810</v>
      </c>
      <c r="BC286" s="239">
        <v>0</v>
      </c>
      <c r="BD286" s="239">
        <v>-3241</v>
      </c>
      <c r="BE286" s="239">
        <v>-324102</v>
      </c>
      <c r="BF286" s="239">
        <v>54165</v>
      </c>
      <c r="BG286" s="239">
        <v>53083</v>
      </c>
      <c r="BH286" s="239">
        <v>0</v>
      </c>
      <c r="BI286" s="239">
        <v>1084</v>
      </c>
      <c r="BJ286" s="239">
        <v>108332</v>
      </c>
      <c r="BK286" s="239">
        <v>-6132674</v>
      </c>
      <c r="BL286" s="239">
        <v>-6010020</v>
      </c>
      <c r="BM286" s="239">
        <v>0</v>
      </c>
      <c r="BN286" s="239">
        <v>-122653</v>
      </c>
      <c r="BO286" s="239">
        <v>-12265347</v>
      </c>
      <c r="BP286" s="239">
        <v>0</v>
      </c>
      <c r="BQ286" s="239">
        <v>0</v>
      </c>
      <c r="BR286" s="239">
        <v>0</v>
      </c>
      <c r="BS286" s="239">
        <v>0</v>
      </c>
      <c r="BT286" s="239">
        <v>0</v>
      </c>
      <c r="BU286" s="239">
        <v>-360574</v>
      </c>
      <c r="BV286" s="239">
        <v>-353362</v>
      </c>
      <c r="BW286" s="239">
        <v>0</v>
      </c>
      <c r="BX286" s="239">
        <v>-7211</v>
      </c>
      <c r="BY286" s="239">
        <v>-721147</v>
      </c>
      <c r="BZ286" s="239">
        <v>-6493248</v>
      </c>
      <c r="CA286" s="239">
        <v>-6363382</v>
      </c>
      <c r="CB286" s="239">
        <v>0</v>
      </c>
      <c r="CC286" s="239">
        <v>-129864</v>
      </c>
      <c r="CD286" s="239">
        <v>-12986494</v>
      </c>
      <c r="CE286" s="239">
        <v>211328</v>
      </c>
      <c r="CF286" s="239">
        <v>207101</v>
      </c>
      <c r="CG286" s="239">
        <v>0</v>
      </c>
      <c r="CH286" s="239">
        <v>4227</v>
      </c>
      <c r="CI286" s="239">
        <v>422656</v>
      </c>
      <c r="CJ286" s="239">
        <v>-1808855</v>
      </c>
      <c r="CK286" s="239">
        <v>-1772677</v>
      </c>
      <c r="CL286" s="239">
        <v>0</v>
      </c>
      <c r="CM286" s="239">
        <v>-36177</v>
      </c>
      <c r="CN286" s="239">
        <v>-3617709</v>
      </c>
      <c r="CO286" s="239">
        <v>2020183</v>
      </c>
      <c r="CP286" s="239">
        <v>1979778</v>
      </c>
      <c r="CQ286" s="239">
        <v>0</v>
      </c>
      <c r="CR286" s="239">
        <v>40404</v>
      </c>
      <c r="CS286" s="239">
        <v>4040365</v>
      </c>
      <c r="CT286" s="239">
        <v>55140680</v>
      </c>
      <c r="CU286" s="239">
        <v>54037867</v>
      </c>
      <c r="CV286" s="239">
        <v>0</v>
      </c>
      <c r="CW286" s="239">
        <v>1102814</v>
      </c>
      <c r="CX286" s="239">
        <v>110281361</v>
      </c>
      <c r="CY286" s="239">
        <v>52751962</v>
      </c>
      <c r="CZ286" s="239">
        <v>51696922</v>
      </c>
      <c r="DA286" s="239">
        <v>0</v>
      </c>
      <c r="DB286" s="239">
        <v>1055039</v>
      </c>
      <c r="DC286" s="239">
        <v>105503923</v>
      </c>
      <c r="DD286" s="239">
        <v>-2388718</v>
      </c>
      <c r="DE286" s="239">
        <v>-2340945</v>
      </c>
      <c r="DF286" s="239">
        <v>0</v>
      </c>
      <c r="DG286" s="239">
        <v>-47775</v>
      </c>
      <c r="DH286" s="239">
        <v>-4777438</v>
      </c>
      <c r="DI286" s="239">
        <v>-368535</v>
      </c>
      <c r="DJ286" s="239">
        <v>-361167</v>
      </c>
      <c r="DK286" s="239">
        <v>0</v>
      </c>
      <c r="DL286" s="239">
        <v>-7371</v>
      </c>
      <c r="DM286" s="239">
        <v>-737073</v>
      </c>
      <c r="DN286" s="835">
        <v>0.5</v>
      </c>
      <c r="DO286" s="835">
        <v>0.49</v>
      </c>
      <c r="DP286" s="835">
        <v>0</v>
      </c>
      <c r="DQ286" s="835">
        <v>0.01</v>
      </c>
      <c r="DR286" s="835">
        <v>1</v>
      </c>
      <c r="DS286" s="214" t="s">
        <v>746</v>
      </c>
      <c r="DU286" s="214">
        <v>0</v>
      </c>
    </row>
    <row r="287" spans="2:125" s="214" customFormat="1" x14ac:dyDescent="0.2">
      <c r="B287" s="602" t="s">
        <v>657</v>
      </c>
      <c r="C287" s="602" t="s">
        <v>656</v>
      </c>
      <c r="D287" s="239">
        <v>27049994</v>
      </c>
      <c r="E287" s="239">
        <v>21639996</v>
      </c>
      <c r="F287" s="239">
        <v>4868999</v>
      </c>
      <c r="G287" s="239">
        <v>541000</v>
      </c>
      <c r="H287" s="239">
        <v>54099989</v>
      </c>
      <c r="I287" s="239">
        <v>0</v>
      </c>
      <c r="J287" s="239">
        <v>0</v>
      </c>
      <c r="K287" s="239">
        <v>27049994</v>
      </c>
      <c r="L287" s="239">
        <v>162575</v>
      </c>
      <c r="M287" s="239">
        <v>162575</v>
      </c>
      <c r="N287" s="239">
        <v>0</v>
      </c>
      <c r="O287" s="239">
        <v>0</v>
      </c>
      <c r="P287" s="239">
        <v>0</v>
      </c>
      <c r="Q287" s="239">
        <v>0</v>
      </c>
      <c r="R287" s="239">
        <v>0</v>
      </c>
      <c r="S287" s="239">
        <v>0</v>
      </c>
      <c r="T287" s="239">
        <v>0</v>
      </c>
      <c r="U287" s="239">
        <v>0</v>
      </c>
      <c r="V287" s="239">
        <v>0</v>
      </c>
      <c r="W287" s="239">
        <v>0</v>
      </c>
      <c r="X287" s="239">
        <v>0</v>
      </c>
      <c r="Y287" s="239">
        <v>0</v>
      </c>
      <c r="Z287" s="239">
        <v>0</v>
      </c>
      <c r="AA287" s="239">
        <v>0</v>
      </c>
      <c r="AB287" s="239">
        <v>0</v>
      </c>
      <c r="AC287" s="239">
        <v>1317320</v>
      </c>
      <c r="AD287" s="239">
        <v>296396</v>
      </c>
      <c r="AE287" s="239">
        <v>32934</v>
      </c>
      <c r="AF287" s="239">
        <v>1646650</v>
      </c>
      <c r="AG287" s="239">
        <v>300531</v>
      </c>
      <c r="AH287" s="239">
        <v>240426</v>
      </c>
      <c r="AI287" s="239">
        <v>54096</v>
      </c>
      <c r="AJ287" s="239">
        <v>6011</v>
      </c>
      <c r="AK287" s="239">
        <v>601064</v>
      </c>
      <c r="AL287" s="239">
        <v>-810941</v>
      </c>
      <c r="AM287" s="239">
        <v>-648752</v>
      </c>
      <c r="AN287" s="239">
        <v>-145969</v>
      </c>
      <c r="AO287" s="239">
        <v>-16219</v>
      </c>
      <c r="AP287" s="239">
        <v>-1621881</v>
      </c>
      <c r="AQ287" s="239">
        <v>-180000</v>
      </c>
      <c r="AR287" s="239">
        <v>-144000</v>
      </c>
      <c r="AS287" s="239">
        <v>-32400</v>
      </c>
      <c r="AT287" s="239">
        <v>-3600</v>
      </c>
      <c r="AU287" s="239">
        <v>-360000</v>
      </c>
      <c r="AV287" s="239">
        <v>198892</v>
      </c>
      <c r="AW287" s="239">
        <v>159113</v>
      </c>
      <c r="AX287" s="239">
        <v>35800</v>
      </c>
      <c r="AY287" s="239">
        <v>3978</v>
      </c>
      <c r="AZ287" s="239">
        <v>397783</v>
      </c>
      <c r="BA287" s="239">
        <v>-143892</v>
      </c>
      <c r="BB287" s="239">
        <v>-115113</v>
      </c>
      <c r="BC287" s="239">
        <v>-25900</v>
      </c>
      <c r="BD287" s="239">
        <v>-2878</v>
      </c>
      <c r="BE287" s="239">
        <v>-287783</v>
      </c>
      <c r="BF287" s="239">
        <v>-125000</v>
      </c>
      <c r="BG287" s="239">
        <v>-100000</v>
      </c>
      <c r="BH287" s="239">
        <v>-22500</v>
      </c>
      <c r="BI287" s="239">
        <v>-2500</v>
      </c>
      <c r="BJ287" s="239">
        <v>-250000</v>
      </c>
      <c r="BK287" s="239">
        <v>-3750000</v>
      </c>
      <c r="BL287" s="239">
        <v>-3000000</v>
      </c>
      <c r="BM287" s="239">
        <v>-675000</v>
      </c>
      <c r="BN287" s="239">
        <v>-75000</v>
      </c>
      <c r="BO287" s="239">
        <v>-7500000</v>
      </c>
      <c r="BP287" s="239">
        <v>1047386</v>
      </c>
      <c r="BQ287" s="239">
        <v>837908</v>
      </c>
      <c r="BR287" s="239">
        <v>188529</v>
      </c>
      <c r="BS287" s="239">
        <v>20948</v>
      </c>
      <c r="BT287" s="239">
        <v>2094771</v>
      </c>
      <c r="BU287" s="239">
        <v>-976386</v>
      </c>
      <c r="BV287" s="239">
        <v>-781108</v>
      </c>
      <c r="BW287" s="239">
        <v>-175749</v>
      </c>
      <c r="BX287" s="239">
        <v>-19528</v>
      </c>
      <c r="BY287" s="239">
        <v>-1952771</v>
      </c>
      <c r="BZ287" s="239">
        <v>-3679000</v>
      </c>
      <c r="CA287" s="239">
        <v>-2943200</v>
      </c>
      <c r="CB287" s="239">
        <v>-662220</v>
      </c>
      <c r="CC287" s="239">
        <v>-73580</v>
      </c>
      <c r="CD287" s="239">
        <v>-7358000</v>
      </c>
      <c r="CE287" s="239">
        <v>-324822</v>
      </c>
      <c r="CF287" s="239">
        <v>-259859</v>
      </c>
      <c r="CG287" s="239">
        <v>-58468</v>
      </c>
      <c r="CH287" s="239">
        <v>-6497</v>
      </c>
      <c r="CI287" s="239">
        <v>-649646</v>
      </c>
      <c r="CJ287" s="239">
        <v>-14892</v>
      </c>
      <c r="CK287" s="239">
        <v>-11914</v>
      </c>
      <c r="CL287" s="239">
        <v>-2681</v>
      </c>
      <c r="CM287" s="239">
        <v>-298</v>
      </c>
      <c r="CN287" s="239">
        <v>-29785</v>
      </c>
      <c r="CO287" s="239">
        <v>-309930</v>
      </c>
      <c r="CP287" s="239">
        <v>-247945</v>
      </c>
      <c r="CQ287" s="239">
        <v>-55787</v>
      </c>
      <c r="CR287" s="239">
        <v>-6199</v>
      </c>
      <c r="CS287" s="239">
        <v>-619861</v>
      </c>
      <c r="CT287" s="239">
        <v>26685297</v>
      </c>
      <c r="CU287" s="239">
        <v>21348238</v>
      </c>
      <c r="CV287" s="239">
        <v>4803354</v>
      </c>
      <c r="CW287" s="239">
        <v>533706</v>
      </c>
      <c r="CX287" s="239">
        <v>53370595</v>
      </c>
      <c r="CY287" s="239">
        <v>27049994</v>
      </c>
      <c r="CZ287" s="239">
        <v>21639996</v>
      </c>
      <c r="DA287" s="239">
        <v>4868999</v>
      </c>
      <c r="DB287" s="239">
        <v>541000</v>
      </c>
      <c r="DC287" s="239">
        <v>54099989</v>
      </c>
      <c r="DD287" s="239">
        <v>364697</v>
      </c>
      <c r="DE287" s="239">
        <v>291758</v>
      </c>
      <c r="DF287" s="239">
        <v>65645</v>
      </c>
      <c r="DG287" s="239">
        <v>7294</v>
      </c>
      <c r="DH287" s="239">
        <v>729394</v>
      </c>
      <c r="DI287" s="239">
        <v>54767</v>
      </c>
      <c r="DJ287" s="239">
        <v>43813</v>
      </c>
      <c r="DK287" s="239">
        <v>9858</v>
      </c>
      <c r="DL287" s="239">
        <v>1095</v>
      </c>
      <c r="DM287" s="239">
        <v>109533</v>
      </c>
      <c r="DN287" s="835">
        <v>0.5</v>
      </c>
      <c r="DO287" s="835">
        <v>0.4</v>
      </c>
      <c r="DP287" s="835">
        <v>0.09</v>
      </c>
      <c r="DQ287" s="835">
        <v>0.01</v>
      </c>
      <c r="DR287" s="835">
        <v>1</v>
      </c>
      <c r="DS287" s="214" t="s">
        <v>1158</v>
      </c>
      <c r="DU287" s="214">
        <v>0</v>
      </c>
    </row>
    <row r="288" spans="2:125" s="214" customFormat="1" x14ac:dyDescent="0.2">
      <c r="B288" s="602" t="s">
        <v>659</v>
      </c>
      <c r="C288" s="602" t="s">
        <v>658</v>
      </c>
      <c r="D288" s="239">
        <v>14998614</v>
      </c>
      <c r="E288" s="239">
        <v>14698641</v>
      </c>
      <c r="F288" s="239">
        <v>0</v>
      </c>
      <c r="G288" s="239">
        <v>299972</v>
      </c>
      <c r="H288" s="239">
        <v>29997227</v>
      </c>
      <c r="I288" s="239">
        <v>0</v>
      </c>
      <c r="J288" s="239">
        <v>0</v>
      </c>
      <c r="K288" s="239">
        <v>14998614</v>
      </c>
      <c r="L288" s="239">
        <v>195813</v>
      </c>
      <c r="M288" s="239">
        <v>195813</v>
      </c>
      <c r="N288" s="239">
        <v>0</v>
      </c>
      <c r="O288" s="239">
        <v>0</v>
      </c>
      <c r="P288" s="239">
        <v>0</v>
      </c>
      <c r="Q288" s="239">
        <v>0</v>
      </c>
      <c r="R288" s="239">
        <v>0</v>
      </c>
      <c r="S288" s="239">
        <v>0</v>
      </c>
      <c r="T288" s="239">
        <v>0</v>
      </c>
      <c r="U288" s="239">
        <v>0</v>
      </c>
      <c r="V288" s="239">
        <v>0</v>
      </c>
      <c r="W288" s="239">
        <v>0</v>
      </c>
      <c r="X288" s="239">
        <v>0</v>
      </c>
      <c r="Y288" s="239">
        <v>0</v>
      </c>
      <c r="Z288" s="239">
        <v>0</v>
      </c>
      <c r="AA288" s="239">
        <v>0</v>
      </c>
      <c r="AB288" s="239">
        <v>0</v>
      </c>
      <c r="AC288" s="239">
        <v>2586535</v>
      </c>
      <c r="AD288" s="239">
        <v>0</v>
      </c>
      <c r="AE288" s="239">
        <v>52787</v>
      </c>
      <c r="AF288" s="239">
        <v>2639322</v>
      </c>
      <c r="AG288" s="239">
        <v>933868</v>
      </c>
      <c r="AH288" s="239">
        <v>915190</v>
      </c>
      <c r="AI288" s="239">
        <v>0</v>
      </c>
      <c r="AJ288" s="239">
        <v>18677</v>
      </c>
      <c r="AK288" s="239">
        <v>1867735</v>
      </c>
      <c r="AL288" s="239">
        <v>-599486</v>
      </c>
      <c r="AM288" s="239">
        <v>-587497</v>
      </c>
      <c r="AN288" s="239">
        <v>0</v>
      </c>
      <c r="AO288" s="239">
        <v>-11990</v>
      </c>
      <c r="AP288" s="239">
        <v>-1198973</v>
      </c>
      <c r="AQ288" s="239">
        <v>-431057</v>
      </c>
      <c r="AR288" s="239">
        <v>-422436</v>
      </c>
      <c r="AS288" s="239">
        <v>0</v>
      </c>
      <c r="AT288" s="239">
        <v>-8621</v>
      </c>
      <c r="AU288" s="239">
        <v>-862114</v>
      </c>
      <c r="AV288" s="239">
        <v>166820</v>
      </c>
      <c r="AW288" s="239">
        <v>163484</v>
      </c>
      <c r="AX288" s="239">
        <v>0</v>
      </c>
      <c r="AY288" s="239">
        <v>3336</v>
      </c>
      <c r="AZ288" s="239">
        <v>333640</v>
      </c>
      <c r="BA288" s="239">
        <v>-251024</v>
      </c>
      <c r="BB288" s="239">
        <v>-246004</v>
      </c>
      <c r="BC288" s="239">
        <v>0</v>
      </c>
      <c r="BD288" s="239">
        <v>-5020</v>
      </c>
      <c r="BE288" s="239">
        <v>-502048</v>
      </c>
      <c r="BF288" s="239">
        <v>-515261</v>
      </c>
      <c r="BG288" s="239">
        <v>-504956</v>
      </c>
      <c r="BH288" s="239">
        <v>0</v>
      </c>
      <c r="BI288" s="239">
        <v>-10305</v>
      </c>
      <c r="BJ288" s="239">
        <v>-1030522</v>
      </c>
      <c r="BK288" s="239">
        <v>-1515396</v>
      </c>
      <c r="BL288" s="239">
        <v>-1485088</v>
      </c>
      <c r="BM288" s="239">
        <v>0</v>
      </c>
      <c r="BN288" s="239">
        <v>-30308</v>
      </c>
      <c r="BO288" s="239">
        <v>-3030792</v>
      </c>
      <c r="BP288" s="239">
        <v>488413</v>
      </c>
      <c r="BQ288" s="239">
        <v>478645</v>
      </c>
      <c r="BR288" s="239">
        <v>0</v>
      </c>
      <c r="BS288" s="239">
        <v>9768</v>
      </c>
      <c r="BT288" s="239">
        <v>976826</v>
      </c>
      <c r="BU288" s="239">
        <v>-793539</v>
      </c>
      <c r="BV288" s="239">
        <v>-777669</v>
      </c>
      <c r="BW288" s="239">
        <v>0</v>
      </c>
      <c r="BX288" s="239">
        <v>-15871</v>
      </c>
      <c r="BY288" s="239">
        <v>-1587079</v>
      </c>
      <c r="BZ288" s="239">
        <v>-1820522</v>
      </c>
      <c r="CA288" s="239">
        <v>-1784112</v>
      </c>
      <c r="CB288" s="239">
        <v>0</v>
      </c>
      <c r="CC288" s="239">
        <v>-36411</v>
      </c>
      <c r="CD288" s="239">
        <v>-3641045</v>
      </c>
      <c r="CE288" s="239">
        <v>-246820</v>
      </c>
      <c r="CF288" s="239">
        <v>-241883</v>
      </c>
      <c r="CG288" s="239">
        <v>0</v>
      </c>
      <c r="CH288" s="239">
        <v>-4936</v>
      </c>
      <c r="CI288" s="239">
        <v>-493639</v>
      </c>
      <c r="CJ288" s="239">
        <v>-51782</v>
      </c>
      <c r="CK288" s="239">
        <v>-50746</v>
      </c>
      <c r="CL288" s="239">
        <v>0</v>
      </c>
      <c r="CM288" s="239">
        <v>-1036</v>
      </c>
      <c r="CN288" s="239">
        <v>-103564</v>
      </c>
      <c r="CO288" s="239">
        <v>-195038</v>
      </c>
      <c r="CP288" s="239">
        <v>-191137</v>
      </c>
      <c r="CQ288" s="239">
        <v>0</v>
      </c>
      <c r="CR288" s="239">
        <v>-3900</v>
      </c>
      <c r="CS288" s="239">
        <v>-390075</v>
      </c>
      <c r="CT288" s="239">
        <v>15229083</v>
      </c>
      <c r="CU288" s="239">
        <v>14924501</v>
      </c>
      <c r="CV288" s="239">
        <v>0</v>
      </c>
      <c r="CW288" s="239">
        <v>304582</v>
      </c>
      <c r="CX288" s="239">
        <v>30458166</v>
      </c>
      <c r="CY288" s="239">
        <v>14998614</v>
      </c>
      <c r="CZ288" s="239">
        <v>14698641</v>
      </c>
      <c r="DA288" s="239">
        <v>0</v>
      </c>
      <c r="DB288" s="239">
        <v>299972</v>
      </c>
      <c r="DC288" s="239">
        <v>29997227</v>
      </c>
      <c r="DD288" s="239">
        <v>-230469</v>
      </c>
      <c r="DE288" s="239">
        <v>-225860</v>
      </c>
      <c r="DF288" s="239">
        <v>0</v>
      </c>
      <c r="DG288" s="239">
        <v>-4610</v>
      </c>
      <c r="DH288" s="239">
        <v>-460939</v>
      </c>
      <c r="DI288" s="239">
        <v>-425507</v>
      </c>
      <c r="DJ288" s="239">
        <v>-416997</v>
      </c>
      <c r="DK288" s="239">
        <v>0</v>
      </c>
      <c r="DL288" s="239">
        <v>-8510</v>
      </c>
      <c r="DM288" s="239">
        <v>-851014</v>
      </c>
      <c r="DN288" s="835">
        <v>0.5</v>
      </c>
      <c r="DO288" s="835">
        <v>0.49</v>
      </c>
      <c r="DP288" s="835">
        <v>0</v>
      </c>
      <c r="DQ288" s="835">
        <v>0.01</v>
      </c>
      <c r="DR288" s="835">
        <v>1</v>
      </c>
      <c r="DS288" s="214" t="s">
        <v>746</v>
      </c>
      <c r="DU288" s="214">
        <v>0</v>
      </c>
    </row>
    <row r="289" spans="2:125" s="214" customFormat="1" x14ac:dyDescent="0.2">
      <c r="B289" s="602" t="s">
        <v>661</v>
      </c>
      <c r="C289" s="602" t="s">
        <v>660</v>
      </c>
      <c r="D289" s="239">
        <v>5556670</v>
      </c>
      <c r="E289" s="239">
        <v>4445336</v>
      </c>
      <c r="F289" s="239">
        <v>1000201</v>
      </c>
      <c r="G289" s="239">
        <v>111133</v>
      </c>
      <c r="H289" s="239">
        <v>11113340</v>
      </c>
      <c r="I289" s="239">
        <v>0</v>
      </c>
      <c r="J289" s="239">
        <v>0</v>
      </c>
      <c r="K289" s="239">
        <v>5556670</v>
      </c>
      <c r="L289" s="239">
        <v>132592</v>
      </c>
      <c r="M289" s="239">
        <v>132592</v>
      </c>
      <c r="N289" s="239">
        <v>0</v>
      </c>
      <c r="O289" s="239">
        <v>0</v>
      </c>
      <c r="P289" s="239">
        <v>802736</v>
      </c>
      <c r="Q289" s="239">
        <v>0</v>
      </c>
      <c r="R289" s="239">
        <v>802736</v>
      </c>
      <c r="S289" s="239">
        <v>0</v>
      </c>
      <c r="T289" s="239">
        <v>0</v>
      </c>
      <c r="U289" s="239">
        <v>0</v>
      </c>
      <c r="V289" s="239">
        <v>0</v>
      </c>
      <c r="W289" s="239">
        <v>0</v>
      </c>
      <c r="X289" s="239">
        <v>0</v>
      </c>
      <c r="Y289" s="239">
        <v>0</v>
      </c>
      <c r="Z289" s="239">
        <v>0</v>
      </c>
      <c r="AA289" s="239">
        <v>0</v>
      </c>
      <c r="AB289" s="239">
        <v>0</v>
      </c>
      <c r="AC289" s="239">
        <v>1236051</v>
      </c>
      <c r="AD289" s="239">
        <v>275398</v>
      </c>
      <c r="AE289" s="239">
        <v>30600</v>
      </c>
      <c r="AF289" s="239">
        <v>1542049</v>
      </c>
      <c r="AG289" s="239">
        <v>234974</v>
      </c>
      <c r="AH289" s="239">
        <v>187979</v>
      </c>
      <c r="AI289" s="239">
        <v>42295</v>
      </c>
      <c r="AJ289" s="239">
        <v>4699</v>
      </c>
      <c r="AK289" s="239">
        <v>469947</v>
      </c>
      <c r="AL289" s="239">
        <v>-128499</v>
      </c>
      <c r="AM289" s="239">
        <v>-102800</v>
      </c>
      <c r="AN289" s="239">
        <v>-23130</v>
      </c>
      <c r="AO289" s="239">
        <v>-2570</v>
      </c>
      <c r="AP289" s="239">
        <v>-256999</v>
      </c>
      <c r="AQ289" s="239">
        <v>-46486</v>
      </c>
      <c r="AR289" s="239">
        <v>-37190</v>
      </c>
      <c r="AS289" s="239">
        <v>-8368</v>
      </c>
      <c r="AT289" s="239">
        <v>-930</v>
      </c>
      <c r="AU289" s="239">
        <v>-92974</v>
      </c>
      <c r="AV289" s="239">
        <v>11481</v>
      </c>
      <c r="AW289" s="239">
        <v>9185</v>
      </c>
      <c r="AX289" s="239">
        <v>2067</v>
      </c>
      <c r="AY289" s="239">
        <v>230</v>
      </c>
      <c r="AZ289" s="239">
        <v>22963</v>
      </c>
      <c r="BA289" s="239">
        <v>-21160</v>
      </c>
      <c r="BB289" s="239">
        <v>-16928</v>
      </c>
      <c r="BC289" s="239">
        <v>-3809</v>
      </c>
      <c r="BD289" s="239">
        <v>-423</v>
      </c>
      <c r="BE289" s="239">
        <v>-42320</v>
      </c>
      <c r="BF289" s="239">
        <v>-56165</v>
      </c>
      <c r="BG289" s="239">
        <v>-44933</v>
      </c>
      <c r="BH289" s="239">
        <v>-10110</v>
      </c>
      <c r="BI289" s="239">
        <v>-1123</v>
      </c>
      <c r="BJ289" s="239">
        <v>-112331</v>
      </c>
      <c r="BK289" s="239">
        <v>-645780</v>
      </c>
      <c r="BL289" s="239">
        <v>-516625</v>
      </c>
      <c r="BM289" s="239">
        <v>-116241</v>
      </c>
      <c r="BN289" s="239">
        <v>-12916</v>
      </c>
      <c r="BO289" s="239">
        <v>-1291562</v>
      </c>
      <c r="BP289" s="239">
        <v>106902</v>
      </c>
      <c r="BQ289" s="239">
        <v>85522</v>
      </c>
      <c r="BR289" s="239">
        <v>19242</v>
      </c>
      <c r="BS289" s="239">
        <v>2138</v>
      </c>
      <c r="BT289" s="239">
        <v>213804</v>
      </c>
      <c r="BU289" s="239">
        <v>104952</v>
      </c>
      <c r="BV289" s="239">
        <v>83962</v>
      </c>
      <c r="BW289" s="239">
        <v>18891</v>
      </c>
      <c r="BX289" s="239">
        <v>2099</v>
      </c>
      <c r="BY289" s="239">
        <v>209904</v>
      </c>
      <c r="BZ289" s="239">
        <v>-433926</v>
      </c>
      <c r="CA289" s="239">
        <v>-347141</v>
      </c>
      <c r="CB289" s="239">
        <v>-78108</v>
      </c>
      <c r="CC289" s="239">
        <v>-8679</v>
      </c>
      <c r="CD289" s="239">
        <v>-867854</v>
      </c>
      <c r="CE289" s="239">
        <v>-363333</v>
      </c>
      <c r="CF289" s="239">
        <v>-290667</v>
      </c>
      <c r="CG289" s="239">
        <v>-65401</v>
      </c>
      <c r="CH289" s="239">
        <v>-7266</v>
      </c>
      <c r="CI289" s="239">
        <v>-726667</v>
      </c>
      <c r="CJ289" s="239">
        <v>-656364</v>
      </c>
      <c r="CK289" s="239">
        <v>-525092</v>
      </c>
      <c r="CL289" s="239">
        <v>-118146</v>
      </c>
      <c r="CM289" s="239">
        <v>-13127</v>
      </c>
      <c r="CN289" s="239">
        <v>-1312729</v>
      </c>
      <c r="CO289" s="239">
        <v>293031</v>
      </c>
      <c r="CP289" s="239">
        <v>234425</v>
      </c>
      <c r="CQ289" s="239">
        <v>52745</v>
      </c>
      <c r="CR289" s="239">
        <v>5861</v>
      </c>
      <c r="CS289" s="239">
        <v>586062</v>
      </c>
      <c r="CT289" s="239">
        <v>5271376</v>
      </c>
      <c r="CU289" s="239">
        <v>4217101</v>
      </c>
      <c r="CV289" s="239">
        <v>948848</v>
      </c>
      <c r="CW289" s="239">
        <v>105428</v>
      </c>
      <c r="CX289" s="239">
        <v>10542753</v>
      </c>
      <c r="CY289" s="239">
        <v>5556670</v>
      </c>
      <c r="CZ289" s="239">
        <v>4445336</v>
      </c>
      <c r="DA289" s="239">
        <v>1000201</v>
      </c>
      <c r="DB289" s="239">
        <v>111133</v>
      </c>
      <c r="DC289" s="239">
        <v>11113340</v>
      </c>
      <c r="DD289" s="239">
        <v>285294</v>
      </c>
      <c r="DE289" s="239">
        <v>228235</v>
      </c>
      <c r="DF289" s="239">
        <v>51353</v>
      </c>
      <c r="DG289" s="239">
        <v>5705</v>
      </c>
      <c r="DH289" s="239">
        <v>570587</v>
      </c>
      <c r="DI289" s="239">
        <v>578325</v>
      </c>
      <c r="DJ289" s="239">
        <v>462660</v>
      </c>
      <c r="DK289" s="239">
        <v>104098</v>
      </c>
      <c r="DL289" s="239">
        <v>11566</v>
      </c>
      <c r="DM289" s="239">
        <v>1156649</v>
      </c>
      <c r="DN289" s="835">
        <v>0.5</v>
      </c>
      <c r="DO289" s="835">
        <v>0.4</v>
      </c>
      <c r="DP289" s="835">
        <v>0.09</v>
      </c>
      <c r="DQ289" s="835">
        <v>0.01</v>
      </c>
      <c r="DR289" s="835">
        <v>1</v>
      </c>
      <c r="DS289" s="214" t="s">
        <v>1158</v>
      </c>
      <c r="DU289" s="214">
        <v>0</v>
      </c>
    </row>
    <row r="290" spans="2:125" s="214" customFormat="1" x14ac:dyDescent="0.2">
      <c r="B290" s="602" t="s">
        <v>663</v>
      </c>
      <c r="C290" s="602" t="s">
        <v>662</v>
      </c>
      <c r="D290" s="239">
        <v>139906899</v>
      </c>
      <c r="E290" s="239">
        <v>127188091</v>
      </c>
      <c r="F290" s="239">
        <v>156865312</v>
      </c>
      <c r="G290" s="239">
        <v>0</v>
      </c>
      <c r="H290" s="239">
        <v>423960302</v>
      </c>
      <c r="I290" s="239">
        <v>0</v>
      </c>
      <c r="J290" s="239">
        <v>0</v>
      </c>
      <c r="K290" s="239">
        <v>139906899</v>
      </c>
      <c r="L290" s="239">
        <v>1016741</v>
      </c>
      <c r="M290" s="239">
        <v>1016741</v>
      </c>
      <c r="N290" s="239">
        <v>0</v>
      </c>
      <c r="O290" s="239">
        <v>0</v>
      </c>
      <c r="P290" s="239">
        <v>0</v>
      </c>
      <c r="Q290" s="239">
        <v>0</v>
      </c>
      <c r="R290" s="239">
        <v>0</v>
      </c>
      <c r="S290" s="239">
        <v>0</v>
      </c>
      <c r="T290" s="239">
        <v>0</v>
      </c>
      <c r="U290" s="239">
        <v>0</v>
      </c>
      <c r="V290" s="239">
        <v>0</v>
      </c>
      <c r="W290" s="239">
        <v>0</v>
      </c>
      <c r="X290" s="239">
        <v>0</v>
      </c>
      <c r="Y290" s="239">
        <v>0</v>
      </c>
      <c r="Z290" s="239">
        <v>0</v>
      </c>
      <c r="AA290" s="239">
        <v>0</v>
      </c>
      <c r="AB290" s="239">
        <v>0</v>
      </c>
      <c r="AC290" s="239">
        <v>5553841</v>
      </c>
      <c r="AD290" s="239">
        <v>6849737</v>
      </c>
      <c r="AE290" s="239">
        <v>0</v>
      </c>
      <c r="AF290" s="239">
        <v>12403578</v>
      </c>
      <c r="AG290" s="239">
        <v>5966081</v>
      </c>
      <c r="AH290" s="239">
        <v>5423710</v>
      </c>
      <c r="AI290" s="239">
        <v>6689242</v>
      </c>
      <c r="AJ290" s="239">
        <v>0</v>
      </c>
      <c r="AK290" s="239">
        <v>18079033</v>
      </c>
      <c r="AL290" s="239">
        <v>-12848370</v>
      </c>
      <c r="AM290" s="239">
        <v>-11680337</v>
      </c>
      <c r="AN290" s="239">
        <v>-14405749</v>
      </c>
      <c r="AO290" s="239">
        <v>0</v>
      </c>
      <c r="AP290" s="239">
        <v>-38934456</v>
      </c>
      <c r="AQ290" s="239">
        <v>-2790547</v>
      </c>
      <c r="AR290" s="239">
        <v>-2536862</v>
      </c>
      <c r="AS290" s="239">
        <v>-3128796</v>
      </c>
      <c r="AT290" s="239">
        <v>0</v>
      </c>
      <c r="AU290" s="239">
        <v>-8456205</v>
      </c>
      <c r="AV290" s="239">
        <v>731632</v>
      </c>
      <c r="AW290" s="239">
        <v>665121</v>
      </c>
      <c r="AX290" s="239">
        <v>820316</v>
      </c>
      <c r="AY290" s="239">
        <v>0</v>
      </c>
      <c r="AZ290" s="239">
        <v>2217069</v>
      </c>
      <c r="BA290" s="239">
        <v>-45491</v>
      </c>
      <c r="BB290" s="239">
        <v>-41355</v>
      </c>
      <c r="BC290" s="239">
        <v>-51005</v>
      </c>
      <c r="BD290" s="239">
        <v>0</v>
      </c>
      <c r="BE290" s="239">
        <v>-137851</v>
      </c>
      <c r="BF290" s="239">
        <v>-2104406</v>
      </c>
      <c r="BG290" s="239">
        <v>-1913096</v>
      </c>
      <c r="BH290" s="239">
        <v>-2359485</v>
      </c>
      <c r="BI290" s="239">
        <v>0</v>
      </c>
      <c r="BJ290" s="239">
        <v>-6376987</v>
      </c>
      <c r="BK290" s="239">
        <v>-641923</v>
      </c>
      <c r="BL290" s="239">
        <v>-583566</v>
      </c>
      <c r="BM290" s="239">
        <v>-719731</v>
      </c>
      <c r="BN290" s="239">
        <v>0</v>
      </c>
      <c r="BO290" s="239">
        <v>-1945220</v>
      </c>
      <c r="BP290" s="239">
        <v>3795000</v>
      </c>
      <c r="BQ290" s="239">
        <v>3450000</v>
      </c>
      <c r="BR290" s="239">
        <v>4255000</v>
      </c>
      <c r="BS290" s="239">
        <v>0</v>
      </c>
      <c r="BT290" s="239">
        <v>11500000</v>
      </c>
      <c r="BU290" s="239">
        <v>-6435000</v>
      </c>
      <c r="BV290" s="239">
        <v>-5850000</v>
      </c>
      <c r="BW290" s="239">
        <v>-7215000</v>
      </c>
      <c r="BX290" s="239">
        <v>0</v>
      </c>
      <c r="BY290" s="239">
        <v>-19500000</v>
      </c>
      <c r="BZ290" s="239">
        <v>-3281923</v>
      </c>
      <c r="CA290" s="239">
        <v>-2983566</v>
      </c>
      <c r="CB290" s="239">
        <v>-3679731</v>
      </c>
      <c r="CC290" s="239">
        <v>0</v>
      </c>
      <c r="CD290" s="239">
        <v>-9945220</v>
      </c>
      <c r="CE290" s="239">
        <v>-6799197</v>
      </c>
      <c r="CF290" s="239">
        <v>-4079518</v>
      </c>
      <c r="CG290" s="239">
        <v>-2719679</v>
      </c>
      <c r="CH290" s="239">
        <v>0</v>
      </c>
      <c r="CI290" s="239">
        <v>-13598394</v>
      </c>
      <c r="CJ290" s="239">
        <v>-656829</v>
      </c>
      <c r="CK290" s="239">
        <v>-394098</v>
      </c>
      <c r="CL290" s="239">
        <v>-262732</v>
      </c>
      <c r="CM290" s="239">
        <v>0</v>
      </c>
      <c r="CN290" s="239">
        <v>-1313659</v>
      </c>
      <c r="CO290" s="239">
        <v>-6142368</v>
      </c>
      <c r="CP290" s="239">
        <v>-3685420</v>
      </c>
      <c r="CQ290" s="239">
        <v>-2456947</v>
      </c>
      <c r="CR290" s="239">
        <v>0</v>
      </c>
      <c r="CS290" s="239">
        <v>-12284735</v>
      </c>
      <c r="CT290" s="239">
        <v>148075030</v>
      </c>
      <c r="CU290" s="239">
        <v>134613664</v>
      </c>
      <c r="CV290" s="239">
        <v>166023519</v>
      </c>
      <c r="CW290" s="239">
        <v>0</v>
      </c>
      <c r="CX290" s="239">
        <v>448712213</v>
      </c>
      <c r="CY290" s="239">
        <v>139906899</v>
      </c>
      <c r="CZ290" s="239">
        <v>127188091</v>
      </c>
      <c r="DA290" s="239">
        <v>156865312</v>
      </c>
      <c r="DB290" s="239">
        <v>0</v>
      </c>
      <c r="DC290" s="239">
        <v>423960302</v>
      </c>
      <c r="DD290" s="239">
        <v>-8168131</v>
      </c>
      <c r="DE290" s="239">
        <v>-7425573</v>
      </c>
      <c r="DF290" s="239">
        <v>-9158207</v>
      </c>
      <c r="DG290" s="239">
        <v>0</v>
      </c>
      <c r="DH290" s="239">
        <v>-24751911</v>
      </c>
      <c r="DI290" s="239">
        <v>-14310499</v>
      </c>
      <c r="DJ290" s="239">
        <v>-11110993</v>
      </c>
      <c r="DK290" s="239">
        <v>-11615154</v>
      </c>
      <c r="DL290" s="239">
        <v>0</v>
      </c>
      <c r="DM290" s="239">
        <v>-37036646</v>
      </c>
      <c r="DN290" s="835">
        <v>0.33</v>
      </c>
      <c r="DO290" s="835">
        <v>0.3</v>
      </c>
      <c r="DP290" s="835">
        <v>0.37</v>
      </c>
      <c r="DQ290" s="835">
        <v>0</v>
      </c>
      <c r="DR290" s="835">
        <v>1</v>
      </c>
      <c r="DS290" s="214" t="s">
        <v>1161</v>
      </c>
      <c r="DU290" s="214">
        <v>0</v>
      </c>
    </row>
    <row r="291" spans="2:125" s="214" customFormat="1" x14ac:dyDescent="0.2">
      <c r="B291" s="602" t="s">
        <v>665</v>
      </c>
      <c r="C291" s="602" t="s">
        <v>664</v>
      </c>
      <c r="D291" s="239">
        <v>0</v>
      </c>
      <c r="E291" s="239">
        <v>151837629</v>
      </c>
      <c r="F291" s="239">
        <v>0</v>
      </c>
      <c r="G291" s="239">
        <v>1533713</v>
      </c>
      <c r="H291" s="239">
        <v>153371342</v>
      </c>
      <c r="I291" s="239">
        <v>0</v>
      </c>
      <c r="J291" s="239">
        <v>0</v>
      </c>
      <c r="K291" s="239">
        <v>0</v>
      </c>
      <c r="L291" s="239">
        <v>442753</v>
      </c>
      <c r="M291" s="239">
        <v>442753</v>
      </c>
      <c r="N291" s="239">
        <v>0</v>
      </c>
      <c r="O291" s="239">
        <v>0</v>
      </c>
      <c r="P291" s="239">
        <v>82347</v>
      </c>
      <c r="Q291" s="239">
        <v>0</v>
      </c>
      <c r="R291" s="239">
        <v>82347</v>
      </c>
      <c r="S291" s="239">
        <v>0</v>
      </c>
      <c r="T291" s="239">
        <v>0</v>
      </c>
      <c r="U291" s="239">
        <v>0</v>
      </c>
      <c r="V291" s="239">
        <v>0</v>
      </c>
      <c r="W291" s="239">
        <v>0</v>
      </c>
      <c r="X291" s="239">
        <v>0</v>
      </c>
      <c r="Y291" s="239">
        <v>0</v>
      </c>
      <c r="Z291" s="239">
        <v>0</v>
      </c>
      <c r="AA291" s="239">
        <v>0</v>
      </c>
      <c r="AB291" s="239">
        <v>0</v>
      </c>
      <c r="AC291" s="239">
        <v>8183888</v>
      </c>
      <c r="AD291" s="239">
        <v>0</v>
      </c>
      <c r="AE291" s="239">
        <v>82654</v>
      </c>
      <c r="AF291" s="239">
        <v>8266542</v>
      </c>
      <c r="AG291" s="239">
        <v>0</v>
      </c>
      <c r="AH291" s="239">
        <v>13114832</v>
      </c>
      <c r="AI291" s="239">
        <v>0</v>
      </c>
      <c r="AJ291" s="239">
        <v>132473</v>
      </c>
      <c r="AK291" s="239">
        <v>13247305</v>
      </c>
      <c r="AL291" s="239">
        <v>0</v>
      </c>
      <c r="AM291" s="239">
        <v>-6670866</v>
      </c>
      <c r="AN291" s="239">
        <v>0</v>
      </c>
      <c r="AO291" s="239">
        <v>-67382</v>
      </c>
      <c r="AP291" s="239">
        <v>-6738248</v>
      </c>
      <c r="AQ291" s="239">
        <v>-0.40000000037252903</v>
      </c>
      <c r="AR291" s="239">
        <v>-8068518</v>
      </c>
      <c r="AS291" s="239">
        <v>0</v>
      </c>
      <c r="AT291" s="239">
        <v>-81500</v>
      </c>
      <c r="AU291" s="239">
        <v>-8150018.4000000004</v>
      </c>
      <c r="AV291" s="239">
        <v>0</v>
      </c>
      <c r="AW291" s="239">
        <v>413984</v>
      </c>
      <c r="AX291" s="239">
        <v>0</v>
      </c>
      <c r="AY291" s="239">
        <v>4182</v>
      </c>
      <c r="AZ291" s="239">
        <v>418166</v>
      </c>
      <c r="BA291" s="239">
        <v>0</v>
      </c>
      <c r="BB291" s="239">
        <v>-1576195</v>
      </c>
      <c r="BC291" s="239">
        <v>0</v>
      </c>
      <c r="BD291" s="239">
        <v>-15921</v>
      </c>
      <c r="BE291" s="239">
        <v>-1592116</v>
      </c>
      <c r="BF291" s="239">
        <v>-0.40000000037252903</v>
      </c>
      <c r="BG291" s="239">
        <v>-9230729</v>
      </c>
      <c r="BH291" s="239">
        <v>0</v>
      </c>
      <c r="BI291" s="239">
        <v>-93239</v>
      </c>
      <c r="BJ291" s="239">
        <v>-9323968.4000000004</v>
      </c>
      <c r="BK291" s="239">
        <v>0</v>
      </c>
      <c r="BL291" s="239">
        <v>-39579082</v>
      </c>
      <c r="BM291" s="239">
        <v>0</v>
      </c>
      <c r="BN291" s="239">
        <v>-399789</v>
      </c>
      <c r="BO291" s="239">
        <v>-39978871</v>
      </c>
      <c r="BP291" s="239">
        <v>0</v>
      </c>
      <c r="BQ291" s="239">
        <v>11381505</v>
      </c>
      <c r="BR291" s="239">
        <v>0</v>
      </c>
      <c r="BS291" s="239">
        <v>114965</v>
      </c>
      <c r="BT291" s="239">
        <v>11496470</v>
      </c>
      <c r="BU291" s="239">
        <v>0</v>
      </c>
      <c r="BV291" s="239">
        <v>-10761862</v>
      </c>
      <c r="BW291" s="239">
        <v>0</v>
      </c>
      <c r="BX291" s="239">
        <v>-108706</v>
      </c>
      <c r="BY291" s="239">
        <v>-10870568</v>
      </c>
      <c r="BZ291" s="239">
        <v>0</v>
      </c>
      <c r="CA291" s="239">
        <v>-38959439</v>
      </c>
      <c r="CB291" s="239">
        <v>0</v>
      </c>
      <c r="CC291" s="239">
        <v>-393530</v>
      </c>
      <c r="CD291" s="239">
        <v>-39352969</v>
      </c>
      <c r="CE291" s="239">
        <v>-6010310</v>
      </c>
      <c r="CF291" s="239">
        <v>-5890104</v>
      </c>
      <c r="CG291" s="239">
        <v>0</v>
      </c>
      <c r="CH291" s="239">
        <v>-120207</v>
      </c>
      <c r="CI291" s="239">
        <v>-12020621</v>
      </c>
      <c r="CJ291" s="239">
        <v>-647176</v>
      </c>
      <c r="CK291" s="239">
        <v>-634232</v>
      </c>
      <c r="CL291" s="239">
        <v>0</v>
      </c>
      <c r="CM291" s="239">
        <v>-12944</v>
      </c>
      <c r="CN291" s="239">
        <v>-1294352</v>
      </c>
      <c r="CO291" s="239">
        <v>-5363134</v>
      </c>
      <c r="CP291" s="239">
        <v>-5255872</v>
      </c>
      <c r="CQ291" s="239">
        <v>0</v>
      </c>
      <c r="CR291" s="239">
        <v>-107263</v>
      </c>
      <c r="CS291" s="239">
        <v>-10726269</v>
      </c>
      <c r="CT291" s="239">
        <v>0</v>
      </c>
      <c r="CU291" s="239">
        <v>150656414</v>
      </c>
      <c r="CV291" s="239">
        <v>0</v>
      </c>
      <c r="CW291" s="239">
        <v>1521782</v>
      </c>
      <c r="CX291" s="239">
        <v>152178196</v>
      </c>
      <c r="CY291" s="239">
        <v>0</v>
      </c>
      <c r="CZ291" s="239">
        <v>151837629</v>
      </c>
      <c r="DA291" s="239">
        <v>0</v>
      </c>
      <c r="DB291" s="239">
        <v>1533713</v>
      </c>
      <c r="DC291" s="239">
        <v>153371342</v>
      </c>
      <c r="DD291" s="239">
        <v>0</v>
      </c>
      <c r="DE291" s="239">
        <v>1181215</v>
      </c>
      <c r="DF291" s="239">
        <v>0</v>
      </c>
      <c r="DG291" s="239">
        <v>11931</v>
      </c>
      <c r="DH291" s="239">
        <v>1193146</v>
      </c>
      <c r="DI291" s="239">
        <v>-5363134</v>
      </c>
      <c r="DJ291" s="239">
        <v>-4074657</v>
      </c>
      <c r="DK291" s="239">
        <v>0</v>
      </c>
      <c r="DL291" s="239">
        <v>-95332</v>
      </c>
      <c r="DM291" s="239">
        <v>-9533123</v>
      </c>
      <c r="DN291" s="835">
        <v>0</v>
      </c>
      <c r="DO291" s="835">
        <v>0.99</v>
      </c>
      <c r="DP291" s="835">
        <v>0</v>
      </c>
      <c r="DQ291" s="835">
        <v>0.01</v>
      </c>
      <c r="DR291" s="835">
        <v>1</v>
      </c>
      <c r="DS291" s="214" t="s">
        <v>1160</v>
      </c>
      <c r="DU291" s="214">
        <v>0</v>
      </c>
    </row>
    <row r="292" spans="2:125" s="214" customFormat="1" x14ac:dyDescent="0.2">
      <c r="B292" s="602" t="s">
        <v>667</v>
      </c>
      <c r="C292" s="602" t="s">
        <v>666</v>
      </c>
      <c r="D292" s="239">
        <v>26294613.93</v>
      </c>
      <c r="E292" s="239">
        <v>21035690</v>
      </c>
      <c r="F292" s="239">
        <v>4733030</v>
      </c>
      <c r="G292" s="239">
        <v>525892</v>
      </c>
      <c r="H292" s="239">
        <v>52589225.93</v>
      </c>
      <c r="I292" s="239">
        <v>0</v>
      </c>
      <c r="J292" s="239">
        <v>0</v>
      </c>
      <c r="K292" s="239">
        <v>26294613.93</v>
      </c>
      <c r="L292" s="239">
        <v>172841</v>
      </c>
      <c r="M292" s="239">
        <v>172841</v>
      </c>
      <c r="N292" s="239">
        <v>0</v>
      </c>
      <c r="O292" s="239">
        <v>0</v>
      </c>
      <c r="P292" s="239">
        <v>108925</v>
      </c>
      <c r="Q292" s="239">
        <v>0</v>
      </c>
      <c r="R292" s="239">
        <v>108925</v>
      </c>
      <c r="S292" s="239">
        <v>0</v>
      </c>
      <c r="T292" s="239">
        <v>0</v>
      </c>
      <c r="U292" s="239">
        <v>0</v>
      </c>
      <c r="V292" s="239">
        <v>0</v>
      </c>
      <c r="W292" s="239">
        <v>0</v>
      </c>
      <c r="X292" s="239">
        <v>0</v>
      </c>
      <c r="Y292" s="239">
        <v>0</v>
      </c>
      <c r="Z292" s="239">
        <v>0</v>
      </c>
      <c r="AA292" s="239">
        <v>0</v>
      </c>
      <c r="AB292" s="239">
        <v>0</v>
      </c>
      <c r="AC292" s="239">
        <v>1567821</v>
      </c>
      <c r="AD292" s="239">
        <v>352392</v>
      </c>
      <c r="AE292" s="239">
        <v>39156</v>
      </c>
      <c r="AF292" s="239">
        <v>1959369</v>
      </c>
      <c r="AG292" s="239">
        <v>835762</v>
      </c>
      <c r="AH292" s="239">
        <v>668610</v>
      </c>
      <c r="AI292" s="239">
        <v>150437</v>
      </c>
      <c r="AJ292" s="239">
        <v>16715</v>
      </c>
      <c r="AK292" s="239">
        <v>1671524</v>
      </c>
      <c r="AL292" s="239">
        <v>-345391</v>
      </c>
      <c r="AM292" s="239">
        <v>-276312</v>
      </c>
      <c r="AN292" s="239">
        <v>-62170</v>
      </c>
      <c r="AO292" s="239">
        <v>-6908</v>
      </c>
      <c r="AP292" s="239">
        <v>-690781</v>
      </c>
      <c r="AQ292" s="239">
        <v>-980935</v>
      </c>
      <c r="AR292" s="239">
        <v>-784748</v>
      </c>
      <c r="AS292" s="239">
        <v>-176568</v>
      </c>
      <c r="AT292" s="239">
        <v>-19619</v>
      </c>
      <c r="AU292" s="239">
        <v>-1961870</v>
      </c>
      <c r="AV292" s="239">
        <v>0</v>
      </c>
      <c r="AW292" s="239">
        <v>0</v>
      </c>
      <c r="AX292" s="239">
        <v>0</v>
      </c>
      <c r="AY292" s="239">
        <v>0</v>
      </c>
      <c r="AZ292" s="239">
        <v>0</v>
      </c>
      <c r="BA292" s="239">
        <v>156489.71000000002</v>
      </c>
      <c r="BB292" s="239">
        <v>125191</v>
      </c>
      <c r="BC292" s="239">
        <v>28168</v>
      </c>
      <c r="BD292" s="239">
        <v>3130</v>
      </c>
      <c r="BE292" s="239">
        <v>312978.71000000002</v>
      </c>
      <c r="BF292" s="239">
        <v>-824445.29</v>
      </c>
      <c r="BG292" s="239">
        <v>-659557</v>
      </c>
      <c r="BH292" s="239">
        <v>-148400</v>
      </c>
      <c r="BI292" s="239">
        <v>-16489</v>
      </c>
      <c r="BJ292" s="239">
        <v>-1648891.29</v>
      </c>
      <c r="BK292" s="239">
        <v>-2426226</v>
      </c>
      <c r="BL292" s="239">
        <v>-1940982</v>
      </c>
      <c r="BM292" s="239">
        <v>-436721</v>
      </c>
      <c r="BN292" s="239">
        <v>-48525</v>
      </c>
      <c r="BO292" s="239">
        <v>-4852454</v>
      </c>
      <c r="BP292" s="239">
        <v>0</v>
      </c>
      <c r="BQ292" s="239">
        <v>0</v>
      </c>
      <c r="BR292" s="239">
        <v>0</v>
      </c>
      <c r="BS292" s="239">
        <v>0</v>
      </c>
      <c r="BT292" s="239">
        <v>0</v>
      </c>
      <c r="BU292" s="239">
        <v>-872716.07000000007</v>
      </c>
      <c r="BV292" s="239">
        <v>-698173</v>
      </c>
      <c r="BW292" s="239">
        <v>-157089</v>
      </c>
      <c r="BX292" s="239">
        <v>-17454</v>
      </c>
      <c r="BY292" s="239">
        <v>-1745432.07</v>
      </c>
      <c r="BZ292" s="239">
        <v>-3298942.0700000003</v>
      </c>
      <c r="CA292" s="239">
        <v>-2639155</v>
      </c>
      <c r="CB292" s="239">
        <v>-593810</v>
      </c>
      <c r="CC292" s="239">
        <v>-65979</v>
      </c>
      <c r="CD292" s="239">
        <v>-6597886.0700000003</v>
      </c>
      <c r="CE292" s="239">
        <v>321018</v>
      </c>
      <c r="CF292" s="239">
        <v>256813</v>
      </c>
      <c r="CG292" s="239">
        <v>57783</v>
      </c>
      <c r="CH292" s="239">
        <v>6420</v>
      </c>
      <c r="CI292" s="239">
        <v>642034</v>
      </c>
      <c r="CJ292" s="239">
        <v>-128825</v>
      </c>
      <c r="CK292" s="239">
        <v>-103059</v>
      </c>
      <c r="CL292" s="239">
        <v>-23188</v>
      </c>
      <c r="CM292" s="239">
        <v>-2576</v>
      </c>
      <c r="CN292" s="239">
        <v>-257648</v>
      </c>
      <c r="CO292" s="239">
        <v>449843</v>
      </c>
      <c r="CP292" s="239">
        <v>359872</v>
      </c>
      <c r="CQ292" s="239">
        <v>80971</v>
      </c>
      <c r="CR292" s="239">
        <v>8996</v>
      </c>
      <c r="CS292" s="239">
        <v>899682</v>
      </c>
      <c r="CT292" s="239">
        <v>27241588</v>
      </c>
      <c r="CU292" s="239">
        <v>21793270</v>
      </c>
      <c r="CV292" s="239">
        <v>4903486</v>
      </c>
      <c r="CW292" s="239">
        <v>544832</v>
      </c>
      <c r="CX292" s="239">
        <v>54483176</v>
      </c>
      <c r="CY292" s="239">
        <v>26294613.93</v>
      </c>
      <c r="CZ292" s="239">
        <v>21035690</v>
      </c>
      <c r="DA292" s="239">
        <v>4733030</v>
      </c>
      <c r="DB292" s="239">
        <v>525892</v>
      </c>
      <c r="DC292" s="239">
        <v>52589225.93</v>
      </c>
      <c r="DD292" s="239">
        <v>-946974.0700000003</v>
      </c>
      <c r="DE292" s="239">
        <v>-757580</v>
      </c>
      <c r="DF292" s="239">
        <v>-170456</v>
      </c>
      <c r="DG292" s="239">
        <v>-18940</v>
      </c>
      <c r="DH292" s="239">
        <v>-1893950.0700000003</v>
      </c>
      <c r="DI292" s="239">
        <v>-497131.0700000003</v>
      </c>
      <c r="DJ292" s="239">
        <v>-397708</v>
      </c>
      <c r="DK292" s="239">
        <v>-89485</v>
      </c>
      <c r="DL292" s="239">
        <v>-9944</v>
      </c>
      <c r="DM292" s="239">
        <v>-994268.0700000003</v>
      </c>
      <c r="DN292" s="835">
        <v>0.5</v>
      </c>
      <c r="DO292" s="835">
        <v>0.4</v>
      </c>
      <c r="DP292" s="835">
        <v>0.09</v>
      </c>
      <c r="DQ292" s="835">
        <v>0.01</v>
      </c>
      <c r="DR292" s="835">
        <v>1</v>
      </c>
      <c r="DS292" s="214" t="s">
        <v>1158</v>
      </c>
      <c r="DU292" s="214">
        <v>0</v>
      </c>
    </row>
    <row r="293" spans="2:125" s="214" customFormat="1" x14ac:dyDescent="0.2">
      <c r="B293" s="602" t="s">
        <v>669</v>
      </c>
      <c r="C293" s="602" t="s">
        <v>668</v>
      </c>
      <c r="D293" s="239">
        <v>19798514</v>
      </c>
      <c r="E293" s="239">
        <v>15838811</v>
      </c>
      <c r="F293" s="239">
        <v>3563732</v>
      </c>
      <c r="G293" s="239">
        <v>395970</v>
      </c>
      <c r="H293" s="239">
        <v>39597027</v>
      </c>
      <c r="I293" s="239">
        <v>0</v>
      </c>
      <c r="J293" s="239">
        <v>0</v>
      </c>
      <c r="K293" s="239">
        <v>19798514</v>
      </c>
      <c r="L293" s="239">
        <v>138766</v>
      </c>
      <c r="M293" s="239">
        <v>138766</v>
      </c>
      <c r="N293" s="239">
        <v>0</v>
      </c>
      <c r="O293" s="239">
        <v>0</v>
      </c>
      <c r="P293" s="239">
        <v>136903</v>
      </c>
      <c r="Q293" s="239">
        <v>0</v>
      </c>
      <c r="R293" s="239">
        <v>136903</v>
      </c>
      <c r="S293" s="239">
        <v>0</v>
      </c>
      <c r="T293" s="239">
        <v>0</v>
      </c>
      <c r="U293" s="239">
        <v>0</v>
      </c>
      <c r="V293" s="239">
        <v>0</v>
      </c>
      <c r="W293" s="239">
        <v>0</v>
      </c>
      <c r="X293" s="239">
        <v>0</v>
      </c>
      <c r="Y293" s="239">
        <v>0</v>
      </c>
      <c r="Z293" s="239">
        <v>0</v>
      </c>
      <c r="AA293" s="239">
        <v>0</v>
      </c>
      <c r="AB293" s="239">
        <v>0</v>
      </c>
      <c r="AC293" s="239">
        <v>1304848</v>
      </c>
      <c r="AD293" s="239">
        <v>293129</v>
      </c>
      <c r="AE293" s="239">
        <v>32569</v>
      </c>
      <c r="AF293" s="239">
        <v>1630546</v>
      </c>
      <c r="AG293" s="239">
        <v>703965</v>
      </c>
      <c r="AH293" s="239">
        <v>563172</v>
      </c>
      <c r="AI293" s="239">
        <v>126714</v>
      </c>
      <c r="AJ293" s="239">
        <v>14079</v>
      </c>
      <c r="AK293" s="239">
        <v>1407930</v>
      </c>
      <c r="AL293" s="239">
        <v>-269541</v>
      </c>
      <c r="AM293" s="239">
        <v>-215634</v>
      </c>
      <c r="AN293" s="239">
        <v>-48518</v>
      </c>
      <c r="AO293" s="239">
        <v>-5391</v>
      </c>
      <c r="AP293" s="239">
        <v>-539084</v>
      </c>
      <c r="AQ293" s="239">
        <v>-228288</v>
      </c>
      <c r="AR293" s="239">
        <v>-182630</v>
      </c>
      <c r="AS293" s="239">
        <v>-41092</v>
      </c>
      <c r="AT293" s="239">
        <v>-4566</v>
      </c>
      <c r="AU293" s="239">
        <v>-456576</v>
      </c>
      <c r="AV293" s="239">
        <v>23384</v>
      </c>
      <c r="AW293" s="239">
        <v>18707</v>
      </c>
      <c r="AX293" s="239">
        <v>4209</v>
      </c>
      <c r="AY293" s="239">
        <v>468</v>
      </c>
      <c r="AZ293" s="239">
        <v>46768</v>
      </c>
      <c r="BA293" s="239">
        <v>-165033</v>
      </c>
      <c r="BB293" s="239">
        <v>-132027</v>
      </c>
      <c r="BC293" s="239">
        <v>-29706</v>
      </c>
      <c r="BD293" s="239">
        <v>-3301</v>
      </c>
      <c r="BE293" s="239">
        <v>-330067</v>
      </c>
      <c r="BF293" s="239">
        <v>-369937</v>
      </c>
      <c r="BG293" s="239">
        <v>-295950</v>
      </c>
      <c r="BH293" s="239">
        <v>-66589</v>
      </c>
      <c r="BI293" s="239">
        <v>-7399</v>
      </c>
      <c r="BJ293" s="239">
        <v>-739875</v>
      </c>
      <c r="BK293" s="239">
        <v>-1061718</v>
      </c>
      <c r="BL293" s="239">
        <v>-849374</v>
      </c>
      <c r="BM293" s="239">
        <v>-191109</v>
      </c>
      <c r="BN293" s="239">
        <v>-21234</v>
      </c>
      <c r="BO293" s="239">
        <v>-2123435</v>
      </c>
      <c r="BP293" s="239">
        <v>999929</v>
      </c>
      <c r="BQ293" s="239">
        <v>799943</v>
      </c>
      <c r="BR293" s="239">
        <v>179987</v>
      </c>
      <c r="BS293" s="239">
        <v>19999</v>
      </c>
      <c r="BT293" s="239">
        <v>1999858</v>
      </c>
      <c r="BU293" s="239">
        <v>-2044224</v>
      </c>
      <c r="BV293" s="239">
        <v>-1635378</v>
      </c>
      <c r="BW293" s="239">
        <v>-367960</v>
      </c>
      <c r="BX293" s="239">
        <v>-40884</v>
      </c>
      <c r="BY293" s="239">
        <v>-4088446</v>
      </c>
      <c r="BZ293" s="239">
        <v>-2106013</v>
      </c>
      <c r="CA293" s="239">
        <v>-1684809</v>
      </c>
      <c r="CB293" s="239">
        <v>-379082</v>
      </c>
      <c r="CC293" s="239">
        <v>-42119</v>
      </c>
      <c r="CD293" s="239">
        <v>-4212023</v>
      </c>
      <c r="CE293" s="239">
        <v>-1086523</v>
      </c>
      <c r="CF293" s="239">
        <v>-869220</v>
      </c>
      <c r="CG293" s="239">
        <v>-195574</v>
      </c>
      <c r="CH293" s="239">
        <v>-21731</v>
      </c>
      <c r="CI293" s="239">
        <v>-2173048</v>
      </c>
      <c r="CJ293" s="239">
        <v>-1714669</v>
      </c>
      <c r="CK293" s="239">
        <v>-1371735</v>
      </c>
      <c r="CL293" s="239">
        <v>-308640</v>
      </c>
      <c r="CM293" s="239">
        <v>-34293</v>
      </c>
      <c r="CN293" s="239">
        <v>-3429337</v>
      </c>
      <c r="CO293" s="239">
        <v>628146</v>
      </c>
      <c r="CP293" s="239">
        <v>502515</v>
      </c>
      <c r="CQ293" s="239">
        <v>113066</v>
      </c>
      <c r="CR293" s="239">
        <v>12562</v>
      </c>
      <c r="CS293" s="239">
        <v>1256289</v>
      </c>
      <c r="CT293" s="239">
        <v>20930057</v>
      </c>
      <c r="CU293" s="239">
        <v>16744045</v>
      </c>
      <c r="CV293" s="239">
        <v>3767410</v>
      </c>
      <c r="CW293" s="239">
        <v>418601</v>
      </c>
      <c r="CX293" s="239">
        <v>41860113</v>
      </c>
      <c r="CY293" s="239">
        <v>19798514</v>
      </c>
      <c r="CZ293" s="239">
        <v>15838811</v>
      </c>
      <c r="DA293" s="239">
        <v>3563732</v>
      </c>
      <c r="DB293" s="239">
        <v>395970</v>
      </c>
      <c r="DC293" s="239">
        <v>39597027</v>
      </c>
      <c r="DD293" s="239">
        <v>-1131543</v>
      </c>
      <c r="DE293" s="239">
        <v>-905234</v>
      </c>
      <c r="DF293" s="239">
        <v>-203678</v>
      </c>
      <c r="DG293" s="239">
        <v>-22631</v>
      </c>
      <c r="DH293" s="239">
        <v>-2263086</v>
      </c>
      <c r="DI293" s="239">
        <v>-503397</v>
      </c>
      <c r="DJ293" s="239">
        <v>-402719</v>
      </c>
      <c r="DK293" s="239">
        <v>-90612</v>
      </c>
      <c r="DL293" s="239">
        <v>-10069</v>
      </c>
      <c r="DM293" s="239">
        <v>-1006797</v>
      </c>
      <c r="DN293" s="835">
        <v>0.5</v>
      </c>
      <c r="DO293" s="835">
        <v>0.4</v>
      </c>
      <c r="DP293" s="835">
        <v>0.09</v>
      </c>
      <c r="DQ293" s="835">
        <v>0.01</v>
      </c>
      <c r="DR293" s="835">
        <v>1</v>
      </c>
      <c r="DS293" s="214" t="s">
        <v>1158</v>
      </c>
      <c r="DU293" s="214">
        <v>0</v>
      </c>
    </row>
    <row r="294" spans="2:125" s="214" customFormat="1" x14ac:dyDescent="0.2">
      <c r="B294" s="602" t="s">
        <v>671</v>
      </c>
      <c r="C294" s="602" t="s">
        <v>670</v>
      </c>
      <c r="D294" s="239">
        <v>24483632</v>
      </c>
      <c r="E294" s="239">
        <v>19586905</v>
      </c>
      <c r="F294" s="239">
        <v>4896726</v>
      </c>
      <c r="G294" s="239">
        <v>0</v>
      </c>
      <c r="H294" s="239">
        <v>48967263</v>
      </c>
      <c r="I294" s="239">
        <v>219909</v>
      </c>
      <c r="J294" s="239">
        <v>219909</v>
      </c>
      <c r="K294" s="239">
        <v>24263723</v>
      </c>
      <c r="L294" s="239">
        <v>179515</v>
      </c>
      <c r="M294" s="239">
        <v>179515</v>
      </c>
      <c r="N294" s="239">
        <v>1401495</v>
      </c>
      <c r="O294" s="239">
        <v>1401495</v>
      </c>
      <c r="P294" s="239">
        <v>236429</v>
      </c>
      <c r="Q294" s="239">
        <v>0</v>
      </c>
      <c r="R294" s="239">
        <v>236429</v>
      </c>
      <c r="S294" s="239">
        <v>219909.47424892703</v>
      </c>
      <c r="T294" s="239">
        <v>0</v>
      </c>
      <c r="U294" s="239">
        <v>0</v>
      </c>
      <c r="V294" s="239">
        <v>219909.47424892703</v>
      </c>
      <c r="W294" s="239">
        <v>0</v>
      </c>
      <c r="X294" s="239">
        <v>0</v>
      </c>
      <c r="Y294" s="239">
        <v>0</v>
      </c>
      <c r="Z294" s="239">
        <v>0</v>
      </c>
      <c r="AA294" s="239">
        <v>0</v>
      </c>
      <c r="AB294" s="239">
        <v>0</v>
      </c>
      <c r="AC294" s="239">
        <v>1242324</v>
      </c>
      <c r="AD294" s="239">
        <v>297558</v>
      </c>
      <c r="AE294" s="239">
        <v>0</v>
      </c>
      <c r="AF294" s="239">
        <v>1539882</v>
      </c>
      <c r="AG294" s="239">
        <v>1020118</v>
      </c>
      <c r="AH294" s="239">
        <v>816094</v>
      </c>
      <c r="AI294" s="239">
        <v>204024</v>
      </c>
      <c r="AJ294" s="239">
        <v>0</v>
      </c>
      <c r="AK294" s="239">
        <v>2040236</v>
      </c>
      <c r="AL294" s="239">
        <v>-838964</v>
      </c>
      <c r="AM294" s="239">
        <v>-671172</v>
      </c>
      <c r="AN294" s="239">
        <v>-167793</v>
      </c>
      <c r="AO294" s="239">
        <v>0</v>
      </c>
      <c r="AP294" s="239">
        <v>-1677929</v>
      </c>
      <c r="AQ294" s="239">
        <v>-509435</v>
      </c>
      <c r="AR294" s="239">
        <v>-407548</v>
      </c>
      <c r="AS294" s="239">
        <v>-101887</v>
      </c>
      <c r="AT294" s="239">
        <v>0</v>
      </c>
      <c r="AU294" s="239">
        <v>-1018870</v>
      </c>
      <c r="AV294" s="239">
        <v>509435</v>
      </c>
      <c r="AW294" s="239">
        <v>407548</v>
      </c>
      <c r="AX294" s="239">
        <v>101887</v>
      </c>
      <c r="AY294" s="239">
        <v>0</v>
      </c>
      <c r="AZ294" s="239">
        <v>1018870</v>
      </c>
      <c r="BA294" s="239">
        <v>-720481</v>
      </c>
      <c r="BB294" s="239">
        <v>-576385</v>
      </c>
      <c r="BC294" s="239">
        <v>-144096</v>
      </c>
      <c r="BD294" s="239">
        <v>0</v>
      </c>
      <c r="BE294" s="239">
        <v>-1440962</v>
      </c>
      <c r="BF294" s="239">
        <v>-720481</v>
      </c>
      <c r="BG294" s="239">
        <v>-576385</v>
      </c>
      <c r="BH294" s="239">
        <v>-144096</v>
      </c>
      <c r="BI294" s="239">
        <v>0</v>
      </c>
      <c r="BJ294" s="239">
        <v>-1440962</v>
      </c>
      <c r="BK294" s="239">
        <v>-2077966</v>
      </c>
      <c r="BL294" s="239">
        <v>-1662373</v>
      </c>
      <c r="BM294" s="239">
        <v>-415593</v>
      </c>
      <c r="BN294" s="239">
        <v>0</v>
      </c>
      <c r="BO294" s="239">
        <v>-4155932</v>
      </c>
      <c r="BP294" s="239">
        <v>1502439</v>
      </c>
      <c r="BQ294" s="239">
        <v>1201951</v>
      </c>
      <c r="BR294" s="239">
        <v>300488</v>
      </c>
      <c r="BS294" s="239">
        <v>0</v>
      </c>
      <c r="BT294" s="239">
        <v>3004878</v>
      </c>
      <c r="BU294" s="239">
        <v>-2481253</v>
      </c>
      <c r="BV294" s="239">
        <v>-1985003</v>
      </c>
      <c r="BW294" s="239">
        <v>-496251</v>
      </c>
      <c r="BX294" s="239">
        <v>0</v>
      </c>
      <c r="BY294" s="239">
        <v>-4962507</v>
      </c>
      <c r="BZ294" s="239">
        <v>-3056780</v>
      </c>
      <c r="CA294" s="239">
        <v>-2445425</v>
      </c>
      <c r="CB294" s="239">
        <v>-611356</v>
      </c>
      <c r="CC294" s="239">
        <v>0</v>
      </c>
      <c r="CD294" s="239">
        <v>-6113561</v>
      </c>
      <c r="CE294" s="239">
        <v>-708964</v>
      </c>
      <c r="CF294" s="239">
        <v>-567173</v>
      </c>
      <c r="CG294" s="239">
        <v>-141793</v>
      </c>
      <c r="CH294" s="239">
        <v>0</v>
      </c>
      <c r="CI294" s="239">
        <v>-1417930</v>
      </c>
      <c r="CJ294" s="239">
        <v>-1299203</v>
      </c>
      <c r="CK294" s="239">
        <v>-1039363</v>
      </c>
      <c r="CL294" s="239">
        <v>-259841</v>
      </c>
      <c r="CM294" s="239">
        <v>0</v>
      </c>
      <c r="CN294" s="239">
        <v>-2598407</v>
      </c>
      <c r="CO294" s="239">
        <v>590239</v>
      </c>
      <c r="CP294" s="239">
        <v>472190</v>
      </c>
      <c r="CQ294" s="239">
        <v>118048</v>
      </c>
      <c r="CR294" s="239">
        <v>0</v>
      </c>
      <c r="CS294" s="239">
        <v>1180477</v>
      </c>
      <c r="CT294" s="239">
        <v>26234301</v>
      </c>
      <c r="CU294" s="239">
        <v>20987441</v>
      </c>
      <c r="CV294" s="239">
        <v>5246860</v>
      </c>
      <c r="CW294" s="239">
        <v>0</v>
      </c>
      <c r="CX294" s="239">
        <v>52468602</v>
      </c>
      <c r="CY294" s="239">
        <v>24483632</v>
      </c>
      <c r="CZ294" s="239">
        <v>19586905</v>
      </c>
      <c r="DA294" s="239">
        <v>4896726</v>
      </c>
      <c r="DB294" s="239">
        <v>0</v>
      </c>
      <c r="DC294" s="239">
        <v>48967263</v>
      </c>
      <c r="DD294" s="239">
        <v>-1750669</v>
      </c>
      <c r="DE294" s="239">
        <v>-1400536</v>
      </c>
      <c r="DF294" s="239">
        <v>-350134</v>
      </c>
      <c r="DG294" s="239">
        <v>0</v>
      </c>
      <c r="DH294" s="239">
        <v>-3501339</v>
      </c>
      <c r="DI294" s="239">
        <v>-1160430</v>
      </c>
      <c r="DJ294" s="239">
        <v>-928346</v>
      </c>
      <c r="DK294" s="239">
        <v>-232086</v>
      </c>
      <c r="DL294" s="239">
        <v>0</v>
      </c>
      <c r="DM294" s="239">
        <v>-2320862</v>
      </c>
      <c r="DN294" s="835">
        <v>0.5</v>
      </c>
      <c r="DO294" s="835">
        <v>0.4</v>
      </c>
      <c r="DP294" s="835">
        <v>0.1</v>
      </c>
      <c r="DQ294" s="835">
        <v>0</v>
      </c>
      <c r="DR294" s="835">
        <v>1</v>
      </c>
      <c r="DS294" s="214" t="s">
        <v>1158</v>
      </c>
      <c r="DU294" s="214">
        <v>0</v>
      </c>
    </row>
    <row r="295" spans="2:125" s="214" customFormat="1" x14ac:dyDescent="0.2">
      <c r="B295" s="602" t="s">
        <v>673</v>
      </c>
      <c r="C295" s="602" t="s">
        <v>672</v>
      </c>
      <c r="D295" s="239">
        <v>57387652</v>
      </c>
      <c r="E295" s="239">
        <v>56239899</v>
      </c>
      <c r="F295" s="239">
        <v>0</v>
      </c>
      <c r="G295" s="239">
        <v>1147753</v>
      </c>
      <c r="H295" s="239">
        <v>114775304</v>
      </c>
      <c r="I295" s="239">
        <v>37576</v>
      </c>
      <c r="J295" s="239">
        <v>37576</v>
      </c>
      <c r="K295" s="239">
        <v>57350076</v>
      </c>
      <c r="L295" s="239">
        <v>451332</v>
      </c>
      <c r="M295" s="239">
        <v>451332</v>
      </c>
      <c r="N295" s="239">
        <v>7986</v>
      </c>
      <c r="O295" s="239">
        <v>7986</v>
      </c>
      <c r="P295" s="239">
        <v>489187</v>
      </c>
      <c r="Q295" s="239">
        <v>0</v>
      </c>
      <c r="R295" s="239">
        <v>489187</v>
      </c>
      <c r="S295" s="239">
        <v>37576.094420600857</v>
      </c>
      <c r="T295" s="239">
        <v>0</v>
      </c>
      <c r="U295" s="239">
        <v>0</v>
      </c>
      <c r="V295" s="239">
        <v>37576.094420600857</v>
      </c>
      <c r="W295" s="239">
        <v>0</v>
      </c>
      <c r="X295" s="239">
        <v>0</v>
      </c>
      <c r="Y295" s="239">
        <v>0</v>
      </c>
      <c r="Z295" s="239">
        <v>0</v>
      </c>
      <c r="AA295" s="239">
        <v>0</v>
      </c>
      <c r="AB295" s="239">
        <v>0</v>
      </c>
      <c r="AC295" s="239">
        <v>5375535</v>
      </c>
      <c r="AD295" s="239">
        <v>0</v>
      </c>
      <c r="AE295" s="239">
        <v>109553</v>
      </c>
      <c r="AF295" s="239">
        <v>5485088</v>
      </c>
      <c r="AG295" s="239">
        <v>700474</v>
      </c>
      <c r="AH295" s="239">
        <v>686465</v>
      </c>
      <c r="AI295" s="239">
        <v>0</v>
      </c>
      <c r="AJ295" s="239">
        <v>14009</v>
      </c>
      <c r="AK295" s="239">
        <v>1400948</v>
      </c>
      <c r="AL295" s="239">
        <v>-906920</v>
      </c>
      <c r="AM295" s="239">
        <v>-888782</v>
      </c>
      <c r="AN295" s="239">
        <v>0</v>
      </c>
      <c r="AO295" s="239">
        <v>-18138</v>
      </c>
      <c r="AP295" s="239">
        <v>-1813840</v>
      </c>
      <c r="AQ295" s="239">
        <v>-510000</v>
      </c>
      <c r="AR295" s="239">
        <v>-499800</v>
      </c>
      <c r="AS295" s="239">
        <v>0</v>
      </c>
      <c r="AT295" s="239">
        <v>-10200</v>
      </c>
      <c r="AU295" s="239">
        <v>-1020000</v>
      </c>
      <c r="AV295" s="239">
        <v>383662</v>
      </c>
      <c r="AW295" s="239">
        <v>375989</v>
      </c>
      <c r="AX295" s="239">
        <v>0</v>
      </c>
      <c r="AY295" s="239">
        <v>7673</v>
      </c>
      <c r="AZ295" s="239">
        <v>767324</v>
      </c>
      <c r="BA295" s="239">
        <v>-383662</v>
      </c>
      <c r="BB295" s="239">
        <v>-375989</v>
      </c>
      <c r="BC295" s="239">
        <v>0</v>
      </c>
      <c r="BD295" s="239">
        <v>-7673</v>
      </c>
      <c r="BE295" s="239">
        <v>-767324</v>
      </c>
      <c r="BF295" s="239">
        <v>-510000</v>
      </c>
      <c r="BG295" s="239">
        <v>-499800</v>
      </c>
      <c r="BH295" s="239">
        <v>0</v>
      </c>
      <c r="BI295" s="239">
        <v>-10200</v>
      </c>
      <c r="BJ295" s="239">
        <v>-1020000</v>
      </c>
      <c r="BK295" s="239">
        <v>-6014811</v>
      </c>
      <c r="BL295" s="239">
        <v>-5894514</v>
      </c>
      <c r="BM295" s="239">
        <v>0</v>
      </c>
      <c r="BN295" s="239">
        <v>-120296</v>
      </c>
      <c r="BO295" s="239">
        <v>-12029621</v>
      </c>
      <c r="BP295" s="239">
        <v>3864728</v>
      </c>
      <c r="BQ295" s="239">
        <v>3787433</v>
      </c>
      <c r="BR295" s="239">
        <v>0</v>
      </c>
      <c r="BS295" s="239">
        <v>77295</v>
      </c>
      <c r="BT295" s="239">
        <v>7729456</v>
      </c>
      <c r="BU295" s="239">
        <v>-5919446</v>
      </c>
      <c r="BV295" s="239">
        <v>-5801058</v>
      </c>
      <c r="BW295" s="239">
        <v>0</v>
      </c>
      <c r="BX295" s="239">
        <v>-118389</v>
      </c>
      <c r="BY295" s="239">
        <v>-11838893</v>
      </c>
      <c r="BZ295" s="239">
        <v>-8069529</v>
      </c>
      <c r="CA295" s="239">
        <v>-7908139</v>
      </c>
      <c r="CB295" s="239">
        <v>0</v>
      </c>
      <c r="CC295" s="239">
        <v>-161390</v>
      </c>
      <c r="CD295" s="239">
        <v>-16139058</v>
      </c>
      <c r="CE295" s="239">
        <v>-3294671</v>
      </c>
      <c r="CF295" s="239">
        <v>-3228776</v>
      </c>
      <c r="CG295" s="239">
        <v>0</v>
      </c>
      <c r="CH295" s="239">
        <v>-65893</v>
      </c>
      <c r="CI295" s="239">
        <v>-6589340</v>
      </c>
      <c r="CJ295" s="239">
        <v>-3332602</v>
      </c>
      <c r="CK295" s="239">
        <v>-3265949</v>
      </c>
      <c r="CL295" s="239">
        <v>0</v>
      </c>
      <c r="CM295" s="239">
        <v>-66652</v>
      </c>
      <c r="CN295" s="239">
        <v>-6665203</v>
      </c>
      <c r="CO295" s="239">
        <v>37931</v>
      </c>
      <c r="CP295" s="239">
        <v>37173</v>
      </c>
      <c r="CQ295" s="239">
        <v>0</v>
      </c>
      <c r="CR295" s="239">
        <v>759</v>
      </c>
      <c r="CS295" s="239">
        <v>75863</v>
      </c>
      <c r="CT295" s="239">
        <v>57921719</v>
      </c>
      <c r="CU295" s="239">
        <v>56763285</v>
      </c>
      <c r="CV295" s="239">
        <v>0</v>
      </c>
      <c r="CW295" s="239">
        <v>1158434</v>
      </c>
      <c r="CX295" s="239">
        <v>115843438</v>
      </c>
      <c r="CY295" s="239">
        <v>57387652</v>
      </c>
      <c r="CZ295" s="239">
        <v>56239899</v>
      </c>
      <c r="DA295" s="239">
        <v>0</v>
      </c>
      <c r="DB295" s="239">
        <v>1147753</v>
      </c>
      <c r="DC295" s="239">
        <v>114775304</v>
      </c>
      <c r="DD295" s="239">
        <v>-534067</v>
      </c>
      <c r="DE295" s="239">
        <v>-523386</v>
      </c>
      <c r="DF295" s="239">
        <v>0</v>
      </c>
      <c r="DG295" s="239">
        <v>-10681</v>
      </c>
      <c r="DH295" s="239">
        <v>-1068134</v>
      </c>
      <c r="DI295" s="239">
        <v>-496136</v>
      </c>
      <c r="DJ295" s="239">
        <v>-486213</v>
      </c>
      <c r="DK295" s="239">
        <v>0</v>
      </c>
      <c r="DL295" s="239">
        <v>-9922</v>
      </c>
      <c r="DM295" s="239">
        <v>-992271</v>
      </c>
      <c r="DN295" s="835">
        <v>0.5</v>
      </c>
      <c r="DO295" s="835">
        <v>0.49</v>
      </c>
      <c r="DP295" s="835">
        <v>0</v>
      </c>
      <c r="DQ295" s="835">
        <v>0.01</v>
      </c>
      <c r="DR295" s="835">
        <v>1</v>
      </c>
      <c r="DS295" s="214" t="s">
        <v>1160</v>
      </c>
      <c r="DU295" s="214">
        <v>0</v>
      </c>
    </row>
    <row r="296" spans="2:125" s="214" customFormat="1" x14ac:dyDescent="0.2">
      <c r="B296" s="602" t="s">
        <v>675</v>
      </c>
      <c r="C296" s="602" t="s">
        <v>674</v>
      </c>
      <c r="D296" s="239">
        <v>0</v>
      </c>
      <c r="E296" s="239">
        <v>69395068</v>
      </c>
      <c r="F296" s="239">
        <v>0</v>
      </c>
      <c r="G296" s="239">
        <v>700960</v>
      </c>
      <c r="H296" s="239">
        <v>70096028</v>
      </c>
      <c r="I296" s="239">
        <v>0</v>
      </c>
      <c r="J296" s="239">
        <v>0</v>
      </c>
      <c r="K296" s="239">
        <v>0</v>
      </c>
      <c r="L296" s="239">
        <v>337320</v>
      </c>
      <c r="M296" s="239">
        <v>337320</v>
      </c>
      <c r="N296" s="239">
        <v>17341</v>
      </c>
      <c r="O296" s="239">
        <v>17341</v>
      </c>
      <c r="P296" s="239">
        <v>0</v>
      </c>
      <c r="Q296" s="239">
        <v>0</v>
      </c>
      <c r="R296" s="239">
        <v>0</v>
      </c>
      <c r="S296" s="239">
        <v>0</v>
      </c>
      <c r="T296" s="239">
        <v>0</v>
      </c>
      <c r="U296" s="239">
        <v>0</v>
      </c>
      <c r="V296" s="239">
        <v>0</v>
      </c>
      <c r="W296" s="239">
        <v>0</v>
      </c>
      <c r="X296" s="239">
        <v>0</v>
      </c>
      <c r="Y296" s="239">
        <v>0</v>
      </c>
      <c r="Z296" s="239">
        <v>0</v>
      </c>
      <c r="AA296" s="239">
        <v>0</v>
      </c>
      <c r="AB296" s="239">
        <v>0</v>
      </c>
      <c r="AC296" s="239">
        <v>7777884</v>
      </c>
      <c r="AD296" s="239">
        <v>0</v>
      </c>
      <c r="AE296" s="239">
        <v>78379</v>
      </c>
      <c r="AF296" s="239">
        <v>7856263</v>
      </c>
      <c r="AG296" s="239">
        <v>0</v>
      </c>
      <c r="AH296" s="239">
        <v>6170060</v>
      </c>
      <c r="AI296" s="239">
        <v>0</v>
      </c>
      <c r="AJ296" s="239">
        <v>62324</v>
      </c>
      <c r="AK296" s="239">
        <v>6232384</v>
      </c>
      <c r="AL296" s="239">
        <v>0</v>
      </c>
      <c r="AM296" s="239">
        <v>-972683</v>
      </c>
      <c r="AN296" s="239">
        <v>0</v>
      </c>
      <c r="AO296" s="239">
        <v>-9825</v>
      </c>
      <c r="AP296" s="239">
        <v>-982508</v>
      </c>
      <c r="AQ296" s="239">
        <v>0</v>
      </c>
      <c r="AR296" s="239">
        <v>-3548483</v>
      </c>
      <c r="AS296" s="239">
        <v>0</v>
      </c>
      <c r="AT296" s="239">
        <v>-35843</v>
      </c>
      <c r="AU296" s="239">
        <v>-3584326</v>
      </c>
      <c r="AV296" s="239">
        <v>0</v>
      </c>
      <c r="AW296" s="239">
        <v>0</v>
      </c>
      <c r="AX296" s="239">
        <v>0</v>
      </c>
      <c r="AY296" s="239">
        <v>0</v>
      </c>
      <c r="AZ296" s="239">
        <v>0</v>
      </c>
      <c r="BA296" s="239">
        <v>0</v>
      </c>
      <c r="BB296" s="239">
        <v>1394664</v>
      </c>
      <c r="BC296" s="239">
        <v>0</v>
      </c>
      <c r="BD296" s="239">
        <v>14088</v>
      </c>
      <c r="BE296" s="239">
        <v>1408752</v>
      </c>
      <c r="BF296" s="239">
        <v>0</v>
      </c>
      <c r="BG296" s="239">
        <v>-2153819</v>
      </c>
      <c r="BH296" s="239">
        <v>0</v>
      </c>
      <c r="BI296" s="239">
        <v>-21755</v>
      </c>
      <c r="BJ296" s="239">
        <v>-2175574</v>
      </c>
      <c r="BK296" s="239">
        <v>0</v>
      </c>
      <c r="BL296" s="239">
        <v>-5262156</v>
      </c>
      <c r="BM296" s="239">
        <v>0</v>
      </c>
      <c r="BN296" s="239">
        <v>-53153</v>
      </c>
      <c r="BO296" s="239">
        <v>-5315309</v>
      </c>
      <c r="BP296" s="239">
        <v>0</v>
      </c>
      <c r="BQ296" s="239">
        <v>2030584</v>
      </c>
      <c r="BR296" s="239">
        <v>0</v>
      </c>
      <c r="BS296" s="239">
        <v>20511</v>
      </c>
      <c r="BT296" s="239">
        <v>2051095</v>
      </c>
      <c r="BU296" s="239">
        <v>0</v>
      </c>
      <c r="BV296" s="239">
        <v>-4192260</v>
      </c>
      <c r="BW296" s="239">
        <v>0</v>
      </c>
      <c r="BX296" s="239">
        <v>-42346</v>
      </c>
      <c r="BY296" s="239">
        <v>-4234606</v>
      </c>
      <c r="BZ296" s="239">
        <v>0</v>
      </c>
      <c r="CA296" s="239">
        <v>-7423832</v>
      </c>
      <c r="CB296" s="239">
        <v>0</v>
      </c>
      <c r="CC296" s="239">
        <v>-74988</v>
      </c>
      <c r="CD296" s="239">
        <v>-7498820</v>
      </c>
      <c r="CE296" s="239">
        <v>-195274</v>
      </c>
      <c r="CF296" s="239">
        <v>-191368</v>
      </c>
      <c r="CG296" s="239">
        <v>0</v>
      </c>
      <c r="CH296" s="239">
        <v>-3905</v>
      </c>
      <c r="CI296" s="239">
        <v>-390547</v>
      </c>
      <c r="CJ296" s="239">
        <v>-684146</v>
      </c>
      <c r="CK296" s="239">
        <v>-670464</v>
      </c>
      <c r="CL296" s="239">
        <v>0</v>
      </c>
      <c r="CM296" s="239">
        <v>-13683</v>
      </c>
      <c r="CN296" s="239">
        <v>-1368293</v>
      </c>
      <c r="CO296" s="239">
        <v>488872</v>
      </c>
      <c r="CP296" s="239">
        <v>479096</v>
      </c>
      <c r="CQ296" s="239">
        <v>0</v>
      </c>
      <c r="CR296" s="239">
        <v>9778</v>
      </c>
      <c r="CS296" s="239">
        <v>977746</v>
      </c>
      <c r="CT296" s="239">
        <v>0</v>
      </c>
      <c r="CU296" s="239">
        <v>72290860</v>
      </c>
      <c r="CV296" s="239">
        <v>0</v>
      </c>
      <c r="CW296" s="239">
        <v>730211</v>
      </c>
      <c r="CX296" s="239">
        <v>73021071</v>
      </c>
      <c r="CY296" s="239">
        <v>0</v>
      </c>
      <c r="CZ296" s="239">
        <v>69395068</v>
      </c>
      <c r="DA296" s="239">
        <v>0</v>
      </c>
      <c r="DB296" s="239">
        <v>700960</v>
      </c>
      <c r="DC296" s="239">
        <v>70096028</v>
      </c>
      <c r="DD296" s="239">
        <v>0</v>
      </c>
      <c r="DE296" s="239">
        <v>-2895792</v>
      </c>
      <c r="DF296" s="239">
        <v>0</v>
      </c>
      <c r="DG296" s="239">
        <v>-29251</v>
      </c>
      <c r="DH296" s="239">
        <v>-2925043</v>
      </c>
      <c r="DI296" s="239">
        <v>488872</v>
      </c>
      <c r="DJ296" s="239">
        <v>-2416696</v>
      </c>
      <c r="DK296" s="239">
        <v>0</v>
      </c>
      <c r="DL296" s="239">
        <v>-19473</v>
      </c>
      <c r="DM296" s="239">
        <v>-1947297</v>
      </c>
      <c r="DN296" s="835">
        <v>0</v>
      </c>
      <c r="DO296" s="835">
        <v>0.99</v>
      </c>
      <c r="DP296" s="835">
        <v>0</v>
      </c>
      <c r="DQ296" s="835">
        <v>0.01</v>
      </c>
      <c r="DR296" s="835">
        <v>1</v>
      </c>
      <c r="DS296" s="214" t="s">
        <v>1160</v>
      </c>
      <c r="DU296" s="214">
        <v>0</v>
      </c>
    </row>
    <row r="297" spans="2:125" s="214" customFormat="1" x14ac:dyDescent="0.2">
      <c r="B297" s="602" t="s">
        <v>677</v>
      </c>
      <c r="C297" s="602" t="s">
        <v>676</v>
      </c>
      <c r="D297" s="239">
        <v>22014520</v>
      </c>
      <c r="E297" s="239">
        <v>20013200</v>
      </c>
      <c r="F297" s="239">
        <v>24682947</v>
      </c>
      <c r="G297" s="239">
        <v>0</v>
      </c>
      <c r="H297" s="239">
        <v>66710667</v>
      </c>
      <c r="I297" s="239">
        <v>0</v>
      </c>
      <c r="J297" s="239">
        <v>0</v>
      </c>
      <c r="K297" s="239">
        <v>22014520</v>
      </c>
      <c r="L297" s="239">
        <v>294648</v>
      </c>
      <c r="M297" s="239">
        <v>294648</v>
      </c>
      <c r="N297" s="239">
        <v>0</v>
      </c>
      <c r="O297" s="239">
        <v>0</v>
      </c>
      <c r="P297" s="239">
        <v>0</v>
      </c>
      <c r="Q297" s="239">
        <v>0</v>
      </c>
      <c r="R297" s="239">
        <v>0</v>
      </c>
      <c r="S297" s="239">
        <v>0</v>
      </c>
      <c r="T297" s="239">
        <v>0</v>
      </c>
      <c r="U297" s="239">
        <v>0</v>
      </c>
      <c r="V297" s="239">
        <v>0</v>
      </c>
      <c r="W297" s="239">
        <v>0</v>
      </c>
      <c r="X297" s="239">
        <v>0</v>
      </c>
      <c r="Y297" s="239">
        <v>0</v>
      </c>
      <c r="Z297" s="239">
        <v>0</v>
      </c>
      <c r="AA297" s="239">
        <v>0</v>
      </c>
      <c r="AB297" s="239">
        <v>0</v>
      </c>
      <c r="AC297" s="239">
        <v>2380215</v>
      </c>
      <c r="AD297" s="239">
        <v>2935597</v>
      </c>
      <c r="AE297" s="239">
        <v>0</v>
      </c>
      <c r="AF297" s="239">
        <v>5315812</v>
      </c>
      <c r="AG297" s="239">
        <v>1398403</v>
      </c>
      <c r="AH297" s="239">
        <v>1271275</v>
      </c>
      <c r="AI297" s="239">
        <v>1567906</v>
      </c>
      <c r="AJ297" s="239">
        <v>0</v>
      </c>
      <c r="AK297" s="239">
        <v>4237584</v>
      </c>
      <c r="AL297" s="239">
        <v>-1396399</v>
      </c>
      <c r="AM297" s="239">
        <v>-1269455</v>
      </c>
      <c r="AN297" s="239">
        <v>-1565661</v>
      </c>
      <c r="AO297" s="239">
        <v>0</v>
      </c>
      <c r="AP297" s="239">
        <v>-4231515</v>
      </c>
      <c r="AQ297" s="239">
        <v>-800091</v>
      </c>
      <c r="AR297" s="239">
        <v>-727356</v>
      </c>
      <c r="AS297" s="239">
        <v>-897072</v>
      </c>
      <c r="AT297" s="239">
        <v>0</v>
      </c>
      <c r="AU297" s="239">
        <v>-2424519</v>
      </c>
      <c r="AV297" s="239">
        <v>94913</v>
      </c>
      <c r="AW297" s="239">
        <v>86285</v>
      </c>
      <c r="AX297" s="239">
        <v>106418</v>
      </c>
      <c r="AY297" s="239">
        <v>0</v>
      </c>
      <c r="AZ297" s="239">
        <v>287616</v>
      </c>
      <c r="BA297" s="239">
        <v>-496553</v>
      </c>
      <c r="BB297" s="239">
        <v>-451412</v>
      </c>
      <c r="BC297" s="239">
        <v>-556742</v>
      </c>
      <c r="BD297" s="239">
        <v>0</v>
      </c>
      <c r="BE297" s="239">
        <v>-1504707</v>
      </c>
      <c r="BF297" s="239">
        <v>-1201731</v>
      </c>
      <c r="BG297" s="239">
        <v>-1092483</v>
      </c>
      <c r="BH297" s="239">
        <v>-1347396</v>
      </c>
      <c r="BI297" s="239">
        <v>0</v>
      </c>
      <c r="BJ297" s="239">
        <v>-3641610</v>
      </c>
      <c r="BK297" s="239">
        <v>-2197249</v>
      </c>
      <c r="BL297" s="239">
        <v>-1997498</v>
      </c>
      <c r="BM297" s="239">
        <v>-2463581</v>
      </c>
      <c r="BN297" s="239">
        <v>0</v>
      </c>
      <c r="BO297" s="239">
        <v>-6658328</v>
      </c>
      <c r="BP297" s="239">
        <v>171836</v>
      </c>
      <c r="BQ297" s="239">
        <v>156215</v>
      </c>
      <c r="BR297" s="239">
        <v>192665</v>
      </c>
      <c r="BS297" s="239">
        <v>0</v>
      </c>
      <c r="BT297" s="239">
        <v>520716</v>
      </c>
      <c r="BU297" s="239">
        <v>-246281</v>
      </c>
      <c r="BV297" s="239">
        <v>-223891</v>
      </c>
      <c r="BW297" s="239">
        <v>-276132</v>
      </c>
      <c r="BX297" s="239">
        <v>0</v>
      </c>
      <c r="BY297" s="239">
        <v>-746304</v>
      </c>
      <c r="BZ297" s="239">
        <v>-2271694</v>
      </c>
      <c r="CA297" s="239">
        <v>-2065174</v>
      </c>
      <c r="CB297" s="239">
        <v>-2547048</v>
      </c>
      <c r="CC297" s="239">
        <v>0</v>
      </c>
      <c r="CD297" s="239">
        <v>-6883916</v>
      </c>
      <c r="CE297" s="239">
        <v>-526193</v>
      </c>
      <c r="CF297" s="239">
        <v>-315716</v>
      </c>
      <c r="CG297" s="239">
        <v>-210478</v>
      </c>
      <c r="CH297" s="239">
        <v>0</v>
      </c>
      <c r="CI297" s="239">
        <v>-1052387</v>
      </c>
      <c r="CJ297" s="239">
        <v>-1766731</v>
      </c>
      <c r="CK297" s="239">
        <v>-1060039</v>
      </c>
      <c r="CL297" s="239">
        <v>-706693</v>
      </c>
      <c r="CM297" s="239">
        <v>0</v>
      </c>
      <c r="CN297" s="239">
        <v>-3533463</v>
      </c>
      <c r="CO297" s="239">
        <v>1240538</v>
      </c>
      <c r="CP297" s="239">
        <v>744323</v>
      </c>
      <c r="CQ297" s="239">
        <v>496215</v>
      </c>
      <c r="CR297" s="239">
        <v>0</v>
      </c>
      <c r="CS297" s="239">
        <v>2481076</v>
      </c>
      <c r="CT297" s="239">
        <v>20791559</v>
      </c>
      <c r="CU297" s="239">
        <v>18901418</v>
      </c>
      <c r="CV297" s="239">
        <v>23311749</v>
      </c>
      <c r="CW297" s="239">
        <v>0</v>
      </c>
      <c r="CX297" s="239">
        <v>63004726</v>
      </c>
      <c r="CY297" s="239">
        <v>22014520</v>
      </c>
      <c r="CZ297" s="239">
        <v>20013200</v>
      </c>
      <c r="DA297" s="239">
        <v>24682947</v>
      </c>
      <c r="DB297" s="239">
        <v>0</v>
      </c>
      <c r="DC297" s="239">
        <v>66710667</v>
      </c>
      <c r="DD297" s="239">
        <v>1222961</v>
      </c>
      <c r="DE297" s="239">
        <v>1111782</v>
      </c>
      <c r="DF297" s="239">
        <v>1371198</v>
      </c>
      <c r="DG297" s="239">
        <v>0</v>
      </c>
      <c r="DH297" s="239">
        <v>3705941</v>
      </c>
      <c r="DI297" s="239">
        <v>2463499</v>
      </c>
      <c r="DJ297" s="239">
        <v>1856105</v>
      </c>
      <c r="DK297" s="239">
        <v>1867413</v>
      </c>
      <c r="DL297" s="239">
        <v>0</v>
      </c>
      <c r="DM297" s="239">
        <v>6187017</v>
      </c>
      <c r="DN297" s="835">
        <v>0.33</v>
      </c>
      <c r="DO297" s="835">
        <v>0.3</v>
      </c>
      <c r="DP297" s="835">
        <v>0.37</v>
      </c>
      <c r="DQ297" s="835">
        <v>0</v>
      </c>
      <c r="DR297" s="835">
        <v>1</v>
      </c>
      <c r="DS297" s="214" t="s">
        <v>1159</v>
      </c>
      <c r="DU297" s="214">
        <v>0</v>
      </c>
    </row>
    <row r="298" spans="2:125" s="214" customFormat="1" x14ac:dyDescent="0.2">
      <c r="B298" s="602" t="s">
        <v>679</v>
      </c>
      <c r="C298" s="602" t="s">
        <v>678</v>
      </c>
      <c r="D298" s="239">
        <v>36874847</v>
      </c>
      <c r="E298" s="239">
        <v>33522588</v>
      </c>
      <c r="F298" s="239">
        <v>41344525</v>
      </c>
      <c r="G298" s="239">
        <v>0</v>
      </c>
      <c r="H298" s="239">
        <v>111741960</v>
      </c>
      <c r="I298" s="239">
        <v>0</v>
      </c>
      <c r="J298" s="239">
        <v>0</v>
      </c>
      <c r="K298" s="239">
        <v>36874847</v>
      </c>
      <c r="L298" s="239">
        <v>462945</v>
      </c>
      <c r="M298" s="239">
        <v>462945</v>
      </c>
      <c r="N298" s="239">
        <v>0</v>
      </c>
      <c r="O298" s="239">
        <v>0</v>
      </c>
      <c r="P298" s="239">
        <v>0</v>
      </c>
      <c r="Q298" s="239">
        <v>0</v>
      </c>
      <c r="R298" s="239">
        <v>0</v>
      </c>
      <c r="S298" s="239">
        <v>0</v>
      </c>
      <c r="T298" s="239">
        <v>0</v>
      </c>
      <c r="U298" s="239">
        <v>0</v>
      </c>
      <c r="V298" s="239">
        <v>0</v>
      </c>
      <c r="W298" s="239">
        <v>0</v>
      </c>
      <c r="X298" s="239">
        <v>0</v>
      </c>
      <c r="Y298" s="239">
        <v>0</v>
      </c>
      <c r="Z298" s="239">
        <v>0</v>
      </c>
      <c r="AA298" s="239">
        <v>0</v>
      </c>
      <c r="AB298" s="239">
        <v>0</v>
      </c>
      <c r="AC298" s="239">
        <v>2733377</v>
      </c>
      <c r="AD298" s="239">
        <v>3133488</v>
      </c>
      <c r="AE298" s="239">
        <v>0</v>
      </c>
      <c r="AF298" s="239">
        <v>5866865</v>
      </c>
      <c r="AG298" s="239">
        <v>1871667</v>
      </c>
      <c r="AH298" s="239">
        <v>1701516</v>
      </c>
      <c r="AI298" s="239">
        <v>2098536</v>
      </c>
      <c r="AJ298" s="239">
        <v>0</v>
      </c>
      <c r="AK298" s="239">
        <v>5671719</v>
      </c>
      <c r="AL298" s="239">
        <v>-2494265</v>
      </c>
      <c r="AM298" s="239">
        <v>-2267514</v>
      </c>
      <c r="AN298" s="239">
        <v>-2796601</v>
      </c>
      <c r="AO298" s="239">
        <v>0</v>
      </c>
      <c r="AP298" s="239">
        <v>-7558380</v>
      </c>
      <c r="AQ298" s="239">
        <v>-984060</v>
      </c>
      <c r="AR298" s="239">
        <v>-894600</v>
      </c>
      <c r="AS298" s="239">
        <v>-1103340</v>
      </c>
      <c r="AT298" s="239">
        <v>0</v>
      </c>
      <c r="AU298" s="239">
        <v>-2982000</v>
      </c>
      <c r="AV298" s="239">
        <v>525792</v>
      </c>
      <c r="AW298" s="239">
        <v>477993</v>
      </c>
      <c r="AX298" s="239">
        <v>589524</v>
      </c>
      <c r="AY298" s="239">
        <v>0</v>
      </c>
      <c r="AZ298" s="239">
        <v>1593309</v>
      </c>
      <c r="BA298" s="239">
        <v>-484872</v>
      </c>
      <c r="BB298" s="239">
        <v>-440793</v>
      </c>
      <c r="BC298" s="239">
        <v>-543644</v>
      </c>
      <c r="BD298" s="239">
        <v>0</v>
      </c>
      <c r="BE298" s="239">
        <v>-1469309</v>
      </c>
      <c r="BF298" s="239">
        <v>-943140</v>
      </c>
      <c r="BG298" s="239">
        <v>-857400</v>
      </c>
      <c r="BH298" s="239">
        <v>-1057460</v>
      </c>
      <c r="BI298" s="239">
        <v>0</v>
      </c>
      <c r="BJ298" s="239">
        <v>-2858000</v>
      </c>
      <c r="BK298" s="239">
        <v>-2309056</v>
      </c>
      <c r="BL298" s="239">
        <v>-2099141</v>
      </c>
      <c r="BM298" s="239">
        <v>-2588941</v>
      </c>
      <c r="BN298" s="239">
        <v>0</v>
      </c>
      <c r="BO298" s="239">
        <v>-6997138</v>
      </c>
      <c r="BP298" s="239">
        <v>1006243</v>
      </c>
      <c r="BQ298" s="239">
        <v>914767</v>
      </c>
      <c r="BR298" s="239">
        <v>1128213</v>
      </c>
      <c r="BS298" s="239">
        <v>0</v>
      </c>
      <c r="BT298" s="239">
        <v>3049223</v>
      </c>
      <c r="BU298" s="239">
        <v>-252048</v>
      </c>
      <c r="BV298" s="239">
        <v>-229135</v>
      </c>
      <c r="BW298" s="239">
        <v>-282599</v>
      </c>
      <c r="BX298" s="239">
        <v>0</v>
      </c>
      <c r="BY298" s="239">
        <v>-763782</v>
      </c>
      <c r="BZ298" s="239">
        <v>-1554861</v>
      </c>
      <c r="CA298" s="239">
        <v>-1413509</v>
      </c>
      <c r="CB298" s="239">
        <v>-1743327</v>
      </c>
      <c r="CC298" s="239">
        <v>0</v>
      </c>
      <c r="CD298" s="239">
        <v>-4711697</v>
      </c>
      <c r="CE298" s="239">
        <v>-3561979</v>
      </c>
      <c r="CF298" s="239">
        <v>-2137188</v>
      </c>
      <c r="CG298" s="239">
        <v>-1424792</v>
      </c>
      <c r="CH298" s="239">
        <v>0</v>
      </c>
      <c r="CI298" s="239">
        <v>-7123959</v>
      </c>
      <c r="CJ298" s="239">
        <v>-3025307</v>
      </c>
      <c r="CK298" s="239">
        <v>-1815185</v>
      </c>
      <c r="CL298" s="239">
        <v>-1210123</v>
      </c>
      <c r="CM298" s="239">
        <v>0</v>
      </c>
      <c r="CN298" s="239">
        <v>-6050615</v>
      </c>
      <c r="CO298" s="239">
        <v>-536672</v>
      </c>
      <c r="CP298" s="239">
        <v>-322003</v>
      </c>
      <c r="CQ298" s="239">
        <v>-214669</v>
      </c>
      <c r="CR298" s="239">
        <v>0</v>
      </c>
      <c r="CS298" s="239">
        <v>-1073344</v>
      </c>
      <c r="CT298" s="239">
        <v>37639014</v>
      </c>
      <c r="CU298" s="239">
        <v>34217286</v>
      </c>
      <c r="CV298" s="239">
        <v>42201319</v>
      </c>
      <c r="CW298" s="239">
        <v>0</v>
      </c>
      <c r="CX298" s="239">
        <v>114057619</v>
      </c>
      <c r="CY298" s="239">
        <v>36874847</v>
      </c>
      <c r="CZ298" s="239">
        <v>33522588</v>
      </c>
      <c r="DA298" s="239">
        <v>41344525</v>
      </c>
      <c r="DB298" s="239">
        <v>0</v>
      </c>
      <c r="DC298" s="239">
        <v>111741960</v>
      </c>
      <c r="DD298" s="239">
        <v>-764167</v>
      </c>
      <c r="DE298" s="239">
        <v>-694698</v>
      </c>
      <c r="DF298" s="239">
        <v>-856794</v>
      </c>
      <c r="DG298" s="239">
        <v>0</v>
      </c>
      <c r="DH298" s="239">
        <v>-2315659</v>
      </c>
      <c r="DI298" s="239">
        <v>-1300839</v>
      </c>
      <c r="DJ298" s="239">
        <v>-1016701</v>
      </c>
      <c r="DK298" s="239">
        <v>-1071463</v>
      </c>
      <c r="DL298" s="239">
        <v>0</v>
      </c>
      <c r="DM298" s="239">
        <v>-3389003</v>
      </c>
      <c r="DN298" s="835">
        <v>0.33</v>
      </c>
      <c r="DO298" s="835">
        <v>0.3</v>
      </c>
      <c r="DP298" s="835">
        <v>0.37</v>
      </c>
      <c r="DQ298" s="835">
        <v>0</v>
      </c>
      <c r="DR298" s="835">
        <v>1</v>
      </c>
      <c r="DS298" s="214" t="s">
        <v>1161</v>
      </c>
      <c r="DU298" s="214">
        <v>0</v>
      </c>
    </row>
    <row r="299" spans="2:125" s="214" customFormat="1" x14ac:dyDescent="0.2">
      <c r="B299" s="602" t="s">
        <v>681</v>
      </c>
      <c r="C299" s="602" t="s">
        <v>680</v>
      </c>
      <c r="D299" s="239">
        <v>45904467</v>
      </c>
      <c r="E299" s="239">
        <v>44986377</v>
      </c>
      <c r="F299" s="239">
        <v>0</v>
      </c>
      <c r="G299" s="239">
        <v>918089</v>
      </c>
      <c r="H299" s="239">
        <v>91808933</v>
      </c>
      <c r="I299" s="239">
        <v>155550</v>
      </c>
      <c r="J299" s="239">
        <v>155550</v>
      </c>
      <c r="K299" s="239">
        <v>45748917</v>
      </c>
      <c r="L299" s="239">
        <v>294932</v>
      </c>
      <c r="M299" s="239">
        <v>294932</v>
      </c>
      <c r="N299" s="239">
        <v>0</v>
      </c>
      <c r="O299" s="239">
        <v>0</v>
      </c>
      <c r="P299" s="239">
        <v>0</v>
      </c>
      <c r="Q299" s="239">
        <v>0</v>
      </c>
      <c r="R299" s="239">
        <v>0</v>
      </c>
      <c r="S299" s="239">
        <v>155550.00858369097</v>
      </c>
      <c r="T299" s="239">
        <v>0</v>
      </c>
      <c r="U299" s="239">
        <v>0</v>
      </c>
      <c r="V299" s="239">
        <v>155550.00858369097</v>
      </c>
      <c r="W299" s="239">
        <v>0</v>
      </c>
      <c r="X299" s="239">
        <v>0</v>
      </c>
      <c r="Y299" s="239">
        <v>0</v>
      </c>
      <c r="Z299" s="239">
        <v>0</v>
      </c>
      <c r="AA299" s="239">
        <v>0</v>
      </c>
      <c r="AB299" s="239">
        <v>0</v>
      </c>
      <c r="AC299" s="239">
        <v>2816217</v>
      </c>
      <c r="AD299" s="239">
        <v>0</v>
      </c>
      <c r="AE299" s="239">
        <v>56190</v>
      </c>
      <c r="AF299" s="239">
        <v>2872407</v>
      </c>
      <c r="AG299" s="239">
        <v>5393964</v>
      </c>
      <c r="AH299" s="239">
        <v>5286084</v>
      </c>
      <c r="AI299" s="239">
        <v>0</v>
      </c>
      <c r="AJ299" s="239">
        <v>107879</v>
      </c>
      <c r="AK299" s="239">
        <v>10787927</v>
      </c>
      <c r="AL299" s="239">
        <v>-1373748</v>
      </c>
      <c r="AM299" s="239">
        <v>-1346273</v>
      </c>
      <c r="AN299" s="239">
        <v>0</v>
      </c>
      <c r="AO299" s="239">
        <v>-27475</v>
      </c>
      <c r="AP299" s="239">
        <v>-2747496</v>
      </c>
      <c r="AQ299" s="239">
        <v>-2357974</v>
      </c>
      <c r="AR299" s="239">
        <v>-2310815</v>
      </c>
      <c r="AS299" s="239">
        <v>0</v>
      </c>
      <c r="AT299" s="239">
        <v>-47159</v>
      </c>
      <c r="AU299" s="239">
        <v>-4715948</v>
      </c>
      <c r="AV299" s="239">
        <v>2040892</v>
      </c>
      <c r="AW299" s="239">
        <v>2000075</v>
      </c>
      <c r="AX299" s="239">
        <v>0</v>
      </c>
      <c r="AY299" s="239">
        <v>40818</v>
      </c>
      <c r="AZ299" s="239">
        <v>4081785</v>
      </c>
      <c r="BA299" s="239">
        <v>-1123929</v>
      </c>
      <c r="BB299" s="239">
        <v>-1101451</v>
      </c>
      <c r="BC299" s="239">
        <v>0</v>
      </c>
      <c r="BD299" s="239">
        <v>-22479</v>
      </c>
      <c r="BE299" s="239">
        <v>-2247859</v>
      </c>
      <c r="BF299" s="239">
        <v>-1441011</v>
      </c>
      <c r="BG299" s="239">
        <v>-1412191</v>
      </c>
      <c r="BH299" s="239">
        <v>0</v>
      </c>
      <c r="BI299" s="239">
        <v>-28820</v>
      </c>
      <c r="BJ299" s="239">
        <v>-2882022</v>
      </c>
      <c r="BK299" s="239">
        <v>-4614364</v>
      </c>
      <c r="BL299" s="239">
        <v>-4522077</v>
      </c>
      <c r="BM299" s="239">
        <v>0</v>
      </c>
      <c r="BN299" s="239">
        <v>-92287</v>
      </c>
      <c r="BO299" s="239">
        <v>-9228728</v>
      </c>
      <c r="BP299" s="239">
        <v>0</v>
      </c>
      <c r="BQ299" s="239">
        <v>0</v>
      </c>
      <c r="BR299" s="239">
        <v>0</v>
      </c>
      <c r="BS299" s="239">
        <v>0</v>
      </c>
      <c r="BT299" s="239">
        <v>0</v>
      </c>
      <c r="BU299" s="239">
        <v>-1427051</v>
      </c>
      <c r="BV299" s="239">
        <v>-1398510</v>
      </c>
      <c r="BW299" s="239">
        <v>0</v>
      </c>
      <c r="BX299" s="239">
        <v>-28541</v>
      </c>
      <c r="BY299" s="239">
        <v>-2854102</v>
      </c>
      <c r="BZ299" s="239">
        <v>-6041415</v>
      </c>
      <c r="CA299" s="239">
        <v>-5920587</v>
      </c>
      <c r="CB299" s="239">
        <v>0</v>
      </c>
      <c r="CC299" s="239">
        <v>-120828</v>
      </c>
      <c r="CD299" s="239">
        <v>-12082830</v>
      </c>
      <c r="CE299" s="239">
        <v>-3843510</v>
      </c>
      <c r="CF299" s="239">
        <v>-3766639</v>
      </c>
      <c r="CG299" s="239">
        <v>0</v>
      </c>
      <c r="CH299" s="239">
        <v>-76870</v>
      </c>
      <c r="CI299" s="239">
        <v>-7687019</v>
      </c>
      <c r="CJ299" s="239">
        <v>-4084264</v>
      </c>
      <c r="CK299" s="239">
        <v>-4002579</v>
      </c>
      <c r="CL299" s="239">
        <v>0</v>
      </c>
      <c r="CM299" s="239">
        <v>-81685</v>
      </c>
      <c r="CN299" s="239">
        <v>-8168528</v>
      </c>
      <c r="CO299" s="239">
        <v>240754</v>
      </c>
      <c r="CP299" s="239">
        <v>235940</v>
      </c>
      <c r="CQ299" s="239">
        <v>0</v>
      </c>
      <c r="CR299" s="239">
        <v>4815</v>
      </c>
      <c r="CS299" s="239">
        <v>481509</v>
      </c>
      <c r="CT299" s="239">
        <v>51399091</v>
      </c>
      <c r="CU299" s="239">
        <v>50371110</v>
      </c>
      <c r="CV299" s="239">
        <v>0</v>
      </c>
      <c r="CW299" s="239">
        <v>1027982</v>
      </c>
      <c r="CX299" s="239">
        <v>102798183</v>
      </c>
      <c r="CY299" s="239">
        <v>45904467</v>
      </c>
      <c r="CZ299" s="239">
        <v>44986377</v>
      </c>
      <c r="DA299" s="239">
        <v>0</v>
      </c>
      <c r="DB299" s="239">
        <v>918089</v>
      </c>
      <c r="DC299" s="239">
        <v>91808933</v>
      </c>
      <c r="DD299" s="239">
        <v>-5494624</v>
      </c>
      <c r="DE299" s="239">
        <v>-5384733</v>
      </c>
      <c r="DF299" s="239">
        <v>0</v>
      </c>
      <c r="DG299" s="239">
        <v>-109893</v>
      </c>
      <c r="DH299" s="239">
        <v>-10989250</v>
      </c>
      <c r="DI299" s="239">
        <v>-5253870</v>
      </c>
      <c r="DJ299" s="239">
        <v>-5148793</v>
      </c>
      <c r="DK299" s="239">
        <v>0</v>
      </c>
      <c r="DL299" s="239">
        <v>-105078</v>
      </c>
      <c r="DM299" s="239">
        <v>-10507741</v>
      </c>
      <c r="DN299" s="835">
        <v>0.5</v>
      </c>
      <c r="DO299" s="835">
        <v>0.49</v>
      </c>
      <c r="DP299" s="835">
        <v>0</v>
      </c>
      <c r="DQ299" s="835">
        <v>0.01</v>
      </c>
      <c r="DR299" s="835">
        <v>1</v>
      </c>
      <c r="DS299" s="214" t="s">
        <v>746</v>
      </c>
      <c r="DU299" s="214">
        <v>0</v>
      </c>
    </row>
    <row r="300" spans="2:125" s="214" customFormat="1" x14ac:dyDescent="0.2">
      <c r="B300" s="602" t="s">
        <v>683</v>
      </c>
      <c r="C300" s="602" t="s">
        <v>682</v>
      </c>
      <c r="D300" s="239">
        <v>33609850</v>
      </c>
      <c r="E300" s="239">
        <v>26887880</v>
      </c>
      <c r="F300" s="239">
        <v>6721970</v>
      </c>
      <c r="G300" s="239">
        <v>0</v>
      </c>
      <c r="H300" s="239">
        <v>67219700</v>
      </c>
      <c r="I300" s="239">
        <v>0</v>
      </c>
      <c r="J300" s="239">
        <v>0</v>
      </c>
      <c r="K300" s="239">
        <v>33609850</v>
      </c>
      <c r="L300" s="239">
        <v>209611</v>
      </c>
      <c r="M300" s="239">
        <v>209611</v>
      </c>
      <c r="N300" s="239">
        <v>0</v>
      </c>
      <c r="O300" s="239">
        <v>0</v>
      </c>
      <c r="P300" s="239">
        <v>31852</v>
      </c>
      <c r="Q300" s="239">
        <v>0</v>
      </c>
      <c r="R300" s="239">
        <v>31852</v>
      </c>
      <c r="S300" s="239">
        <v>0</v>
      </c>
      <c r="T300" s="239">
        <v>0</v>
      </c>
      <c r="U300" s="239">
        <v>0</v>
      </c>
      <c r="V300" s="239">
        <v>0</v>
      </c>
      <c r="W300" s="239">
        <v>0</v>
      </c>
      <c r="X300" s="239">
        <v>0</v>
      </c>
      <c r="Y300" s="239">
        <v>0</v>
      </c>
      <c r="Z300" s="239">
        <v>0</v>
      </c>
      <c r="AA300" s="239">
        <v>0</v>
      </c>
      <c r="AB300" s="239">
        <v>0</v>
      </c>
      <c r="AC300" s="239">
        <v>2010738</v>
      </c>
      <c r="AD300" s="239">
        <v>502566</v>
      </c>
      <c r="AE300" s="239">
        <v>0</v>
      </c>
      <c r="AF300" s="239">
        <v>2513304</v>
      </c>
      <c r="AG300" s="239">
        <v>955801</v>
      </c>
      <c r="AH300" s="239">
        <v>764641</v>
      </c>
      <c r="AI300" s="239">
        <v>191160</v>
      </c>
      <c r="AJ300" s="239">
        <v>0</v>
      </c>
      <c r="AK300" s="239">
        <v>1911602</v>
      </c>
      <c r="AL300" s="239">
        <v>-338562</v>
      </c>
      <c r="AM300" s="239">
        <v>-270849</v>
      </c>
      <c r="AN300" s="239">
        <v>-67712</v>
      </c>
      <c r="AO300" s="239">
        <v>0</v>
      </c>
      <c r="AP300" s="239">
        <v>-677123</v>
      </c>
      <c r="AQ300" s="239">
        <v>-462500</v>
      </c>
      <c r="AR300" s="239">
        <v>-370000</v>
      </c>
      <c r="AS300" s="239">
        <v>-92500</v>
      </c>
      <c r="AT300" s="239">
        <v>0</v>
      </c>
      <c r="AU300" s="239">
        <v>-925000</v>
      </c>
      <c r="AV300" s="239">
        <v>137497</v>
      </c>
      <c r="AW300" s="239">
        <v>109997</v>
      </c>
      <c r="AX300" s="239">
        <v>27499</v>
      </c>
      <c r="AY300" s="239">
        <v>0</v>
      </c>
      <c r="AZ300" s="239">
        <v>274993</v>
      </c>
      <c r="BA300" s="239">
        <v>-137497</v>
      </c>
      <c r="BB300" s="239">
        <v>-109997</v>
      </c>
      <c r="BC300" s="239">
        <v>-27499</v>
      </c>
      <c r="BD300" s="239">
        <v>0</v>
      </c>
      <c r="BE300" s="239">
        <v>-274993</v>
      </c>
      <c r="BF300" s="239">
        <v>-462500</v>
      </c>
      <c r="BG300" s="239">
        <v>-370000</v>
      </c>
      <c r="BH300" s="239">
        <v>-92500</v>
      </c>
      <c r="BI300" s="239">
        <v>0</v>
      </c>
      <c r="BJ300" s="239">
        <v>-925000</v>
      </c>
      <c r="BK300" s="239">
        <v>-4574129</v>
      </c>
      <c r="BL300" s="239">
        <v>-3659303</v>
      </c>
      <c r="BM300" s="239">
        <v>-914826</v>
      </c>
      <c r="BN300" s="239">
        <v>0</v>
      </c>
      <c r="BO300" s="239">
        <v>-9148258</v>
      </c>
      <c r="BP300" s="239">
        <v>1058146</v>
      </c>
      <c r="BQ300" s="239">
        <v>846516</v>
      </c>
      <c r="BR300" s="239">
        <v>211629</v>
      </c>
      <c r="BS300" s="239">
        <v>0</v>
      </c>
      <c r="BT300" s="239">
        <v>2116291</v>
      </c>
      <c r="BU300" s="239">
        <v>-1012867</v>
      </c>
      <c r="BV300" s="239">
        <v>-810294</v>
      </c>
      <c r="BW300" s="239">
        <v>-202573</v>
      </c>
      <c r="BX300" s="239">
        <v>0</v>
      </c>
      <c r="BY300" s="239">
        <v>-2025734</v>
      </c>
      <c r="BZ300" s="239">
        <v>-4528850</v>
      </c>
      <c r="CA300" s="239">
        <v>-3623081</v>
      </c>
      <c r="CB300" s="239">
        <v>-905770</v>
      </c>
      <c r="CC300" s="239">
        <v>0</v>
      </c>
      <c r="CD300" s="239">
        <v>-9057701</v>
      </c>
      <c r="CE300" s="239">
        <v>1528019</v>
      </c>
      <c r="CF300" s="239">
        <v>1222415</v>
      </c>
      <c r="CG300" s="239">
        <v>305604</v>
      </c>
      <c r="CH300" s="239">
        <v>0</v>
      </c>
      <c r="CI300" s="239">
        <v>3056038</v>
      </c>
      <c r="CJ300" s="239">
        <v>1384882</v>
      </c>
      <c r="CK300" s="239">
        <v>1107905</v>
      </c>
      <c r="CL300" s="239">
        <v>276976</v>
      </c>
      <c r="CM300" s="239">
        <v>0</v>
      </c>
      <c r="CN300" s="239">
        <v>2769763</v>
      </c>
      <c r="CO300" s="239">
        <v>143137</v>
      </c>
      <c r="CP300" s="239">
        <v>114510</v>
      </c>
      <c r="CQ300" s="239">
        <v>28628</v>
      </c>
      <c r="CR300" s="239">
        <v>0</v>
      </c>
      <c r="CS300" s="239">
        <v>286275</v>
      </c>
      <c r="CT300" s="239">
        <v>30618627</v>
      </c>
      <c r="CU300" s="239">
        <v>24494902</v>
      </c>
      <c r="CV300" s="239">
        <v>6123725</v>
      </c>
      <c r="CW300" s="239">
        <v>0</v>
      </c>
      <c r="CX300" s="239">
        <v>61237254</v>
      </c>
      <c r="CY300" s="239">
        <v>33609850</v>
      </c>
      <c r="CZ300" s="239">
        <v>26887880</v>
      </c>
      <c r="DA300" s="239">
        <v>6721970</v>
      </c>
      <c r="DB300" s="239">
        <v>0</v>
      </c>
      <c r="DC300" s="239">
        <v>67219700</v>
      </c>
      <c r="DD300" s="239">
        <v>2991223</v>
      </c>
      <c r="DE300" s="239">
        <v>2392978</v>
      </c>
      <c r="DF300" s="239">
        <v>598245</v>
      </c>
      <c r="DG300" s="239">
        <v>0</v>
      </c>
      <c r="DH300" s="239">
        <v>5982446</v>
      </c>
      <c r="DI300" s="239">
        <v>3134360</v>
      </c>
      <c r="DJ300" s="239">
        <v>2507488</v>
      </c>
      <c r="DK300" s="239">
        <v>626873</v>
      </c>
      <c r="DL300" s="239">
        <v>0</v>
      </c>
      <c r="DM300" s="239">
        <v>6268721</v>
      </c>
      <c r="DN300" s="835">
        <v>0.5</v>
      </c>
      <c r="DO300" s="835">
        <v>0.4</v>
      </c>
      <c r="DP300" s="835">
        <v>0.1</v>
      </c>
      <c r="DQ300" s="835">
        <v>0</v>
      </c>
      <c r="DR300" s="835">
        <v>1</v>
      </c>
      <c r="DS300" s="214" t="s">
        <v>1158</v>
      </c>
      <c r="DU300" s="214">
        <v>0</v>
      </c>
    </row>
    <row r="301" spans="2:125" s="214" customFormat="1" x14ac:dyDescent="0.2">
      <c r="B301" s="602" t="s">
        <v>685</v>
      </c>
      <c r="C301" s="602" t="s">
        <v>684</v>
      </c>
      <c r="D301" s="239">
        <v>26227252</v>
      </c>
      <c r="E301" s="239">
        <v>20981801</v>
      </c>
      <c r="F301" s="239">
        <v>5245450</v>
      </c>
      <c r="G301" s="239">
        <v>0</v>
      </c>
      <c r="H301" s="239">
        <v>52454503</v>
      </c>
      <c r="I301" s="239">
        <v>0</v>
      </c>
      <c r="J301" s="239">
        <v>0</v>
      </c>
      <c r="K301" s="239">
        <v>26227252</v>
      </c>
      <c r="L301" s="239">
        <v>166600</v>
      </c>
      <c r="M301" s="239">
        <v>166600</v>
      </c>
      <c r="N301" s="239">
        <v>0</v>
      </c>
      <c r="O301" s="239">
        <v>0</v>
      </c>
      <c r="P301" s="239">
        <v>0</v>
      </c>
      <c r="Q301" s="239">
        <v>0</v>
      </c>
      <c r="R301" s="239">
        <v>0</v>
      </c>
      <c r="S301" s="239">
        <v>0</v>
      </c>
      <c r="T301" s="239">
        <v>0</v>
      </c>
      <c r="U301" s="239">
        <v>0</v>
      </c>
      <c r="V301" s="239">
        <v>0</v>
      </c>
      <c r="W301" s="239">
        <v>0</v>
      </c>
      <c r="X301" s="239">
        <v>0</v>
      </c>
      <c r="Y301" s="239">
        <v>0</v>
      </c>
      <c r="Z301" s="239">
        <v>0</v>
      </c>
      <c r="AA301" s="239">
        <v>0</v>
      </c>
      <c r="AB301" s="239">
        <v>0</v>
      </c>
      <c r="AC301" s="239">
        <v>1246954</v>
      </c>
      <c r="AD301" s="239">
        <v>311737</v>
      </c>
      <c r="AE301" s="239">
        <v>0</v>
      </c>
      <c r="AF301" s="239">
        <v>1558691</v>
      </c>
      <c r="AG301" s="239">
        <v>766782</v>
      </c>
      <c r="AH301" s="239">
        <v>613426</v>
      </c>
      <c r="AI301" s="239">
        <v>153357</v>
      </c>
      <c r="AJ301" s="239">
        <v>0</v>
      </c>
      <c r="AK301" s="239">
        <v>1533565</v>
      </c>
      <c r="AL301" s="239">
        <v>-718470</v>
      </c>
      <c r="AM301" s="239">
        <v>-574776</v>
      </c>
      <c r="AN301" s="239">
        <v>-143694</v>
      </c>
      <c r="AO301" s="239">
        <v>0</v>
      </c>
      <c r="AP301" s="239">
        <v>-1436940</v>
      </c>
      <c r="AQ301" s="239">
        <v>-808343</v>
      </c>
      <c r="AR301" s="239">
        <v>-646675</v>
      </c>
      <c r="AS301" s="239">
        <v>-161669</v>
      </c>
      <c r="AT301" s="239">
        <v>0</v>
      </c>
      <c r="AU301" s="239">
        <v>-1616687</v>
      </c>
      <c r="AV301" s="239">
        <v>228182.64</v>
      </c>
      <c r="AW301" s="239">
        <v>182545</v>
      </c>
      <c r="AX301" s="239">
        <v>45636</v>
      </c>
      <c r="AY301" s="239">
        <v>0</v>
      </c>
      <c r="AZ301" s="239">
        <v>456363.64</v>
      </c>
      <c r="BA301" s="239">
        <v>-185717</v>
      </c>
      <c r="BB301" s="239">
        <v>-148574</v>
      </c>
      <c r="BC301" s="239">
        <v>-37143</v>
      </c>
      <c r="BD301" s="239">
        <v>0</v>
      </c>
      <c r="BE301" s="239">
        <v>-371434</v>
      </c>
      <c r="BF301" s="239">
        <v>-765877.36</v>
      </c>
      <c r="BG301" s="239">
        <v>-612704</v>
      </c>
      <c r="BH301" s="239">
        <v>-153176</v>
      </c>
      <c r="BI301" s="239">
        <v>0</v>
      </c>
      <c r="BJ301" s="239">
        <v>-1531757.3599999999</v>
      </c>
      <c r="BK301" s="239">
        <v>-5089682</v>
      </c>
      <c r="BL301" s="239">
        <v>-4071746</v>
      </c>
      <c r="BM301" s="239">
        <v>-1017937</v>
      </c>
      <c r="BN301" s="239">
        <v>0</v>
      </c>
      <c r="BO301" s="239">
        <v>-10179365</v>
      </c>
      <c r="BP301" s="239">
        <v>645382</v>
      </c>
      <c r="BQ301" s="239">
        <v>516305</v>
      </c>
      <c r="BR301" s="239">
        <v>129076</v>
      </c>
      <c r="BS301" s="239">
        <v>0</v>
      </c>
      <c r="BT301" s="239">
        <v>1290763</v>
      </c>
      <c r="BU301" s="239">
        <v>-4094024</v>
      </c>
      <c r="BV301" s="239">
        <v>-3275219</v>
      </c>
      <c r="BW301" s="239">
        <v>-818805</v>
      </c>
      <c r="BX301" s="239">
        <v>0</v>
      </c>
      <c r="BY301" s="239">
        <v>-8188048</v>
      </c>
      <c r="BZ301" s="239">
        <v>-8538324</v>
      </c>
      <c r="CA301" s="239">
        <v>-6830660</v>
      </c>
      <c r="CB301" s="239">
        <v>-1707666</v>
      </c>
      <c r="CC301" s="239">
        <v>0</v>
      </c>
      <c r="CD301" s="239">
        <v>-17076650</v>
      </c>
      <c r="CE301" s="239">
        <v>4452263.3000000007</v>
      </c>
      <c r="CF301" s="239">
        <v>3561813</v>
      </c>
      <c r="CG301" s="239">
        <v>890453</v>
      </c>
      <c r="CH301" s="239">
        <v>0</v>
      </c>
      <c r="CI301" s="239">
        <v>8904529.3000000007</v>
      </c>
      <c r="CJ301" s="239">
        <v>-673784</v>
      </c>
      <c r="CK301" s="239">
        <v>-539027</v>
      </c>
      <c r="CL301" s="239">
        <v>-134757</v>
      </c>
      <c r="CM301" s="239">
        <v>0</v>
      </c>
      <c r="CN301" s="239">
        <v>-1347568</v>
      </c>
      <c r="CO301" s="239">
        <v>5126047.3000000007</v>
      </c>
      <c r="CP301" s="239">
        <v>4100840</v>
      </c>
      <c r="CQ301" s="239">
        <v>1025210</v>
      </c>
      <c r="CR301" s="239">
        <v>0</v>
      </c>
      <c r="CS301" s="239">
        <v>10252097.300000001</v>
      </c>
      <c r="CT301" s="239">
        <v>29929242</v>
      </c>
      <c r="CU301" s="239">
        <v>23943394</v>
      </c>
      <c r="CV301" s="239">
        <v>5985849</v>
      </c>
      <c r="CW301" s="239">
        <v>0</v>
      </c>
      <c r="CX301" s="239">
        <v>59858485</v>
      </c>
      <c r="CY301" s="239">
        <v>26227252</v>
      </c>
      <c r="CZ301" s="239">
        <v>20981801</v>
      </c>
      <c r="DA301" s="239">
        <v>5245450</v>
      </c>
      <c r="DB301" s="239">
        <v>0</v>
      </c>
      <c r="DC301" s="239">
        <v>52454503</v>
      </c>
      <c r="DD301" s="239">
        <v>-3701990</v>
      </c>
      <c r="DE301" s="239">
        <v>-2961593</v>
      </c>
      <c r="DF301" s="239">
        <v>-740399</v>
      </c>
      <c r="DG301" s="239">
        <v>0</v>
      </c>
      <c r="DH301" s="239">
        <v>-7403982</v>
      </c>
      <c r="DI301" s="239">
        <v>1424057.3000000007</v>
      </c>
      <c r="DJ301" s="239">
        <v>1139247</v>
      </c>
      <c r="DK301" s="239">
        <v>284811</v>
      </c>
      <c r="DL301" s="239">
        <v>0</v>
      </c>
      <c r="DM301" s="239">
        <v>2848115.3000000007</v>
      </c>
      <c r="DN301" s="835">
        <v>0.5</v>
      </c>
      <c r="DO301" s="835">
        <v>0.4</v>
      </c>
      <c r="DP301" s="835">
        <v>0.1</v>
      </c>
      <c r="DQ301" s="835">
        <v>0</v>
      </c>
      <c r="DR301" s="835">
        <v>1</v>
      </c>
      <c r="DS301" s="214" t="s">
        <v>1158</v>
      </c>
      <c r="DU301" s="214">
        <v>0</v>
      </c>
    </row>
    <row r="302" spans="2:125" s="214" customFormat="1" x14ac:dyDescent="0.2">
      <c r="B302" s="602" t="s">
        <v>687</v>
      </c>
      <c r="C302" s="602" t="s">
        <v>686</v>
      </c>
      <c r="D302" s="239">
        <v>11924442</v>
      </c>
      <c r="E302" s="239">
        <v>9539553</v>
      </c>
      <c r="F302" s="239">
        <v>2384888</v>
      </c>
      <c r="G302" s="239">
        <v>0</v>
      </c>
      <c r="H302" s="239">
        <v>23848883</v>
      </c>
      <c r="I302" s="239">
        <v>168333</v>
      </c>
      <c r="J302" s="239">
        <v>168333</v>
      </c>
      <c r="K302" s="239">
        <v>11756109</v>
      </c>
      <c r="L302" s="239">
        <v>202129</v>
      </c>
      <c r="M302" s="239">
        <v>202129</v>
      </c>
      <c r="N302" s="239">
        <v>211256</v>
      </c>
      <c r="O302" s="239">
        <v>211256</v>
      </c>
      <c r="P302" s="239">
        <v>252068</v>
      </c>
      <c r="Q302" s="239">
        <v>0</v>
      </c>
      <c r="R302" s="239">
        <v>252068</v>
      </c>
      <c r="S302" s="239">
        <v>168333.18884120171</v>
      </c>
      <c r="T302" s="239">
        <v>0</v>
      </c>
      <c r="U302" s="239">
        <v>0</v>
      </c>
      <c r="V302" s="239">
        <v>168333.18884120171</v>
      </c>
      <c r="W302" s="239">
        <v>0</v>
      </c>
      <c r="X302" s="239">
        <v>0</v>
      </c>
      <c r="Y302" s="239">
        <v>0</v>
      </c>
      <c r="Z302" s="239">
        <v>0</v>
      </c>
      <c r="AA302" s="239">
        <v>0</v>
      </c>
      <c r="AB302" s="239">
        <v>0</v>
      </c>
      <c r="AC302" s="239">
        <v>1460017</v>
      </c>
      <c r="AD302" s="239">
        <v>361911</v>
      </c>
      <c r="AE302" s="239">
        <v>0</v>
      </c>
      <c r="AF302" s="239">
        <v>1821928</v>
      </c>
      <c r="AG302" s="239">
        <v>1022492</v>
      </c>
      <c r="AH302" s="239">
        <v>817994</v>
      </c>
      <c r="AI302" s="239">
        <v>204498</v>
      </c>
      <c r="AJ302" s="239">
        <v>0</v>
      </c>
      <c r="AK302" s="239">
        <v>2044984</v>
      </c>
      <c r="AL302" s="239">
        <v>-830112</v>
      </c>
      <c r="AM302" s="239">
        <v>-664090</v>
      </c>
      <c r="AN302" s="239">
        <v>-166022</v>
      </c>
      <c r="AO302" s="239">
        <v>0</v>
      </c>
      <c r="AP302" s="239">
        <v>-1660224</v>
      </c>
      <c r="AQ302" s="239">
        <v>-422922</v>
      </c>
      <c r="AR302" s="239">
        <v>-338337</v>
      </c>
      <c r="AS302" s="239">
        <v>-84584</v>
      </c>
      <c r="AT302" s="239">
        <v>0</v>
      </c>
      <c r="AU302" s="239">
        <v>-845843</v>
      </c>
      <c r="AV302" s="239">
        <v>27433</v>
      </c>
      <c r="AW302" s="239">
        <v>21947</v>
      </c>
      <c r="AX302" s="239">
        <v>5487</v>
      </c>
      <c r="AY302" s="239">
        <v>0</v>
      </c>
      <c r="AZ302" s="239">
        <v>54867</v>
      </c>
      <c r="BA302" s="239">
        <v>-218472</v>
      </c>
      <c r="BB302" s="239">
        <v>-174777</v>
      </c>
      <c r="BC302" s="239">
        <v>-43694</v>
      </c>
      <c r="BD302" s="239">
        <v>0</v>
      </c>
      <c r="BE302" s="239">
        <v>-436943</v>
      </c>
      <c r="BF302" s="239">
        <v>-613961</v>
      </c>
      <c r="BG302" s="239">
        <v>-491167</v>
      </c>
      <c r="BH302" s="239">
        <v>-122791</v>
      </c>
      <c r="BI302" s="239">
        <v>0</v>
      </c>
      <c r="BJ302" s="239">
        <v>-1227919</v>
      </c>
      <c r="BK302" s="239">
        <v>-1555641</v>
      </c>
      <c r="BL302" s="239">
        <v>-1244513</v>
      </c>
      <c r="BM302" s="239">
        <v>-311128</v>
      </c>
      <c r="BN302" s="239">
        <v>0</v>
      </c>
      <c r="BO302" s="239">
        <v>-3111282</v>
      </c>
      <c r="BP302" s="239">
        <v>528707</v>
      </c>
      <c r="BQ302" s="239">
        <v>422966</v>
      </c>
      <c r="BR302" s="239">
        <v>105741</v>
      </c>
      <c r="BS302" s="239">
        <v>0</v>
      </c>
      <c r="BT302" s="239">
        <v>1057414</v>
      </c>
      <c r="BU302" s="239">
        <v>-923654</v>
      </c>
      <c r="BV302" s="239">
        <v>-738924</v>
      </c>
      <c r="BW302" s="239">
        <v>-184731</v>
      </c>
      <c r="BX302" s="239">
        <v>0</v>
      </c>
      <c r="BY302" s="239">
        <v>-1847309</v>
      </c>
      <c r="BZ302" s="239">
        <v>-1950588</v>
      </c>
      <c r="CA302" s="239">
        <v>-1560471</v>
      </c>
      <c r="CB302" s="239">
        <v>-390118</v>
      </c>
      <c r="CC302" s="239">
        <v>0</v>
      </c>
      <c r="CD302" s="239">
        <v>-3901177</v>
      </c>
      <c r="CE302" s="239">
        <v>-597458</v>
      </c>
      <c r="CF302" s="239">
        <v>-477965</v>
      </c>
      <c r="CG302" s="239">
        <v>-119491</v>
      </c>
      <c r="CH302" s="239">
        <v>0</v>
      </c>
      <c r="CI302" s="239">
        <v>-1194914</v>
      </c>
      <c r="CJ302" s="239">
        <v>-1207577</v>
      </c>
      <c r="CK302" s="239">
        <v>-966062</v>
      </c>
      <c r="CL302" s="239">
        <v>-241516</v>
      </c>
      <c r="CM302" s="239">
        <v>0</v>
      </c>
      <c r="CN302" s="239">
        <v>-2415155</v>
      </c>
      <c r="CO302" s="239">
        <v>610119</v>
      </c>
      <c r="CP302" s="239">
        <v>488097</v>
      </c>
      <c r="CQ302" s="239">
        <v>122025</v>
      </c>
      <c r="CR302" s="239">
        <v>0</v>
      </c>
      <c r="CS302" s="239">
        <v>1220241</v>
      </c>
      <c r="CT302" s="239">
        <v>13273961</v>
      </c>
      <c r="CU302" s="239">
        <v>10619169</v>
      </c>
      <c r="CV302" s="239">
        <v>2654792</v>
      </c>
      <c r="CW302" s="239">
        <v>0</v>
      </c>
      <c r="CX302" s="239">
        <v>26547922</v>
      </c>
      <c r="CY302" s="239">
        <v>11924442</v>
      </c>
      <c r="CZ302" s="239">
        <v>9539553</v>
      </c>
      <c r="DA302" s="239">
        <v>2384888</v>
      </c>
      <c r="DB302" s="239">
        <v>0</v>
      </c>
      <c r="DC302" s="239">
        <v>23848883</v>
      </c>
      <c r="DD302" s="239">
        <v>-1349519</v>
      </c>
      <c r="DE302" s="239">
        <v>-1079616</v>
      </c>
      <c r="DF302" s="239">
        <v>-269904</v>
      </c>
      <c r="DG302" s="239">
        <v>0</v>
      </c>
      <c r="DH302" s="239">
        <v>-2699039</v>
      </c>
      <c r="DI302" s="239">
        <v>-739400</v>
      </c>
      <c r="DJ302" s="239">
        <v>-591519</v>
      </c>
      <c r="DK302" s="239">
        <v>-147879</v>
      </c>
      <c r="DL302" s="239">
        <v>0</v>
      </c>
      <c r="DM302" s="239">
        <v>-1478798</v>
      </c>
      <c r="DN302" s="835">
        <v>0.5</v>
      </c>
      <c r="DO302" s="835">
        <v>0.4</v>
      </c>
      <c r="DP302" s="835">
        <v>0.1</v>
      </c>
      <c r="DQ302" s="835">
        <v>0</v>
      </c>
      <c r="DR302" s="835">
        <v>1</v>
      </c>
      <c r="DS302" s="214" t="s">
        <v>1158</v>
      </c>
      <c r="DU302" s="214">
        <v>0</v>
      </c>
    </row>
    <row r="303" spans="2:125" s="214" customFormat="1" x14ac:dyDescent="0.2">
      <c r="B303" s="602" t="s">
        <v>689</v>
      </c>
      <c r="C303" s="602" t="s">
        <v>688</v>
      </c>
      <c r="D303" s="239">
        <v>17356080</v>
      </c>
      <c r="E303" s="239">
        <v>13884864</v>
      </c>
      <c r="F303" s="239">
        <v>3471216</v>
      </c>
      <c r="G303" s="239">
        <v>0</v>
      </c>
      <c r="H303" s="239">
        <v>34712160</v>
      </c>
      <c r="I303" s="239">
        <v>0</v>
      </c>
      <c r="J303" s="239">
        <v>0</v>
      </c>
      <c r="K303" s="239">
        <v>17356080</v>
      </c>
      <c r="L303" s="239">
        <v>177540</v>
      </c>
      <c r="M303" s="239">
        <v>177540</v>
      </c>
      <c r="N303" s="239">
        <v>0</v>
      </c>
      <c r="O303" s="239">
        <v>0</v>
      </c>
      <c r="P303" s="239">
        <v>0</v>
      </c>
      <c r="Q303" s="239">
        <v>0</v>
      </c>
      <c r="R303" s="239">
        <v>0</v>
      </c>
      <c r="S303" s="239">
        <v>0</v>
      </c>
      <c r="T303" s="239">
        <v>0</v>
      </c>
      <c r="U303" s="239">
        <v>0</v>
      </c>
      <c r="V303" s="239">
        <v>0</v>
      </c>
      <c r="W303" s="239">
        <v>0</v>
      </c>
      <c r="X303" s="239">
        <v>0</v>
      </c>
      <c r="Y303" s="239">
        <v>0</v>
      </c>
      <c r="Z303" s="239">
        <v>0</v>
      </c>
      <c r="AA303" s="239">
        <v>0</v>
      </c>
      <c r="AB303" s="239">
        <v>0</v>
      </c>
      <c r="AC303" s="239">
        <v>1551351</v>
      </c>
      <c r="AD303" s="239">
        <v>387837</v>
      </c>
      <c r="AE303" s="239">
        <v>0</v>
      </c>
      <c r="AF303" s="239">
        <v>1939188</v>
      </c>
      <c r="AG303" s="239">
        <v>1050013</v>
      </c>
      <c r="AH303" s="239">
        <v>840011</v>
      </c>
      <c r="AI303" s="239">
        <v>210003</v>
      </c>
      <c r="AJ303" s="239">
        <v>0</v>
      </c>
      <c r="AK303" s="239">
        <v>2100027</v>
      </c>
      <c r="AL303" s="239">
        <v>-674086</v>
      </c>
      <c r="AM303" s="239">
        <v>-539269</v>
      </c>
      <c r="AN303" s="239">
        <v>-134817</v>
      </c>
      <c r="AO303" s="239">
        <v>0</v>
      </c>
      <c r="AP303" s="239">
        <v>-1348172</v>
      </c>
      <c r="AQ303" s="239">
        <v>-235000</v>
      </c>
      <c r="AR303" s="239">
        <v>-188000</v>
      </c>
      <c r="AS303" s="239">
        <v>-47000</v>
      </c>
      <c r="AT303" s="239">
        <v>0</v>
      </c>
      <c r="AU303" s="239">
        <v>-470000</v>
      </c>
      <c r="AV303" s="239">
        <v>173417</v>
      </c>
      <c r="AW303" s="239">
        <v>138733</v>
      </c>
      <c r="AX303" s="239">
        <v>34683</v>
      </c>
      <c r="AY303" s="239">
        <v>0</v>
      </c>
      <c r="AZ303" s="239">
        <v>346833</v>
      </c>
      <c r="BA303" s="239">
        <v>-168417</v>
      </c>
      <c r="BB303" s="239">
        <v>-134733</v>
      </c>
      <c r="BC303" s="239">
        <v>-33683</v>
      </c>
      <c r="BD303" s="239">
        <v>0</v>
      </c>
      <c r="BE303" s="239">
        <v>-336833</v>
      </c>
      <c r="BF303" s="239">
        <v>-230000</v>
      </c>
      <c r="BG303" s="239">
        <v>-184000</v>
      </c>
      <c r="BH303" s="239">
        <v>-46000</v>
      </c>
      <c r="BI303" s="239">
        <v>0</v>
      </c>
      <c r="BJ303" s="239">
        <v>-460000</v>
      </c>
      <c r="BK303" s="239">
        <v>-1025000</v>
      </c>
      <c r="BL303" s="239">
        <v>-820000</v>
      </c>
      <c r="BM303" s="239">
        <v>-205000</v>
      </c>
      <c r="BN303" s="239">
        <v>0</v>
      </c>
      <c r="BO303" s="239">
        <v>-2050000</v>
      </c>
      <c r="BP303" s="239">
        <v>209952</v>
      </c>
      <c r="BQ303" s="239">
        <v>167961</v>
      </c>
      <c r="BR303" s="239">
        <v>41990</v>
      </c>
      <c r="BS303" s="239">
        <v>0</v>
      </c>
      <c r="BT303" s="239">
        <v>419903</v>
      </c>
      <c r="BU303" s="239">
        <v>-1921952</v>
      </c>
      <c r="BV303" s="239">
        <v>-1537561</v>
      </c>
      <c r="BW303" s="239">
        <v>-384390</v>
      </c>
      <c r="BX303" s="239">
        <v>0</v>
      </c>
      <c r="BY303" s="239">
        <v>-3843903</v>
      </c>
      <c r="BZ303" s="239">
        <v>-2737000</v>
      </c>
      <c r="CA303" s="239">
        <v>-2189600</v>
      </c>
      <c r="CB303" s="239">
        <v>-547400</v>
      </c>
      <c r="CC303" s="239">
        <v>0</v>
      </c>
      <c r="CD303" s="239">
        <v>-5474000</v>
      </c>
      <c r="CE303" s="239">
        <v>-1096939</v>
      </c>
      <c r="CF303" s="239">
        <v>-877550</v>
      </c>
      <c r="CG303" s="239">
        <v>-219388</v>
      </c>
      <c r="CH303" s="239">
        <v>0</v>
      </c>
      <c r="CI303" s="239">
        <v>-2193877</v>
      </c>
      <c r="CJ303" s="239">
        <v>-1179914</v>
      </c>
      <c r="CK303" s="239">
        <v>-943932</v>
      </c>
      <c r="CL303" s="239">
        <v>-235983</v>
      </c>
      <c r="CM303" s="239">
        <v>0</v>
      </c>
      <c r="CN303" s="239">
        <v>-2359829</v>
      </c>
      <c r="CO303" s="239">
        <v>82975</v>
      </c>
      <c r="CP303" s="239">
        <v>66382</v>
      </c>
      <c r="CQ303" s="239">
        <v>16595</v>
      </c>
      <c r="CR303" s="239">
        <v>0</v>
      </c>
      <c r="CS303" s="239">
        <v>165952</v>
      </c>
      <c r="CT303" s="239">
        <v>18947816</v>
      </c>
      <c r="CU303" s="239">
        <v>15158253</v>
      </c>
      <c r="CV303" s="239">
        <v>3789563</v>
      </c>
      <c r="CW303" s="239">
        <v>0</v>
      </c>
      <c r="CX303" s="239">
        <v>37895632</v>
      </c>
      <c r="CY303" s="239">
        <v>17356080</v>
      </c>
      <c r="CZ303" s="239">
        <v>13884864</v>
      </c>
      <c r="DA303" s="239">
        <v>3471216</v>
      </c>
      <c r="DB303" s="239">
        <v>0</v>
      </c>
      <c r="DC303" s="239">
        <v>34712160</v>
      </c>
      <c r="DD303" s="239">
        <v>-1591736</v>
      </c>
      <c r="DE303" s="239">
        <v>-1273389</v>
      </c>
      <c r="DF303" s="239">
        <v>-318347</v>
      </c>
      <c r="DG303" s="239">
        <v>0</v>
      </c>
      <c r="DH303" s="239">
        <v>-3183472</v>
      </c>
      <c r="DI303" s="239">
        <v>-1508761</v>
      </c>
      <c r="DJ303" s="239">
        <v>-1207007</v>
      </c>
      <c r="DK303" s="239">
        <v>-301752</v>
      </c>
      <c r="DL303" s="239">
        <v>0</v>
      </c>
      <c r="DM303" s="239">
        <v>-3017520</v>
      </c>
      <c r="DN303" s="835">
        <v>0.5</v>
      </c>
      <c r="DO303" s="835">
        <v>0.4</v>
      </c>
      <c r="DP303" s="835">
        <v>0.1</v>
      </c>
      <c r="DQ303" s="835">
        <v>0</v>
      </c>
      <c r="DR303" s="835">
        <v>1</v>
      </c>
      <c r="DS303" s="214" t="s">
        <v>1158</v>
      </c>
      <c r="DU303" s="214">
        <v>0</v>
      </c>
    </row>
    <row r="304" spans="2:125" s="214" customFormat="1" x14ac:dyDescent="0.2">
      <c r="B304" s="602" t="s">
        <v>691</v>
      </c>
      <c r="C304" s="602" t="s">
        <v>690</v>
      </c>
      <c r="D304" s="239">
        <v>13528354</v>
      </c>
      <c r="E304" s="239">
        <v>10822683</v>
      </c>
      <c r="F304" s="239">
        <v>2435104</v>
      </c>
      <c r="G304" s="239">
        <v>270567</v>
      </c>
      <c r="H304" s="239">
        <v>27056708</v>
      </c>
      <c r="I304" s="239">
        <v>0</v>
      </c>
      <c r="J304" s="239">
        <v>0</v>
      </c>
      <c r="K304" s="239">
        <v>13528354</v>
      </c>
      <c r="L304" s="239">
        <v>214771</v>
      </c>
      <c r="M304" s="239">
        <v>214771</v>
      </c>
      <c r="N304" s="239">
        <v>0</v>
      </c>
      <c r="O304" s="239">
        <v>0</v>
      </c>
      <c r="P304" s="239">
        <v>269375</v>
      </c>
      <c r="Q304" s="239">
        <v>0</v>
      </c>
      <c r="R304" s="239">
        <v>269375</v>
      </c>
      <c r="S304" s="239">
        <v>0</v>
      </c>
      <c r="T304" s="239">
        <v>0</v>
      </c>
      <c r="U304" s="239">
        <v>0</v>
      </c>
      <c r="V304" s="239">
        <v>0</v>
      </c>
      <c r="W304" s="239">
        <v>0</v>
      </c>
      <c r="X304" s="239">
        <v>0</v>
      </c>
      <c r="Y304" s="239">
        <v>0</v>
      </c>
      <c r="Z304" s="239">
        <v>0</v>
      </c>
      <c r="AA304" s="239">
        <v>0</v>
      </c>
      <c r="AB304" s="239">
        <v>0</v>
      </c>
      <c r="AC304" s="239">
        <v>2594930</v>
      </c>
      <c r="AD304" s="239">
        <v>582948</v>
      </c>
      <c r="AE304" s="239">
        <v>64773</v>
      </c>
      <c r="AF304" s="239">
        <v>3242651</v>
      </c>
      <c r="AG304" s="239">
        <v>566926</v>
      </c>
      <c r="AH304" s="239">
        <v>453542</v>
      </c>
      <c r="AI304" s="239">
        <v>102047</v>
      </c>
      <c r="AJ304" s="239">
        <v>11339</v>
      </c>
      <c r="AK304" s="239">
        <v>1133854</v>
      </c>
      <c r="AL304" s="239">
        <v>-445434</v>
      </c>
      <c r="AM304" s="239">
        <v>-356347</v>
      </c>
      <c r="AN304" s="239">
        <v>-80178</v>
      </c>
      <c r="AO304" s="239">
        <v>-8909</v>
      </c>
      <c r="AP304" s="239">
        <v>-890868</v>
      </c>
      <c r="AQ304" s="239">
        <v>-362343</v>
      </c>
      <c r="AR304" s="239">
        <v>-289874</v>
      </c>
      <c r="AS304" s="239">
        <v>-65222</v>
      </c>
      <c r="AT304" s="239">
        <v>-7247</v>
      </c>
      <c r="AU304" s="239">
        <v>-724686</v>
      </c>
      <c r="AV304" s="239">
        <v>111018</v>
      </c>
      <c r="AW304" s="239">
        <v>88814</v>
      </c>
      <c r="AX304" s="239">
        <v>19983</v>
      </c>
      <c r="AY304" s="239">
        <v>2220</v>
      </c>
      <c r="AZ304" s="239">
        <v>222035</v>
      </c>
      <c r="BA304" s="239">
        <v>-26284</v>
      </c>
      <c r="BB304" s="239">
        <v>-21027</v>
      </c>
      <c r="BC304" s="239">
        <v>-4731</v>
      </c>
      <c r="BD304" s="239">
        <v>-526</v>
      </c>
      <c r="BE304" s="239">
        <v>-52568</v>
      </c>
      <c r="BF304" s="239">
        <v>-277609</v>
      </c>
      <c r="BG304" s="239">
        <v>-222087</v>
      </c>
      <c r="BH304" s="239">
        <v>-49970</v>
      </c>
      <c r="BI304" s="239">
        <v>-5553</v>
      </c>
      <c r="BJ304" s="239">
        <v>-555219</v>
      </c>
      <c r="BK304" s="239">
        <v>-646500</v>
      </c>
      <c r="BL304" s="239">
        <v>-517200</v>
      </c>
      <c r="BM304" s="239">
        <v>-116370</v>
      </c>
      <c r="BN304" s="239">
        <v>-12930</v>
      </c>
      <c r="BO304" s="239">
        <v>-1293000</v>
      </c>
      <c r="BP304" s="239">
        <v>646500</v>
      </c>
      <c r="BQ304" s="239">
        <v>517200</v>
      </c>
      <c r="BR304" s="239">
        <v>116370</v>
      </c>
      <c r="BS304" s="239">
        <v>12930</v>
      </c>
      <c r="BT304" s="239">
        <v>1293000</v>
      </c>
      <c r="BU304" s="239">
        <v>-1768825</v>
      </c>
      <c r="BV304" s="239">
        <v>-1415060</v>
      </c>
      <c r="BW304" s="239">
        <v>-318388</v>
      </c>
      <c r="BX304" s="239">
        <v>-35376</v>
      </c>
      <c r="BY304" s="239">
        <v>-3537649</v>
      </c>
      <c r="BZ304" s="239">
        <v>-1768825</v>
      </c>
      <c r="CA304" s="239">
        <v>-1415060</v>
      </c>
      <c r="CB304" s="239">
        <v>-318388</v>
      </c>
      <c r="CC304" s="239">
        <v>-35376</v>
      </c>
      <c r="CD304" s="239">
        <v>-3537649</v>
      </c>
      <c r="CE304" s="239">
        <v>-387220</v>
      </c>
      <c r="CF304" s="239">
        <v>-309774</v>
      </c>
      <c r="CG304" s="239">
        <v>-69699</v>
      </c>
      <c r="CH304" s="239">
        <v>-7744</v>
      </c>
      <c r="CI304" s="239">
        <v>-774437</v>
      </c>
      <c r="CJ304" s="239">
        <v>-477703</v>
      </c>
      <c r="CK304" s="239">
        <v>-382162</v>
      </c>
      <c r="CL304" s="239">
        <v>-85986</v>
      </c>
      <c r="CM304" s="239">
        <v>-9554</v>
      </c>
      <c r="CN304" s="239">
        <v>-955405</v>
      </c>
      <c r="CO304" s="239">
        <v>90483</v>
      </c>
      <c r="CP304" s="239">
        <v>72388</v>
      </c>
      <c r="CQ304" s="239">
        <v>16287</v>
      </c>
      <c r="CR304" s="239">
        <v>1810</v>
      </c>
      <c r="CS304" s="239">
        <v>180968</v>
      </c>
      <c r="CT304" s="239">
        <v>13309175</v>
      </c>
      <c r="CU304" s="239">
        <v>10647340</v>
      </c>
      <c r="CV304" s="239">
        <v>2395652</v>
      </c>
      <c r="CW304" s="239">
        <v>266184</v>
      </c>
      <c r="CX304" s="239">
        <v>26618351</v>
      </c>
      <c r="CY304" s="239">
        <v>13528354</v>
      </c>
      <c r="CZ304" s="239">
        <v>10822683</v>
      </c>
      <c r="DA304" s="239">
        <v>2435104</v>
      </c>
      <c r="DB304" s="239">
        <v>270567</v>
      </c>
      <c r="DC304" s="239">
        <v>27056708</v>
      </c>
      <c r="DD304" s="239">
        <v>219179</v>
      </c>
      <c r="DE304" s="239">
        <v>175343</v>
      </c>
      <c r="DF304" s="239">
        <v>39452</v>
      </c>
      <c r="DG304" s="239">
        <v>4383</v>
      </c>
      <c r="DH304" s="239">
        <v>438357</v>
      </c>
      <c r="DI304" s="239">
        <v>309662</v>
      </c>
      <c r="DJ304" s="239">
        <v>247731</v>
      </c>
      <c r="DK304" s="239">
        <v>55739</v>
      </c>
      <c r="DL304" s="239">
        <v>6193</v>
      </c>
      <c r="DM304" s="239">
        <v>619325</v>
      </c>
      <c r="DN304" s="835">
        <v>0.5</v>
      </c>
      <c r="DO304" s="835">
        <v>0.4</v>
      </c>
      <c r="DP304" s="835">
        <v>0.09</v>
      </c>
      <c r="DQ304" s="835">
        <v>0.01</v>
      </c>
      <c r="DR304" s="835">
        <v>1</v>
      </c>
      <c r="DS304" s="214" t="s">
        <v>1158</v>
      </c>
      <c r="DU304" s="214">
        <v>0</v>
      </c>
    </row>
    <row r="305" spans="2:125" s="214" customFormat="1" x14ac:dyDescent="0.2">
      <c r="B305" s="602" t="s">
        <v>693</v>
      </c>
      <c r="C305" s="602" t="s">
        <v>692</v>
      </c>
      <c r="D305" s="239">
        <v>12716467</v>
      </c>
      <c r="E305" s="239">
        <v>10173174</v>
      </c>
      <c r="F305" s="239">
        <v>2543294</v>
      </c>
      <c r="G305" s="239">
        <v>0</v>
      </c>
      <c r="H305" s="239">
        <v>25432935</v>
      </c>
      <c r="I305" s="239">
        <v>0</v>
      </c>
      <c r="J305" s="239">
        <v>0</v>
      </c>
      <c r="K305" s="239">
        <v>12716467</v>
      </c>
      <c r="L305" s="239">
        <v>109064</v>
      </c>
      <c r="M305" s="239">
        <v>109064</v>
      </c>
      <c r="N305" s="239">
        <v>0</v>
      </c>
      <c r="O305" s="239">
        <v>0</v>
      </c>
      <c r="P305" s="239">
        <v>82103</v>
      </c>
      <c r="Q305" s="239">
        <v>0</v>
      </c>
      <c r="R305" s="239">
        <v>82103</v>
      </c>
      <c r="S305" s="239">
        <v>0</v>
      </c>
      <c r="T305" s="239">
        <v>0</v>
      </c>
      <c r="U305" s="239">
        <v>0</v>
      </c>
      <c r="V305" s="239">
        <v>0</v>
      </c>
      <c r="W305" s="239">
        <v>0</v>
      </c>
      <c r="X305" s="239">
        <v>0</v>
      </c>
      <c r="Y305" s="239">
        <v>0</v>
      </c>
      <c r="Z305" s="239">
        <v>0</v>
      </c>
      <c r="AA305" s="239">
        <v>0</v>
      </c>
      <c r="AB305" s="239">
        <v>0</v>
      </c>
      <c r="AC305" s="239">
        <v>1133938</v>
      </c>
      <c r="AD305" s="239">
        <v>283176</v>
      </c>
      <c r="AE305" s="239">
        <v>0</v>
      </c>
      <c r="AF305" s="239">
        <v>1417114</v>
      </c>
      <c r="AG305" s="239">
        <v>326998</v>
      </c>
      <c r="AH305" s="239">
        <v>261599</v>
      </c>
      <c r="AI305" s="239">
        <v>65400</v>
      </c>
      <c r="AJ305" s="239">
        <v>0</v>
      </c>
      <c r="AK305" s="239">
        <v>653997</v>
      </c>
      <c r="AL305" s="239">
        <v>-186867</v>
      </c>
      <c r="AM305" s="239">
        <v>-149494</v>
      </c>
      <c r="AN305" s="239">
        <v>-37374</v>
      </c>
      <c r="AO305" s="239">
        <v>0</v>
      </c>
      <c r="AP305" s="239">
        <v>-373735</v>
      </c>
      <c r="AQ305" s="239">
        <v>-134010</v>
      </c>
      <c r="AR305" s="239">
        <v>-107208</v>
      </c>
      <c r="AS305" s="239">
        <v>-26802</v>
      </c>
      <c r="AT305" s="239">
        <v>0</v>
      </c>
      <c r="AU305" s="239">
        <v>-268020</v>
      </c>
      <c r="AV305" s="239">
        <v>15894</v>
      </c>
      <c r="AW305" s="239">
        <v>12716</v>
      </c>
      <c r="AX305" s="239">
        <v>3179</v>
      </c>
      <c r="AY305" s="239">
        <v>0</v>
      </c>
      <c r="AZ305" s="239">
        <v>31789</v>
      </c>
      <c r="BA305" s="239">
        <v>-6764</v>
      </c>
      <c r="BB305" s="239">
        <v>-5412</v>
      </c>
      <c r="BC305" s="239">
        <v>-1353</v>
      </c>
      <c r="BD305" s="239">
        <v>0</v>
      </c>
      <c r="BE305" s="239">
        <v>-13529</v>
      </c>
      <c r="BF305" s="239">
        <v>-124880</v>
      </c>
      <c r="BG305" s="239">
        <v>-99904</v>
      </c>
      <c r="BH305" s="239">
        <v>-24976</v>
      </c>
      <c r="BI305" s="239">
        <v>0</v>
      </c>
      <c r="BJ305" s="239">
        <v>-249760</v>
      </c>
      <c r="BK305" s="239">
        <v>-1313982.7999999998</v>
      </c>
      <c r="BL305" s="239">
        <v>-1051187</v>
      </c>
      <c r="BM305" s="239">
        <v>-262797</v>
      </c>
      <c r="BN305" s="239">
        <v>0</v>
      </c>
      <c r="BO305" s="239">
        <v>-2627966.7999999998</v>
      </c>
      <c r="BP305" s="239">
        <v>338398</v>
      </c>
      <c r="BQ305" s="239">
        <v>270719</v>
      </c>
      <c r="BR305" s="239">
        <v>67680</v>
      </c>
      <c r="BS305" s="239">
        <v>0</v>
      </c>
      <c r="BT305" s="239">
        <v>676797</v>
      </c>
      <c r="BU305" s="239">
        <v>-616267</v>
      </c>
      <c r="BV305" s="239">
        <v>-493014</v>
      </c>
      <c r="BW305" s="239">
        <v>-123253</v>
      </c>
      <c r="BX305" s="239">
        <v>0</v>
      </c>
      <c r="BY305" s="239">
        <v>-1232534</v>
      </c>
      <c r="BZ305" s="239">
        <v>-1591851.7999999998</v>
      </c>
      <c r="CA305" s="239">
        <v>-1273482</v>
      </c>
      <c r="CB305" s="239">
        <v>-318370</v>
      </c>
      <c r="CC305" s="239">
        <v>0</v>
      </c>
      <c r="CD305" s="239">
        <v>-3183703.8</v>
      </c>
      <c r="CE305" s="239">
        <v>-1498609</v>
      </c>
      <c r="CF305" s="239">
        <v>-1198886</v>
      </c>
      <c r="CG305" s="239">
        <v>-299721</v>
      </c>
      <c r="CH305" s="239">
        <v>0</v>
      </c>
      <c r="CI305" s="239">
        <v>-2997216</v>
      </c>
      <c r="CJ305" s="239">
        <v>-1312313</v>
      </c>
      <c r="CK305" s="239">
        <v>-1049851</v>
      </c>
      <c r="CL305" s="239">
        <v>-262463</v>
      </c>
      <c r="CM305" s="239">
        <v>0</v>
      </c>
      <c r="CN305" s="239">
        <v>-2624627</v>
      </c>
      <c r="CO305" s="239">
        <v>-186296</v>
      </c>
      <c r="CP305" s="239">
        <v>-149035</v>
      </c>
      <c r="CQ305" s="239">
        <v>-37258</v>
      </c>
      <c r="CR305" s="239">
        <v>0</v>
      </c>
      <c r="CS305" s="239">
        <v>-372589</v>
      </c>
      <c r="CT305" s="239">
        <v>13955184</v>
      </c>
      <c r="CU305" s="239">
        <v>11164147</v>
      </c>
      <c r="CV305" s="239">
        <v>2791037</v>
      </c>
      <c r="CW305" s="239">
        <v>0</v>
      </c>
      <c r="CX305" s="239">
        <v>27910368</v>
      </c>
      <c r="CY305" s="239">
        <v>12716467</v>
      </c>
      <c r="CZ305" s="239">
        <v>10173174</v>
      </c>
      <c r="DA305" s="239">
        <v>2543294</v>
      </c>
      <c r="DB305" s="239">
        <v>0</v>
      </c>
      <c r="DC305" s="239">
        <v>25432935</v>
      </c>
      <c r="DD305" s="239">
        <v>-1238717</v>
      </c>
      <c r="DE305" s="239">
        <v>-990973</v>
      </c>
      <c r="DF305" s="239">
        <v>-247743</v>
      </c>
      <c r="DG305" s="239">
        <v>0</v>
      </c>
      <c r="DH305" s="239">
        <v>-2477433</v>
      </c>
      <c r="DI305" s="239">
        <v>-1425013</v>
      </c>
      <c r="DJ305" s="239">
        <v>-1140008</v>
      </c>
      <c r="DK305" s="239">
        <v>-285001</v>
      </c>
      <c r="DL305" s="239">
        <v>0</v>
      </c>
      <c r="DM305" s="239">
        <v>-2850022</v>
      </c>
      <c r="DN305" s="835">
        <v>0.5</v>
      </c>
      <c r="DO305" s="835">
        <v>0.4</v>
      </c>
      <c r="DP305" s="835">
        <v>0.1</v>
      </c>
      <c r="DQ305" s="835">
        <v>0</v>
      </c>
      <c r="DR305" s="835">
        <v>1</v>
      </c>
      <c r="DS305" s="214" t="s">
        <v>1158</v>
      </c>
      <c r="DU305" s="214">
        <v>0</v>
      </c>
    </row>
    <row r="306" spans="2:125" s="214" customFormat="1" x14ac:dyDescent="0.2">
      <c r="B306" s="602" t="s">
        <v>695</v>
      </c>
      <c r="C306" s="602" t="s">
        <v>694</v>
      </c>
      <c r="D306" s="239">
        <v>26975142</v>
      </c>
      <c r="E306" s="239">
        <v>21580113</v>
      </c>
      <c r="F306" s="239">
        <v>5395028</v>
      </c>
      <c r="G306" s="239">
        <v>0</v>
      </c>
      <c r="H306" s="239">
        <v>53950283</v>
      </c>
      <c r="I306" s="239">
        <v>0</v>
      </c>
      <c r="J306" s="239">
        <v>0</v>
      </c>
      <c r="K306" s="239">
        <v>26975142</v>
      </c>
      <c r="L306" s="239">
        <v>152235</v>
      </c>
      <c r="M306" s="239">
        <v>152235</v>
      </c>
      <c r="N306" s="239">
        <v>0</v>
      </c>
      <c r="O306" s="239">
        <v>0</v>
      </c>
      <c r="P306" s="239">
        <v>0</v>
      </c>
      <c r="Q306" s="239">
        <v>0</v>
      </c>
      <c r="R306" s="239">
        <v>0</v>
      </c>
      <c r="S306" s="239">
        <v>0</v>
      </c>
      <c r="T306" s="239">
        <v>0</v>
      </c>
      <c r="U306" s="239">
        <v>0</v>
      </c>
      <c r="V306" s="239">
        <v>0</v>
      </c>
      <c r="W306" s="239">
        <v>0</v>
      </c>
      <c r="X306" s="239">
        <v>0</v>
      </c>
      <c r="Y306" s="239">
        <v>0</v>
      </c>
      <c r="Z306" s="239">
        <v>0</v>
      </c>
      <c r="AA306" s="239">
        <v>0</v>
      </c>
      <c r="AB306" s="239">
        <v>0</v>
      </c>
      <c r="AC306" s="239">
        <v>1023776</v>
      </c>
      <c r="AD306" s="239">
        <v>255943</v>
      </c>
      <c r="AE306" s="239">
        <v>0</v>
      </c>
      <c r="AF306" s="239">
        <v>1279719</v>
      </c>
      <c r="AG306" s="239">
        <v>196211</v>
      </c>
      <c r="AH306" s="239">
        <v>156968</v>
      </c>
      <c r="AI306" s="239">
        <v>39242</v>
      </c>
      <c r="AJ306" s="239">
        <v>0</v>
      </c>
      <c r="AK306" s="239">
        <v>392421</v>
      </c>
      <c r="AL306" s="239">
        <v>-687080</v>
      </c>
      <c r="AM306" s="239">
        <v>-549664</v>
      </c>
      <c r="AN306" s="239">
        <v>-137416</v>
      </c>
      <c r="AO306" s="239">
        <v>0</v>
      </c>
      <c r="AP306" s="239">
        <v>-1374160</v>
      </c>
      <c r="AQ306" s="239">
        <v>-69511.070000000007</v>
      </c>
      <c r="AR306" s="239">
        <v>-55608</v>
      </c>
      <c r="AS306" s="239">
        <v>-13902</v>
      </c>
      <c r="AT306" s="239">
        <v>0</v>
      </c>
      <c r="AU306" s="239">
        <v>-139021.07</v>
      </c>
      <c r="AV306" s="239">
        <v>69511</v>
      </c>
      <c r="AW306" s="239">
        <v>55608</v>
      </c>
      <c r="AX306" s="239">
        <v>13902</v>
      </c>
      <c r="AY306" s="239">
        <v>0</v>
      </c>
      <c r="AZ306" s="239">
        <v>139021</v>
      </c>
      <c r="BA306" s="239">
        <v>-58751</v>
      </c>
      <c r="BB306" s="239">
        <v>-47000</v>
      </c>
      <c r="BC306" s="239">
        <v>-11750</v>
      </c>
      <c r="BD306" s="239">
        <v>0</v>
      </c>
      <c r="BE306" s="239">
        <v>-117501</v>
      </c>
      <c r="BF306" s="239">
        <v>-58751.070000000007</v>
      </c>
      <c r="BG306" s="239">
        <v>-47000</v>
      </c>
      <c r="BH306" s="239">
        <v>-11750</v>
      </c>
      <c r="BI306" s="239">
        <v>0</v>
      </c>
      <c r="BJ306" s="239">
        <v>-117501.07</v>
      </c>
      <c r="BK306" s="239">
        <v>-2382621.7000000002</v>
      </c>
      <c r="BL306" s="239">
        <v>-1906097</v>
      </c>
      <c r="BM306" s="239">
        <v>-476524</v>
      </c>
      <c r="BN306" s="239">
        <v>0</v>
      </c>
      <c r="BO306" s="239">
        <v>-4765242.7</v>
      </c>
      <c r="BP306" s="239">
        <v>247137</v>
      </c>
      <c r="BQ306" s="239">
        <v>197710</v>
      </c>
      <c r="BR306" s="239">
        <v>49428</v>
      </c>
      <c r="BS306" s="239">
        <v>0</v>
      </c>
      <c r="BT306" s="239">
        <v>494275</v>
      </c>
      <c r="BU306" s="239">
        <v>-1416481</v>
      </c>
      <c r="BV306" s="239">
        <v>-1133184</v>
      </c>
      <c r="BW306" s="239">
        <v>-283296</v>
      </c>
      <c r="BX306" s="239">
        <v>0</v>
      </c>
      <c r="BY306" s="239">
        <v>-2832961</v>
      </c>
      <c r="BZ306" s="239">
        <v>-3551965.7</v>
      </c>
      <c r="CA306" s="239">
        <v>-2841571</v>
      </c>
      <c r="CB306" s="239">
        <v>-710392</v>
      </c>
      <c r="CC306" s="239">
        <v>0</v>
      </c>
      <c r="CD306" s="239">
        <v>-7103928.7000000002</v>
      </c>
      <c r="CE306" s="239">
        <v>-1891660</v>
      </c>
      <c r="CF306" s="239">
        <v>-1513327</v>
      </c>
      <c r="CG306" s="239">
        <v>-378332</v>
      </c>
      <c r="CH306" s="239">
        <v>0</v>
      </c>
      <c r="CI306" s="239">
        <v>-3783319</v>
      </c>
      <c r="CJ306" s="239">
        <v>-793086</v>
      </c>
      <c r="CK306" s="239">
        <v>-634468</v>
      </c>
      <c r="CL306" s="239">
        <v>-158617</v>
      </c>
      <c r="CM306" s="239">
        <v>0</v>
      </c>
      <c r="CN306" s="239">
        <v>-1586171</v>
      </c>
      <c r="CO306" s="239">
        <v>-1098574</v>
      </c>
      <c r="CP306" s="239">
        <v>-878859</v>
      </c>
      <c r="CQ306" s="239">
        <v>-219715</v>
      </c>
      <c r="CR306" s="239">
        <v>0</v>
      </c>
      <c r="CS306" s="239">
        <v>-2197148</v>
      </c>
      <c r="CT306" s="239">
        <v>29284382</v>
      </c>
      <c r="CU306" s="239">
        <v>23427505</v>
      </c>
      <c r="CV306" s="239">
        <v>5856876</v>
      </c>
      <c r="CW306" s="239">
        <v>0</v>
      </c>
      <c r="CX306" s="239">
        <v>58568763</v>
      </c>
      <c r="CY306" s="239">
        <v>26975142</v>
      </c>
      <c r="CZ306" s="239">
        <v>21580113</v>
      </c>
      <c r="DA306" s="239">
        <v>5395028</v>
      </c>
      <c r="DB306" s="239">
        <v>0</v>
      </c>
      <c r="DC306" s="239">
        <v>53950283</v>
      </c>
      <c r="DD306" s="239">
        <v>-2309240</v>
      </c>
      <c r="DE306" s="239">
        <v>-1847392</v>
      </c>
      <c r="DF306" s="239">
        <v>-461848</v>
      </c>
      <c r="DG306" s="239">
        <v>0</v>
      </c>
      <c r="DH306" s="239">
        <v>-4618480</v>
      </c>
      <c r="DI306" s="239">
        <v>-3407814</v>
      </c>
      <c r="DJ306" s="239">
        <v>-2726251</v>
      </c>
      <c r="DK306" s="239">
        <v>-681563</v>
      </c>
      <c r="DL306" s="239">
        <v>0</v>
      </c>
      <c r="DM306" s="239">
        <v>-6815628</v>
      </c>
      <c r="DN306" s="835">
        <v>0.5</v>
      </c>
      <c r="DO306" s="835">
        <v>0.4</v>
      </c>
      <c r="DP306" s="835">
        <v>0.1</v>
      </c>
      <c r="DQ306" s="835">
        <v>0</v>
      </c>
      <c r="DR306" s="835">
        <v>1</v>
      </c>
      <c r="DS306" s="214" t="s">
        <v>1158</v>
      </c>
      <c r="DU306" s="214">
        <v>0</v>
      </c>
    </row>
    <row r="307" spans="2:125" s="214" customFormat="1" x14ac:dyDescent="0.2">
      <c r="B307" s="602" t="s">
        <v>697</v>
      </c>
      <c r="C307" s="602" t="s">
        <v>696</v>
      </c>
      <c r="D307" s="239">
        <v>40319813</v>
      </c>
      <c r="E307" s="239">
        <v>39513417</v>
      </c>
      <c r="F307" s="239">
        <v>0</v>
      </c>
      <c r="G307" s="239">
        <v>806396</v>
      </c>
      <c r="H307" s="239">
        <v>80639626</v>
      </c>
      <c r="I307" s="239">
        <v>0</v>
      </c>
      <c r="J307" s="239">
        <v>0</v>
      </c>
      <c r="K307" s="239">
        <v>40319813</v>
      </c>
      <c r="L307" s="239">
        <v>257198</v>
      </c>
      <c r="M307" s="239">
        <v>257198</v>
      </c>
      <c r="N307" s="239">
        <v>0</v>
      </c>
      <c r="O307" s="239">
        <v>0</v>
      </c>
      <c r="P307" s="239">
        <v>0</v>
      </c>
      <c r="Q307" s="239">
        <v>0</v>
      </c>
      <c r="R307" s="239">
        <v>0</v>
      </c>
      <c r="S307" s="239">
        <v>0</v>
      </c>
      <c r="T307" s="239">
        <v>0</v>
      </c>
      <c r="U307" s="239">
        <v>0</v>
      </c>
      <c r="V307" s="239">
        <v>0</v>
      </c>
      <c r="W307" s="239">
        <v>0</v>
      </c>
      <c r="X307" s="239">
        <v>0</v>
      </c>
      <c r="Y307" s="239">
        <v>0</v>
      </c>
      <c r="Z307" s="239">
        <v>0</v>
      </c>
      <c r="AA307" s="239">
        <v>0</v>
      </c>
      <c r="AB307" s="239">
        <v>0</v>
      </c>
      <c r="AC307" s="239">
        <v>2519343</v>
      </c>
      <c r="AD307" s="239">
        <v>0</v>
      </c>
      <c r="AE307" s="239">
        <v>51414</v>
      </c>
      <c r="AF307" s="239">
        <v>2570757</v>
      </c>
      <c r="AG307" s="239">
        <v>1071095</v>
      </c>
      <c r="AH307" s="239">
        <v>1049674</v>
      </c>
      <c r="AI307" s="239">
        <v>0</v>
      </c>
      <c r="AJ307" s="239">
        <v>21422</v>
      </c>
      <c r="AK307" s="239">
        <v>2142191</v>
      </c>
      <c r="AL307" s="239">
        <v>-1374699</v>
      </c>
      <c r="AM307" s="239">
        <v>-1347206</v>
      </c>
      <c r="AN307" s="239">
        <v>0</v>
      </c>
      <c r="AO307" s="239">
        <v>-27494</v>
      </c>
      <c r="AP307" s="239">
        <v>-2749399</v>
      </c>
      <c r="AQ307" s="239">
        <v>-98292</v>
      </c>
      <c r="AR307" s="239">
        <v>-96326</v>
      </c>
      <c r="AS307" s="239">
        <v>0</v>
      </c>
      <c r="AT307" s="239">
        <v>-1966</v>
      </c>
      <c r="AU307" s="239">
        <v>-196584</v>
      </c>
      <c r="AV307" s="239">
        <v>80189</v>
      </c>
      <c r="AW307" s="239">
        <v>78586</v>
      </c>
      <c r="AX307" s="239">
        <v>0</v>
      </c>
      <c r="AY307" s="239">
        <v>1604</v>
      </c>
      <c r="AZ307" s="239">
        <v>160379</v>
      </c>
      <c r="BA307" s="239">
        <v>-150000</v>
      </c>
      <c r="BB307" s="239">
        <v>-147000</v>
      </c>
      <c r="BC307" s="239">
        <v>0</v>
      </c>
      <c r="BD307" s="239">
        <v>-3000</v>
      </c>
      <c r="BE307" s="239">
        <v>-300000</v>
      </c>
      <c r="BF307" s="239">
        <v>-168103</v>
      </c>
      <c r="BG307" s="239">
        <v>-164740</v>
      </c>
      <c r="BH307" s="239">
        <v>0</v>
      </c>
      <c r="BI307" s="239">
        <v>-3362</v>
      </c>
      <c r="BJ307" s="239">
        <v>-336205</v>
      </c>
      <c r="BK307" s="239">
        <v>-250000</v>
      </c>
      <c r="BL307" s="239">
        <v>-245000</v>
      </c>
      <c r="BM307" s="239">
        <v>0</v>
      </c>
      <c r="BN307" s="239">
        <v>-5000</v>
      </c>
      <c r="BO307" s="239">
        <v>-500000</v>
      </c>
      <c r="BP307" s="239">
        <v>250000</v>
      </c>
      <c r="BQ307" s="239">
        <v>245000</v>
      </c>
      <c r="BR307" s="239">
        <v>0</v>
      </c>
      <c r="BS307" s="239">
        <v>5000</v>
      </c>
      <c r="BT307" s="239">
        <v>500000</v>
      </c>
      <c r="BU307" s="239">
        <v>-2250000</v>
      </c>
      <c r="BV307" s="239">
        <v>-2205000</v>
      </c>
      <c r="BW307" s="239">
        <v>0</v>
      </c>
      <c r="BX307" s="239">
        <v>-45000</v>
      </c>
      <c r="BY307" s="239">
        <v>-4500000</v>
      </c>
      <c r="BZ307" s="239">
        <v>-2250000</v>
      </c>
      <c r="CA307" s="239">
        <v>-2205000</v>
      </c>
      <c r="CB307" s="239">
        <v>0</v>
      </c>
      <c r="CC307" s="239">
        <v>-45000</v>
      </c>
      <c r="CD307" s="239">
        <v>-4500000</v>
      </c>
      <c r="CE307" s="239">
        <v>-1104442</v>
      </c>
      <c r="CF307" s="239">
        <v>-1082353</v>
      </c>
      <c r="CG307" s="239">
        <v>0</v>
      </c>
      <c r="CH307" s="239">
        <v>-22090</v>
      </c>
      <c r="CI307" s="239">
        <v>-2208885</v>
      </c>
      <c r="CJ307" s="239">
        <v>-617514</v>
      </c>
      <c r="CK307" s="239">
        <v>-605164</v>
      </c>
      <c r="CL307" s="239">
        <v>0</v>
      </c>
      <c r="CM307" s="239">
        <v>-12350</v>
      </c>
      <c r="CN307" s="239">
        <v>-1235028</v>
      </c>
      <c r="CO307" s="239">
        <v>-486928</v>
      </c>
      <c r="CP307" s="239">
        <v>-477189</v>
      </c>
      <c r="CQ307" s="239">
        <v>0</v>
      </c>
      <c r="CR307" s="239">
        <v>-9740</v>
      </c>
      <c r="CS307" s="239">
        <v>-973857</v>
      </c>
      <c r="CT307" s="239">
        <v>42705533</v>
      </c>
      <c r="CU307" s="239">
        <v>41851422</v>
      </c>
      <c r="CV307" s="239">
        <v>0</v>
      </c>
      <c r="CW307" s="239">
        <v>854111</v>
      </c>
      <c r="CX307" s="239">
        <v>85411066</v>
      </c>
      <c r="CY307" s="239">
        <v>40319813</v>
      </c>
      <c r="CZ307" s="239">
        <v>39513417</v>
      </c>
      <c r="DA307" s="239">
        <v>0</v>
      </c>
      <c r="DB307" s="239">
        <v>806396</v>
      </c>
      <c r="DC307" s="239">
        <v>80639626</v>
      </c>
      <c r="DD307" s="239">
        <v>-2385720</v>
      </c>
      <c r="DE307" s="239">
        <v>-2338005</v>
      </c>
      <c r="DF307" s="239">
        <v>0</v>
      </c>
      <c r="DG307" s="239">
        <v>-47715</v>
      </c>
      <c r="DH307" s="239">
        <v>-4771440</v>
      </c>
      <c r="DI307" s="239">
        <v>-2872648</v>
      </c>
      <c r="DJ307" s="239">
        <v>-2815194</v>
      </c>
      <c r="DK307" s="239">
        <v>0</v>
      </c>
      <c r="DL307" s="239">
        <v>-57455</v>
      </c>
      <c r="DM307" s="239">
        <v>-5745297</v>
      </c>
      <c r="DN307" s="835">
        <v>0.5</v>
      </c>
      <c r="DO307" s="835">
        <v>0.49</v>
      </c>
      <c r="DP307" s="835">
        <v>0</v>
      </c>
      <c r="DQ307" s="835">
        <v>0.01</v>
      </c>
      <c r="DR307" s="835">
        <v>1</v>
      </c>
      <c r="DS307" s="214" t="s">
        <v>746</v>
      </c>
      <c r="DU307" s="214">
        <v>0</v>
      </c>
    </row>
    <row r="308" spans="2:125" s="214" customFormat="1" x14ac:dyDescent="0.2">
      <c r="B308" s="602" t="s">
        <v>699</v>
      </c>
      <c r="C308" s="602" t="s">
        <v>698</v>
      </c>
      <c r="D308" s="239">
        <v>5016153</v>
      </c>
      <c r="E308" s="239">
        <v>4012923</v>
      </c>
      <c r="F308" s="239">
        <v>902908</v>
      </c>
      <c r="G308" s="239">
        <v>100323</v>
      </c>
      <c r="H308" s="239">
        <v>10032307</v>
      </c>
      <c r="I308" s="239">
        <v>0</v>
      </c>
      <c r="J308" s="239">
        <v>0</v>
      </c>
      <c r="K308" s="239">
        <v>5016153</v>
      </c>
      <c r="L308" s="239">
        <v>83792</v>
      </c>
      <c r="M308" s="239">
        <v>83792</v>
      </c>
      <c r="N308" s="239">
        <v>0</v>
      </c>
      <c r="O308" s="239">
        <v>0</v>
      </c>
      <c r="P308" s="239">
        <v>0</v>
      </c>
      <c r="Q308" s="239">
        <v>0</v>
      </c>
      <c r="R308" s="239">
        <v>0</v>
      </c>
      <c r="S308" s="239">
        <v>0</v>
      </c>
      <c r="T308" s="239">
        <v>0</v>
      </c>
      <c r="U308" s="239">
        <v>0</v>
      </c>
      <c r="V308" s="239">
        <v>0</v>
      </c>
      <c r="W308" s="239">
        <v>0</v>
      </c>
      <c r="X308" s="239">
        <v>0</v>
      </c>
      <c r="Y308" s="239">
        <v>0</v>
      </c>
      <c r="Z308" s="239">
        <v>0</v>
      </c>
      <c r="AA308" s="239">
        <v>0</v>
      </c>
      <c r="AB308" s="239">
        <v>0</v>
      </c>
      <c r="AC308" s="239">
        <v>783303</v>
      </c>
      <c r="AD308" s="239">
        <v>176243</v>
      </c>
      <c r="AE308" s="239">
        <v>19583</v>
      </c>
      <c r="AF308" s="239">
        <v>979129</v>
      </c>
      <c r="AG308" s="239">
        <v>411891</v>
      </c>
      <c r="AH308" s="239">
        <v>329513</v>
      </c>
      <c r="AI308" s="239">
        <v>74140</v>
      </c>
      <c r="AJ308" s="239">
        <v>8238</v>
      </c>
      <c r="AK308" s="239">
        <v>823782</v>
      </c>
      <c r="AL308" s="239">
        <v>-133664</v>
      </c>
      <c r="AM308" s="239">
        <v>-106931</v>
      </c>
      <c r="AN308" s="239">
        <v>-24059</v>
      </c>
      <c r="AO308" s="239">
        <v>-2673</v>
      </c>
      <c r="AP308" s="239">
        <v>-267327</v>
      </c>
      <c r="AQ308" s="239">
        <v>-166103</v>
      </c>
      <c r="AR308" s="239">
        <v>-132882</v>
      </c>
      <c r="AS308" s="239">
        <v>-29899</v>
      </c>
      <c r="AT308" s="239">
        <v>-3322</v>
      </c>
      <c r="AU308" s="239">
        <v>-332206</v>
      </c>
      <c r="AV308" s="239">
        <v>7827</v>
      </c>
      <c r="AW308" s="239">
        <v>6262</v>
      </c>
      <c r="AX308" s="239">
        <v>1409</v>
      </c>
      <c r="AY308" s="239">
        <v>157</v>
      </c>
      <c r="AZ308" s="239">
        <v>15655</v>
      </c>
      <c r="BA308" s="239">
        <v>-1248</v>
      </c>
      <c r="BB308" s="239">
        <v>-999</v>
      </c>
      <c r="BC308" s="239">
        <v>-225</v>
      </c>
      <c r="BD308" s="239">
        <v>-25</v>
      </c>
      <c r="BE308" s="239">
        <v>-2497</v>
      </c>
      <c r="BF308" s="239">
        <v>-159524</v>
      </c>
      <c r="BG308" s="239">
        <v>-127619</v>
      </c>
      <c r="BH308" s="239">
        <v>-28715</v>
      </c>
      <c r="BI308" s="239">
        <v>-3190</v>
      </c>
      <c r="BJ308" s="239">
        <v>-319048</v>
      </c>
      <c r="BK308" s="239">
        <v>-382248</v>
      </c>
      <c r="BL308" s="239">
        <v>-305799</v>
      </c>
      <c r="BM308" s="239">
        <v>-68805</v>
      </c>
      <c r="BN308" s="239">
        <v>-7645</v>
      </c>
      <c r="BO308" s="239">
        <v>-764497</v>
      </c>
      <c r="BP308" s="239">
        <v>244719</v>
      </c>
      <c r="BQ308" s="239">
        <v>195775</v>
      </c>
      <c r="BR308" s="239">
        <v>44049</v>
      </c>
      <c r="BS308" s="239">
        <v>4894</v>
      </c>
      <c r="BT308" s="239">
        <v>489437</v>
      </c>
      <c r="BU308" s="239">
        <v>-378344</v>
      </c>
      <c r="BV308" s="239">
        <v>-302675</v>
      </c>
      <c r="BW308" s="239">
        <v>-68102</v>
      </c>
      <c r="BX308" s="239">
        <v>-7567</v>
      </c>
      <c r="BY308" s="239">
        <v>-756688</v>
      </c>
      <c r="BZ308" s="239">
        <v>-515873</v>
      </c>
      <c r="CA308" s="239">
        <v>-412699</v>
      </c>
      <c r="CB308" s="239">
        <v>-92858</v>
      </c>
      <c r="CC308" s="239">
        <v>-10318</v>
      </c>
      <c r="CD308" s="239">
        <v>-1031748</v>
      </c>
      <c r="CE308" s="239">
        <v>201027</v>
      </c>
      <c r="CF308" s="239">
        <v>160820</v>
      </c>
      <c r="CG308" s="239">
        <v>36185</v>
      </c>
      <c r="CH308" s="239">
        <v>4020</v>
      </c>
      <c r="CI308" s="239">
        <v>402052</v>
      </c>
      <c r="CJ308" s="239">
        <v>17326</v>
      </c>
      <c r="CK308" s="239">
        <v>13862</v>
      </c>
      <c r="CL308" s="239">
        <v>3119</v>
      </c>
      <c r="CM308" s="239">
        <v>347</v>
      </c>
      <c r="CN308" s="239">
        <v>34654</v>
      </c>
      <c r="CO308" s="239">
        <v>183701</v>
      </c>
      <c r="CP308" s="239">
        <v>146958</v>
      </c>
      <c r="CQ308" s="239">
        <v>33066</v>
      </c>
      <c r="CR308" s="239">
        <v>3673</v>
      </c>
      <c r="CS308" s="239">
        <v>367398</v>
      </c>
      <c r="CT308" s="239">
        <v>5123991</v>
      </c>
      <c r="CU308" s="239">
        <v>4099194</v>
      </c>
      <c r="CV308" s="239">
        <v>922319</v>
      </c>
      <c r="CW308" s="239">
        <v>102480</v>
      </c>
      <c r="CX308" s="239">
        <v>10247984</v>
      </c>
      <c r="CY308" s="239">
        <v>5016153</v>
      </c>
      <c r="CZ308" s="239">
        <v>4012923</v>
      </c>
      <c r="DA308" s="239">
        <v>902908</v>
      </c>
      <c r="DB308" s="239">
        <v>100323</v>
      </c>
      <c r="DC308" s="239">
        <v>10032307</v>
      </c>
      <c r="DD308" s="239">
        <v>-107838</v>
      </c>
      <c r="DE308" s="239">
        <v>-86271</v>
      </c>
      <c r="DF308" s="239">
        <v>-19411</v>
      </c>
      <c r="DG308" s="239">
        <v>-2157</v>
      </c>
      <c r="DH308" s="239">
        <v>-215677</v>
      </c>
      <c r="DI308" s="239">
        <v>75863</v>
      </c>
      <c r="DJ308" s="239">
        <v>60687</v>
      </c>
      <c r="DK308" s="239">
        <v>13655</v>
      </c>
      <c r="DL308" s="239">
        <v>1516</v>
      </c>
      <c r="DM308" s="239">
        <v>151721</v>
      </c>
      <c r="DN308" s="835">
        <v>0.5</v>
      </c>
      <c r="DO308" s="835">
        <v>0.4</v>
      </c>
      <c r="DP308" s="835">
        <v>0.09</v>
      </c>
      <c r="DQ308" s="835">
        <v>0.01</v>
      </c>
      <c r="DR308" s="835">
        <v>1</v>
      </c>
      <c r="DS308" s="214" t="s">
        <v>1158</v>
      </c>
      <c r="DU308" s="214">
        <v>0</v>
      </c>
    </row>
    <row r="309" spans="2:125" s="214" customFormat="1" x14ac:dyDescent="0.2">
      <c r="B309" s="602" t="s">
        <v>701</v>
      </c>
      <c r="C309" s="602" t="s">
        <v>700</v>
      </c>
      <c r="D309" s="239">
        <v>13229557</v>
      </c>
      <c r="E309" s="239">
        <v>10583646</v>
      </c>
      <c r="F309" s="239">
        <v>2381320</v>
      </c>
      <c r="G309" s="239">
        <v>264591</v>
      </c>
      <c r="H309" s="239">
        <v>26459114</v>
      </c>
      <c r="I309" s="239">
        <v>0</v>
      </c>
      <c r="J309" s="239">
        <v>0</v>
      </c>
      <c r="K309" s="239">
        <v>13229557</v>
      </c>
      <c r="L309" s="239">
        <v>211340</v>
      </c>
      <c r="M309" s="239">
        <v>211340</v>
      </c>
      <c r="N309" s="239">
        <v>0</v>
      </c>
      <c r="O309" s="239">
        <v>0</v>
      </c>
      <c r="P309" s="239">
        <v>271174</v>
      </c>
      <c r="Q309" s="239">
        <v>2696</v>
      </c>
      <c r="R309" s="239">
        <v>273870</v>
      </c>
      <c r="S309" s="239">
        <v>0</v>
      </c>
      <c r="T309" s="239">
        <v>0</v>
      </c>
      <c r="U309" s="239">
        <v>0</v>
      </c>
      <c r="V309" s="239">
        <v>0</v>
      </c>
      <c r="W309" s="239">
        <v>0</v>
      </c>
      <c r="X309" s="239">
        <v>0</v>
      </c>
      <c r="Y309" s="239">
        <v>0</v>
      </c>
      <c r="Z309" s="239">
        <v>0</v>
      </c>
      <c r="AA309" s="239">
        <v>0</v>
      </c>
      <c r="AB309" s="239">
        <v>0</v>
      </c>
      <c r="AC309" s="239">
        <v>2122354</v>
      </c>
      <c r="AD309" s="239">
        <v>476653</v>
      </c>
      <c r="AE309" s="239">
        <v>52958</v>
      </c>
      <c r="AF309" s="239">
        <v>2651965</v>
      </c>
      <c r="AG309" s="239">
        <v>722769</v>
      </c>
      <c r="AH309" s="239">
        <v>578215</v>
      </c>
      <c r="AI309" s="239">
        <v>130098</v>
      </c>
      <c r="AJ309" s="239">
        <v>14455</v>
      </c>
      <c r="AK309" s="239">
        <v>1445537</v>
      </c>
      <c r="AL309" s="239">
        <v>-178884</v>
      </c>
      <c r="AM309" s="239">
        <v>-143108</v>
      </c>
      <c r="AN309" s="239">
        <v>-32199</v>
      </c>
      <c r="AO309" s="239">
        <v>-3578</v>
      </c>
      <c r="AP309" s="239">
        <v>-357769</v>
      </c>
      <c r="AQ309" s="239">
        <v>-338000</v>
      </c>
      <c r="AR309" s="239">
        <v>-270400</v>
      </c>
      <c r="AS309" s="239">
        <v>-60840</v>
      </c>
      <c r="AT309" s="239">
        <v>-6760</v>
      </c>
      <c r="AU309" s="239">
        <v>-676000</v>
      </c>
      <c r="AV309" s="239">
        <v>76483</v>
      </c>
      <c r="AW309" s="239">
        <v>61186</v>
      </c>
      <c r="AX309" s="239">
        <v>13767</v>
      </c>
      <c r="AY309" s="239">
        <v>1530</v>
      </c>
      <c r="AZ309" s="239">
        <v>152966</v>
      </c>
      <c r="BA309" s="239">
        <v>-305983</v>
      </c>
      <c r="BB309" s="239">
        <v>-244786</v>
      </c>
      <c r="BC309" s="239">
        <v>-55077</v>
      </c>
      <c r="BD309" s="239">
        <v>-6120</v>
      </c>
      <c r="BE309" s="239">
        <v>-611966</v>
      </c>
      <c r="BF309" s="239">
        <v>-567500</v>
      </c>
      <c r="BG309" s="239">
        <v>-454000</v>
      </c>
      <c r="BH309" s="239">
        <v>-102150</v>
      </c>
      <c r="BI309" s="239">
        <v>-11350</v>
      </c>
      <c r="BJ309" s="239">
        <v>-1135000</v>
      </c>
      <c r="BK309" s="239">
        <v>-3749703</v>
      </c>
      <c r="BL309" s="239">
        <v>-2999762</v>
      </c>
      <c r="BM309" s="239">
        <v>-674947</v>
      </c>
      <c r="BN309" s="239">
        <v>-74994</v>
      </c>
      <c r="BO309" s="239">
        <v>-7499406</v>
      </c>
      <c r="BP309" s="239">
        <v>688539</v>
      </c>
      <c r="BQ309" s="239">
        <v>550832</v>
      </c>
      <c r="BR309" s="239">
        <v>123937</v>
      </c>
      <c r="BS309" s="239">
        <v>13771</v>
      </c>
      <c r="BT309" s="239">
        <v>1377079</v>
      </c>
      <c r="BU309" s="239">
        <v>-2997039</v>
      </c>
      <c r="BV309" s="239">
        <v>-2397632</v>
      </c>
      <c r="BW309" s="239">
        <v>-539467</v>
      </c>
      <c r="BX309" s="239">
        <v>-59941</v>
      </c>
      <c r="BY309" s="239">
        <v>-5994079</v>
      </c>
      <c r="BZ309" s="239">
        <v>-6058203</v>
      </c>
      <c r="CA309" s="239">
        <v>-4846562</v>
      </c>
      <c r="CB309" s="239">
        <v>-1090477</v>
      </c>
      <c r="CC309" s="239">
        <v>-121164</v>
      </c>
      <c r="CD309" s="239">
        <v>-12116406</v>
      </c>
      <c r="CE309" s="239">
        <v>-376538</v>
      </c>
      <c r="CF309" s="239">
        <v>-301230</v>
      </c>
      <c r="CG309" s="239">
        <v>-67777</v>
      </c>
      <c r="CH309" s="239">
        <v>-7530</v>
      </c>
      <c r="CI309" s="239">
        <v>-753075</v>
      </c>
      <c r="CJ309" s="239">
        <v>0</v>
      </c>
      <c r="CK309" s="239">
        <v>0</v>
      </c>
      <c r="CL309" s="239">
        <v>0</v>
      </c>
      <c r="CM309" s="239">
        <v>0</v>
      </c>
      <c r="CN309" s="239">
        <v>0</v>
      </c>
      <c r="CO309" s="239">
        <v>-376538</v>
      </c>
      <c r="CP309" s="239">
        <v>-301230</v>
      </c>
      <c r="CQ309" s="239">
        <v>-67777</v>
      </c>
      <c r="CR309" s="239">
        <v>-7530</v>
      </c>
      <c r="CS309" s="239">
        <v>-753075</v>
      </c>
      <c r="CT309" s="239">
        <v>13903272</v>
      </c>
      <c r="CU309" s="239">
        <v>11122618</v>
      </c>
      <c r="CV309" s="239">
        <v>2502589</v>
      </c>
      <c r="CW309" s="239">
        <v>278065</v>
      </c>
      <c r="CX309" s="239">
        <v>27806544</v>
      </c>
      <c r="CY309" s="239">
        <v>13229557</v>
      </c>
      <c r="CZ309" s="239">
        <v>10583646</v>
      </c>
      <c r="DA309" s="239">
        <v>2381320</v>
      </c>
      <c r="DB309" s="239">
        <v>264591</v>
      </c>
      <c r="DC309" s="239">
        <v>26459114</v>
      </c>
      <c r="DD309" s="239">
        <v>-673715</v>
      </c>
      <c r="DE309" s="239">
        <v>-538972</v>
      </c>
      <c r="DF309" s="239">
        <v>-121269</v>
      </c>
      <c r="DG309" s="239">
        <v>-13474</v>
      </c>
      <c r="DH309" s="239">
        <v>-1347430</v>
      </c>
      <c r="DI309" s="239">
        <v>-1050253</v>
      </c>
      <c r="DJ309" s="239">
        <v>-840202</v>
      </c>
      <c r="DK309" s="239">
        <v>-189046</v>
      </c>
      <c r="DL309" s="239">
        <v>-21004</v>
      </c>
      <c r="DM309" s="239">
        <v>-2100505</v>
      </c>
      <c r="DN309" s="835">
        <v>0.5</v>
      </c>
      <c r="DO309" s="835">
        <v>0.4</v>
      </c>
      <c r="DP309" s="835">
        <v>0.09</v>
      </c>
      <c r="DQ309" s="835">
        <v>0.01</v>
      </c>
      <c r="DR309" s="835">
        <v>1</v>
      </c>
      <c r="DS309" s="214" t="s">
        <v>1158</v>
      </c>
      <c r="DU309" s="214">
        <v>0</v>
      </c>
    </row>
    <row r="310" spans="2:125" s="214" customFormat="1" x14ac:dyDescent="0.2">
      <c r="B310" s="602" t="s">
        <v>703</v>
      </c>
      <c r="C310" s="602" t="s">
        <v>702</v>
      </c>
      <c r="D310" s="239">
        <v>14396889</v>
      </c>
      <c r="E310" s="239">
        <v>11517512</v>
      </c>
      <c r="F310" s="239">
        <v>2591440</v>
      </c>
      <c r="G310" s="239">
        <v>287938</v>
      </c>
      <c r="H310" s="239">
        <v>28793779</v>
      </c>
      <c r="I310" s="239">
        <v>0</v>
      </c>
      <c r="J310" s="239">
        <v>0</v>
      </c>
      <c r="K310" s="239">
        <v>14396889</v>
      </c>
      <c r="L310" s="239">
        <v>128797</v>
      </c>
      <c r="M310" s="239">
        <v>128797</v>
      </c>
      <c r="N310" s="239">
        <v>0</v>
      </c>
      <c r="O310" s="239">
        <v>0</v>
      </c>
      <c r="P310" s="239">
        <v>0</v>
      </c>
      <c r="Q310" s="239">
        <v>0</v>
      </c>
      <c r="R310" s="239">
        <v>0</v>
      </c>
      <c r="S310" s="239">
        <v>0</v>
      </c>
      <c r="T310" s="239">
        <v>0</v>
      </c>
      <c r="U310" s="239">
        <v>0</v>
      </c>
      <c r="V310" s="239">
        <v>0</v>
      </c>
      <c r="W310" s="239">
        <v>0</v>
      </c>
      <c r="X310" s="239">
        <v>0</v>
      </c>
      <c r="Y310" s="239">
        <v>0</v>
      </c>
      <c r="Z310" s="239">
        <v>0</v>
      </c>
      <c r="AA310" s="239">
        <v>0</v>
      </c>
      <c r="AB310" s="239">
        <v>0</v>
      </c>
      <c r="AC310" s="239">
        <v>1232643</v>
      </c>
      <c r="AD310" s="239">
        <v>277345</v>
      </c>
      <c r="AE310" s="239">
        <v>30816</v>
      </c>
      <c r="AF310" s="239">
        <v>1540804</v>
      </c>
      <c r="AG310" s="239">
        <v>1901005</v>
      </c>
      <c r="AH310" s="239">
        <v>1520804</v>
      </c>
      <c r="AI310" s="239">
        <v>342181</v>
      </c>
      <c r="AJ310" s="239">
        <v>38020</v>
      </c>
      <c r="AK310" s="239">
        <v>3802010</v>
      </c>
      <c r="AL310" s="239">
        <v>-491647</v>
      </c>
      <c r="AM310" s="239">
        <v>-393318</v>
      </c>
      <c r="AN310" s="239">
        <v>-88497</v>
      </c>
      <c r="AO310" s="239">
        <v>-9833</v>
      </c>
      <c r="AP310" s="239">
        <v>-983295</v>
      </c>
      <c r="AQ310" s="239">
        <v>-529238</v>
      </c>
      <c r="AR310" s="239">
        <v>-423391</v>
      </c>
      <c r="AS310" s="239">
        <v>-95263</v>
      </c>
      <c r="AT310" s="239">
        <v>-10585</v>
      </c>
      <c r="AU310" s="239">
        <v>-1058477</v>
      </c>
      <c r="AV310" s="239">
        <v>68221</v>
      </c>
      <c r="AW310" s="239">
        <v>54576</v>
      </c>
      <c r="AX310" s="239">
        <v>12280</v>
      </c>
      <c r="AY310" s="239">
        <v>1364</v>
      </c>
      <c r="AZ310" s="239">
        <v>136441</v>
      </c>
      <c r="BA310" s="239">
        <v>-341136</v>
      </c>
      <c r="BB310" s="239">
        <v>-272909</v>
      </c>
      <c r="BC310" s="239">
        <v>-61404</v>
      </c>
      <c r="BD310" s="239">
        <v>-6823</v>
      </c>
      <c r="BE310" s="239">
        <v>-682272</v>
      </c>
      <c r="BF310" s="239">
        <v>-802153</v>
      </c>
      <c r="BG310" s="239">
        <v>-641724</v>
      </c>
      <c r="BH310" s="239">
        <v>-144387</v>
      </c>
      <c r="BI310" s="239">
        <v>-16044</v>
      </c>
      <c r="BJ310" s="239">
        <v>-1604308</v>
      </c>
      <c r="BK310" s="239">
        <v>-1254483</v>
      </c>
      <c r="BL310" s="239">
        <v>-1003586</v>
      </c>
      <c r="BM310" s="239">
        <v>-225807</v>
      </c>
      <c r="BN310" s="239">
        <v>-25090</v>
      </c>
      <c r="BO310" s="239">
        <v>-2508966</v>
      </c>
      <c r="BP310" s="239">
        <v>0</v>
      </c>
      <c r="BQ310" s="239">
        <v>0</v>
      </c>
      <c r="BR310" s="239">
        <v>0</v>
      </c>
      <c r="BS310" s="239">
        <v>0</v>
      </c>
      <c r="BT310" s="239">
        <v>0</v>
      </c>
      <c r="BU310" s="239">
        <v>-124129</v>
      </c>
      <c r="BV310" s="239">
        <v>-99304</v>
      </c>
      <c r="BW310" s="239">
        <v>-22343</v>
      </c>
      <c r="BX310" s="239">
        <v>-2483</v>
      </c>
      <c r="BY310" s="239">
        <v>-248259</v>
      </c>
      <c r="BZ310" s="239">
        <v>-1378612</v>
      </c>
      <c r="CA310" s="239">
        <v>-1102890</v>
      </c>
      <c r="CB310" s="239">
        <v>-248150</v>
      </c>
      <c r="CC310" s="239">
        <v>-27573</v>
      </c>
      <c r="CD310" s="239">
        <v>-2757225</v>
      </c>
      <c r="CE310" s="239">
        <v>-781250</v>
      </c>
      <c r="CF310" s="239">
        <v>-624998</v>
      </c>
      <c r="CG310" s="239">
        <v>-140625</v>
      </c>
      <c r="CH310" s="239">
        <v>-15625</v>
      </c>
      <c r="CI310" s="239">
        <v>-1562498</v>
      </c>
      <c r="CJ310" s="239">
        <v>-1333334</v>
      </c>
      <c r="CK310" s="239">
        <v>-1066667</v>
      </c>
      <c r="CL310" s="239">
        <v>-240000</v>
      </c>
      <c r="CM310" s="239">
        <v>-26667</v>
      </c>
      <c r="CN310" s="239">
        <v>-2666668</v>
      </c>
      <c r="CO310" s="239">
        <v>552084</v>
      </c>
      <c r="CP310" s="239">
        <v>441669</v>
      </c>
      <c r="CQ310" s="239">
        <v>99375</v>
      </c>
      <c r="CR310" s="239">
        <v>11042</v>
      </c>
      <c r="CS310" s="239">
        <v>1104170</v>
      </c>
      <c r="CT310" s="239">
        <v>14649562</v>
      </c>
      <c r="CU310" s="239">
        <v>11719649</v>
      </c>
      <c r="CV310" s="239">
        <v>2636921</v>
      </c>
      <c r="CW310" s="239">
        <v>292991</v>
      </c>
      <c r="CX310" s="239">
        <v>29299123</v>
      </c>
      <c r="CY310" s="239">
        <v>14396889</v>
      </c>
      <c r="CZ310" s="239">
        <v>11517512</v>
      </c>
      <c r="DA310" s="239">
        <v>2591440</v>
      </c>
      <c r="DB310" s="239">
        <v>287938</v>
      </c>
      <c r="DC310" s="239">
        <v>28793779</v>
      </c>
      <c r="DD310" s="239">
        <v>-252673</v>
      </c>
      <c r="DE310" s="239">
        <v>-202137</v>
      </c>
      <c r="DF310" s="239">
        <v>-45481</v>
      </c>
      <c r="DG310" s="239">
        <v>-5053</v>
      </c>
      <c r="DH310" s="239">
        <v>-505344</v>
      </c>
      <c r="DI310" s="239">
        <v>299411</v>
      </c>
      <c r="DJ310" s="239">
        <v>239532</v>
      </c>
      <c r="DK310" s="239">
        <v>53894</v>
      </c>
      <c r="DL310" s="239">
        <v>5989</v>
      </c>
      <c r="DM310" s="239">
        <v>598826</v>
      </c>
      <c r="DN310" s="835">
        <v>0.5</v>
      </c>
      <c r="DO310" s="835">
        <v>0.4</v>
      </c>
      <c r="DP310" s="835">
        <v>0.09</v>
      </c>
      <c r="DQ310" s="835">
        <v>0.01</v>
      </c>
      <c r="DR310" s="835">
        <v>1</v>
      </c>
      <c r="DS310" s="214" t="s">
        <v>1158</v>
      </c>
      <c r="DU310" s="214">
        <v>0</v>
      </c>
    </row>
    <row r="311" spans="2:125" s="214" customFormat="1" x14ac:dyDescent="0.2">
      <c r="B311" s="602" t="s">
        <v>705</v>
      </c>
      <c r="C311" s="602" t="s">
        <v>704</v>
      </c>
      <c r="D311" s="239">
        <v>8198036</v>
      </c>
      <c r="E311" s="239">
        <v>6558428</v>
      </c>
      <c r="F311" s="239">
        <v>1639607</v>
      </c>
      <c r="G311" s="239">
        <v>0</v>
      </c>
      <c r="H311" s="239">
        <v>16396071</v>
      </c>
      <c r="I311" s="239">
        <v>0</v>
      </c>
      <c r="J311" s="239">
        <v>0</v>
      </c>
      <c r="K311" s="239">
        <v>8198036</v>
      </c>
      <c r="L311" s="239">
        <v>104972</v>
      </c>
      <c r="M311" s="239">
        <v>104972</v>
      </c>
      <c r="N311" s="239">
        <v>0</v>
      </c>
      <c r="O311" s="239">
        <v>0</v>
      </c>
      <c r="P311" s="239">
        <v>52320</v>
      </c>
      <c r="Q311" s="239">
        <v>0</v>
      </c>
      <c r="R311" s="239">
        <v>52320</v>
      </c>
      <c r="S311" s="239">
        <v>0</v>
      </c>
      <c r="T311" s="239">
        <v>0</v>
      </c>
      <c r="U311" s="239">
        <v>0</v>
      </c>
      <c r="V311" s="239">
        <v>0</v>
      </c>
      <c r="W311" s="239">
        <v>0</v>
      </c>
      <c r="X311" s="239">
        <v>0</v>
      </c>
      <c r="Y311" s="239">
        <v>0</v>
      </c>
      <c r="Z311" s="239">
        <v>0</v>
      </c>
      <c r="AA311" s="239">
        <v>0</v>
      </c>
      <c r="AB311" s="239">
        <v>0</v>
      </c>
      <c r="AC311" s="239">
        <v>901607</v>
      </c>
      <c r="AD311" s="239">
        <v>225205</v>
      </c>
      <c r="AE311" s="239">
        <v>0</v>
      </c>
      <c r="AF311" s="239">
        <v>1126812</v>
      </c>
      <c r="AG311" s="239">
        <v>460359</v>
      </c>
      <c r="AH311" s="239">
        <v>368287</v>
      </c>
      <c r="AI311" s="239">
        <v>92072</v>
      </c>
      <c r="AJ311" s="239">
        <v>0</v>
      </c>
      <c r="AK311" s="239">
        <v>920718</v>
      </c>
      <c r="AL311" s="239">
        <v>-365018</v>
      </c>
      <c r="AM311" s="239">
        <v>-292015</v>
      </c>
      <c r="AN311" s="239">
        <v>-73004</v>
      </c>
      <c r="AO311" s="239">
        <v>0</v>
      </c>
      <c r="AP311" s="239">
        <v>-730037</v>
      </c>
      <c r="AQ311" s="239">
        <v>-188560</v>
      </c>
      <c r="AR311" s="239">
        <v>-150848</v>
      </c>
      <c r="AS311" s="239">
        <v>-37712</v>
      </c>
      <c r="AT311" s="239">
        <v>0</v>
      </c>
      <c r="AU311" s="239">
        <v>-377120</v>
      </c>
      <c r="AV311" s="239">
        <v>188560</v>
      </c>
      <c r="AW311" s="239">
        <v>150848</v>
      </c>
      <c r="AX311" s="239">
        <v>37712</v>
      </c>
      <c r="AY311" s="239">
        <v>0</v>
      </c>
      <c r="AZ311" s="239">
        <v>377120</v>
      </c>
      <c r="BA311" s="239">
        <v>-174868</v>
      </c>
      <c r="BB311" s="239">
        <v>-139894</v>
      </c>
      <c r="BC311" s="239">
        <v>-34974</v>
      </c>
      <c r="BD311" s="239">
        <v>0</v>
      </c>
      <c r="BE311" s="239">
        <v>-349736</v>
      </c>
      <c r="BF311" s="239">
        <v>-174868</v>
      </c>
      <c r="BG311" s="239">
        <v>-139894</v>
      </c>
      <c r="BH311" s="239">
        <v>-34974</v>
      </c>
      <c r="BI311" s="239">
        <v>0</v>
      </c>
      <c r="BJ311" s="239">
        <v>-349736</v>
      </c>
      <c r="BK311" s="239">
        <v>-971155</v>
      </c>
      <c r="BL311" s="239">
        <v>-776924</v>
      </c>
      <c r="BM311" s="239">
        <v>-194231</v>
      </c>
      <c r="BN311" s="239">
        <v>0</v>
      </c>
      <c r="BO311" s="239">
        <v>-1942310</v>
      </c>
      <c r="BP311" s="239">
        <v>201824</v>
      </c>
      <c r="BQ311" s="239">
        <v>161459</v>
      </c>
      <c r="BR311" s="239">
        <v>40365</v>
      </c>
      <c r="BS311" s="239">
        <v>0</v>
      </c>
      <c r="BT311" s="239">
        <v>403648</v>
      </c>
      <c r="BU311" s="239">
        <v>-200692</v>
      </c>
      <c r="BV311" s="239">
        <v>-160553</v>
      </c>
      <c r="BW311" s="239">
        <v>-40138</v>
      </c>
      <c r="BX311" s="239">
        <v>0</v>
      </c>
      <c r="BY311" s="239">
        <v>-401383</v>
      </c>
      <c r="BZ311" s="239">
        <v>-970023</v>
      </c>
      <c r="CA311" s="239">
        <v>-776018</v>
      </c>
      <c r="CB311" s="239">
        <v>-194004</v>
      </c>
      <c r="CC311" s="239">
        <v>0</v>
      </c>
      <c r="CD311" s="239">
        <v>-1940045</v>
      </c>
      <c r="CE311" s="239">
        <v>-1931514</v>
      </c>
      <c r="CF311" s="239">
        <v>-1545211</v>
      </c>
      <c r="CG311" s="239">
        <v>-386303</v>
      </c>
      <c r="CH311" s="239">
        <v>0</v>
      </c>
      <c r="CI311" s="239">
        <v>-3863028</v>
      </c>
      <c r="CJ311" s="239">
        <v>-1736800</v>
      </c>
      <c r="CK311" s="239">
        <v>-1389440</v>
      </c>
      <c r="CL311" s="239">
        <v>-347360</v>
      </c>
      <c r="CM311" s="239">
        <v>0</v>
      </c>
      <c r="CN311" s="239">
        <v>-3473600</v>
      </c>
      <c r="CO311" s="239">
        <v>-194714</v>
      </c>
      <c r="CP311" s="239">
        <v>-155771</v>
      </c>
      <c r="CQ311" s="239">
        <v>-38943</v>
      </c>
      <c r="CR311" s="239">
        <v>0</v>
      </c>
      <c r="CS311" s="239">
        <v>-389428</v>
      </c>
      <c r="CT311" s="239">
        <v>8184503</v>
      </c>
      <c r="CU311" s="239">
        <v>6547603</v>
      </c>
      <c r="CV311" s="239">
        <v>1636901</v>
      </c>
      <c r="CW311" s="239">
        <v>0</v>
      </c>
      <c r="CX311" s="239">
        <v>16369007</v>
      </c>
      <c r="CY311" s="239">
        <v>8198036</v>
      </c>
      <c r="CZ311" s="239">
        <v>6558428</v>
      </c>
      <c r="DA311" s="239">
        <v>1639607</v>
      </c>
      <c r="DB311" s="239">
        <v>0</v>
      </c>
      <c r="DC311" s="239">
        <v>16396071</v>
      </c>
      <c r="DD311" s="239">
        <v>13533</v>
      </c>
      <c r="DE311" s="239">
        <v>10825</v>
      </c>
      <c r="DF311" s="239">
        <v>2706</v>
      </c>
      <c r="DG311" s="239">
        <v>0</v>
      </c>
      <c r="DH311" s="239">
        <v>27064</v>
      </c>
      <c r="DI311" s="239">
        <v>-181181</v>
      </c>
      <c r="DJ311" s="239">
        <v>-144946</v>
      </c>
      <c r="DK311" s="239">
        <v>-36237</v>
      </c>
      <c r="DL311" s="239">
        <v>0</v>
      </c>
      <c r="DM311" s="239">
        <v>-362364</v>
      </c>
      <c r="DN311" s="835">
        <v>0.5</v>
      </c>
      <c r="DO311" s="835">
        <v>0.4</v>
      </c>
      <c r="DP311" s="835">
        <v>0.1</v>
      </c>
      <c r="DQ311" s="835">
        <v>0</v>
      </c>
      <c r="DR311" s="835">
        <v>1</v>
      </c>
      <c r="DS311" s="214" t="s">
        <v>1158</v>
      </c>
      <c r="DU311" s="214">
        <v>0</v>
      </c>
    </row>
    <row r="312" spans="2:125" s="214" customFormat="1" x14ac:dyDescent="0.2">
      <c r="B312" s="602" t="s">
        <v>707</v>
      </c>
      <c r="C312" s="602" t="s">
        <v>706</v>
      </c>
      <c r="D312" s="239">
        <v>18249509</v>
      </c>
      <c r="E312" s="239">
        <v>14599607</v>
      </c>
      <c r="F312" s="239">
        <v>3649902</v>
      </c>
      <c r="G312" s="239">
        <v>0</v>
      </c>
      <c r="H312" s="239">
        <v>36499018</v>
      </c>
      <c r="I312" s="239">
        <v>0</v>
      </c>
      <c r="J312" s="239">
        <v>0</v>
      </c>
      <c r="K312" s="239">
        <v>18249509</v>
      </c>
      <c r="L312" s="239">
        <v>163845</v>
      </c>
      <c r="M312" s="239">
        <v>163845</v>
      </c>
      <c r="N312" s="239">
        <v>0</v>
      </c>
      <c r="O312" s="239">
        <v>0</v>
      </c>
      <c r="P312" s="239">
        <v>239063</v>
      </c>
      <c r="Q312" s="239">
        <v>0</v>
      </c>
      <c r="R312" s="239">
        <v>239063</v>
      </c>
      <c r="S312" s="239">
        <v>0</v>
      </c>
      <c r="T312" s="239">
        <v>0</v>
      </c>
      <c r="U312" s="239">
        <v>0</v>
      </c>
      <c r="V312" s="239">
        <v>0</v>
      </c>
      <c r="W312" s="239">
        <v>0</v>
      </c>
      <c r="X312" s="239">
        <v>0</v>
      </c>
      <c r="Y312" s="239">
        <v>0</v>
      </c>
      <c r="Z312" s="239">
        <v>0</v>
      </c>
      <c r="AA312" s="239">
        <v>0</v>
      </c>
      <c r="AB312" s="239">
        <v>0</v>
      </c>
      <c r="AC312" s="239">
        <v>1535960</v>
      </c>
      <c r="AD312" s="239">
        <v>383091</v>
      </c>
      <c r="AE312" s="239">
        <v>0</v>
      </c>
      <c r="AF312" s="239">
        <v>1919051</v>
      </c>
      <c r="AG312" s="239">
        <v>689531</v>
      </c>
      <c r="AH312" s="239">
        <v>551625</v>
      </c>
      <c r="AI312" s="239">
        <v>137906</v>
      </c>
      <c r="AJ312" s="239">
        <v>0</v>
      </c>
      <c r="AK312" s="239">
        <v>1379062</v>
      </c>
      <c r="AL312" s="239">
        <v>-305006</v>
      </c>
      <c r="AM312" s="239">
        <v>-244004</v>
      </c>
      <c r="AN312" s="239">
        <v>-61001</v>
      </c>
      <c r="AO312" s="239">
        <v>0</v>
      </c>
      <c r="AP312" s="239">
        <v>-610011</v>
      </c>
      <c r="AQ312" s="239">
        <v>-195606</v>
      </c>
      <c r="AR312" s="239">
        <v>-156484</v>
      </c>
      <c r="AS312" s="239">
        <v>-39121</v>
      </c>
      <c r="AT312" s="239">
        <v>0</v>
      </c>
      <c r="AU312" s="239">
        <v>-391211</v>
      </c>
      <c r="AV312" s="239">
        <v>26452</v>
      </c>
      <c r="AW312" s="239">
        <v>21161</v>
      </c>
      <c r="AX312" s="239">
        <v>5290</v>
      </c>
      <c r="AY312" s="239">
        <v>0</v>
      </c>
      <c r="AZ312" s="239">
        <v>52903</v>
      </c>
      <c r="BA312" s="239">
        <v>-32423</v>
      </c>
      <c r="BB312" s="239">
        <v>-25938</v>
      </c>
      <c r="BC312" s="239">
        <v>-6485</v>
      </c>
      <c r="BD312" s="239">
        <v>0</v>
      </c>
      <c r="BE312" s="239">
        <v>-64846</v>
      </c>
      <c r="BF312" s="239">
        <v>-201577</v>
      </c>
      <c r="BG312" s="239">
        <v>-161261</v>
      </c>
      <c r="BH312" s="239">
        <v>-40316</v>
      </c>
      <c r="BI312" s="239">
        <v>0</v>
      </c>
      <c r="BJ312" s="239">
        <v>-403154</v>
      </c>
      <c r="BK312" s="239">
        <v>-1345108</v>
      </c>
      <c r="BL312" s="239">
        <v>-1076087</v>
      </c>
      <c r="BM312" s="239">
        <v>-269022</v>
      </c>
      <c r="BN312" s="239">
        <v>0</v>
      </c>
      <c r="BO312" s="239">
        <v>-2690217</v>
      </c>
      <c r="BP312" s="239">
        <v>94443</v>
      </c>
      <c r="BQ312" s="239">
        <v>75554</v>
      </c>
      <c r="BR312" s="239">
        <v>18889</v>
      </c>
      <c r="BS312" s="239">
        <v>0</v>
      </c>
      <c r="BT312" s="239">
        <v>188886</v>
      </c>
      <c r="BU312" s="239">
        <v>-674578</v>
      </c>
      <c r="BV312" s="239">
        <v>-539663</v>
      </c>
      <c r="BW312" s="239">
        <v>-134916</v>
      </c>
      <c r="BX312" s="239">
        <v>0</v>
      </c>
      <c r="BY312" s="239">
        <v>-1349157</v>
      </c>
      <c r="BZ312" s="239">
        <v>-1925243</v>
      </c>
      <c r="CA312" s="239">
        <v>-1540196</v>
      </c>
      <c r="CB312" s="239">
        <v>-385049</v>
      </c>
      <c r="CC312" s="239">
        <v>0</v>
      </c>
      <c r="CD312" s="239">
        <v>-3850488</v>
      </c>
      <c r="CE312" s="239">
        <v>157778</v>
      </c>
      <c r="CF312" s="239">
        <v>126222</v>
      </c>
      <c r="CG312" s="239">
        <v>31555</v>
      </c>
      <c r="CH312" s="239">
        <v>0</v>
      </c>
      <c r="CI312" s="239">
        <v>315555</v>
      </c>
      <c r="CJ312" s="239">
        <v>-100438</v>
      </c>
      <c r="CK312" s="239">
        <v>-80350</v>
      </c>
      <c r="CL312" s="239">
        <v>-20088</v>
      </c>
      <c r="CM312" s="239">
        <v>0</v>
      </c>
      <c r="CN312" s="239">
        <v>-200876</v>
      </c>
      <c r="CO312" s="239">
        <v>258216</v>
      </c>
      <c r="CP312" s="239">
        <v>206572</v>
      </c>
      <c r="CQ312" s="239">
        <v>51643</v>
      </c>
      <c r="CR312" s="239">
        <v>0</v>
      </c>
      <c r="CS312" s="239">
        <v>516431</v>
      </c>
      <c r="CT312" s="239">
        <v>18779457</v>
      </c>
      <c r="CU312" s="239">
        <v>15023566</v>
      </c>
      <c r="CV312" s="239">
        <v>3755892</v>
      </c>
      <c r="CW312" s="239">
        <v>0</v>
      </c>
      <c r="CX312" s="239">
        <v>37558915</v>
      </c>
      <c r="CY312" s="239">
        <v>18249509</v>
      </c>
      <c r="CZ312" s="239">
        <v>14599607</v>
      </c>
      <c r="DA312" s="239">
        <v>3649902</v>
      </c>
      <c r="DB312" s="239">
        <v>0</v>
      </c>
      <c r="DC312" s="239">
        <v>36499018</v>
      </c>
      <c r="DD312" s="239">
        <v>-529948</v>
      </c>
      <c r="DE312" s="239">
        <v>-423959</v>
      </c>
      <c r="DF312" s="239">
        <v>-105990</v>
      </c>
      <c r="DG312" s="239">
        <v>0</v>
      </c>
      <c r="DH312" s="239">
        <v>-1059897</v>
      </c>
      <c r="DI312" s="239">
        <v>-271732</v>
      </c>
      <c r="DJ312" s="239">
        <v>-217387</v>
      </c>
      <c r="DK312" s="239">
        <v>-54347</v>
      </c>
      <c r="DL312" s="239">
        <v>0</v>
      </c>
      <c r="DM312" s="239">
        <v>-543466</v>
      </c>
      <c r="DN312" s="835">
        <v>0.5</v>
      </c>
      <c r="DO312" s="835">
        <v>0.4</v>
      </c>
      <c r="DP312" s="835">
        <v>0.1</v>
      </c>
      <c r="DQ312" s="835">
        <v>0</v>
      </c>
      <c r="DR312" s="835">
        <v>1</v>
      </c>
      <c r="DS312" s="214" t="s">
        <v>1158</v>
      </c>
      <c r="DU312" s="214">
        <v>0</v>
      </c>
    </row>
    <row r="313" spans="2:125" s="214" customFormat="1" x14ac:dyDescent="0.2">
      <c r="B313" s="602" t="s">
        <v>709</v>
      </c>
      <c r="C313" s="602" t="s">
        <v>708</v>
      </c>
      <c r="D313" s="239">
        <v>8416321</v>
      </c>
      <c r="E313" s="239">
        <v>6733057</v>
      </c>
      <c r="F313" s="239">
        <v>1514938</v>
      </c>
      <c r="G313" s="239">
        <v>168326</v>
      </c>
      <c r="H313" s="239">
        <v>16832642</v>
      </c>
      <c r="I313" s="239">
        <v>0</v>
      </c>
      <c r="J313" s="239">
        <v>0</v>
      </c>
      <c r="K313" s="239">
        <v>8416321</v>
      </c>
      <c r="L313" s="239">
        <v>78132</v>
      </c>
      <c r="M313" s="239">
        <v>78132</v>
      </c>
      <c r="N313" s="239">
        <v>0</v>
      </c>
      <c r="O313" s="239">
        <v>0</v>
      </c>
      <c r="P313" s="239">
        <v>29490</v>
      </c>
      <c r="Q313" s="239">
        <v>0</v>
      </c>
      <c r="R313" s="239">
        <v>29490</v>
      </c>
      <c r="S313" s="239">
        <v>0</v>
      </c>
      <c r="T313" s="239">
        <v>0</v>
      </c>
      <c r="U313" s="239">
        <v>0</v>
      </c>
      <c r="V313" s="239">
        <v>0</v>
      </c>
      <c r="W313" s="239">
        <v>0</v>
      </c>
      <c r="X313" s="239">
        <v>0</v>
      </c>
      <c r="Y313" s="239">
        <v>0</v>
      </c>
      <c r="Z313" s="239">
        <v>0</v>
      </c>
      <c r="AA313" s="239">
        <v>0</v>
      </c>
      <c r="AB313" s="239">
        <v>0</v>
      </c>
      <c r="AC313" s="239">
        <v>782739</v>
      </c>
      <c r="AD313" s="239">
        <v>176017</v>
      </c>
      <c r="AE313" s="239">
        <v>19557</v>
      </c>
      <c r="AF313" s="239">
        <v>978313</v>
      </c>
      <c r="AG313" s="239">
        <v>274179</v>
      </c>
      <c r="AH313" s="239">
        <v>219343</v>
      </c>
      <c r="AI313" s="239">
        <v>49352</v>
      </c>
      <c r="AJ313" s="239">
        <v>5484</v>
      </c>
      <c r="AK313" s="239">
        <v>548358</v>
      </c>
      <c r="AL313" s="239">
        <v>-76991</v>
      </c>
      <c r="AM313" s="239">
        <v>-61593</v>
      </c>
      <c r="AN313" s="239">
        <v>-13858</v>
      </c>
      <c r="AO313" s="239">
        <v>-1540</v>
      </c>
      <c r="AP313" s="239">
        <v>-153982</v>
      </c>
      <c r="AQ313" s="239">
        <v>-70000</v>
      </c>
      <c r="AR313" s="239">
        <v>-56000</v>
      </c>
      <c r="AS313" s="239">
        <v>-12600</v>
      </c>
      <c r="AT313" s="239">
        <v>-1400</v>
      </c>
      <c r="AU313" s="239">
        <v>-140000</v>
      </c>
      <c r="AV313" s="239">
        <v>338</v>
      </c>
      <c r="AW313" s="239">
        <v>270</v>
      </c>
      <c r="AX313" s="239">
        <v>61</v>
      </c>
      <c r="AY313" s="239">
        <v>7</v>
      </c>
      <c r="AZ313" s="239">
        <v>676</v>
      </c>
      <c r="BA313" s="239">
        <v>3169</v>
      </c>
      <c r="BB313" s="239">
        <v>2536</v>
      </c>
      <c r="BC313" s="239">
        <v>571</v>
      </c>
      <c r="BD313" s="239">
        <v>63</v>
      </c>
      <c r="BE313" s="239">
        <v>6339</v>
      </c>
      <c r="BF313" s="239">
        <v>-66493</v>
      </c>
      <c r="BG313" s="239">
        <v>-53194</v>
      </c>
      <c r="BH313" s="239">
        <v>-11968</v>
      </c>
      <c r="BI313" s="239">
        <v>-1330</v>
      </c>
      <c r="BJ313" s="239">
        <v>-132985</v>
      </c>
      <c r="BK313" s="239">
        <v>-813725</v>
      </c>
      <c r="BL313" s="239">
        <v>-650979</v>
      </c>
      <c r="BM313" s="239">
        <v>-146470</v>
      </c>
      <c r="BN313" s="239">
        <v>-16274</v>
      </c>
      <c r="BO313" s="239">
        <v>-1627448</v>
      </c>
      <c r="BP313" s="239">
        <v>65425</v>
      </c>
      <c r="BQ313" s="239">
        <v>52340</v>
      </c>
      <c r="BR313" s="239">
        <v>11777</v>
      </c>
      <c r="BS313" s="239">
        <v>1309</v>
      </c>
      <c r="BT313" s="239">
        <v>130851</v>
      </c>
      <c r="BU313" s="239">
        <v>-319836</v>
      </c>
      <c r="BV313" s="239">
        <v>-255869</v>
      </c>
      <c r="BW313" s="239">
        <v>-57570</v>
      </c>
      <c r="BX313" s="239">
        <v>-6397</v>
      </c>
      <c r="BY313" s="239">
        <v>-639672</v>
      </c>
      <c r="BZ313" s="239">
        <v>-1068136</v>
      </c>
      <c r="CA313" s="239">
        <v>-854508</v>
      </c>
      <c r="CB313" s="239">
        <v>-192263</v>
      </c>
      <c r="CC313" s="239">
        <v>-21362</v>
      </c>
      <c r="CD313" s="239">
        <v>-2136269</v>
      </c>
      <c r="CE313" s="239">
        <v>985973</v>
      </c>
      <c r="CF313" s="239">
        <v>788776</v>
      </c>
      <c r="CG313" s="239">
        <v>177474</v>
      </c>
      <c r="CH313" s="239">
        <v>19720</v>
      </c>
      <c r="CI313" s="239">
        <v>1971943</v>
      </c>
      <c r="CJ313" s="239">
        <v>600794</v>
      </c>
      <c r="CK313" s="239">
        <v>480635</v>
      </c>
      <c r="CL313" s="239">
        <v>108143</v>
      </c>
      <c r="CM313" s="239">
        <v>12016</v>
      </c>
      <c r="CN313" s="239">
        <v>1201588</v>
      </c>
      <c r="CO313" s="239">
        <v>385179</v>
      </c>
      <c r="CP313" s="239">
        <v>308141</v>
      </c>
      <c r="CQ313" s="239">
        <v>69331</v>
      </c>
      <c r="CR313" s="239">
        <v>7704</v>
      </c>
      <c r="CS313" s="239">
        <v>770355</v>
      </c>
      <c r="CT313" s="239">
        <v>8275098</v>
      </c>
      <c r="CU313" s="239">
        <v>6620078</v>
      </c>
      <c r="CV313" s="239">
        <v>1489518</v>
      </c>
      <c r="CW313" s="239">
        <v>165502</v>
      </c>
      <c r="CX313" s="239">
        <v>16550196</v>
      </c>
      <c r="CY313" s="239">
        <v>8416321</v>
      </c>
      <c r="CZ313" s="239">
        <v>6733057</v>
      </c>
      <c r="DA313" s="239">
        <v>1514938</v>
      </c>
      <c r="DB313" s="239">
        <v>168326</v>
      </c>
      <c r="DC313" s="239">
        <v>16832642</v>
      </c>
      <c r="DD313" s="239">
        <v>141223</v>
      </c>
      <c r="DE313" s="239">
        <v>112979</v>
      </c>
      <c r="DF313" s="239">
        <v>25420</v>
      </c>
      <c r="DG313" s="239">
        <v>2824</v>
      </c>
      <c r="DH313" s="239">
        <v>282446</v>
      </c>
      <c r="DI313" s="239">
        <v>526402</v>
      </c>
      <c r="DJ313" s="239">
        <v>421120</v>
      </c>
      <c r="DK313" s="239">
        <v>94751</v>
      </c>
      <c r="DL313" s="239">
        <v>10528</v>
      </c>
      <c r="DM313" s="239">
        <v>1052801</v>
      </c>
      <c r="DN313" s="835">
        <v>0.5</v>
      </c>
      <c r="DO313" s="835">
        <v>0.4</v>
      </c>
      <c r="DP313" s="835">
        <v>0.09</v>
      </c>
      <c r="DQ313" s="835">
        <v>0.01</v>
      </c>
      <c r="DR313" s="835">
        <v>1</v>
      </c>
      <c r="DS313" s="214" t="s">
        <v>1158</v>
      </c>
      <c r="DU313" s="214">
        <v>0</v>
      </c>
    </row>
    <row r="314" spans="2:125" s="214" customFormat="1" x14ac:dyDescent="0.2">
      <c r="B314" s="602" t="s">
        <v>711</v>
      </c>
      <c r="C314" s="602" t="s">
        <v>710</v>
      </c>
      <c r="D314" s="239">
        <v>704791662</v>
      </c>
      <c r="E314" s="239">
        <v>640719692</v>
      </c>
      <c r="F314" s="239">
        <v>790220954</v>
      </c>
      <c r="G314" s="239">
        <v>0</v>
      </c>
      <c r="H314" s="239">
        <v>2135732308</v>
      </c>
      <c r="I314" s="239">
        <v>0</v>
      </c>
      <c r="J314" s="239">
        <v>0</v>
      </c>
      <c r="K314" s="239">
        <v>704791662</v>
      </c>
      <c r="L314" s="239">
        <v>3306395</v>
      </c>
      <c r="M314" s="239">
        <v>3306395</v>
      </c>
      <c r="N314" s="239">
        <v>0</v>
      </c>
      <c r="O314" s="239">
        <v>0</v>
      </c>
      <c r="P314" s="239">
        <v>0</v>
      </c>
      <c r="Q314" s="239">
        <v>0</v>
      </c>
      <c r="R314" s="239">
        <v>0</v>
      </c>
      <c r="S314" s="239">
        <v>0</v>
      </c>
      <c r="T314" s="239">
        <v>0</v>
      </c>
      <c r="U314" s="239">
        <v>0</v>
      </c>
      <c r="V314" s="239">
        <v>0</v>
      </c>
      <c r="W314" s="239">
        <v>0</v>
      </c>
      <c r="X314" s="239">
        <v>0</v>
      </c>
      <c r="Y314" s="239">
        <v>0</v>
      </c>
      <c r="Z314" s="239">
        <v>0</v>
      </c>
      <c r="AA314" s="239">
        <v>0</v>
      </c>
      <c r="AB314" s="239">
        <v>0</v>
      </c>
      <c r="AC314" s="239">
        <v>14038187</v>
      </c>
      <c r="AD314" s="239">
        <v>17313764</v>
      </c>
      <c r="AE314" s="239">
        <v>0</v>
      </c>
      <c r="AF314" s="239">
        <v>31351951</v>
      </c>
      <c r="AG314" s="239">
        <v>16523037</v>
      </c>
      <c r="AH314" s="239">
        <v>15020943</v>
      </c>
      <c r="AI314" s="239">
        <v>18525829</v>
      </c>
      <c r="AJ314" s="239">
        <v>0</v>
      </c>
      <c r="AK314" s="239">
        <v>50069809</v>
      </c>
      <c r="AL314" s="239">
        <v>-49865400</v>
      </c>
      <c r="AM314" s="239">
        <v>-45332183</v>
      </c>
      <c r="AN314" s="239">
        <v>-55909692</v>
      </c>
      <c r="AO314" s="239">
        <v>0</v>
      </c>
      <c r="AP314" s="239">
        <v>-151107275</v>
      </c>
      <c r="AQ314" s="239">
        <v>-8810882</v>
      </c>
      <c r="AR314" s="239">
        <v>-8009894</v>
      </c>
      <c r="AS314" s="239">
        <v>-9878869</v>
      </c>
      <c r="AT314" s="239">
        <v>0</v>
      </c>
      <c r="AU314" s="239">
        <v>-26699645</v>
      </c>
      <c r="AV314" s="239">
        <v>0</v>
      </c>
      <c r="AW314" s="239">
        <v>0</v>
      </c>
      <c r="AX314" s="239">
        <v>0</v>
      </c>
      <c r="AY314" s="239">
        <v>0</v>
      </c>
      <c r="AZ314" s="239">
        <v>0</v>
      </c>
      <c r="BA314" s="239">
        <v>-594000</v>
      </c>
      <c r="BB314" s="239">
        <v>-540000</v>
      </c>
      <c r="BC314" s="239">
        <v>-666000</v>
      </c>
      <c r="BD314" s="239">
        <v>0</v>
      </c>
      <c r="BE314" s="239">
        <v>-1800000</v>
      </c>
      <c r="BF314" s="239">
        <v>-9404882</v>
      </c>
      <c r="BG314" s="239">
        <v>-8549894</v>
      </c>
      <c r="BH314" s="239">
        <v>-10544869</v>
      </c>
      <c r="BI314" s="239">
        <v>0</v>
      </c>
      <c r="BJ314" s="239">
        <v>-28499645</v>
      </c>
      <c r="BK314" s="239">
        <v>-81840000</v>
      </c>
      <c r="BL314" s="239">
        <v>-74400000</v>
      </c>
      <c r="BM314" s="239">
        <v>-91760000</v>
      </c>
      <c r="BN314" s="239">
        <v>0</v>
      </c>
      <c r="BO314" s="239">
        <v>-248000000</v>
      </c>
      <c r="BP314" s="239">
        <v>0</v>
      </c>
      <c r="BQ314" s="239">
        <v>0</v>
      </c>
      <c r="BR314" s="239">
        <v>0</v>
      </c>
      <c r="BS314" s="239">
        <v>0</v>
      </c>
      <c r="BT314" s="239">
        <v>0</v>
      </c>
      <c r="BU314" s="239">
        <v>9240000</v>
      </c>
      <c r="BV314" s="239">
        <v>8400000</v>
      </c>
      <c r="BW314" s="239">
        <v>10360000</v>
      </c>
      <c r="BX314" s="239">
        <v>0</v>
      </c>
      <c r="BY314" s="239">
        <v>28000000</v>
      </c>
      <c r="BZ314" s="239">
        <v>-72600000</v>
      </c>
      <c r="CA314" s="239">
        <v>-66000000</v>
      </c>
      <c r="CB314" s="239">
        <v>-81400000</v>
      </c>
      <c r="CC314" s="239">
        <v>0</v>
      </c>
      <c r="CD314" s="239">
        <v>-220000000</v>
      </c>
      <c r="CE314" s="239">
        <v>8846556</v>
      </c>
      <c r="CF314" s="239">
        <v>5307932</v>
      </c>
      <c r="CG314" s="239">
        <v>3538622</v>
      </c>
      <c r="CH314" s="239">
        <v>0</v>
      </c>
      <c r="CI314" s="239">
        <v>17693110</v>
      </c>
      <c r="CJ314" s="239">
        <v>-75510271</v>
      </c>
      <c r="CK314" s="239">
        <v>-45306163</v>
      </c>
      <c r="CL314" s="239">
        <v>-30204109</v>
      </c>
      <c r="CM314" s="239">
        <v>0</v>
      </c>
      <c r="CN314" s="239">
        <v>-151020543</v>
      </c>
      <c r="CO314" s="239">
        <v>84356827</v>
      </c>
      <c r="CP314" s="239">
        <v>50614095</v>
      </c>
      <c r="CQ314" s="239">
        <v>33742731</v>
      </c>
      <c r="CR314" s="239">
        <v>0</v>
      </c>
      <c r="CS314" s="239">
        <v>168713653</v>
      </c>
      <c r="CT314" s="239">
        <v>677464896</v>
      </c>
      <c r="CU314" s="239">
        <v>615877179</v>
      </c>
      <c r="CV314" s="239">
        <v>759581854</v>
      </c>
      <c r="CW314" s="239">
        <v>0</v>
      </c>
      <c r="CX314" s="239">
        <v>2052923929</v>
      </c>
      <c r="CY314" s="239">
        <v>704791662</v>
      </c>
      <c r="CZ314" s="239">
        <v>640719692</v>
      </c>
      <c r="DA314" s="239">
        <v>790220954</v>
      </c>
      <c r="DB314" s="239">
        <v>0</v>
      </c>
      <c r="DC314" s="239">
        <v>2135732308</v>
      </c>
      <c r="DD314" s="239">
        <v>27326766</v>
      </c>
      <c r="DE314" s="239">
        <v>24842513</v>
      </c>
      <c r="DF314" s="239">
        <v>30639100</v>
      </c>
      <c r="DG314" s="239">
        <v>0</v>
      </c>
      <c r="DH314" s="239">
        <v>82808379</v>
      </c>
      <c r="DI314" s="239">
        <v>111683593</v>
      </c>
      <c r="DJ314" s="239">
        <v>75456608</v>
      </c>
      <c r="DK314" s="239">
        <v>64381831</v>
      </c>
      <c r="DL314" s="239">
        <v>0</v>
      </c>
      <c r="DM314" s="239">
        <v>251522032</v>
      </c>
      <c r="DN314" s="835">
        <v>0.33</v>
      </c>
      <c r="DO314" s="835">
        <v>0.3</v>
      </c>
      <c r="DP314" s="835">
        <v>0.37</v>
      </c>
      <c r="DQ314" s="835">
        <v>0</v>
      </c>
      <c r="DR314" s="835">
        <v>1</v>
      </c>
      <c r="DS314" s="214" t="s">
        <v>1161</v>
      </c>
      <c r="DU314" s="214">
        <v>0</v>
      </c>
    </row>
    <row r="315" spans="2:125" s="214" customFormat="1" x14ac:dyDescent="0.2">
      <c r="B315" s="602" t="s">
        <v>713</v>
      </c>
      <c r="C315" s="602" t="s">
        <v>712</v>
      </c>
      <c r="D315" s="239">
        <v>7058675</v>
      </c>
      <c r="E315" s="239">
        <v>5646940</v>
      </c>
      <c r="F315" s="239">
        <v>1270562</v>
      </c>
      <c r="G315" s="239">
        <v>141174</v>
      </c>
      <c r="H315" s="239">
        <v>14117351</v>
      </c>
      <c r="I315" s="239">
        <v>0</v>
      </c>
      <c r="J315" s="239">
        <v>0</v>
      </c>
      <c r="K315" s="239">
        <v>7058675</v>
      </c>
      <c r="L315" s="239">
        <v>106013</v>
      </c>
      <c r="M315" s="239">
        <v>106013</v>
      </c>
      <c r="N315" s="239">
        <v>0</v>
      </c>
      <c r="O315" s="239">
        <v>0</v>
      </c>
      <c r="P315" s="239">
        <v>0</v>
      </c>
      <c r="Q315" s="239">
        <v>0</v>
      </c>
      <c r="R315" s="239">
        <v>0</v>
      </c>
      <c r="S315" s="239">
        <v>0</v>
      </c>
      <c r="T315" s="239">
        <v>0</v>
      </c>
      <c r="U315" s="239">
        <v>0</v>
      </c>
      <c r="V315" s="239">
        <v>0</v>
      </c>
      <c r="W315" s="239">
        <v>0</v>
      </c>
      <c r="X315" s="239">
        <v>0</v>
      </c>
      <c r="Y315" s="239">
        <v>0</v>
      </c>
      <c r="Z315" s="239">
        <v>0</v>
      </c>
      <c r="AA315" s="239">
        <v>0</v>
      </c>
      <c r="AB315" s="239">
        <v>0</v>
      </c>
      <c r="AC315" s="239">
        <v>850816</v>
      </c>
      <c r="AD315" s="239">
        <v>191435</v>
      </c>
      <c r="AE315" s="239">
        <v>21271</v>
      </c>
      <c r="AF315" s="239">
        <v>1063522</v>
      </c>
      <c r="AG315" s="239">
        <v>868273</v>
      </c>
      <c r="AH315" s="239">
        <v>694618</v>
      </c>
      <c r="AI315" s="239">
        <v>156289</v>
      </c>
      <c r="AJ315" s="239">
        <v>17365</v>
      </c>
      <c r="AK315" s="239">
        <v>1736545</v>
      </c>
      <c r="AL315" s="239">
        <v>-142902</v>
      </c>
      <c r="AM315" s="239">
        <v>-114321</v>
      </c>
      <c r="AN315" s="239">
        <v>-25722</v>
      </c>
      <c r="AO315" s="239">
        <v>-2858</v>
      </c>
      <c r="AP315" s="239">
        <v>-285803</v>
      </c>
      <c r="AQ315" s="239">
        <v>-492500</v>
      </c>
      <c r="AR315" s="239">
        <v>-394000</v>
      </c>
      <c r="AS315" s="239">
        <v>-88650</v>
      </c>
      <c r="AT315" s="239">
        <v>-9850</v>
      </c>
      <c r="AU315" s="239">
        <v>-985000</v>
      </c>
      <c r="AV315" s="239">
        <v>75420</v>
      </c>
      <c r="AW315" s="239">
        <v>60336</v>
      </c>
      <c r="AX315" s="239">
        <v>13576</v>
      </c>
      <c r="AY315" s="239">
        <v>1508</v>
      </c>
      <c r="AZ315" s="239">
        <v>150840</v>
      </c>
      <c r="BA315" s="239">
        <v>-339420</v>
      </c>
      <c r="BB315" s="239">
        <v>-271536</v>
      </c>
      <c r="BC315" s="239">
        <v>-61096</v>
      </c>
      <c r="BD315" s="239">
        <v>-6788</v>
      </c>
      <c r="BE315" s="239">
        <v>-678840</v>
      </c>
      <c r="BF315" s="239">
        <v>-756500</v>
      </c>
      <c r="BG315" s="239">
        <v>-605200</v>
      </c>
      <c r="BH315" s="239">
        <v>-136170</v>
      </c>
      <c r="BI315" s="239">
        <v>-15130</v>
      </c>
      <c r="BJ315" s="239">
        <v>-1513000</v>
      </c>
      <c r="BK315" s="239">
        <v>-2590414</v>
      </c>
      <c r="BL315" s="239">
        <v>-2072330</v>
      </c>
      <c r="BM315" s="239">
        <v>-466274</v>
      </c>
      <c r="BN315" s="239">
        <v>-51808</v>
      </c>
      <c r="BO315" s="239">
        <v>-5180826</v>
      </c>
      <c r="BP315" s="239">
        <v>380709</v>
      </c>
      <c r="BQ315" s="239">
        <v>304568</v>
      </c>
      <c r="BR315" s="239">
        <v>68528</v>
      </c>
      <c r="BS315" s="239">
        <v>7614</v>
      </c>
      <c r="BT315" s="239">
        <v>761419</v>
      </c>
      <c r="BU315" s="239">
        <v>-1206709</v>
      </c>
      <c r="BV315" s="239">
        <v>-965368</v>
      </c>
      <c r="BW315" s="239">
        <v>-217208</v>
      </c>
      <c r="BX315" s="239">
        <v>-24134</v>
      </c>
      <c r="BY315" s="239">
        <v>-2413419</v>
      </c>
      <c r="BZ315" s="239">
        <v>-3416414</v>
      </c>
      <c r="CA315" s="239">
        <v>-2733130</v>
      </c>
      <c r="CB315" s="239">
        <v>-614954</v>
      </c>
      <c r="CC315" s="239">
        <v>-68328</v>
      </c>
      <c r="CD315" s="239">
        <v>-6832826</v>
      </c>
      <c r="CE315" s="239">
        <v>-70081</v>
      </c>
      <c r="CF315" s="239">
        <v>-56065</v>
      </c>
      <c r="CG315" s="239">
        <v>-12615</v>
      </c>
      <c r="CH315" s="239">
        <v>-1401</v>
      </c>
      <c r="CI315" s="239">
        <v>-140162</v>
      </c>
      <c r="CJ315" s="239">
        <v>90766</v>
      </c>
      <c r="CK315" s="239">
        <v>72612</v>
      </c>
      <c r="CL315" s="239">
        <v>16338</v>
      </c>
      <c r="CM315" s="239">
        <v>1815</v>
      </c>
      <c r="CN315" s="239">
        <v>181531</v>
      </c>
      <c r="CO315" s="239">
        <v>-160847</v>
      </c>
      <c r="CP315" s="239">
        <v>-128677</v>
      </c>
      <c r="CQ315" s="239">
        <v>-28953</v>
      </c>
      <c r="CR315" s="239">
        <v>-3216</v>
      </c>
      <c r="CS315" s="239">
        <v>-321693</v>
      </c>
      <c r="CT315" s="239">
        <v>7331551</v>
      </c>
      <c r="CU315" s="239">
        <v>5865241</v>
      </c>
      <c r="CV315" s="239">
        <v>1319679</v>
      </c>
      <c r="CW315" s="239">
        <v>146631</v>
      </c>
      <c r="CX315" s="239">
        <v>14663102</v>
      </c>
      <c r="CY315" s="239">
        <v>7058675</v>
      </c>
      <c r="CZ315" s="239">
        <v>5646940</v>
      </c>
      <c r="DA315" s="239">
        <v>1270562</v>
      </c>
      <c r="DB315" s="239">
        <v>141174</v>
      </c>
      <c r="DC315" s="239">
        <v>14117351</v>
      </c>
      <c r="DD315" s="239">
        <v>-272876</v>
      </c>
      <c r="DE315" s="239">
        <v>-218301</v>
      </c>
      <c r="DF315" s="239">
        <v>-49117</v>
      </c>
      <c r="DG315" s="239">
        <v>-5457</v>
      </c>
      <c r="DH315" s="239">
        <v>-545751</v>
      </c>
      <c r="DI315" s="239">
        <v>-433723</v>
      </c>
      <c r="DJ315" s="239">
        <v>-346978</v>
      </c>
      <c r="DK315" s="239">
        <v>-78070</v>
      </c>
      <c r="DL315" s="239">
        <v>-8673</v>
      </c>
      <c r="DM315" s="239">
        <v>-867444</v>
      </c>
      <c r="DN315" s="835">
        <v>0.5</v>
      </c>
      <c r="DO315" s="835">
        <v>0.4</v>
      </c>
      <c r="DP315" s="835">
        <v>0.09</v>
      </c>
      <c r="DQ315" s="835">
        <v>0.01</v>
      </c>
      <c r="DR315" s="835">
        <v>1</v>
      </c>
      <c r="DS315" s="214" t="s">
        <v>1158</v>
      </c>
      <c r="DU315" s="214">
        <v>0</v>
      </c>
    </row>
    <row r="316" spans="2:125" s="214" customFormat="1" x14ac:dyDescent="0.2">
      <c r="B316" s="602" t="s">
        <v>715</v>
      </c>
      <c r="C316" s="602" t="s">
        <v>714</v>
      </c>
      <c r="D316" s="239">
        <v>0</v>
      </c>
      <c r="E316" s="239">
        <v>75594456</v>
      </c>
      <c r="F316" s="239">
        <v>0</v>
      </c>
      <c r="G316" s="239">
        <v>763580</v>
      </c>
      <c r="H316" s="239">
        <v>76358036</v>
      </c>
      <c r="I316" s="239">
        <v>0</v>
      </c>
      <c r="J316" s="239">
        <v>0</v>
      </c>
      <c r="K316" s="239">
        <v>0</v>
      </c>
      <c r="L316" s="239">
        <v>411592</v>
      </c>
      <c r="M316" s="239">
        <v>411592</v>
      </c>
      <c r="N316" s="239">
        <v>0</v>
      </c>
      <c r="O316" s="239">
        <v>0</v>
      </c>
      <c r="P316" s="239">
        <v>0</v>
      </c>
      <c r="Q316" s="239">
        <v>0</v>
      </c>
      <c r="R316" s="239">
        <v>0</v>
      </c>
      <c r="S316" s="239">
        <v>0</v>
      </c>
      <c r="T316" s="239">
        <v>0</v>
      </c>
      <c r="U316" s="239">
        <v>0</v>
      </c>
      <c r="V316" s="239">
        <v>0</v>
      </c>
      <c r="W316" s="239">
        <v>0</v>
      </c>
      <c r="X316" s="239">
        <v>0</v>
      </c>
      <c r="Y316" s="239">
        <v>0</v>
      </c>
      <c r="Z316" s="239">
        <v>0</v>
      </c>
      <c r="AA316" s="239">
        <v>0</v>
      </c>
      <c r="AB316" s="239">
        <v>0</v>
      </c>
      <c r="AC316" s="239">
        <v>8775392</v>
      </c>
      <c r="AD316" s="239">
        <v>0</v>
      </c>
      <c r="AE316" s="239">
        <v>88639</v>
      </c>
      <c r="AF316" s="239">
        <v>8864031</v>
      </c>
      <c r="AG316" s="239">
        <v>0</v>
      </c>
      <c r="AH316" s="239">
        <v>6172190</v>
      </c>
      <c r="AI316" s="239">
        <v>0</v>
      </c>
      <c r="AJ316" s="239">
        <v>62345</v>
      </c>
      <c r="AK316" s="239">
        <v>6234535</v>
      </c>
      <c r="AL316" s="239">
        <v>0</v>
      </c>
      <c r="AM316" s="239">
        <v>-629653</v>
      </c>
      <c r="AN316" s="239">
        <v>0</v>
      </c>
      <c r="AO316" s="239">
        <v>-6360</v>
      </c>
      <c r="AP316" s="239">
        <v>-636013</v>
      </c>
      <c r="AQ316" s="239">
        <v>0</v>
      </c>
      <c r="AR316" s="239">
        <v>-5896718</v>
      </c>
      <c r="AS316" s="239">
        <v>0</v>
      </c>
      <c r="AT316" s="239">
        <v>-59563</v>
      </c>
      <c r="AU316" s="239">
        <v>-5956281</v>
      </c>
      <c r="AV316" s="239">
        <v>0</v>
      </c>
      <c r="AW316" s="239">
        <v>722881</v>
      </c>
      <c r="AX316" s="239">
        <v>0</v>
      </c>
      <c r="AY316" s="239">
        <v>7302</v>
      </c>
      <c r="AZ316" s="239">
        <v>730183</v>
      </c>
      <c r="BA316" s="239">
        <v>0</v>
      </c>
      <c r="BB316" s="239">
        <v>-1439420</v>
      </c>
      <c r="BC316" s="239">
        <v>0</v>
      </c>
      <c r="BD316" s="239">
        <v>-14540</v>
      </c>
      <c r="BE316" s="239">
        <v>-1453960</v>
      </c>
      <c r="BF316" s="239">
        <v>0</v>
      </c>
      <c r="BG316" s="239">
        <v>-6613257</v>
      </c>
      <c r="BH316" s="239">
        <v>0</v>
      </c>
      <c r="BI316" s="239">
        <v>-66801</v>
      </c>
      <c r="BJ316" s="239">
        <v>-6680058</v>
      </c>
      <c r="BK316" s="239">
        <v>0</v>
      </c>
      <c r="BL316" s="239">
        <v>-3574431</v>
      </c>
      <c r="BM316" s="239">
        <v>0</v>
      </c>
      <c r="BN316" s="239">
        <v>-36105</v>
      </c>
      <c r="BO316" s="239">
        <v>-3610536</v>
      </c>
      <c r="BP316" s="239">
        <v>0</v>
      </c>
      <c r="BQ316" s="239">
        <v>2637761</v>
      </c>
      <c r="BR316" s="239">
        <v>0</v>
      </c>
      <c r="BS316" s="239">
        <v>26644</v>
      </c>
      <c r="BT316" s="239">
        <v>2664405</v>
      </c>
      <c r="BU316" s="239">
        <v>0</v>
      </c>
      <c r="BV316" s="239">
        <v>-3715697</v>
      </c>
      <c r="BW316" s="239">
        <v>0</v>
      </c>
      <c r="BX316" s="239">
        <v>-37532</v>
      </c>
      <c r="BY316" s="239">
        <v>-3753229</v>
      </c>
      <c r="BZ316" s="239">
        <v>0</v>
      </c>
      <c r="CA316" s="239">
        <v>-4652367</v>
      </c>
      <c r="CB316" s="239">
        <v>0</v>
      </c>
      <c r="CC316" s="239">
        <v>-46993</v>
      </c>
      <c r="CD316" s="239">
        <v>-4699360</v>
      </c>
      <c r="CE316" s="239">
        <v>-3637576</v>
      </c>
      <c r="CF316" s="239">
        <v>-3564823</v>
      </c>
      <c r="CG316" s="239">
        <v>0</v>
      </c>
      <c r="CH316" s="239">
        <v>-72750</v>
      </c>
      <c r="CI316" s="239">
        <v>-7275149</v>
      </c>
      <c r="CJ316" s="239">
        <v>-3436007</v>
      </c>
      <c r="CK316" s="239">
        <v>-3367286</v>
      </c>
      <c r="CL316" s="239">
        <v>0</v>
      </c>
      <c r="CM316" s="239">
        <v>-68720</v>
      </c>
      <c r="CN316" s="239">
        <v>-6872013</v>
      </c>
      <c r="CO316" s="239">
        <v>-201569</v>
      </c>
      <c r="CP316" s="239">
        <v>-197537</v>
      </c>
      <c r="CQ316" s="239">
        <v>0</v>
      </c>
      <c r="CR316" s="239">
        <v>-4030</v>
      </c>
      <c r="CS316" s="239">
        <v>-403136</v>
      </c>
      <c r="CT316" s="239">
        <v>0</v>
      </c>
      <c r="CU316" s="239">
        <v>72198271</v>
      </c>
      <c r="CV316" s="239">
        <v>0</v>
      </c>
      <c r="CW316" s="239">
        <v>729275</v>
      </c>
      <c r="CX316" s="239">
        <v>72927546</v>
      </c>
      <c r="CY316" s="239">
        <v>0</v>
      </c>
      <c r="CZ316" s="239">
        <v>75594456</v>
      </c>
      <c r="DA316" s="239">
        <v>0</v>
      </c>
      <c r="DB316" s="239">
        <v>763580</v>
      </c>
      <c r="DC316" s="239">
        <v>76358036</v>
      </c>
      <c r="DD316" s="239">
        <v>0</v>
      </c>
      <c r="DE316" s="239">
        <v>3396185</v>
      </c>
      <c r="DF316" s="239">
        <v>0</v>
      </c>
      <c r="DG316" s="239">
        <v>34305</v>
      </c>
      <c r="DH316" s="239">
        <v>3430490</v>
      </c>
      <c r="DI316" s="239">
        <v>-201569</v>
      </c>
      <c r="DJ316" s="239">
        <v>3198648</v>
      </c>
      <c r="DK316" s="239">
        <v>0</v>
      </c>
      <c r="DL316" s="239">
        <v>30275</v>
      </c>
      <c r="DM316" s="239">
        <v>3027354</v>
      </c>
      <c r="DN316" s="835">
        <v>0</v>
      </c>
      <c r="DO316" s="835">
        <v>0.99</v>
      </c>
      <c r="DP316" s="835">
        <v>0</v>
      </c>
      <c r="DQ316" s="835">
        <v>0.01</v>
      </c>
      <c r="DR316" s="835">
        <v>1</v>
      </c>
      <c r="DS316" s="214" t="s">
        <v>1160</v>
      </c>
      <c r="DU316" s="214">
        <v>0</v>
      </c>
    </row>
    <row r="317" spans="2:125" s="214" customFormat="1" x14ac:dyDescent="0.2">
      <c r="B317" s="602" t="s">
        <v>717</v>
      </c>
      <c r="C317" s="602" t="s">
        <v>716</v>
      </c>
      <c r="D317" s="239">
        <v>70066075</v>
      </c>
      <c r="E317" s="239">
        <v>68664753</v>
      </c>
      <c r="F317" s="239">
        <v>0</v>
      </c>
      <c r="G317" s="239">
        <v>1401321</v>
      </c>
      <c r="H317" s="239">
        <v>140132149</v>
      </c>
      <c r="I317" s="239">
        <v>0</v>
      </c>
      <c r="J317" s="239">
        <v>0</v>
      </c>
      <c r="K317" s="239">
        <v>70066075</v>
      </c>
      <c r="L317" s="239">
        <v>621868</v>
      </c>
      <c r="M317" s="239">
        <v>621868</v>
      </c>
      <c r="N317" s="239">
        <v>0</v>
      </c>
      <c r="O317" s="239">
        <v>0</v>
      </c>
      <c r="P317" s="239">
        <v>2371741</v>
      </c>
      <c r="Q317" s="239">
        <v>0</v>
      </c>
      <c r="R317" s="239">
        <v>2371741</v>
      </c>
      <c r="S317" s="239">
        <v>0</v>
      </c>
      <c r="T317" s="239">
        <v>0</v>
      </c>
      <c r="U317" s="239">
        <v>0</v>
      </c>
      <c r="V317" s="239">
        <v>0</v>
      </c>
      <c r="W317" s="239">
        <v>0</v>
      </c>
      <c r="X317" s="239">
        <v>0</v>
      </c>
      <c r="Y317" s="239">
        <v>0</v>
      </c>
      <c r="Z317" s="239">
        <v>0</v>
      </c>
      <c r="AA317" s="239">
        <v>0</v>
      </c>
      <c r="AB317" s="239">
        <v>0</v>
      </c>
      <c r="AC317" s="239">
        <v>7419525</v>
      </c>
      <c r="AD317" s="239">
        <v>0</v>
      </c>
      <c r="AE317" s="239">
        <v>150692</v>
      </c>
      <c r="AF317" s="239">
        <v>7570217</v>
      </c>
      <c r="AG317" s="239">
        <v>2562743</v>
      </c>
      <c r="AH317" s="239">
        <v>2511488</v>
      </c>
      <c r="AI317" s="239">
        <v>0</v>
      </c>
      <c r="AJ317" s="239">
        <v>51255</v>
      </c>
      <c r="AK317" s="239">
        <v>5125486</v>
      </c>
      <c r="AL317" s="239">
        <v>-2008098</v>
      </c>
      <c r="AM317" s="239">
        <v>-1967936</v>
      </c>
      <c r="AN317" s="239">
        <v>0</v>
      </c>
      <c r="AO317" s="239">
        <v>-40162</v>
      </c>
      <c r="AP317" s="239">
        <v>-4016196</v>
      </c>
      <c r="AQ317" s="239">
        <v>-324450</v>
      </c>
      <c r="AR317" s="239">
        <v>-317961</v>
      </c>
      <c r="AS317" s="239">
        <v>0</v>
      </c>
      <c r="AT317" s="239">
        <v>-6489</v>
      </c>
      <c r="AU317" s="239">
        <v>-648900</v>
      </c>
      <c r="AV317" s="239">
        <v>494056</v>
      </c>
      <c r="AW317" s="239">
        <v>484175</v>
      </c>
      <c r="AX317" s="239">
        <v>0</v>
      </c>
      <c r="AY317" s="239">
        <v>9881</v>
      </c>
      <c r="AZ317" s="239">
        <v>988112</v>
      </c>
      <c r="BA317" s="239">
        <v>-527406</v>
      </c>
      <c r="BB317" s="239">
        <v>-516858</v>
      </c>
      <c r="BC317" s="239">
        <v>0</v>
      </c>
      <c r="BD317" s="239">
        <v>-10548</v>
      </c>
      <c r="BE317" s="239">
        <v>-1054812</v>
      </c>
      <c r="BF317" s="239">
        <v>-357800</v>
      </c>
      <c r="BG317" s="239">
        <v>-350644</v>
      </c>
      <c r="BH317" s="239">
        <v>0</v>
      </c>
      <c r="BI317" s="239">
        <v>-7156</v>
      </c>
      <c r="BJ317" s="239">
        <v>-715600</v>
      </c>
      <c r="BK317" s="239">
        <v>-1920050</v>
      </c>
      <c r="BL317" s="239">
        <v>-1881649</v>
      </c>
      <c r="BM317" s="239">
        <v>0</v>
      </c>
      <c r="BN317" s="239">
        <v>-38401</v>
      </c>
      <c r="BO317" s="239">
        <v>-3840100</v>
      </c>
      <c r="BP317" s="239">
        <v>1920050</v>
      </c>
      <c r="BQ317" s="239">
        <v>1881649</v>
      </c>
      <c r="BR317" s="239">
        <v>0</v>
      </c>
      <c r="BS317" s="239">
        <v>38401</v>
      </c>
      <c r="BT317" s="239">
        <v>3840100</v>
      </c>
      <c r="BU317" s="239">
        <v>-1840700</v>
      </c>
      <c r="BV317" s="239">
        <v>-1803886</v>
      </c>
      <c r="BW317" s="239">
        <v>0</v>
      </c>
      <c r="BX317" s="239">
        <v>-36814</v>
      </c>
      <c r="BY317" s="239">
        <v>-3681400</v>
      </c>
      <c r="BZ317" s="239">
        <v>-1840700</v>
      </c>
      <c r="CA317" s="239">
        <v>-1803886</v>
      </c>
      <c r="CB317" s="239">
        <v>0</v>
      </c>
      <c r="CC317" s="239">
        <v>-36814</v>
      </c>
      <c r="CD317" s="239">
        <v>-3681400</v>
      </c>
      <c r="CE317" s="239">
        <v>2417029</v>
      </c>
      <c r="CF317" s="239">
        <v>2368689</v>
      </c>
      <c r="CG317" s="239">
        <v>0</v>
      </c>
      <c r="CH317" s="239">
        <v>48341</v>
      </c>
      <c r="CI317" s="239">
        <v>4834059</v>
      </c>
      <c r="CJ317" s="239">
        <v>3130472</v>
      </c>
      <c r="CK317" s="239">
        <v>3067863</v>
      </c>
      <c r="CL317" s="239">
        <v>0</v>
      </c>
      <c r="CM317" s="239">
        <v>62609</v>
      </c>
      <c r="CN317" s="239">
        <v>6260944</v>
      </c>
      <c r="CO317" s="239">
        <v>-713443</v>
      </c>
      <c r="CP317" s="239">
        <v>-699174</v>
      </c>
      <c r="CQ317" s="239">
        <v>0</v>
      </c>
      <c r="CR317" s="239">
        <v>-14268</v>
      </c>
      <c r="CS317" s="239">
        <v>-1426885</v>
      </c>
      <c r="CT317" s="239">
        <v>73462726</v>
      </c>
      <c r="CU317" s="239">
        <v>71993471</v>
      </c>
      <c r="CV317" s="239">
        <v>0</v>
      </c>
      <c r="CW317" s="239">
        <v>1469255</v>
      </c>
      <c r="CX317" s="239">
        <v>146925452</v>
      </c>
      <c r="CY317" s="239">
        <v>70066075</v>
      </c>
      <c r="CZ317" s="239">
        <v>68664753</v>
      </c>
      <c r="DA317" s="239">
        <v>0</v>
      </c>
      <c r="DB317" s="239">
        <v>1401321</v>
      </c>
      <c r="DC317" s="239">
        <v>140132149</v>
      </c>
      <c r="DD317" s="239">
        <v>-3396651</v>
      </c>
      <c r="DE317" s="239">
        <v>-3328718</v>
      </c>
      <c r="DF317" s="239">
        <v>0</v>
      </c>
      <c r="DG317" s="239">
        <v>-67934</v>
      </c>
      <c r="DH317" s="239">
        <v>-6793303</v>
      </c>
      <c r="DI317" s="239">
        <v>-4110094</v>
      </c>
      <c r="DJ317" s="239">
        <v>-4027892</v>
      </c>
      <c r="DK317" s="239">
        <v>0</v>
      </c>
      <c r="DL317" s="239">
        <v>-82202</v>
      </c>
      <c r="DM317" s="239">
        <v>-8220188</v>
      </c>
      <c r="DN317" s="835">
        <v>0.5</v>
      </c>
      <c r="DO317" s="835">
        <v>0.49</v>
      </c>
      <c r="DP317" s="835">
        <v>0</v>
      </c>
      <c r="DQ317" s="835">
        <v>0.01</v>
      </c>
      <c r="DR317" s="835">
        <v>1</v>
      </c>
      <c r="DS317" s="214" t="s">
        <v>746</v>
      </c>
      <c r="DU317" s="214">
        <v>0</v>
      </c>
    </row>
    <row r="318" spans="2:125" s="214" customFormat="1" x14ac:dyDescent="0.2">
      <c r="B318" s="602" t="s">
        <v>719</v>
      </c>
      <c r="C318" s="602" t="s">
        <v>718</v>
      </c>
      <c r="D318" s="239">
        <v>28585316</v>
      </c>
      <c r="E318" s="239">
        <v>22868253</v>
      </c>
      <c r="F318" s="239">
        <v>5145357</v>
      </c>
      <c r="G318" s="239">
        <v>571706</v>
      </c>
      <c r="H318" s="239">
        <v>57170632</v>
      </c>
      <c r="I318" s="239">
        <v>0</v>
      </c>
      <c r="J318" s="239">
        <v>0</v>
      </c>
      <c r="K318" s="239">
        <v>28585316</v>
      </c>
      <c r="L318" s="239">
        <v>198201</v>
      </c>
      <c r="M318" s="239">
        <v>198201</v>
      </c>
      <c r="N318" s="239">
        <v>0</v>
      </c>
      <c r="O318" s="239">
        <v>0</v>
      </c>
      <c r="P318" s="239">
        <v>330056</v>
      </c>
      <c r="Q318" s="239">
        <v>0</v>
      </c>
      <c r="R318" s="239">
        <v>330056</v>
      </c>
      <c r="S318" s="239">
        <v>0</v>
      </c>
      <c r="T318" s="239">
        <v>0</v>
      </c>
      <c r="U318" s="239">
        <v>0</v>
      </c>
      <c r="V318" s="239">
        <v>0</v>
      </c>
      <c r="W318" s="239">
        <v>0</v>
      </c>
      <c r="X318" s="239">
        <v>0</v>
      </c>
      <c r="Y318" s="239">
        <v>0</v>
      </c>
      <c r="Z318" s="239">
        <v>0</v>
      </c>
      <c r="AA318" s="239">
        <v>0</v>
      </c>
      <c r="AB318" s="239">
        <v>0</v>
      </c>
      <c r="AC318" s="239">
        <v>1883708</v>
      </c>
      <c r="AD318" s="239">
        <v>422720</v>
      </c>
      <c r="AE318" s="239">
        <v>46969</v>
      </c>
      <c r="AF318" s="239">
        <v>2353397</v>
      </c>
      <c r="AG318" s="239">
        <v>1033609</v>
      </c>
      <c r="AH318" s="239">
        <v>826887</v>
      </c>
      <c r="AI318" s="239">
        <v>186050</v>
      </c>
      <c r="AJ318" s="239">
        <v>20672</v>
      </c>
      <c r="AK318" s="239">
        <v>2067218</v>
      </c>
      <c r="AL318" s="239">
        <v>-431439</v>
      </c>
      <c r="AM318" s="239">
        <v>-345152</v>
      </c>
      <c r="AN318" s="239">
        <v>-77659</v>
      </c>
      <c r="AO318" s="239">
        <v>-8629</v>
      </c>
      <c r="AP318" s="239">
        <v>-862879</v>
      </c>
      <c r="AQ318" s="239">
        <v>-548598</v>
      </c>
      <c r="AR318" s="239">
        <v>-438878</v>
      </c>
      <c r="AS318" s="239">
        <v>-98748</v>
      </c>
      <c r="AT318" s="239">
        <v>-10972</v>
      </c>
      <c r="AU318" s="239">
        <v>-1097196</v>
      </c>
      <c r="AV318" s="239">
        <v>87791</v>
      </c>
      <c r="AW318" s="239">
        <v>70232</v>
      </c>
      <c r="AX318" s="239">
        <v>15802</v>
      </c>
      <c r="AY318" s="239">
        <v>1756</v>
      </c>
      <c r="AZ318" s="239">
        <v>175581</v>
      </c>
      <c r="BA318" s="239">
        <v>-140636</v>
      </c>
      <c r="BB318" s="239">
        <v>-112510</v>
      </c>
      <c r="BC318" s="239">
        <v>-25315</v>
      </c>
      <c r="BD318" s="239">
        <v>-2813</v>
      </c>
      <c r="BE318" s="239">
        <v>-281274</v>
      </c>
      <c r="BF318" s="239">
        <v>-601443</v>
      </c>
      <c r="BG318" s="239">
        <v>-481156</v>
      </c>
      <c r="BH318" s="239">
        <v>-108261</v>
      </c>
      <c r="BI318" s="239">
        <v>-12029</v>
      </c>
      <c r="BJ318" s="239">
        <v>-1202889</v>
      </c>
      <c r="BK318" s="239">
        <v>-1904468</v>
      </c>
      <c r="BL318" s="239">
        <v>-1523574</v>
      </c>
      <c r="BM318" s="239">
        <v>-342804</v>
      </c>
      <c r="BN318" s="239">
        <v>-38089</v>
      </c>
      <c r="BO318" s="239">
        <v>-3808935</v>
      </c>
      <c r="BP318" s="239">
        <v>895153</v>
      </c>
      <c r="BQ318" s="239">
        <v>716122</v>
      </c>
      <c r="BR318" s="239">
        <v>161127</v>
      </c>
      <c r="BS318" s="239">
        <v>17903</v>
      </c>
      <c r="BT318" s="239">
        <v>1790305</v>
      </c>
      <c r="BU318" s="239">
        <v>-1762862</v>
      </c>
      <c r="BV318" s="239">
        <v>-1410290</v>
      </c>
      <c r="BW318" s="239">
        <v>-317315</v>
      </c>
      <c r="BX318" s="239">
        <v>-35257</v>
      </c>
      <c r="BY318" s="239">
        <v>-3525724</v>
      </c>
      <c r="BZ318" s="239">
        <v>-2772177</v>
      </c>
      <c r="CA318" s="239">
        <v>-2217742</v>
      </c>
      <c r="CB318" s="239">
        <v>-498992</v>
      </c>
      <c r="CC318" s="239">
        <v>-55443</v>
      </c>
      <c r="CD318" s="239">
        <v>-5544354</v>
      </c>
      <c r="CE318" s="239">
        <v>442419</v>
      </c>
      <c r="CF318" s="239">
        <v>353936</v>
      </c>
      <c r="CG318" s="239">
        <v>79635</v>
      </c>
      <c r="CH318" s="239">
        <v>8848</v>
      </c>
      <c r="CI318" s="239">
        <v>884838</v>
      </c>
      <c r="CJ318" s="239">
        <v>744503</v>
      </c>
      <c r="CK318" s="239">
        <v>595602</v>
      </c>
      <c r="CL318" s="239">
        <v>134011</v>
      </c>
      <c r="CM318" s="239">
        <v>14890</v>
      </c>
      <c r="CN318" s="239">
        <v>1489006</v>
      </c>
      <c r="CO318" s="239">
        <v>-302084</v>
      </c>
      <c r="CP318" s="239">
        <v>-241666</v>
      </c>
      <c r="CQ318" s="239">
        <v>-54376</v>
      </c>
      <c r="CR318" s="239">
        <v>-6042</v>
      </c>
      <c r="CS318" s="239">
        <v>-604168</v>
      </c>
      <c r="CT318" s="239">
        <v>29138006</v>
      </c>
      <c r="CU318" s="239">
        <v>23310404</v>
      </c>
      <c r="CV318" s="239">
        <v>5244841</v>
      </c>
      <c r="CW318" s="239">
        <v>582760</v>
      </c>
      <c r="CX318" s="239">
        <v>58276011</v>
      </c>
      <c r="CY318" s="239">
        <v>28585316</v>
      </c>
      <c r="CZ318" s="239">
        <v>22868253</v>
      </c>
      <c r="DA318" s="239">
        <v>5145357</v>
      </c>
      <c r="DB318" s="239">
        <v>571706</v>
      </c>
      <c r="DC318" s="239">
        <v>57170632</v>
      </c>
      <c r="DD318" s="239">
        <v>-552690</v>
      </c>
      <c r="DE318" s="239">
        <v>-442151</v>
      </c>
      <c r="DF318" s="239">
        <v>-99484</v>
      </c>
      <c r="DG318" s="239">
        <v>-11054</v>
      </c>
      <c r="DH318" s="239">
        <v>-1105379</v>
      </c>
      <c r="DI318" s="239">
        <v>-854774</v>
      </c>
      <c r="DJ318" s="239">
        <v>-683817</v>
      </c>
      <c r="DK318" s="239">
        <v>-153860</v>
      </c>
      <c r="DL318" s="239">
        <v>-17096</v>
      </c>
      <c r="DM318" s="239">
        <v>-1709547</v>
      </c>
      <c r="DN318" s="835">
        <v>0.5</v>
      </c>
      <c r="DO318" s="835">
        <v>0.4</v>
      </c>
      <c r="DP318" s="835">
        <v>0.09</v>
      </c>
      <c r="DQ318" s="835">
        <v>0.01</v>
      </c>
      <c r="DR318" s="835">
        <v>1</v>
      </c>
      <c r="DS318" s="214" t="s">
        <v>1158</v>
      </c>
      <c r="DU318" s="214">
        <v>0</v>
      </c>
    </row>
    <row r="319" spans="2:125" s="214" customFormat="1" x14ac:dyDescent="0.2">
      <c r="B319" s="602" t="s">
        <v>721</v>
      </c>
      <c r="C319" s="602" t="s">
        <v>720</v>
      </c>
      <c r="D319" s="239">
        <v>41902015</v>
      </c>
      <c r="E319" s="239">
        <v>41063974</v>
      </c>
      <c r="F319" s="239">
        <v>0</v>
      </c>
      <c r="G319" s="239">
        <v>838040</v>
      </c>
      <c r="H319" s="239">
        <v>83804029</v>
      </c>
      <c r="I319" s="239">
        <v>0</v>
      </c>
      <c r="J319" s="239">
        <v>0</v>
      </c>
      <c r="K319" s="239">
        <v>41902015</v>
      </c>
      <c r="L319" s="239">
        <v>249199</v>
      </c>
      <c r="M319" s="239">
        <v>249199</v>
      </c>
      <c r="N319" s="239">
        <v>0</v>
      </c>
      <c r="O319" s="239">
        <v>0</v>
      </c>
      <c r="P319" s="239">
        <v>9261</v>
      </c>
      <c r="Q319" s="239">
        <v>0</v>
      </c>
      <c r="R319" s="239">
        <v>9261</v>
      </c>
      <c r="S319" s="239">
        <v>0</v>
      </c>
      <c r="T319" s="239">
        <v>0</v>
      </c>
      <c r="U319" s="239">
        <v>0</v>
      </c>
      <c r="V319" s="239">
        <v>0</v>
      </c>
      <c r="W319" s="239">
        <v>0</v>
      </c>
      <c r="X319" s="239">
        <v>0</v>
      </c>
      <c r="Y319" s="239">
        <v>0</v>
      </c>
      <c r="Z319" s="239">
        <v>0</v>
      </c>
      <c r="AA319" s="239">
        <v>0</v>
      </c>
      <c r="AB319" s="239">
        <v>0</v>
      </c>
      <c r="AC319" s="239">
        <v>2341810</v>
      </c>
      <c r="AD319" s="239">
        <v>0</v>
      </c>
      <c r="AE319" s="239">
        <v>47789</v>
      </c>
      <c r="AF319" s="239">
        <v>2389599</v>
      </c>
      <c r="AG319" s="239">
        <v>1844963</v>
      </c>
      <c r="AH319" s="239">
        <v>1808063</v>
      </c>
      <c r="AI319" s="239">
        <v>0</v>
      </c>
      <c r="AJ319" s="239">
        <v>36899</v>
      </c>
      <c r="AK319" s="239">
        <v>3689925</v>
      </c>
      <c r="AL319" s="239">
        <v>-1998645</v>
      </c>
      <c r="AM319" s="239">
        <v>-1958672</v>
      </c>
      <c r="AN319" s="239">
        <v>0</v>
      </c>
      <c r="AO319" s="239">
        <v>-39973</v>
      </c>
      <c r="AP319" s="239">
        <v>-3997290</v>
      </c>
      <c r="AQ319" s="239">
        <v>-514255.10000000009</v>
      </c>
      <c r="AR319" s="239">
        <v>-503969</v>
      </c>
      <c r="AS319" s="239">
        <v>0</v>
      </c>
      <c r="AT319" s="239">
        <v>-10285</v>
      </c>
      <c r="AU319" s="239">
        <v>-1028509.1000000001</v>
      </c>
      <c r="AV319" s="239">
        <v>0</v>
      </c>
      <c r="AW319" s="239">
        <v>0</v>
      </c>
      <c r="AX319" s="239">
        <v>0</v>
      </c>
      <c r="AY319" s="239">
        <v>0</v>
      </c>
      <c r="AZ319" s="239">
        <v>0</v>
      </c>
      <c r="BA319" s="239">
        <v>0</v>
      </c>
      <c r="BB319" s="239">
        <v>0</v>
      </c>
      <c r="BC319" s="239">
        <v>0</v>
      </c>
      <c r="BD319" s="239">
        <v>0</v>
      </c>
      <c r="BE319" s="239">
        <v>0</v>
      </c>
      <c r="BF319" s="239">
        <v>-514255.10000000009</v>
      </c>
      <c r="BG319" s="239">
        <v>-503969</v>
      </c>
      <c r="BH319" s="239">
        <v>0</v>
      </c>
      <c r="BI319" s="239">
        <v>-10285</v>
      </c>
      <c r="BJ319" s="239">
        <v>-1028509.1000000001</v>
      </c>
      <c r="BK319" s="239">
        <v>-1956108</v>
      </c>
      <c r="BL319" s="239">
        <v>-1916985</v>
      </c>
      <c r="BM319" s="239">
        <v>0</v>
      </c>
      <c r="BN319" s="239">
        <v>-39122</v>
      </c>
      <c r="BO319" s="239">
        <v>-3912215</v>
      </c>
      <c r="BP319" s="239">
        <v>0</v>
      </c>
      <c r="BQ319" s="239">
        <v>0</v>
      </c>
      <c r="BR319" s="239">
        <v>0</v>
      </c>
      <c r="BS319" s="239">
        <v>0</v>
      </c>
      <c r="BT319" s="239">
        <v>0</v>
      </c>
      <c r="BU319" s="239">
        <v>0</v>
      </c>
      <c r="BV319" s="239">
        <v>0</v>
      </c>
      <c r="BW319" s="239">
        <v>0</v>
      </c>
      <c r="BX319" s="239">
        <v>0</v>
      </c>
      <c r="BY319" s="239">
        <v>0</v>
      </c>
      <c r="BZ319" s="239">
        <v>-1956108</v>
      </c>
      <c r="CA319" s="239">
        <v>-1916985</v>
      </c>
      <c r="CB319" s="239">
        <v>0</v>
      </c>
      <c r="CC319" s="239">
        <v>-39122</v>
      </c>
      <c r="CD319" s="239">
        <v>-3912215</v>
      </c>
      <c r="CE319" s="239">
        <v>-2545593</v>
      </c>
      <c r="CF319" s="239">
        <v>-2494680</v>
      </c>
      <c r="CG319" s="239">
        <v>0</v>
      </c>
      <c r="CH319" s="239">
        <v>-50912</v>
      </c>
      <c r="CI319" s="239">
        <v>-5091185</v>
      </c>
      <c r="CJ319" s="239">
        <v>-1021777</v>
      </c>
      <c r="CK319" s="239">
        <v>-1001341</v>
      </c>
      <c r="CL319" s="239">
        <v>0</v>
      </c>
      <c r="CM319" s="239">
        <v>-20436</v>
      </c>
      <c r="CN319" s="239">
        <v>-2043554</v>
      </c>
      <c r="CO319" s="239">
        <v>-1523816</v>
      </c>
      <c r="CP319" s="239">
        <v>-1493339</v>
      </c>
      <c r="CQ319" s="239">
        <v>0</v>
      </c>
      <c r="CR319" s="239">
        <v>-30476</v>
      </c>
      <c r="CS319" s="239">
        <v>-3047631</v>
      </c>
      <c r="CT319" s="239">
        <v>46250811</v>
      </c>
      <c r="CU319" s="239">
        <v>45325795</v>
      </c>
      <c r="CV319" s="239">
        <v>0</v>
      </c>
      <c r="CW319" s="239">
        <v>925016</v>
      </c>
      <c r="CX319" s="239">
        <v>92501622</v>
      </c>
      <c r="CY319" s="239">
        <v>41902015</v>
      </c>
      <c r="CZ319" s="239">
        <v>41063974</v>
      </c>
      <c r="DA319" s="239">
        <v>0</v>
      </c>
      <c r="DB319" s="239">
        <v>838040</v>
      </c>
      <c r="DC319" s="239">
        <v>83804029</v>
      </c>
      <c r="DD319" s="239">
        <v>-4348796</v>
      </c>
      <c r="DE319" s="239">
        <v>-4261821</v>
      </c>
      <c r="DF319" s="239">
        <v>0</v>
      </c>
      <c r="DG319" s="239">
        <v>-86976</v>
      </c>
      <c r="DH319" s="239">
        <v>-8697593</v>
      </c>
      <c r="DI319" s="239">
        <v>-5872612</v>
      </c>
      <c r="DJ319" s="239">
        <v>-5755160</v>
      </c>
      <c r="DK319" s="239">
        <v>0</v>
      </c>
      <c r="DL319" s="239">
        <v>-117452</v>
      </c>
      <c r="DM319" s="239">
        <v>-11745224</v>
      </c>
      <c r="DN319" s="835">
        <v>0.5</v>
      </c>
      <c r="DO319" s="835">
        <v>0.49</v>
      </c>
      <c r="DP319" s="835">
        <v>0</v>
      </c>
      <c r="DQ319" s="835">
        <v>0.01</v>
      </c>
      <c r="DR319" s="835">
        <v>1</v>
      </c>
      <c r="DS319" s="214" t="s">
        <v>746</v>
      </c>
      <c r="DU319" s="214">
        <v>0</v>
      </c>
    </row>
    <row r="320" spans="2:125" s="214" customFormat="1" x14ac:dyDescent="0.2">
      <c r="B320" s="602" t="s">
        <v>723</v>
      </c>
      <c r="C320" s="602" t="s">
        <v>722</v>
      </c>
      <c r="D320" s="239">
        <v>0</v>
      </c>
      <c r="E320" s="239">
        <v>64842928</v>
      </c>
      <c r="F320" s="239">
        <v>0</v>
      </c>
      <c r="G320" s="239">
        <v>654979</v>
      </c>
      <c r="H320" s="239">
        <v>65497907</v>
      </c>
      <c r="I320" s="239">
        <v>0</v>
      </c>
      <c r="J320" s="239">
        <v>0</v>
      </c>
      <c r="K320" s="239">
        <v>0</v>
      </c>
      <c r="L320" s="239">
        <v>334347</v>
      </c>
      <c r="M320" s="239">
        <v>334347</v>
      </c>
      <c r="N320" s="239">
        <v>0</v>
      </c>
      <c r="O320" s="239">
        <v>0</v>
      </c>
      <c r="P320" s="239">
        <v>0</v>
      </c>
      <c r="Q320" s="239">
        <v>0</v>
      </c>
      <c r="R320" s="239">
        <v>0</v>
      </c>
      <c r="S320" s="239">
        <v>0</v>
      </c>
      <c r="T320" s="239">
        <v>0</v>
      </c>
      <c r="U320" s="239">
        <v>0</v>
      </c>
      <c r="V320" s="239">
        <v>0</v>
      </c>
      <c r="W320" s="239">
        <v>0</v>
      </c>
      <c r="X320" s="239">
        <v>0</v>
      </c>
      <c r="Y320" s="239">
        <v>0</v>
      </c>
      <c r="Z320" s="239">
        <v>0</v>
      </c>
      <c r="AA320" s="239">
        <v>0</v>
      </c>
      <c r="AB320" s="239">
        <v>0</v>
      </c>
      <c r="AC320" s="239">
        <v>7969123</v>
      </c>
      <c r="AD320" s="239">
        <v>0</v>
      </c>
      <c r="AE320" s="239">
        <v>79555</v>
      </c>
      <c r="AF320" s="239">
        <v>8048678</v>
      </c>
      <c r="AG320" s="239">
        <v>0</v>
      </c>
      <c r="AH320" s="239">
        <v>4775571</v>
      </c>
      <c r="AI320" s="239">
        <v>0</v>
      </c>
      <c r="AJ320" s="239">
        <v>48238</v>
      </c>
      <c r="AK320" s="239">
        <v>4823809</v>
      </c>
      <c r="AL320" s="239">
        <v>0</v>
      </c>
      <c r="AM320" s="239">
        <v>-5156412</v>
      </c>
      <c r="AN320" s="239">
        <v>0</v>
      </c>
      <c r="AO320" s="239">
        <v>-52085</v>
      </c>
      <c r="AP320" s="239">
        <v>-5208497</v>
      </c>
      <c r="AQ320" s="239">
        <v>0</v>
      </c>
      <c r="AR320" s="239">
        <v>-3200215</v>
      </c>
      <c r="AS320" s="239">
        <v>0</v>
      </c>
      <c r="AT320" s="239">
        <v>-32325</v>
      </c>
      <c r="AU320" s="239">
        <v>-3232540</v>
      </c>
      <c r="AV320" s="239">
        <v>0</v>
      </c>
      <c r="AW320" s="239">
        <v>951502</v>
      </c>
      <c r="AX320" s="239">
        <v>0</v>
      </c>
      <c r="AY320" s="239">
        <v>9611</v>
      </c>
      <c r="AZ320" s="239">
        <v>961113</v>
      </c>
      <c r="BA320" s="239">
        <v>0</v>
      </c>
      <c r="BB320" s="239">
        <v>-834035</v>
      </c>
      <c r="BC320" s="239">
        <v>0</v>
      </c>
      <c r="BD320" s="239">
        <v>-8425</v>
      </c>
      <c r="BE320" s="239">
        <v>-842460</v>
      </c>
      <c r="BF320" s="239">
        <v>0</v>
      </c>
      <c r="BG320" s="239">
        <v>-3082748</v>
      </c>
      <c r="BH320" s="239">
        <v>0</v>
      </c>
      <c r="BI320" s="239">
        <v>-31139</v>
      </c>
      <c r="BJ320" s="239">
        <v>-3113887</v>
      </c>
      <c r="BK320" s="239">
        <v>0</v>
      </c>
      <c r="BL320" s="239">
        <v>-12378708</v>
      </c>
      <c r="BM320" s="239">
        <v>0</v>
      </c>
      <c r="BN320" s="239">
        <v>-125037</v>
      </c>
      <c r="BO320" s="239">
        <v>-12503745</v>
      </c>
      <c r="BP320" s="239">
        <v>0</v>
      </c>
      <c r="BQ320" s="239">
        <v>1234279</v>
      </c>
      <c r="BR320" s="239">
        <v>0</v>
      </c>
      <c r="BS320" s="239">
        <v>12467</v>
      </c>
      <c r="BT320" s="239">
        <v>1246746</v>
      </c>
      <c r="BU320" s="239">
        <v>0</v>
      </c>
      <c r="BV320" s="239">
        <v>639311</v>
      </c>
      <c r="BW320" s="239">
        <v>0</v>
      </c>
      <c r="BX320" s="239">
        <v>6458</v>
      </c>
      <c r="BY320" s="239">
        <v>645769</v>
      </c>
      <c r="BZ320" s="239">
        <v>0</v>
      </c>
      <c r="CA320" s="239">
        <v>-10505118</v>
      </c>
      <c r="CB320" s="239">
        <v>0</v>
      </c>
      <c r="CC320" s="239">
        <v>-106112</v>
      </c>
      <c r="CD320" s="239">
        <v>-10611230</v>
      </c>
      <c r="CE320" s="239">
        <v>726270</v>
      </c>
      <c r="CF320" s="239">
        <v>711744</v>
      </c>
      <c r="CG320" s="239">
        <v>0</v>
      </c>
      <c r="CH320" s="239">
        <v>14525</v>
      </c>
      <c r="CI320" s="239">
        <v>1452539</v>
      </c>
      <c r="CJ320" s="239">
        <v>736932</v>
      </c>
      <c r="CK320" s="239">
        <v>722193</v>
      </c>
      <c r="CL320" s="239">
        <v>0</v>
      </c>
      <c r="CM320" s="239">
        <v>14739</v>
      </c>
      <c r="CN320" s="239">
        <v>1473864</v>
      </c>
      <c r="CO320" s="239">
        <v>-10662</v>
      </c>
      <c r="CP320" s="239">
        <v>-10449</v>
      </c>
      <c r="CQ320" s="239">
        <v>0</v>
      </c>
      <c r="CR320" s="239">
        <v>-214</v>
      </c>
      <c r="CS320" s="239">
        <v>-21325</v>
      </c>
      <c r="CT320" s="239">
        <v>0</v>
      </c>
      <c r="CU320" s="239">
        <v>67891689</v>
      </c>
      <c r="CV320" s="239">
        <v>0</v>
      </c>
      <c r="CW320" s="239">
        <v>685775</v>
      </c>
      <c r="CX320" s="239">
        <v>68577464</v>
      </c>
      <c r="CY320" s="239">
        <v>0</v>
      </c>
      <c r="CZ320" s="239">
        <v>64842928</v>
      </c>
      <c r="DA320" s="239">
        <v>0</v>
      </c>
      <c r="DB320" s="239">
        <v>654979</v>
      </c>
      <c r="DC320" s="239">
        <v>65497907</v>
      </c>
      <c r="DD320" s="239">
        <v>0</v>
      </c>
      <c r="DE320" s="239">
        <v>-3048761</v>
      </c>
      <c r="DF320" s="239">
        <v>0</v>
      </c>
      <c r="DG320" s="239">
        <v>-30796</v>
      </c>
      <c r="DH320" s="239">
        <v>-3079557</v>
      </c>
      <c r="DI320" s="239">
        <v>-10662</v>
      </c>
      <c r="DJ320" s="239">
        <v>-3059210</v>
      </c>
      <c r="DK320" s="239">
        <v>0</v>
      </c>
      <c r="DL320" s="239">
        <v>-31010</v>
      </c>
      <c r="DM320" s="239">
        <v>-3100882</v>
      </c>
      <c r="DN320" s="835">
        <v>0</v>
      </c>
      <c r="DO320" s="835">
        <v>0.99</v>
      </c>
      <c r="DP320" s="835">
        <v>0</v>
      </c>
      <c r="DQ320" s="835">
        <v>0.01</v>
      </c>
      <c r="DR320" s="835">
        <v>1</v>
      </c>
      <c r="DS320" s="214" t="s">
        <v>1160</v>
      </c>
      <c r="DU320" s="214">
        <v>0</v>
      </c>
    </row>
    <row r="321" spans="2:125" s="214" customFormat="1" x14ac:dyDescent="0.2">
      <c r="B321" s="602" t="s">
        <v>725</v>
      </c>
      <c r="C321" s="602" t="s">
        <v>724</v>
      </c>
      <c r="D321" s="239">
        <v>19102865</v>
      </c>
      <c r="E321" s="239">
        <v>15282292</v>
      </c>
      <c r="F321" s="239">
        <v>3820573</v>
      </c>
      <c r="G321" s="239">
        <v>0</v>
      </c>
      <c r="H321" s="239">
        <v>38205730</v>
      </c>
      <c r="I321" s="239">
        <v>0</v>
      </c>
      <c r="J321" s="239">
        <v>0</v>
      </c>
      <c r="K321" s="239">
        <v>19102865</v>
      </c>
      <c r="L321" s="239">
        <v>134878</v>
      </c>
      <c r="M321" s="239">
        <v>134878</v>
      </c>
      <c r="N321" s="239">
        <v>0</v>
      </c>
      <c r="O321" s="239">
        <v>0</v>
      </c>
      <c r="P321" s="239">
        <v>0</v>
      </c>
      <c r="Q321" s="239">
        <v>0</v>
      </c>
      <c r="R321" s="239">
        <v>0</v>
      </c>
      <c r="S321" s="239">
        <v>0</v>
      </c>
      <c r="T321" s="239">
        <v>0</v>
      </c>
      <c r="U321" s="239">
        <v>0</v>
      </c>
      <c r="V321" s="239">
        <v>0</v>
      </c>
      <c r="W321" s="239">
        <v>0</v>
      </c>
      <c r="X321" s="239">
        <v>0</v>
      </c>
      <c r="Y321" s="239">
        <v>0</v>
      </c>
      <c r="Z321" s="239">
        <v>0</v>
      </c>
      <c r="AA321" s="239">
        <v>0</v>
      </c>
      <c r="AB321" s="239">
        <v>0</v>
      </c>
      <c r="AC321" s="239">
        <v>1005797</v>
      </c>
      <c r="AD321" s="239">
        <v>251450</v>
      </c>
      <c r="AE321" s="239">
        <v>0</v>
      </c>
      <c r="AF321" s="239">
        <v>1257247</v>
      </c>
      <c r="AG321" s="239">
        <v>852894</v>
      </c>
      <c r="AH321" s="239">
        <v>682316</v>
      </c>
      <c r="AI321" s="239">
        <v>170579</v>
      </c>
      <c r="AJ321" s="239">
        <v>0</v>
      </c>
      <c r="AK321" s="239">
        <v>1705789</v>
      </c>
      <c r="AL321" s="239">
        <v>-1046724</v>
      </c>
      <c r="AM321" s="239">
        <v>-837380</v>
      </c>
      <c r="AN321" s="239">
        <v>-209345</v>
      </c>
      <c r="AO321" s="239">
        <v>0</v>
      </c>
      <c r="AP321" s="239">
        <v>-2093449</v>
      </c>
      <c r="AQ321" s="239">
        <v>-502000</v>
      </c>
      <c r="AR321" s="239">
        <v>-401600</v>
      </c>
      <c r="AS321" s="239">
        <v>-100400</v>
      </c>
      <c r="AT321" s="239">
        <v>0</v>
      </c>
      <c r="AU321" s="239">
        <v>-1004000</v>
      </c>
      <c r="AV321" s="239">
        <v>0</v>
      </c>
      <c r="AW321" s="239">
        <v>0</v>
      </c>
      <c r="AX321" s="239">
        <v>0</v>
      </c>
      <c r="AY321" s="239">
        <v>0</v>
      </c>
      <c r="AZ321" s="239">
        <v>0</v>
      </c>
      <c r="BA321" s="239">
        <v>163000</v>
      </c>
      <c r="BB321" s="239">
        <v>130400</v>
      </c>
      <c r="BC321" s="239">
        <v>32600</v>
      </c>
      <c r="BD321" s="239">
        <v>0</v>
      </c>
      <c r="BE321" s="239">
        <v>326000</v>
      </c>
      <c r="BF321" s="239">
        <v>-339000</v>
      </c>
      <c r="BG321" s="239">
        <v>-271200</v>
      </c>
      <c r="BH321" s="239">
        <v>-67800</v>
      </c>
      <c r="BI321" s="239">
        <v>0</v>
      </c>
      <c r="BJ321" s="239">
        <v>-678000</v>
      </c>
      <c r="BK321" s="239">
        <v>-1779661</v>
      </c>
      <c r="BL321" s="239">
        <v>-1423729</v>
      </c>
      <c r="BM321" s="239">
        <v>-355932</v>
      </c>
      <c r="BN321" s="239">
        <v>0</v>
      </c>
      <c r="BO321" s="239">
        <v>-3559322</v>
      </c>
      <c r="BP321" s="239">
        <v>2094665</v>
      </c>
      <c r="BQ321" s="239">
        <v>1675732</v>
      </c>
      <c r="BR321" s="239">
        <v>418933</v>
      </c>
      <c r="BS321" s="239">
        <v>0</v>
      </c>
      <c r="BT321" s="239">
        <v>4189330</v>
      </c>
      <c r="BU321" s="239">
        <v>-5246504</v>
      </c>
      <c r="BV321" s="239">
        <v>-4197203</v>
      </c>
      <c r="BW321" s="239">
        <v>-1049301</v>
      </c>
      <c r="BX321" s="239">
        <v>0</v>
      </c>
      <c r="BY321" s="239">
        <v>-10493008</v>
      </c>
      <c r="BZ321" s="239">
        <v>-4931500</v>
      </c>
      <c r="CA321" s="239">
        <v>-3945200</v>
      </c>
      <c r="CB321" s="239">
        <v>-986300</v>
      </c>
      <c r="CC321" s="239">
        <v>0</v>
      </c>
      <c r="CD321" s="239">
        <v>-9863000</v>
      </c>
      <c r="CE321" s="239">
        <v>2432956</v>
      </c>
      <c r="CF321" s="239">
        <v>1946366</v>
      </c>
      <c r="CG321" s="239">
        <v>486592</v>
      </c>
      <c r="CH321" s="239">
        <v>0</v>
      </c>
      <c r="CI321" s="239">
        <v>4865914</v>
      </c>
      <c r="CJ321" s="239">
        <v>2295390</v>
      </c>
      <c r="CK321" s="239">
        <v>1836312</v>
      </c>
      <c r="CL321" s="239">
        <v>459078</v>
      </c>
      <c r="CM321" s="239">
        <v>0</v>
      </c>
      <c r="CN321" s="239">
        <v>4590780</v>
      </c>
      <c r="CO321" s="239">
        <v>137566</v>
      </c>
      <c r="CP321" s="239">
        <v>110054</v>
      </c>
      <c r="CQ321" s="239">
        <v>27514</v>
      </c>
      <c r="CR321" s="239">
        <v>0</v>
      </c>
      <c r="CS321" s="239">
        <v>275134</v>
      </c>
      <c r="CT321" s="239">
        <v>23512033</v>
      </c>
      <c r="CU321" s="239">
        <v>18809627</v>
      </c>
      <c r="CV321" s="239">
        <v>4702407</v>
      </c>
      <c r="CW321" s="239">
        <v>0</v>
      </c>
      <c r="CX321" s="239">
        <v>47024067</v>
      </c>
      <c r="CY321" s="239">
        <v>19102865</v>
      </c>
      <c r="CZ321" s="239">
        <v>15282292</v>
      </c>
      <c r="DA321" s="239">
        <v>3820573</v>
      </c>
      <c r="DB321" s="239">
        <v>0</v>
      </c>
      <c r="DC321" s="239">
        <v>38205730</v>
      </c>
      <c r="DD321" s="239">
        <v>-4409168</v>
      </c>
      <c r="DE321" s="239">
        <v>-3527335</v>
      </c>
      <c r="DF321" s="239">
        <v>-881834</v>
      </c>
      <c r="DG321" s="239">
        <v>0</v>
      </c>
      <c r="DH321" s="239">
        <v>-8818337</v>
      </c>
      <c r="DI321" s="239">
        <v>-4271602</v>
      </c>
      <c r="DJ321" s="239">
        <v>-3417281</v>
      </c>
      <c r="DK321" s="239">
        <v>-854320</v>
      </c>
      <c r="DL321" s="239">
        <v>0</v>
      </c>
      <c r="DM321" s="239">
        <v>-8543203</v>
      </c>
      <c r="DN321" s="835">
        <v>0.5</v>
      </c>
      <c r="DO321" s="835">
        <v>0.4</v>
      </c>
      <c r="DP321" s="835">
        <v>0.1</v>
      </c>
      <c r="DQ321" s="835">
        <v>0</v>
      </c>
      <c r="DR321" s="835">
        <v>1</v>
      </c>
      <c r="DS321" s="214" t="s">
        <v>1158</v>
      </c>
      <c r="DU321" s="214">
        <v>0</v>
      </c>
    </row>
    <row r="322" spans="2:125" s="214" customFormat="1" x14ac:dyDescent="0.2">
      <c r="B322" s="602" t="s">
        <v>727</v>
      </c>
      <c r="C322" s="602" t="s">
        <v>726</v>
      </c>
      <c r="D322" s="239">
        <v>34544997</v>
      </c>
      <c r="E322" s="239">
        <v>33854097</v>
      </c>
      <c r="F322" s="239">
        <v>0</v>
      </c>
      <c r="G322" s="239">
        <v>690900</v>
      </c>
      <c r="H322" s="239">
        <v>69089994</v>
      </c>
      <c r="I322" s="239">
        <v>0</v>
      </c>
      <c r="J322" s="239">
        <v>0</v>
      </c>
      <c r="K322" s="239">
        <v>34544997</v>
      </c>
      <c r="L322" s="239">
        <v>190537</v>
      </c>
      <c r="M322" s="239">
        <v>190537</v>
      </c>
      <c r="N322" s="239">
        <v>0</v>
      </c>
      <c r="O322" s="239">
        <v>0</v>
      </c>
      <c r="P322" s="239">
        <v>17772</v>
      </c>
      <c r="Q322" s="239">
        <v>0</v>
      </c>
      <c r="R322" s="239">
        <v>17772</v>
      </c>
      <c r="S322" s="239">
        <v>0</v>
      </c>
      <c r="T322" s="239">
        <v>0</v>
      </c>
      <c r="U322" s="239">
        <v>0</v>
      </c>
      <c r="V322" s="239">
        <v>0</v>
      </c>
      <c r="W322" s="239">
        <v>0</v>
      </c>
      <c r="X322" s="239">
        <v>0</v>
      </c>
      <c r="Y322" s="239">
        <v>0</v>
      </c>
      <c r="Z322" s="239">
        <v>0</v>
      </c>
      <c r="AA322" s="239">
        <v>0</v>
      </c>
      <c r="AB322" s="239">
        <v>0</v>
      </c>
      <c r="AC322" s="239">
        <v>1849615</v>
      </c>
      <c r="AD322" s="239">
        <v>0</v>
      </c>
      <c r="AE322" s="239">
        <v>37742</v>
      </c>
      <c r="AF322" s="239">
        <v>1887357</v>
      </c>
      <c r="AG322" s="239">
        <v>1406085</v>
      </c>
      <c r="AH322" s="239">
        <v>1377964</v>
      </c>
      <c r="AI322" s="239">
        <v>0</v>
      </c>
      <c r="AJ322" s="239">
        <v>28122</v>
      </c>
      <c r="AK322" s="239">
        <v>2812171</v>
      </c>
      <c r="AL322" s="239">
        <v>-2029472</v>
      </c>
      <c r="AM322" s="239">
        <v>-1988883</v>
      </c>
      <c r="AN322" s="239">
        <v>0</v>
      </c>
      <c r="AO322" s="239">
        <v>-40589</v>
      </c>
      <c r="AP322" s="239">
        <v>-4058944</v>
      </c>
      <c r="AQ322" s="239">
        <v>-448030</v>
      </c>
      <c r="AR322" s="239">
        <v>-439069</v>
      </c>
      <c r="AS322" s="239">
        <v>0</v>
      </c>
      <c r="AT322" s="239">
        <v>-8961</v>
      </c>
      <c r="AU322" s="239">
        <v>-896060</v>
      </c>
      <c r="AV322" s="239">
        <v>313133</v>
      </c>
      <c r="AW322" s="239">
        <v>306871</v>
      </c>
      <c r="AX322" s="239">
        <v>0</v>
      </c>
      <c r="AY322" s="239">
        <v>6263</v>
      </c>
      <c r="AZ322" s="239">
        <v>626267</v>
      </c>
      <c r="BA322" s="239">
        <v>-250000</v>
      </c>
      <c r="BB322" s="239">
        <v>-245000</v>
      </c>
      <c r="BC322" s="239">
        <v>0</v>
      </c>
      <c r="BD322" s="239">
        <v>-5000</v>
      </c>
      <c r="BE322" s="239">
        <v>-500000</v>
      </c>
      <c r="BF322" s="239">
        <v>-384897</v>
      </c>
      <c r="BG322" s="239">
        <v>-377198</v>
      </c>
      <c r="BH322" s="239">
        <v>0</v>
      </c>
      <c r="BI322" s="239">
        <v>-7698</v>
      </c>
      <c r="BJ322" s="239">
        <v>-769793</v>
      </c>
      <c r="BK322" s="239">
        <v>-2428686</v>
      </c>
      <c r="BL322" s="239">
        <v>-2380112</v>
      </c>
      <c r="BM322" s="239">
        <v>0</v>
      </c>
      <c r="BN322" s="239">
        <v>-48574</v>
      </c>
      <c r="BO322" s="239">
        <v>-4857372</v>
      </c>
      <c r="BP322" s="239">
        <v>1252711</v>
      </c>
      <c r="BQ322" s="239">
        <v>1227656</v>
      </c>
      <c r="BR322" s="239">
        <v>0</v>
      </c>
      <c r="BS322" s="239">
        <v>25054</v>
      </c>
      <c r="BT322" s="239">
        <v>2505421</v>
      </c>
      <c r="BU322" s="239">
        <v>-1215000</v>
      </c>
      <c r="BV322" s="239">
        <v>-1190700</v>
      </c>
      <c r="BW322" s="239">
        <v>0</v>
      </c>
      <c r="BX322" s="239">
        <v>-24300</v>
      </c>
      <c r="BY322" s="239">
        <v>-2430000</v>
      </c>
      <c r="BZ322" s="239">
        <v>-2390975</v>
      </c>
      <c r="CA322" s="239">
        <v>-2343156</v>
      </c>
      <c r="CB322" s="239">
        <v>0</v>
      </c>
      <c r="CC322" s="239">
        <v>-47820</v>
      </c>
      <c r="CD322" s="239">
        <v>-4781951</v>
      </c>
      <c r="CE322" s="239">
        <v>1906470</v>
      </c>
      <c r="CF322" s="239">
        <v>1868341</v>
      </c>
      <c r="CG322" s="239">
        <v>0</v>
      </c>
      <c r="CH322" s="239">
        <v>38129</v>
      </c>
      <c r="CI322" s="239">
        <v>3812940</v>
      </c>
      <c r="CJ322" s="239">
        <v>562771</v>
      </c>
      <c r="CK322" s="239">
        <v>551516</v>
      </c>
      <c r="CL322" s="239">
        <v>0</v>
      </c>
      <c r="CM322" s="239">
        <v>11255</v>
      </c>
      <c r="CN322" s="239">
        <v>1125542</v>
      </c>
      <c r="CO322" s="239">
        <v>1343699</v>
      </c>
      <c r="CP322" s="239">
        <v>1316825</v>
      </c>
      <c r="CQ322" s="239">
        <v>0</v>
      </c>
      <c r="CR322" s="239">
        <v>26874</v>
      </c>
      <c r="CS322" s="239">
        <v>2687398</v>
      </c>
      <c r="CT322" s="239">
        <v>30651933</v>
      </c>
      <c r="CU322" s="239">
        <v>30038894</v>
      </c>
      <c r="CV322" s="239">
        <v>0</v>
      </c>
      <c r="CW322" s="239">
        <v>613039</v>
      </c>
      <c r="CX322" s="239">
        <v>61303866</v>
      </c>
      <c r="CY322" s="239">
        <v>34544997</v>
      </c>
      <c r="CZ322" s="239">
        <v>33854097</v>
      </c>
      <c r="DA322" s="239">
        <v>0</v>
      </c>
      <c r="DB322" s="239">
        <v>690900</v>
      </c>
      <c r="DC322" s="239">
        <v>69089994</v>
      </c>
      <c r="DD322" s="239">
        <v>3893064</v>
      </c>
      <c r="DE322" s="239">
        <v>3815203</v>
      </c>
      <c r="DF322" s="239">
        <v>0</v>
      </c>
      <c r="DG322" s="239">
        <v>77861</v>
      </c>
      <c r="DH322" s="239">
        <v>7786128</v>
      </c>
      <c r="DI322" s="239">
        <v>5236763</v>
      </c>
      <c r="DJ322" s="239">
        <v>5132028</v>
      </c>
      <c r="DK322" s="239">
        <v>0</v>
      </c>
      <c r="DL322" s="239">
        <v>104735</v>
      </c>
      <c r="DM322" s="239">
        <v>10473526</v>
      </c>
      <c r="DN322" s="835">
        <v>0.5</v>
      </c>
      <c r="DO322" s="835">
        <v>0.49</v>
      </c>
      <c r="DP322" s="835">
        <v>0</v>
      </c>
      <c r="DQ322" s="835">
        <v>0.01</v>
      </c>
      <c r="DR322" s="835">
        <v>1</v>
      </c>
      <c r="DS322" s="214" t="s">
        <v>746</v>
      </c>
      <c r="DU322" s="214">
        <v>0</v>
      </c>
    </row>
    <row r="323" spans="2:125" s="214" customFormat="1" x14ac:dyDescent="0.2">
      <c r="B323" s="602" t="s">
        <v>729</v>
      </c>
      <c r="C323" s="602" t="s">
        <v>728</v>
      </c>
      <c r="D323" s="239">
        <v>0</v>
      </c>
      <c r="E323" s="239">
        <v>75131396</v>
      </c>
      <c r="F323" s="239">
        <v>0</v>
      </c>
      <c r="G323" s="239">
        <v>758903</v>
      </c>
      <c r="H323" s="239">
        <v>75890299</v>
      </c>
      <c r="I323" s="239">
        <v>0</v>
      </c>
      <c r="J323" s="239">
        <v>0</v>
      </c>
      <c r="K323" s="239">
        <v>0</v>
      </c>
      <c r="L323" s="239">
        <v>337306</v>
      </c>
      <c r="M323" s="239">
        <v>337306</v>
      </c>
      <c r="N323" s="239">
        <v>75436</v>
      </c>
      <c r="O323" s="239">
        <v>75436</v>
      </c>
      <c r="P323" s="239">
        <v>14654</v>
      </c>
      <c r="Q323" s="239">
        <v>0</v>
      </c>
      <c r="R323" s="239">
        <v>14654</v>
      </c>
      <c r="S323" s="239">
        <v>0</v>
      </c>
      <c r="T323" s="239">
        <v>0</v>
      </c>
      <c r="U323" s="239">
        <v>0</v>
      </c>
      <c r="V323" s="239">
        <v>0</v>
      </c>
      <c r="W323" s="239">
        <v>0</v>
      </c>
      <c r="X323" s="239">
        <v>0</v>
      </c>
      <c r="Y323" s="239">
        <v>0</v>
      </c>
      <c r="Z323" s="239">
        <v>0</v>
      </c>
      <c r="AA323" s="239">
        <v>0</v>
      </c>
      <c r="AB323" s="239">
        <v>0</v>
      </c>
      <c r="AC323" s="239">
        <v>7651872</v>
      </c>
      <c r="AD323" s="239">
        <v>0</v>
      </c>
      <c r="AE323" s="239">
        <v>77073</v>
      </c>
      <c r="AF323" s="239">
        <v>7728945</v>
      </c>
      <c r="AG323" s="239">
        <v>-0.46999999973922968</v>
      </c>
      <c r="AH323" s="239">
        <v>6692274</v>
      </c>
      <c r="AI323" s="239">
        <v>0</v>
      </c>
      <c r="AJ323" s="239">
        <v>67599</v>
      </c>
      <c r="AK323" s="239">
        <v>6759872.5300000003</v>
      </c>
      <c r="AL323" s="239">
        <v>-0.65999999991618097</v>
      </c>
      <c r="AM323" s="239">
        <v>-1228611</v>
      </c>
      <c r="AN323" s="239">
        <v>0</v>
      </c>
      <c r="AO323" s="239">
        <v>-12410</v>
      </c>
      <c r="AP323" s="239">
        <v>-1241021.6599999999</v>
      </c>
      <c r="AQ323" s="239">
        <v>0</v>
      </c>
      <c r="AR323" s="239">
        <v>-5632560</v>
      </c>
      <c r="AS323" s="239">
        <v>0</v>
      </c>
      <c r="AT323" s="239">
        <v>-56895</v>
      </c>
      <c r="AU323" s="239">
        <v>-5689455</v>
      </c>
      <c r="AV323" s="239">
        <v>0</v>
      </c>
      <c r="AW323" s="239">
        <v>1205604</v>
      </c>
      <c r="AX323" s="239">
        <v>0</v>
      </c>
      <c r="AY323" s="239">
        <v>12178</v>
      </c>
      <c r="AZ323" s="239">
        <v>1217782</v>
      </c>
      <c r="BA323" s="239">
        <v>0</v>
      </c>
      <c r="BB323" s="239">
        <v>-397137</v>
      </c>
      <c r="BC323" s="239">
        <v>0</v>
      </c>
      <c r="BD323" s="239">
        <v>-4011</v>
      </c>
      <c r="BE323" s="239">
        <v>-401148</v>
      </c>
      <c r="BF323" s="239">
        <v>0</v>
      </c>
      <c r="BG323" s="239">
        <v>-4824093</v>
      </c>
      <c r="BH323" s="239">
        <v>0</v>
      </c>
      <c r="BI323" s="239">
        <v>-48728</v>
      </c>
      <c r="BJ323" s="239">
        <v>-4872821</v>
      </c>
      <c r="BK323" s="239">
        <v>0</v>
      </c>
      <c r="BL323" s="239">
        <v>-12491208</v>
      </c>
      <c r="BM323" s="239">
        <v>0</v>
      </c>
      <c r="BN323" s="239">
        <v>-126174</v>
      </c>
      <c r="BO323" s="239">
        <v>-12617382</v>
      </c>
      <c r="BP323" s="239">
        <v>0</v>
      </c>
      <c r="BQ323" s="239">
        <v>2396568</v>
      </c>
      <c r="BR323" s="239">
        <v>0</v>
      </c>
      <c r="BS323" s="239">
        <v>24208</v>
      </c>
      <c r="BT323" s="239">
        <v>2420776</v>
      </c>
      <c r="BU323" s="239">
        <v>0</v>
      </c>
      <c r="BV323" s="239">
        <v>2711533</v>
      </c>
      <c r="BW323" s="239">
        <v>0</v>
      </c>
      <c r="BX323" s="239">
        <v>27389</v>
      </c>
      <c r="BY323" s="239">
        <v>2738922</v>
      </c>
      <c r="BZ323" s="239">
        <v>0</v>
      </c>
      <c r="CA323" s="239">
        <v>-7383107</v>
      </c>
      <c r="CB323" s="239">
        <v>0</v>
      </c>
      <c r="CC323" s="239">
        <v>-74577</v>
      </c>
      <c r="CD323" s="239">
        <v>-7457684</v>
      </c>
      <c r="CE323" s="239">
        <v>-7242621.6999999993</v>
      </c>
      <c r="CF323" s="239">
        <v>-7097769</v>
      </c>
      <c r="CG323" s="239">
        <v>0</v>
      </c>
      <c r="CH323" s="239">
        <v>-144852</v>
      </c>
      <c r="CI323" s="239">
        <v>-14485242.699999999</v>
      </c>
      <c r="CJ323" s="239">
        <v>-4321948</v>
      </c>
      <c r="CK323" s="239">
        <v>-4235510</v>
      </c>
      <c r="CL323" s="239">
        <v>0</v>
      </c>
      <c r="CM323" s="239">
        <v>-86439</v>
      </c>
      <c r="CN323" s="239">
        <v>-8643897</v>
      </c>
      <c r="CO323" s="239">
        <v>-2920673.6999999993</v>
      </c>
      <c r="CP323" s="239">
        <v>-2862259</v>
      </c>
      <c r="CQ323" s="239">
        <v>0</v>
      </c>
      <c r="CR323" s="239">
        <v>-58413</v>
      </c>
      <c r="CS323" s="239">
        <v>-5841345.6999999993</v>
      </c>
      <c r="CT323" s="239">
        <v>0</v>
      </c>
      <c r="CU323" s="239">
        <v>70459498</v>
      </c>
      <c r="CV323" s="239">
        <v>0</v>
      </c>
      <c r="CW323" s="239">
        <v>711712</v>
      </c>
      <c r="CX323" s="239">
        <v>71171210</v>
      </c>
      <c r="CY323" s="239">
        <v>0</v>
      </c>
      <c r="CZ323" s="239">
        <v>75131396</v>
      </c>
      <c r="DA323" s="239">
        <v>0</v>
      </c>
      <c r="DB323" s="239">
        <v>758903</v>
      </c>
      <c r="DC323" s="239">
        <v>75890299</v>
      </c>
      <c r="DD323" s="239">
        <v>0</v>
      </c>
      <c r="DE323" s="239">
        <v>4671898</v>
      </c>
      <c r="DF323" s="239">
        <v>0</v>
      </c>
      <c r="DG323" s="239">
        <v>47191</v>
      </c>
      <c r="DH323" s="239">
        <v>4719089</v>
      </c>
      <c r="DI323" s="239">
        <v>-2920673.6999999993</v>
      </c>
      <c r="DJ323" s="239">
        <v>1809639</v>
      </c>
      <c r="DK323" s="239">
        <v>0</v>
      </c>
      <c r="DL323" s="239">
        <v>-11222</v>
      </c>
      <c r="DM323" s="239">
        <v>-1122256.6999999993</v>
      </c>
      <c r="DN323" s="835">
        <v>0</v>
      </c>
      <c r="DO323" s="835">
        <v>0.99</v>
      </c>
      <c r="DP323" s="835">
        <v>0</v>
      </c>
      <c r="DQ323" s="835">
        <v>0.01</v>
      </c>
      <c r="DR323" s="835">
        <v>1</v>
      </c>
      <c r="DS323" s="214" t="s">
        <v>1160</v>
      </c>
      <c r="DU323" s="214">
        <v>0</v>
      </c>
    </row>
    <row r="324" spans="2:125" s="214" customFormat="1" x14ac:dyDescent="0.2">
      <c r="B324" s="602" t="s">
        <v>731</v>
      </c>
      <c r="C324" s="602" t="s">
        <v>730</v>
      </c>
      <c r="D324" s="239">
        <v>19295144</v>
      </c>
      <c r="E324" s="239">
        <v>15436115</v>
      </c>
      <c r="F324" s="239">
        <v>3473126</v>
      </c>
      <c r="G324" s="239">
        <v>385903</v>
      </c>
      <c r="H324" s="239">
        <v>38590288</v>
      </c>
      <c r="I324" s="239">
        <v>0</v>
      </c>
      <c r="J324" s="239">
        <v>0</v>
      </c>
      <c r="K324" s="239">
        <v>19295144</v>
      </c>
      <c r="L324" s="239">
        <v>133156</v>
      </c>
      <c r="M324" s="239">
        <v>133156</v>
      </c>
      <c r="N324" s="239">
        <v>0</v>
      </c>
      <c r="O324" s="239">
        <v>0</v>
      </c>
      <c r="P324" s="239">
        <v>11918</v>
      </c>
      <c r="Q324" s="239">
        <v>0</v>
      </c>
      <c r="R324" s="239">
        <v>11918</v>
      </c>
      <c r="S324" s="239">
        <v>0</v>
      </c>
      <c r="T324" s="239">
        <v>0</v>
      </c>
      <c r="U324" s="239">
        <v>0</v>
      </c>
      <c r="V324" s="239">
        <v>0</v>
      </c>
      <c r="W324" s="239">
        <v>0</v>
      </c>
      <c r="X324" s="239">
        <v>0</v>
      </c>
      <c r="Y324" s="239">
        <v>0</v>
      </c>
      <c r="Z324" s="239">
        <v>0</v>
      </c>
      <c r="AA324" s="239">
        <v>0</v>
      </c>
      <c r="AB324" s="239">
        <v>0</v>
      </c>
      <c r="AC324" s="239">
        <v>1219969</v>
      </c>
      <c r="AD324" s="239">
        <v>274451</v>
      </c>
      <c r="AE324" s="239">
        <v>30496</v>
      </c>
      <c r="AF324" s="239">
        <v>1524916</v>
      </c>
      <c r="AG324" s="239">
        <v>340715</v>
      </c>
      <c r="AH324" s="239">
        <v>272572</v>
      </c>
      <c r="AI324" s="239">
        <v>61329</v>
      </c>
      <c r="AJ324" s="239">
        <v>6814</v>
      </c>
      <c r="AK324" s="239">
        <v>681430</v>
      </c>
      <c r="AL324" s="239">
        <v>-472652</v>
      </c>
      <c r="AM324" s="239">
        <v>-378121</v>
      </c>
      <c r="AN324" s="239">
        <v>-85077</v>
      </c>
      <c r="AO324" s="239">
        <v>-9453</v>
      </c>
      <c r="AP324" s="239">
        <v>-945303</v>
      </c>
      <c r="AQ324" s="239">
        <v>-147384</v>
      </c>
      <c r="AR324" s="239">
        <v>-117907</v>
      </c>
      <c r="AS324" s="239">
        <v>-26529</v>
      </c>
      <c r="AT324" s="239">
        <v>-2948</v>
      </c>
      <c r="AU324" s="239">
        <v>-294768</v>
      </c>
      <c r="AV324" s="239">
        <v>112334</v>
      </c>
      <c r="AW324" s="239">
        <v>89867</v>
      </c>
      <c r="AX324" s="239">
        <v>20220</v>
      </c>
      <c r="AY324" s="239">
        <v>2247</v>
      </c>
      <c r="AZ324" s="239">
        <v>224668</v>
      </c>
      <c r="BA324" s="239">
        <v>-112334</v>
      </c>
      <c r="BB324" s="239">
        <v>-89867</v>
      </c>
      <c r="BC324" s="239">
        <v>-20220</v>
      </c>
      <c r="BD324" s="239">
        <v>-2247</v>
      </c>
      <c r="BE324" s="239">
        <v>-224668</v>
      </c>
      <c r="BF324" s="239">
        <v>-147384</v>
      </c>
      <c r="BG324" s="239">
        <v>-117907</v>
      </c>
      <c r="BH324" s="239">
        <v>-26529</v>
      </c>
      <c r="BI324" s="239">
        <v>-2948</v>
      </c>
      <c r="BJ324" s="239">
        <v>-294768</v>
      </c>
      <c r="BK324" s="239">
        <v>-1861329</v>
      </c>
      <c r="BL324" s="239">
        <v>-1489063</v>
      </c>
      <c r="BM324" s="239">
        <v>-335039</v>
      </c>
      <c r="BN324" s="239">
        <v>-37227</v>
      </c>
      <c r="BO324" s="239">
        <v>-3722658</v>
      </c>
      <c r="BP324" s="239">
        <v>360256</v>
      </c>
      <c r="BQ324" s="239">
        <v>288205</v>
      </c>
      <c r="BR324" s="239">
        <v>64846</v>
      </c>
      <c r="BS324" s="239">
        <v>7205</v>
      </c>
      <c r="BT324" s="239">
        <v>720512</v>
      </c>
      <c r="BU324" s="239">
        <v>-1026586</v>
      </c>
      <c r="BV324" s="239">
        <v>-821270</v>
      </c>
      <c r="BW324" s="239">
        <v>-184786</v>
      </c>
      <c r="BX324" s="239">
        <v>-20532</v>
      </c>
      <c r="BY324" s="239">
        <v>-2053174</v>
      </c>
      <c r="BZ324" s="239">
        <v>-2527659</v>
      </c>
      <c r="CA324" s="239">
        <v>-2022128</v>
      </c>
      <c r="CB324" s="239">
        <v>-454979</v>
      </c>
      <c r="CC324" s="239">
        <v>-50554</v>
      </c>
      <c r="CD324" s="239">
        <v>-5055320</v>
      </c>
      <c r="CE324" s="239">
        <v>111746</v>
      </c>
      <c r="CF324" s="239">
        <v>89397</v>
      </c>
      <c r="CG324" s="239">
        <v>20114</v>
      </c>
      <c r="CH324" s="239">
        <v>2235</v>
      </c>
      <c r="CI324" s="239">
        <v>223492</v>
      </c>
      <c r="CJ324" s="239">
        <v>419867</v>
      </c>
      <c r="CK324" s="239">
        <v>335894</v>
      </c>
      <c r="CL324" s="239">
        <v>75576</v>
      </c>
      <c r="CM324" s="239">
        <v>8397</v>
      </c>
      <c r="CN324" s="239">
        <v>839734</v>
      </c>
      <c r="CO324" s="239">
        <v>-308121</v>
      </c>
      <c r="CP324" s="239">
        <v>-246497</v>
      </c>
      <c r="CQ324" s="239">
        <v>-55462</v>
      </c>
      <c r="CR324" s="239">
        <v>-6162</v>
      </c>
      <c r="CS324" s="239">
        <v>-616242</v>
      </c>
      <c r="CT324" s="239">
        <v>19142864</v>
      </c>
      <c r="CU324" s="239">
        <v>15314292</v>
      </c>
      <c r="CV324" s="239">
        <v>3445716</v>
      </c>
      <c r="CW324" s="239">
        <v>382857</v>
      </c>
      <c r="CX324" s="239">
        <v>38285729</v>
      </c>
      <c r="CY324" s="239">
        <v>19295144</v>
      </c>
      <c r="CZ324" s="239">
        <v>15436115</v>
      </c>
      <c r="DA324" s="239">
        <v>3473126</v>
      </c>
      <c r="DB324" s="239">
        <v>385903</v>
      </c>
      <c r="DC324" s="239">
        <v>38590288</v>
      </c>
      <c r="DD324" s="239">
        <v>152280</v>
      </c>
      <c r="DE324" s="239">
        <v>121823</v>
      </c>
      <c r="DF324" s="239">
        <v>27410</v>
      </c>
      <c r="DG324" s="239">
        <v>3046</v>
      </c>
      <c r="DH324" s="239">
        <v>304559</v>
      </c>
      <c r="DI324" s="239">
        <v>-155841</v>
      </c>
      <c r="DJ324" s="239">
        <v>-124674</v>
      </c>
      <c r="DK324" s="239">
        <v>-28052</v>
      </c>
      <c r="DL324" s="239">
        <v>-3116</v>
      </c>
      <c r="DM324" s="239">
        <v>-311683</v>
      </c>
      <c r="DN324" s="835">
        <v>0.5</v>
      </c>
      <c r="DO324" s="835">
        <v>0.4</v>
      </c>
      <c r="DP324" s="835">
        <v>0.09</v>
      </c>
      <c r="DQ324" s="835">
        <v>0.01</v>
      </c>
      <c r="DR324" s="835">
        <v>1</v>
      </c>
      <c r="DS324" s="214" t="s">
        <v>1158</v>
      </c>
      <c r="DU324" s="214">
        <v>0</v>
      </c>
    </row>
    <row r="325" spans="2:125" s="214" customFormat="1" x14ac:dyDescent="0.2">
      <c r="B325" s="602" t="s">
        <v>733</v>
      </c>
      <c r="C325" s="602" t="s">
        <v>732</v>
      </c>
      <c r="D325" s="239">
        <v>15440482</v>
      </c>
      <c r="E325" s="239">
        <v>12352385</v>
      </c>
      <c r="F325" s="239">
        <v>3088096</v>
      </c>
      <c r="G325" s="239">
        <v>0</v>
      </c>
      <c r="H325" s="239">
        <v>30880963</v>
      </c>
      <c r="I325" s="239">
        <v>0</v>
      </c>
      <c r="J325" s="239">
        <v>0</v>
      </c>
      <c r="K325" s="239">
        <v>15440482</v>
      </c>
      <c r="L325" s="239">
        <v>128590</v>
      </c>
      <c r="M325" s="239">
        <v>128590</v>
      </c>
      <c r="N325" s="239">
        <v>0</v>
      </c>
      <c r="O325" s="239">
        <v>0</v>
      </c>
      <c r="P325" s="239">
        <v>0</v>
      </c>
      <c r="Q325" s="239">
        <v>0</v>
      </c>
      <c r="R325" s="239">
        <v>0</v>
      </c>
      <c r="S325" s="239">
        <v>0</v>
      </c>
      <c r="T325" s="239">
        <v>0</v>
      </c>
      <c r="U325" s="239">
        <v>0</v>
      </c>
      <c r="V325" s="239">
        <v>0</v>
      </c>
      <c r="W325" s="239">
        <v>0</v>
      </c>
      <c r="X325" s="239">
        <v>0</v>
      </c>
      <c r="Y325" s="239">
        <v>0</v>
      </c>
      <c r="Z325" s="239">
        <v>0</v>
      </c>
      <c r="AA325" s="239">
        <v>0</v>
      </c>
      <c r="AB325" s="239">
        <v>0</v>
      </c>
      <c r="AC325" s="239">
        <v>1168188</v>
      </c>
      <c r="AD325" s="239">
        <v>292048</v>
      </c>
      <c r="AE325" s="239">
        <v>0</v>
      </c>
      <c r="AF325" s="239">
        <v>1460236</v>
      </c>
      <c r="AG325" s="239">
        <v>507807</v>
      </c>
      <c r="AH325" s="239">
        <v>406246</v>
      </c>
      <c r="AI325" s="239">
        <v>101562</v>
      </c>
      <c r="AJ325" s="239">
        <v>0</v>
      </c>
      <c r="AK325" s="239">
        <v>1015615</v>
      </c>
      <c r="AL325" s="239">
        <v>-516512</v>
      </c>
      <c r="AM325" s="239">
        <v>-413209</v>
      </c>
      <c r="AN325" s="239">
        <v>-103302</v>
      </c>
      <c r="AO325" s="239">
        <v>0</v>
      </c>
      <c r="AP325" s="239">
        <v>-1033023</v>
      </c>
      <c r="AQ325" s="239">
        <v>-647127</v>
      </c>
      <c r="AR325" s="239">
        <v>-517702</v>
      </c>
      <c r="AS325" s="239">
        <v>-129425</v>
      </c>
      <c r="AT325" s="239">
        <v>0</v>
      </c>
      <c r="AU325" s="239">
        <v>-1294254</v>
      </c>
      <c r="AV325" s="239">
        <v>11904.650000000001</v>
      </c>
      <c r="AW325" s="239">
        <v>9523</v>
      </c>
      <c r="AX325" s="239">
        <v>2381</v>
      </c>
      <c r="AY325" s="239">
        <v>0</v>
      </c>
      <c r="AZ325" s="239">
        <v>23808.65</v>
      </c>
      <c r="BA325" s="239">
        <v>-124662</v>
      </c>
      <c r="BB325" s="239">
        <v>-99730</v>
      </c>
      <c r="BC325" s="239">
        <v>-24933</v>
      </c>
      <c r="BD325" s="239">
        <v>0</v>
      </c>
      <c r="BE325" s="239">
        <v>-249325</v>
      </c>
      <c r="BF325" s="239">
        <v>-759884.35</v>
      </c>
      <c r="BG325" s="239">
        <v>-607909</v>
      </c>
      <c r="BH325" s="239">
        <v>-151977</v>
      </c>
      <c r="BI325" s="239">
        <v>0</v>
      </c>
      <c r="BJ325" s="239">
        <v>-1519770.35</v>
      </c>
      <c r="BK325" s="239">
        <v>-1132817</v>
      </c>
      <c r="BL325" s="239">
        <v>-906254</v>
      </c>
      <c r="BM325" s="239">
        <v>-226564</v>
      </c>
      <c r="BN325" s="239">
        <v>0</v>
      </c>
      <c r="BO325" s="239">
        <v>-2265635</v>
      </c>
      <c r="BP325" s="239">
        <v>300759</v>
      </c>
      <c r="BQ325" s="239">
        <v>240607</v>
      </c>
      <c r="BR325" s="239">
        <v>60152</v>
      </c>
      <c r="BS325" s="239">
        <v>0</v>
      </c>
      <c r="BT325" s="239">
        <v>601518</v>
      </c>
      <c r="BU325" s="239">
        <v>-120009</v>
      </c>
      <c r="BV325" s="239">
        <v>-96007</v>
      </c>
      <c r="BW325" s="239">
        <v>-24002</v>
      </c>
      <c r="BX325" s="239">
        <v>0</v>
      </c>
      <c r="BY325" s="239">
        <v>-240018</v>
      </c>
      <c r="BZ325" s="239">
        <v>-952067</v>
      </c>
      <c r="CA325" s="239">
        <v>-761654</v>
      </c>
      <c r="CB325" s="239">
        <v>-190414</v>
      </c>
      <c r="CC325" s="239">
        <v>0</v>
      </c>
      <c r="CD325" s="239">
        <v>-1904135</v>
      </c>
      <c r="CE325" s="239">
        <v>-18699</v>
      </c>
      <c r="CF325" s="239">
        <v>-14960</v>
      </c>
      <c r="CG325" s="239">
        <v>-3741</v>
      </c>
      <c r="CH325" s="239">
        <v>0</v>
      </c>
      <c r="CI325" s="239">
        <v>-37400</v>
      </c>
      <c r="CJ325" s="239">
        <v>32513</v>
      </c>
      <c r="CK325" s="239">
        <v>26010</v>
      </c>
      <c r="CL325" s="239">
        <v>6503</v>
      </c>
      <c r="CM325" s="239">
        <v>0</v>
      </c>
      <c r="CN325" s="239">
        <v>65026</v>
      </c>
      <c r="CO325" s="239">
        <v>-51212</v>
      </c>
      <c r="CP325" s="239">
        <v>-40970</v>
      </c>
      <c r="CQ325" s="239">
        <v>-10244</v>
      </c>
      <c r="CR325" s="239">
        <v>0</v>
      </c>
      <c r="CS325" s="239">
        <v>-102426</v>
      </c>
      <c r="CT325" s="239">
        <v>15601687</v>
      </c>
      <c r="CU325" s="239">
        <v>12481350</v>
      </c>
      <c r="CV325" s="239">
        <v>3120338</v>
      </c>
      <c r="CW325" s="239">
        <v>0</v>
      </c>
      <c r="CX325" s="239">
        <v>31203375</v>
      </c>
      <c r="CY325" s="239">
        <v>15440482</v>
      </c>
      <c r="CZ325" s="239">
        <v>12352385</v>
      </c>
      <c r="DA325" s="239">
        <v>3088096</v>
      </c>
      <c r="DB325" s="239">
        <v>0</v>
      </c>
      <c r="DC325" s="239">
        <v>30880963</v>
      </c>
      <c r="DD325" s="239">
        <v>-161205</v>
      </c>
      <c r="DE325" s="239">
        <v>-128965</v>
      </c>
      <c r="DF325" s="239">
        <v>-32242</v>
      </c>
      <c r="DG325" s="239">
        <v>0</v>
      </c>
      <c r="DH325" s="239">
        <v>-322412</v>
      </c>
      <c r="DI325" s="239">
        <v>-212417</v>
      </c>
      <c r="DJ325" s="239">
        <v>-169935</v>
      </c>
      <c r="DK325" s="239">
        <v>-42486</v>
      </c>
      <c r="DL325" s="239">
        <v>0</v>
      </c>
      <c r="DM325" s="239">
        <v>-424838</v>
      </c>
      <c r="DN325" s="835">
        <v>0.5</v>
      </c>
      <c r="DO325" s="835">
        <v>0.4</v>
      </c>
      <c r="DP325" s="835">
        <v>0.1</v>
      </c>
      <c r="DQ325" s="835">
        <v>0</v>
      </c>
      <c r="DR325" s="835">
        <v>1</v>
      </c>
      <c r="DS325" s="214" t="s">
        <v>1158</v>
      </c>
      <c r="DU325" s="214">
        <v>0</v>
      </c>
    </row>
    <row r="326" spans="2:125" s="214" customFormat="1" x14ac:dyDescent="0.2">
      <c r="B326" s="602" t="s">
        <v>735</v>
      </c>
      <c r="C326" s="602" t="s">
        <v>734</v>
      </c>
      <c r="D326" s="239">
        <v>19327955.875207998</v>
      </c>
      <c r="E326" s="239">
        <v>15462364</v>
      </c>
      <c r="F326" s="239">
        <v>3479032</v>
      </c>
      <c r="G326" s="239">
        <v>386559</v>
      </c>
      <c r="H326" s="239">
        <v>38655910.875207998</v>
      </c>
      <c r="I326" s="239">
        <v>0</v>
      </c>
      <c r="J326" s="239">
        <v>0</v>
      </c>
      <c r="K326" s="239">
        <v>19327955.875207998</v>
      </c>
      <c r="L326" s="239">
        <v>185069</v>
      </c>
      <c r="M326" s="239">
        <v>185069</v>
      </c>
      <c r="N326" s="239">
        <v>0</v>
      </c>
      <c r="O326" s="239">
        <v>0</v>
      </c>
      <c r="P326" s="239">
        <v>218081.12999999998</v>
      </c>
      <c r="Q326" s="239">
        <v>185823.99479200001</v>
      </c>
      <c r="R326" s="239">
        <v>403905.12479199999</v>
      </c>
      <c r="S326" s="239">
        <v>0</v>
      </c>
      <c r="T326" s="239">
        <v>0</v>
      </c>
      <c r="U326" s="239">
        <v>0</v>
      </c>
      <c r="V326" s="239">
        <v>0</v>
      </c>
      <c r="W326" s="239">
        <v>0</v>
      </c>
      <c r="X326" s="239">
        <v>0</v>
      </c>
      <c r="Y326" s="239">
        <v>0</v>
      </c>
      <c r="Z326" s="239">
        <v>0</v>
      </c>
      <c r="AA326" s="239">
        <v>0</v>
      </c>
      <c r="AB326" s="239">
        <v>0</v>
      </c>
      <c r="AC326" s="239">
        <v>1821971</v>
      </c>
      <c r="AD326" s="239">
        <v>411997</v>
      </c>
      <c r="AE326" s="239">
        <v>45468</v>
      </c>
      <c r="AF326" s="239">
        <v>2279436</v>
      </c>
      <c r="AG326" s="239">
        <v>112774</v>
      </c>
      <c r="AH326" s="239">
        <v>90218</v>
      </c>
      <c r="AI326" s="239">
        <v>20299</v>
      </c>
      <c r="AJ326" s="239">
        <v>2255</v>
      </c>
      <c r="AK326" s="239">
        <v>225546</v>
      </c>
      <c r="AL326" s="239">
        <v>-182217</v>
      </c>
      <c r="AM326" s="239">
        <v>-145774</v>
      </c>
      <c r="AN326" s="239">
        <v>-32799</v>
      </c>
      <c r="AO326" s="239">
        <v>-3644</v>
      </c>
      <c r="AP326" s="239">
        <v>-364434</v>
      </c>
      <c r="AQ326" s="239">
        <v>-97500</v>
      </c>
      <c r="AR326" s="239">
        <v>-78000</v>
      </c>
      <c r="AS326" s="239">
        <v>-17550</v>
      </c>
      <c r="AT326" s="239">
        <v>-1950</v>
      </c>
      <c r="AU326" s="239">
        <v>-195000</v>
      </c>
      <c r="AV326" s="239">
        <v>55203</v>
      </c>
      <c r="AW326" s="239">
        <v>44163</v>
      </c>
      <c r="AX326" s="239">
        <v>9937</v>
      </c>
      <c r="AY326" s="239">
        <v>1104</v>
      </c>
      <c r="AZ326" s="239">
        <v>110407</v>
      </c>
      <c r="BA326" s="239">
        <v>-85203</v>
      </c>
      <c r="BB326" s="239">
        <v>-68163</v>
      </c>
      <c r="BC326" s="239">
        <v>-15337</v>
      </c>
      <c r="BD326" s="239">
        <v>-1704</v>
      </c>
      <c r="BE326" s="239">
        <v>-170407</v>
      </c>
      <c r="BF326" s="239">
        <v>-127500</v>
      </c>
      <c r="BG326" s="239">
        <v>-102000</v>
      </c>
      <c r="BH326" s="239">
        <v>-22950</v>
      </c>
      <c r="BI326" s="239">
        <v>-2550</v>
      </c>
      <c r="BJ326" s="239">
        <v>-255000</v>
      </c>
      <c r="BK326" s="239">
        <v>-1412730</v>
      </c>
      <c r="BL326" s="239">
        <v>-1130185</v>
      </c>
      <c r="BM326" s="239">
        <v>-254292</v>
      </c>
      <c r="BN326" s="239">
        <v>-28255</v>
      </c>
      <c r="BO326" s="239">
        <v>-2825462</v>
      </c>
      <c r="BP326" s="239">
        <v>77257</v>
      </c>
      <c r="BQ326" s="239">
        <v>61805</v>
      </c>
      <c r="BR326" s="239">
        <v>13906</v>
      </c>
      <c r="BS326" s="239">
        <v>1545</v>
      </c>
      <c r="BT326" s="239">
        <v>154513</v>
      </c>
      <c r="BU326" s="239">
        <v>-723811</v>
      </c>
      <c r="BV326" s="239">
        <v>-579049</v>
      </c>
      <c r="BW326" s="239">
        <v>-130286</v>
      </c>
      <c r="BX326" s="239">
        <v>-14476</v>
      </c>
      <c r="BY326" s="239">
        <v>-1447622</v>
      </c>
      <c r="BZ326" s="239">
        <v>-2059284</v>
      </c>
      <c r="CA326" s="239">
        <v>-1647429</v>
      </c>
      <c r="CB326" s="239">
        <v>-370672</v>
      </c>
      <c r="CC326" s="239">
        <v>-41186</v>
      </c>
      <c r="CD326" s="239">
        <v>-4118571</v>
      </c>
      <c r="CE326" s="239">
        <v>262818</v>
      </c>
      <c r="CF326" s="239">
        <v>210254</v>
      </c>
      <c r="CG326" s="239">
        <v>47308</v>
      </c>
      <c r="CH326" s="239">
        <v>5257</v>
      </c>
      <c r="CI326" s="239">
        <v>525637</v>
      </c>
      <c r="CJ326" s="239">
        <v>375078</v>
      </c>
      <c r="CK326" s="239">
        <v>300063</v>
      </c>
      <c r="CL326" s="239">
        <v>67514</v>
      </c>
      <c r="CM326" s="239">
        <v>7502</v>
      </c>
      <c r="CN326" s="239">
        <v>750157</v>
      </c>
      <c r="CO326" s="239">
        <v>-112260</v>
      </c>
      <c r="CP326" s="239">
        <v>-89809</v>
      </c>
      <c r="CQ326" s="239">
        <v>-20206</v>
      </c>
      <c r="CR326" s="239">
        <v>-2245</v>
      </c>
      <c r="CS326" s="239">
        <v>-224520</v>
      </c>
      <c r="CT326" s="239">
        <v>19346826</v>
      </c>
      <c r="CU326" s="239">
        <v>15477461</v>
      </c>
      <c r="CV326" s="239">
        <v>3482429</v>
      </c>
      <c r="CW326" s="239">
        <v>386937</v>
      </c>
      <c r="CX326" s="239">
        <v>38693653</v>
      </c>
      <c r="CY326" s="239">
        <v>19327955.875207998</v>
      </c>
      <c r="CZ326" s="239">
        <v>15462364</v>
      </c>
      <c r="DA326" s="239">
        <v>3479032</v>
      </c>
      <c r="DB326" s="239">
        <v>386559</v>
      </c>
      <c r="DC326" s="239">
        <v>38655910.875207998</v>
      </c>
      <c r="DD326" s="239">
        <v>-18870.124792002141</v>
      </c>
      <c r="DE326" s="239">
        <v>-15097</v>
      </c>
      <c r="DF326" s="239">
        <v>-3397</v>
      </c>
      <c r="DG326" s="239">
        <v>-378</v>
      </c>
      <c r="DH326" s="239">
        <v>-37742.124792002141</v>
      </c>
      <c r="DI326" s="239">
        <v>-131130.12479200214</v>
      </c>
      <c r="DJ326" s="239">
        <v>-104906</v>
      </c>
      <c r="DK326" s="239">
        <v>-23603</v>
      </c>
      <c r="DL326" s="239">
        <v>-2623</v>
      </c>
      <c r="DM326" s="239">
        <v>-262262.12479200214</v>
      </c>
      <c r="DN326" s="835">
        <v>0.5</v>
      </c>
      <c r="DO326" s="835">
        <v>0.4</v>
      </c>
      <c r="DP326" s="835">
        <v>0.09</v>
      </c>
      <c r="DQ326" s="835">
        <v>0.01</v>
      </c>
      <c r="DR326" s="835">
        <v>1</v>
      </c>
      <c r="DS326" s="214" t="s">
        <v>1158</v>
      </c>
      <c r="DU326" s="214">
        <v>0</v>
      </c>
    </row>
    <row r="327" spans="2:125" s="214" customFormat="1" x14ac:dyDescent="0.2">
      <c r="B327" s="602" t="s">
        <v>737</v>
      </c>
      <c r="C327" s="602" t="s">
        <v>736</v>
      </c>
      <c r="D327" s="239">
        <v>33801064</v>
      </c>
      <c r="E327" s="239">
        <v>27040852</v>
      </c>
      <c r="F327" s="239">
        <v>6084192</v>
      </c>
      <c r="G327" s="239">
        <v>676021</v>
      </c>
      <c r="H327" s="239">
        <v>67602129</v>
      </c>
      <c r="I327" s="239">
        <v>0</v>
      </c>
      <c r="J327" s="239">
        <v>0</v>
      </c>
      <c r="K327" s="239">
        <v>33801064</v>
      </c>
      <c r="L327" s="239">
        <v>234376</v>
      </c>
      <c r="M327" s="239">
        <v>234376</v>
      </c>
      <c r="N327" s="239">
        <v>0</v>
      </c>
      <c r="O327" s="239">
        <v>0</v>
      </c>
      <c r="P327" s="239">
        <v>0</v>
      </c>
      <c r="Q327" s="239">
        <v>0</v>
      </c>
      <c r="R327" s="239">
        <v>0</v>
      </c>
      <c r="S327" s="239">
        <v>0</v>
      </c>
      <c r="T327" s="239">
        <v>0</v>
      </c>
      <c r="U327" s="239">
        <v>0</v>
      </c>
      <c r="V327" s="239">
        <v>0</v>
      </c>
      <c r="W327" s="239">
        <v>0</v>
      </c>
      <c r="X327" s="239">
        <v>0</v>
      </c>
      <c r="Y327" s="239">
        <v>0</v>
      </c>
      <c r="Z327" s="239">
        <v>0</v>
      </c>
      <c r="AA327" s="239">
        <v>0</v>
      </c>
      <c r="AB327" s="239">
        <v>0</v>
      </c>
      <c r="AC327" s="239">
        <v>1879050</v>
      </c>
      <c r="AD327" s="239">
        <v>422786</v>
      </c>
      <c r="AE327" s="239">
        <v>46977</v>
      </c>
      <c r="AF327" s="239">
        <v>2348813</v>
      </c>
      <c r="AG327" s="239">
        <v>2683660</v>
      </c>
      <c r="AH327" s="239">
        <v>2146928</v>
      </c>
      <c r="AI327" s="239">
        <v>483059</v>
      </c>
      <c r="AJ327" s="239">
        <v>53673</v>
      </c>
      <c r="AK327" s="239">
        <v>5367320</v>
      </c>
      <c r="AL327" s="239">
        <v>-1583179</v>
      </c>
      <c r="AM327" s="239">
        <v>-1266544</v>
      </c>
      <c r="AN327" s="239">
        <v>-284972</v>
      </c>
      <c r="AO327" s="239">
        <v>-31664</v>
      </c>
      <c r="AP327" s="239">
        <v>-3166359</v>
      </c>
      <c r="AQ327" s="239">
        <v>-1157000</v>
      </c>
      <c r="AR327" s="239">
        <v>-925600</v>
      </c>
      <c r="AS327" s="239">
        <v>-208260</v>
      </c>
      <c r="AT327" s="239">
        <v>-23140</v>
      </c>
      <c r="AU327" s="239">
        <v>-2314000</v>
      </c>
      <c r="AV327" s="239">
        <v>282469</v>
      </c>
      <c r="AW327" s="239">
        <v>225974</v>
      </c>
      <c r="AX327" s="239">
        <v>50844</v>
      </c>
      <c r="AY327" s="239">
        <v>5649</v>
      </c>
      <c r="AZ327" s="239">
        <v>564936</v>
      </c>
      <c r="BA327" s="239">
        <v>-286245</v>
      </c>
      <c r="BB327" s="239">
        <v>-228996</v>
      </c>
      <c r="BC327" s="239">
        <v>-51524</v>
      </c>
      <c r="BD327" s="239">
        <v>-5725</v>
      </c>
      <c r="BE327" s="239">
        <v>-572490</v>
      </c>
      <c r="BF327" s="239">
        <v>-1160776</v>
      </c>
      <c r="BG327" s="239">
        <v>-928622</v>
      </c>
      <c r="BH327" s="239">
        <v>-208940</v>
      </c>
      <c r="BI327" s="239">
        <v>-23216</v>
      </c>
      <c r="BJ327" s="239">
        <v>-2321554</v>
      </c>
      <c r="BK327" s="239">
        <v>-3123399</v>
      </c>
      <c r="BL327" s="239">
        <v>-2498719</v>
      </c>
      <c r="BM327" s="239">
        <v>-562212</v>
      </c>
      <c r="BN327" s="239">
        <v>-62468</v>
      </c>
      <c r="BO327" s="239">
        <v>-6246798</v>
      </c>
      <c r="BP327" s="239">
        <v>372987</v>
      </c>
      <c r="BQ327" s="239">
        <v>298390</v>
      </c>
      <c r="BR327" s="239">
        <v>67138</v>
      </c>
      <c r="BS327" s="239">
        <v>7460</v>
      </c>
      <c r="BT327" s="239">
        <v>745975</v>
      </c>
      <c r="BU327" s="239">
        <v>-1470329</v>
      </c>
      <c r="BV327" s="239">
        <v>-1176263</v>
      </c>
      <c r="BW327" s="239">
        <v>-264659</v>
      </c>
      <c r="BX327" s="239">
        <v>-29407</v>
      </c>
      <c r="BY327" s="239">
        <v>-2940658</v>
      </c>
      <c r="BZ327" s="239">
        <v>-4220741</v>
      </c>
      <c r="CA327" s="239">
        <v>-3376592</v>
      </c>
      <c r="CB327" s="239">
        <v>-759733</v>
      </c>
      <c r="CC327" s="239">
        <v>-84415</v>
      </c>
      <c r="CD327" s="239">
        <v>-8441481</v>
      </c>
      <c r="CE327" s="239">
        <v>-2274551</v>
      </c>
      <c r="CF327" s="239">
        <v>-1819641</v>
      </c>
      <c r="CG327" s="239">
        <v>-409419</v>
      </c>
      <c r="CH327" s="239">
        <v>-45491</v>
      </c>
      <c r="CI327" s="239">
        <v>-4549102</v>
      </c>
      <c r="CJ327" s="239">
        <v>-1908043</v>
      </c>
      <c r="CK327" s="239">
        <v>-1526435</v>
      </c>
      <c r="CL327" s="239">
        <v>-343448</v>
      </c>
      <c r="CM327" s="239">
        <v>-38161</v>
      </c>
      <c r="CN327" s="239">
        <v>-3816087</v>
      </c>
      <c r="CO327" s="239">
        <v>-366508</v>
      </c>
      <c r="CP327" s="239">
        <v>-293206</v>
      </c>
      <c r="CQ327" s="239">
        <v>-65971</v>
      </c>
      <c r="CR327" s="239">
        <v>-7330</v>
      </c>
      <c r="CS327" s="239">
        <v>-733015</v>
      </c>
      <c r="CT327" s="239">
        <v>34688066</v>
      </c>
      <c r="CU327" s="239">
        <v>27750452</v>
      </c>
      <c r="CV327" s="239">
        <v>6243852</v>
      </c>
      <c r="CW327" s="239">
        <v>693761</v>
      </c>
      <c r="CX327" s="239">
        <v>69376131</v>
      </c>
      <c r="CY327" s="239">
        <v>33801064</v>
      </c>
      <c r="CZ327" s="239">
        <v>27040852</v>
      </c>
      <c r="DA327" s="239">
        <v>6084192</v>
      </c>
      <c r="DB327" s="239">
        <v>676021</v>
      </c>
      <c r="DC327" s="239">
        <v>67602129</v>
      </c>
      <c r="DD327" s="239">
        <v>-887002</v>
      </c>
      <c r="DE327" s="239">
        <v>-709600</v>
      </c>
      <c r="DF327" s="239">
        <v>-159660</v>
      </c>
      <c r="DG327" s="239">
        <v>-17740</v>
      </c>
      <c r="DH327" s="239">
        <v>-1774002</v>
      </c>
      <c r="DI327" s="239">
        <v>-1253510</v>
      </c>
      <c r="DJ327" s="239">
        <v>-1002806</v>
      </c>
      <c r="DK327" s="239">
        <v>-225631</v>
      </c>
      <c r="DL327" s="239">
        <v>-25070</v>
      </c>
      <c r="DM327" s="239">
        <v>-2507017</v>
      </c>
      <c r="DN327" s="835">
        <v>0.5</v>
      </c>
      <c r="DO327" s="835">
        <v>0.4</v>
      </c>
      <c r="DP327" s="835">
        <v>0.09</v>
      </c>
      <c r="DQ327" s="835">
        <v>0.01</v>
      </c>
      <c r="DR327" s="835">
        <v>1</v>
      </c>
      <c r="DS327" s="214" t="s">
        <v>1158</v>
      </c>
      <c r="DU327" s="214">
        <v>0</v>
      </c>
    </row>
    <row r="328" spans="2:125" s="214" customFormat="1" x14ac:dyDescent="0.2">
      <c r="B328" s="602" t="s">
        <v>739</v>
      </c>
      <c r="C328" s="602" t="s">
        <v>738</v>
      </c>
      <c r="D328" s="239">
        <v>11494681</v>
      </c>
      <c r="E328" s="239">
        <v>9195746</v>
      </c>
      <c r="F328" s="239">
        <v>2069043</v>
      </c>
      <c r="G328" s="239">
        <v>229894</v>
      </c>
      <c r="H328" s="239">
        <v>22989364</v>
      </c>
      <c r="I328" s="239">
        <v>0</v>
      </c>
      <c r="J328" s="239">
        <v>0</v>
      </c>
      <c r="K328" s="239">
        <v>11494681</v>
      </c>
      <c r="L328" s="239">
        <v>149805</v>
      </c>
      <c r="M328" s="239">
        <v>149805</v>
      </c>
      <c r="N328" s="239">
        <v>267997</v>
      </c>
      <c r="O328" s="239">
        <v>267997</v>
      </c>
      <c r="P328" s="239">
        <v>0</v>
      </c>
      <c r="Q328" s="239">
        <v>0</v>
      </c>
      <c r="R328" s="239">
        <v>0</v>
      </c>
      <c r="S328" s="239">
        <v>0</v>
      </c>
      <c r="T328" s="239">
        <v>0</v>
      </c>
      <c r="U328" s="239">
        <v>0</v>
      </c>
      <c r="V328" s="239">
        <v>0</v>
      </c>
      <c r="W328" s="239">
        <v>0</v>
      </c>
      <c r="X328" s="239">
        <v>0</v>
      </c>
      <c r="Y328" s="239">
        <v>0</v>
      </c>
      <c r="Z328" s="239">
        <v>0</v>
      </c>
      <c r="AA328" s="239">
        <v>0</v>
      </c>
      <c r="AB328" s="239">
        <v>0</v>
      </c>
      <c r="AC328" s="239">
        <v>1507049</v>
      </c>
      <c r="AD328" s="239">
        <v>329791</v>
      </c>
      <c r="AE328" s="239">
        <v>36642</v>
      </c>
      <c r="AF328" s="239">
        <v>1873482</v>
      </c>
      <c r="AG328" s="239">
        <v>491616</v>
      </c>
      <c r="AH328" s="239">
        <v>393293</v>
      </c>
      <c r="AI328" s="239">
        <v>88491</v>
      </c>
      <c r="AJ328" s="239">
        <v>9832</v>
      </c>
      <c r="AK328" s="239">
        <v>983232</v>
      </c>
      <c r="AL328" s="239">
        <v>-254701</v>
      </c>
      <c r="AM328" s="239">
        <v>-203760</v>
      </c>
      <c r="AN328" s="239">
        <v>-45846</v>
      </c>
      <c r="AO328" s="239">
        <v>-5094</v>
      </c>
      <c r="AP328" s="239">
        <v>-509401</v>
      </c>
      <c r="AQ328" s="239">
        <v>-306088.84999999998</v>
      </c>
      <c r="AR328" s="239">
        <v>-244871</v>
      </c>
      <c r="AS328" s="239">
        <v>-55096</v>
      </c>
      <c r="AT328" s="239">
        <v>-6122</v>
      </c>
      <c r="AU328" s="239">
        <v>-612177.85</v>
      </c>
      <c r="AV328" s="239">
        <v>194079</v>
      </c>
      <c r="AW328" s="239">
        <v>155263</v>
      </c>
      <c r="AX328" s="239">
        <v>34934</v>
      </c>
      <c r="AY328" s="239">
        <v>3882</v>
      </c>
      <c r="AZ328" s="239">
        <v>388158</v>
      </c>
      <c r="BA328" s="239">
        <v>-142980</v>
      </c>
      <c r="BB328" s="239">
        <v>-114385</v>
      </c>
      <c r="BC328" s="239">
        <v>-25737</v>
      </c>
      <c r="BD328" s="239">
        <v>-2860</v>
      </c>
      <c r="BE328" s="239">
        <v>-285962</v>
      </c>
      <c r="BF328" s="239">
        <v>-254989.84999999998</v>
      </c>
      <c r="BG328" s="239">
        <v>-203993</v>
      </c>
      <c r="BH328" s="239">
        <v>-45899</v>
      </c>
      <c r="BI328" s="239">
        <v>-5100</v>
      </c>
      <c r="BJ328" s="239">
        <v>-509981.85</v>
      </c>
      <c r="BK328" s="239">
        <v>-1737963.6</v>
      </c>
      <c r="BL328" s="239">
        <v>-1390371</v>
      </c>
      <c r="BM328" s="239">
        <v>-312833</v>
      </c>
      <c r="BN328" s="239">
        <v>-34759</v>
      </c>
      <c r="BO328" s="239">
        <v>-3475926.6</v>
      </c>
      <c r="BP328" s="239">
        <v>0</v>
      </c>
      <c r="BQ328" s="239">
        <v>0</v>
      </c>
      <c r="BR328" s="239">
        <v>0</v>
      </c>
      <c r="BS328" s="239">
        <v>0</v>
      </c>
      <c r="BT328" s="239">
        <v>0</v>
      </c>
      <c r="BU328" s="239">
        <v>-490826</v>
      </c>
      <c r="BV328" s="239">
        <v>-392662</v>
      </c>
      <c r="BW328" s="239">
        <v>-88349</v>
      </c>
      <c r="BX328" s="239">
        <v>-9817</v>
      </c>
      <c r="BY328" s="239">
        <v>-981654</v>
      </c>
      <c r="BZ328" s="239">
        <v>-2228789.6</v>
      </c>
      <c r="CA328" s="239">
        <v>-1783033</v>
      </c>
      <c r="CB328" s="239">
        <v>-401182</v>
      </c>
      <c r="CC328" s="239">
        <v>-44576</v>
      </c>
      <c r="CD328" s="239">
        <v>-4457580.5999999996</v>
      </c>
      <c r="CE328" s="239">
        <v>-1785483</v>
      </c>
      <c r="CF328" s="239">
        <v>-1428385</v>
      </c>
      <c r="CG328" s="239">
        <v>-321386</v>
      </c>
      <c r="CH328" s="239">
        <v>-35709</v>
      </c>
      <c r="CI328" s="239">
        <v>-3570963</v>
      </c>
      <c r="CJ328" s="239">
        <v>-1850262</v>
      </c>
      <c r="CK328" s="239">
        <v>-1480210</v>
      </c>
      <c r="CL328" s="239">
        <v>-333047</v>
      </c>
      <c r="CM328" s="239">
        <v>-37005</v>
      </c>
      <c r="CN328" s="239">
        <v>-3700524</v>
      </c>
      <c r="CO328" s="239">
        <v>64779</v>
      </c>
      <c r="CP328" s="239">
        <v>51825</v>
      </c>
      <c r="CQ328" s="239">
        <v>11661</v>
      </c>
      <c r="CR328" s="239">
        <v>1296</v>
      </c>
      <c r="CS328" s="239">
        <v>129561</v>
      </c>
      <c r="CT328" s="239">
        <v>12209931</v>
      </c>
      <c r="CU328" s="239">
        <v>9767946</v>
      </c>
      <c r="CV328" s="239">
        <v>2197788</v>
      </c>
      <c r="CW328" s="239">
        <v>244199</v>
      </c>
      <c r="CX328" s="239">
        <v>24419864</v>
      </c>
      <c r="CY328" s="239">
        <v>11494681</v>
      </c>
      <c r="CZ328" s="239">
        <v>9195746</v>
      </c>
      <c r="DA328" s="239">
        <v>2069043</v>
      </c>
      <c r="DB328" s="239">
        <v>229894</v>
      </c>
      <c r="DC328" s="239">
        <v>22989364</v>
      </c>
      <c r="DD328" s="239">
        <v>-715250</v>
      </c>
      <c r="DE328" s="239">
        <v>-572200</v>
      </c>
      <c r="DF328" s="239">
        <v>-128745</v>
      </c>
      <c r="DG328" s="239">
        <v>-14305</v>
      </c>
      <c r="DH328" s="239">
        <v>-1430500</v>
      </c>
      <c r="DI328" s="239">
        <v>-650471</v>
      </c>
      <c r="DJ328" s="239">
        <v>-520375</v>
      </c>
      <c r="DK328" s="239">
        <v>-117084</v>
      </c>
      <c r="DL328" s="239">
        <v>-13009</v>
      </c>
      <c r="DM328" s="239">
        <v>-1300939</v>
      </c>
      <c r="DN328" s="835">
        <v>0.5</v>
      </c>
      <c r="DO328" s="835">
        <v>0.4</v>
      </c>
      <c r="DP328" s="835">
        <v>0.09</v>
      </c>
      <c r="DQ328" s="835">
        <v>0.01</v>
      </c>
      <c r="DR328" s="835">
        <v>1</v>
      </c>
      <c r="DS328" s="214" t="s">
        <v>1158</v>
      </c>
      <c r="DU328" s="214">
        <v>0</v>
      </c>
    </row>
    <row r="329" spans="2:125" s="214" customFormat="1" x14ac:dyDescent="0.2">
      <c r="B329" s="602" t="s">
        <v>741</v>
      </c>
      <c r="C329" s="602" t="s">
        <v>740</v>
      </c>
      <c r="D329" s="239">
        <v>13453401</v>
      </c>
      <c r="E329" s="239">
        <v>10762720</v>
      </c>
      <c r="F329" s="239">
        <v>2421612</v>
      </c>
      <c r="G329" s="239">
        <v>269068</v>
      </c>
      <c r="H329" s="239">
        <v>26906801</v>
      </c>
      <c r="I329" s="239">
        <v>0</v>
      </c>
      <c r="J329" s="239">
        <v>0</v>
      </c>
      <c r="K329" s="239">
        <v>13453401</v>
      </c>
      <c r="L329" s="239">
        <v>130713</v>
      </c>
      <c r="M329" s="239">
        <v>130713</v>
      </c>
      <c r="N329" s="239">
        <v>0</v>
      </c>
      <c r="O329" s="239">
        <v>0</v>
      </c>
      <c r="P329" s="239">
        <v>10920</v>
      </c>
      <c r="Q329" s="239">
        <v>0</v>
      </c>
      <c r="R329" s="239">
        <v>10920</v>
      </c>
      <c r="S329" s="239">
        <v>0</v>
      </c>
      <c r="T329" s="239">
        <v>0</v>
      </c>
      <c r="U329" s="239">
        <v>0</v>
      </c>
      <c r="V329" s="239">
        <v>0</v>
      </c>
      <c r="W329" s="239">
        <v>0</v>
      </c>
      <c r="X329" s="239">
        <v>0</v>
      </c>
      <c r="Y329" s="239">
        <v>0</v>
      </c>
      <c r="Z329" s="239">
        <v>0</v>
      </c>
      <c r="AA329" s="239">
        <v>0</v>
      </c>
      <c r="AB329" s="239">
        <v>0</v>
      </c>
      <c r="AC329" s="239">
        <v>1222976</v>
      </c>
      <c r="AD329" s="239">
        <v>275133</v>
      </c>
      <c r="AE329" s="239">
        <v>30570</v>
      </c>
      <c r="AF329" s="239">
        <v>1528679</v>
      </c>
      <c r="AG329" s="239">
        <v>1115870</v>
      </c>
      <c r="AH329" s="239">
        <v>892695</v>
      </c>
      <c r="AI329" s="239">
        <v>200856</v>
      </c>
      <c r="AJ329" s="239">
        <v>22317</v>
      </c>
      <c r="AK329" s="239">
        <v>2231738</v>
      </c>
      <c r="AL329" s="239">
        <v>-433992</v>
      </c>
      <c r="AM329" s="239">
        <v>-347194</v>
      </c>
      <c r="AN329" s="239">
        <v>-78119</v>
      </c>
      <c r="AO329" s="239">
        <v>-8680</v>
      </c>
      <c r="AP329" s="239">
        <v>-867985</v>
      </c>
      <c r="AQ329" s="239">
        <v>-515547</v>
      </c>
      <c r="AR329" s="239">
        <v>-412438</v>
      </c>
      <c r="AS329" s="239">
        <v>-92798</v>
      </c>
      <c r="AT329" s="239">
        <v>-10311</v>
      </c>
      <c r="AU329" s="239">
        <v>-1031094</v>
      </c>
      <c r="AV329" s="239">
        <v>188171</v>
      </c>
      <c r="AW329" s="239">
        <v>150536</v>
      </c>
      <c r="AX329" s="239">
        <v>33871</v>
      </c>
      <c r="AY329" s="239">
        <v>3763</v>
      </c>
      <c r="AZ329" s="239">
        <v>376341</v>
      </c>
      <c r="BA329" s="239">
        <v>-226526</v>
      </c>
      <c r="BB329" s="239">
        <v>-181221</v>
      </c>
      <c r="BC329" s="239">
        <v>-40775</v>
      </c>
      <c r="BD329" s="239">
        <v>-4531</v>
      </c>
      <c r="BE329" s="239">
        <v>-453053</v>
      </c>
      <c r="BF329" s="239">
        <v>-553902</v>
      </c>
      <c r="BG329" s="239">
        <v>-443123</v>
      </c>
      <c r="BH329" s="239">
        <v>-99702</v>
      </c>
      <c r="BI329" s="239">
        <v>-11079</v>
      </c>
      <c r="BJ329" s="239">
        <v>-1107806</v>
      </c>
      <c r="BK329" s="239">
        <v>-1630257</v>
      </c>
      <c r="BL329" s="239">
        <v>-1304206</v>
      </c>
      <c r="BM329" s="239">
        <v>-293446</v>
      </c>
      <c r="BN329" s="239">
        <v>-32605</v>
      </c>
      <c r="BO329" s="239">
        <v>-3260514</v>
      </c>
      <c r="BP329" s="239">
        <v>302152</v>
      </c>
      <c r="BQ329" s="239">
        <v>241722</v>
      </c>
      <c r="BR329" s="239">
        <v>54387</v>
      </c>
      <c r="BS329" s="239">
        <v>6043</v>
      </c>
      <c r="BT329" s="239">
        <v>604304</v>
      </c>
      <c r="BU329" s="239">
        <v>-714319</v>
      </c>
      <c r="BV329" s="239">
        <v>-571455</v>
      </c>
      <c r="BW329" s="239">
        <v>-128577</v>
      </c>
      <c r="BX329" s="239">
        <v>-14286</v>
      </c>
      <c r="BY329" s="239">
        <v>-1428637</v>
      </c>
      <c r="BZ329" s="239">
        <v>-2042424</v>
      </c>
      <c r="CA329" s="239">
        <v>-1633939</v>
      </c>
      <c r="CB329" s="239">
        <v>-367636</v>
      </c>
      <c r="CC329" s="239">
        <v>-40848</v>
      </c>
      <c r="CD329" s="239">
        <v>-4084847</v>
      </c>
      <c r="CE329" s="239">
        <v>492902</v>
      </c>
      <c r="CF329" s="239">
        <v>394321</v>
      </c>
      <c r="CG329" s="239">
        <v>88722</v>
      </c>
      <c r="CH329" s="239">
        <v>9858</v>
      </c>
      <c r="CI329" s="239">
        <v>985803</v>
      </c>
      <c r="CJ329" s="239">
        <v>931747</v>
      </c>
      <c r="CK329" s="239">
        <v>745397</v>
      </c>
      <c r="CL329" s="239">
        <v>167714</v>
      </c>
      <c r="CM329" s="239">
        <v>18635</v>
      </c>
      <c r="CN329" s="239">
        <v>1863493</v>
      </c>
      <c r="CO329" s="239">
        <v>-438845</v>
      </c>
      <c r="CP329" s="239">
        <v>-351076</v>
      </c>
      <c r="CQ329" s="239">
        <v>-78992</v>
      </c>
      <c r="CR329" s="239">
        <v>-8777</v>
      </c>
      <c r="CS329" s="239">
        <v>-877690</v>
      </c>
      <c r="CT329" s="239">
        <v>13141033</v>
      </c>
      <c r="CU329" s="239">
        <v>10512826</v>
      </c>
      <c r="CV329" s="239">
        <v>2365386</v>
      </c>
      <c r="CW329" s="239">
        <v>262821</v>
      </c>
      <c r="CX329" s="239">
        <v>26282066</v>
      </c>
      <c r="CY329" s="239">
        <v>13453401</v>
      </c>
      <c r="CZ329" s="239">
        <v>10762720</v>
      </c>
      <c r="DA329" s="239">
        <v>2421612</v>
      </c>
      <c r="DB329" s="239">
        <v>269068</v>
      </c>
      <c r="DC329" s="239">
        <v>26906801</v>
      </c>
      <c r="DD329" s="239">
        <v>312368</v>
      </c>
      <c r="DE329" s="239">
        <v>249894</v>
      </c>
      <c r="DF329" s="239">
        <v>56226</v>
      </c>
      <c r="DG329" s="239">
        <v>6247</v>
      </c>
      <c r="DH329" s="239">
        <v>624735</v>
      </c>
      <c r="DI329" s="239">
        <v>-126477</v>
      </c>
      <c r="DJ329" s="239">
        <v>-101182</v>
      </c>
      <c r="DK329" s="239">
        <v>-22766</v>
      </c>
      <c r="DL329" s="239">
        <v>-2530</v>
      </c>
      <c r="DM329" s="239">
        <v>-252955</v>
      </c>
      <c r="DN329" s="835">
        <v>0.5</v>
      </c>
      <c r="DO329" s="835">
        <v>0.4</v>
      </c>
      <c r="DP329" s="835">
        <v>0.09</v>
      </c>
      <c r="DQ329" s="835">
        <v>0.01</v>
      </c>
      <c r="DR329" s="835">
        <v>1</v>
      </c>
      <c r="DS329" s="214" t="s">
        <v>1158</v>
      </c>
      <c r="DU329" s="214">
        <v>0</v>
      </c>
    </row>
    <row r="330" spans="2:125" s="214" customFormat="1" x14ac:dyDescent="0.2">
      <c r="B330" s="602" t="s">
        <v>743</v>
      </c>
      <c r="C330" s="602" t="s">
        <v>742</v>
      </c>
      <c r="D330" s="239">
        <v>49485682</v>
      </c>
      <c r="E330" s="239">
        <v>48495969</v>
      </c>
      <c r="F330" s="239">
        <v>0</v>
      </c>
      <c r="G330" s="239">
        <v>989714</v>
      </c>
      <c r="H330" s="239">
        <v>98971365</v>
      </c>
      <c r="I330" s="239">
        <v>0</v>
      </c>
      <c r="J330" s="239">
        <v>0</v>
      </c>
      <c r="K330" s="239">
        <v>49485682</v>
      </c>
      <c r="L330" s="239">
        <v>291989</v>
      </c>
      <c r="M330" s="239">
        <v>291989</v>
      </c>
      <c r="N330" s="239">
        <v>523678</v>
      </c>
      <c r="O330" s="239">
        <v>523678</v>
      </c>
      <c r="P330" s="239">
        <v>0</v>
      </c>
      <c r="Q330" s="239">
        <v>0</v>
      </c>
      <c r="R330" s="239">
        <v>0</v>
      </c>
      <c r="S330" s="239">
        <v>0</v>
      </c>
      <c r="T330" s="239">
        <v>0</v>
      </c>
      <c r="U330" s="239">
        <v>0</v>
      </c>
      <c r="V330" s="239">
        <v>0</v>
      </c>
      <c r="W330" s="239">
        <v>0</v>
      </c>
      <c r="X330" s="239">
        <v>0</v>
      </c>
      <c r="Y330" s="239">
        <v>0</v>
      </c>
      <c r="Z330" s="239">
        <v>0</v>
      </c>
      <c r="AA330" s="239">
        <v>0</v>
      </c>
      <c r="AB330" s="239">
        <v>0</v>
      </c>
      <c r="AC330" s="239">
        <v>3169986</v>
      </c>
      <c r="AD330" s="239">
        <v>0</v>
      </c>
      <c r="AE330" s="239">
        <v>64263</v>
      </c>
      <c r="AF330" s="239">
        <v>3234249</v>
      </c>
      <c r="AG330" s="239">
        <v>1363724</v>
      </c>
      <c r="AH330" s="239">
        <v>1336449</v>
      </c>
      <c r="AI330" s="239">
        <v>0</v>
      </c>
      <c r="AJ330" s="239">
        <v>27274</v>
      </c>
      <c r="AK330" s="239">
        <v>2727447</v>
      </c>
      <c r="AL330" s="239">
        <v>-1138450</v>
      </c>
      <c r="AM330" s="239">
        <v>-1115681</v>
      </c>
      <c r="AN330" s="239">
        <v>0</v>
      </c>
      <c r="AO330" s="239">
        <v>-22769</v>
      </c>
      <c r="AP330" s="239">
        <v>-2276900</v>
      </c>
      <c r="AQ330" s="239">
        <v>-898290</v>
      </c>
      <c r="AR330" s="239">
        <v>-880324</v>
      </c>
      <c r="AS330" s="239">
        <v>0</v>
      </c>
      <c r="AT330" s="239">
        <v>-17966</v>
      </c>
      <c r="AU330" s="239">
        <v>-1796580</v>
      </c>
      <c r="AV330" s="239">
        <v>120962</v>
      </c>
      <c r="AW330" s="239">
        <v>118543</v>
      </c>
      <c r="AX330" s="239">
        <v>0</v>
      </c>
      <c r="AY330" s="239">
        <v>2419</v>
      </c>
      <c r="AZ330" s="239">
        <v>241924</v>
      </c>
      <c r="BA330" s="239">
        <v>-329202</v>
      </c>
      <c r="BB330" s="239">
        <v>-322617</v>
      </c>
      <c r="BC330" s="239">
        <v>0</v>
      </c>
      <c r="BD330" s="239">
        <v>-6584</v>
      </c>
      <c r="BE330" s="239">
        <v>-658403</v>
      </c>
      <c r="BF330" s="239">
        <v>-1106530</v>
      </c>
      <c r="BG330" s="239">
        <v>-1084398</v>
      </c>
      <c r="BH330" s="239">
        <v>0</v>
      </c>
      <c r="BI330" s="239">
        <v>-22131</v>
      </c>
      <c r="BJ330" s="239">
        <v>-2213059</v>
      </c>
      <c r="BK330" s="239">
        <v>-3650000</v>
      </c>
      <c r="BL330" s="239">
        <v>-3577000</v>
      </c>
      <c r="BM330" s="239">
        <v>0</v>
      </c>
      <c r="BN330" s="239">
        <v>-73000</v>
      </c>
      <c r="BO330" s="239">
        <v>-7300000</v>
      </c>
      <c r="BP330" s="239">
        <v>2448367</v>
      </c>
      <c r="BQ330" s="239">
        <v>2399399</v>
      </c>
      <c r="BR330" s="239">
        <v>0</v>
      </c>
      <c r="BS330" s="239">
        <v>48967</v>
      </c>
      <c r="BT330" s="239">
        <v>4896733</v>
      </c>
      <c r="BU330" s="239">
        <v>-419367</v>
      </c>
      <c r="BV330" s="239">
        <v>-410979</v>
      </c>
      <c r="BW330" s="239">
        <v>0</v>
      </c>
      <c r="BX330" s="239">
        <v>-8387</v>
      </c>
      <c r="BY330" s="239">
        <v>-838733</v>
      </c>
      <c r="BZ330" s="239">
        <v>-1621000</v>
      </c>
      <c r="CA330" s="239">
        <v>-1588580</v>
      </c>
      <c r="CB330" s="239">
        <v>0</v>
      </c>
      <c r="CC330" s="239">
        <v>-32420</v>
      </c>
      <c r="CD330" s="239">
        <v>-3242000</v>
      </c>
      <c r="CE330" s="239">
        <v>-1165168</v>
      </c>
      <c r="CF330" s="239">
        <v>-1141864</v>
      </c>
      <c r="CG330" s="239">
        <v>0</v>
      </c>
      <c r="CH330" s="239">
        <v>-23304</v>
      </c>
      <c r="CI330" s="239">
        <v>-2330336</v>
      </c>
      <c r="CJ330" s="239">
        <v>-1473484</v>
      </c>
      <c r="CK330" s="239">
        <v>-1444015</v>
      </c>
      <c r="CL330" s="239">
        <v>0</v>
      </c>
      <c r="CM330" s="239">
        <v>-29470</v>
      </c>
      <c r="CN330" s="239">
        <v>-2946969</v>
      </c>
      <c r="CO330" s="239">
        <v>308316</v>
      </c>
      <c r="CP330" s="239">
        <v>302151</v>
      </c>
      <c r="CQ330" s="239">
        <v>0</v>
      </c>
      <c r="CR330" s="239">
        <v>6166</v>
      </c>
      <c r="CS330" s="239">
        <v>616633</v>
      </c>
      <c r="CT330" s="239">
        <v>50178481</v>
      </c>
      <c r="CU330" s="239">
        <v>49174912</v>
      </c>
      <c r="CV330" s="239">
        <v>0</v>
      </c>
      <c r="CW330" s="239">
        <v>1003570</v>
      </c>
      <c r="CX330" s="239">
        <v>100356963</v>
      </c>
      <c r="CY330" s="239">
        <v>49485682</v>
      </c>
      <c r="CZ330" s="239">
        <v>48495969</v>
      </c>
      <c r="DA330" s="239">
        <v>0</v>
      </c>
      <c r="DB330" s="239">
        <v>989714</v>
      </c>
      <c r="DC330" s="239">
        <v>98971365</v>
      </c>
      <c r="DD330" s="239">
        <v>-692799</v>
      </c>
      <c r="DE330" s="239">
        <v>-678943</v>
      </c>
      <c r="DF330" s="239">
        <v>0</v>
      </c>
      <c r="DG330" s="239">
        <v>-13856</v>
      </c>
      <c r="DH330" s="239">
        <v>-1385598</v>
      </c>
      <c r="DI330" s="239">
        <v>-384483</v>
      </c>
      <c r="DJ330" s="239">
        <v>-376792</v>
      </c>
      <c r="DK330" s="239">
        <v>0</v>
      </c>
      <c r="DL330" s="239">
        <v>-7690</v>
      </c>
      <c r="DM330" s="239">
        <v>-768965</v>
      </c>
      <c r="DN330" s="835">
        <v>0.5</v>
      </c>
      <c r="DO330" s="835">
        <v>0.49</v>
      </c>
      <c r="DP330" s="835">
        <v>0</v>
      </c>
      <c r="DQ330" s="835">
        <v>0.01</v>
      </c>
      <c r="DR330" s="835">
        <v>1</v>
      </c>
      <c r="DS330" s="214" t="s">
        <v>746</v>
      </c>
      <c r="DU330" s="214">
        <v>0</v>
      </c>
    </row>
    <row r="331" spans="2:125" s="214" customFormat="1" x14ac:dyDescent="0.2">
      <c r="B331" s="602" t="s">
        <v>1150</v>
      </c>
      <c r="C331" s="602" t="s">
        <v>1142</v>
      </c>
      <c r="D331" s="239">
        <v>9019764050.9533195</v>
      </c>
      <c r="E331" s="239">
        <v>10913528109</v>
      </c>
      <c r="F331" s="239">
        <v>3709195544</v>
      </c>
      <c r="G331" s="239">
        <v>122602105</v>
      </c>
      <c r="H331" s="239">
        <v>23765089808.95332</v>
      </c>
      <c r="I331" s="239">
        <v>12376626</v>
      </c>
      <c r="J331" s="239">
        <v>12376626</v>
      </c>
      <c r="K331" s="239">
        <v>9007387424.9533195</v>
      </c>
      <c r="L331" s="239">
        <v>84057349</v>
      </c>
      <c r="M331" s="239">
        <v>84057349</v>
      </c>
      <c r="N331" s="239">
        <v>40459428</v>
      </c>
      <c r="O331" s="239">
        <v>40459428</v>
      </c>
      <c r="P331" s="239">
        <v>58223551.130000003</v>
      </c>
      <c r="Q331" s="239">
        <v>2816083.6747920001</v>
      </c>
      <c r="R331" s="239">
        <v>61039634.804792002</v>
      </c>
      <c r="S331" s="239">
        <v>8497155.0591201708</v>
      </c>
      <c r="T331" s="239">
        <v>264636.86175965663</v>
      </c>
      <c r="U331" s="239">
        <v>32017.522253218885</v>
      </c>
      <c r="V331" s="239">
        <v>8793809.443133045</v>
      </c>
      <c r="W331" s="239">
        <v>2212709.56</v>
      </c>
      <c r="X331" s="239">
        <v>465326.64</v>
      </c>
      <c r="Y331" s="239">
        <v>54653.8</v>
      </c>
      <c r="Z331" s="239">
        <v>2732690</v>
      </c>
      <c r="AA331" s="239">
        <v>850129</v>
      </c>
      <c r="AB331" s="239">
        <v>850129</v>
      </c>
      <c r="AC331" s="239">
        <v>884469407</v>
      </c>
      <c r="AD331" s="239">
        <v>195371117</v>
      </c>
      <c r="AE331" s="239">
        <v>11139708</v>
      </c>
      <c r="AF331" s="239">
        <v>1090980232</v>
      </c>
      <c r="AG331" s="239">
        <v>416851129.52999997</v>
      </c>
      <c r="AH331" s="239">
        <v>715858245</v>
      </c>
      <c r="AI331" s="239">
        <v>162500128</v>
      </c>
      <c r="AJ331" s="239">
        <v>8147006</v>
      </c>
      <c r="AK331" s="239">
        <v>1303356508.53</v>
      </c>
      <c r="AL331" s="239">
        <v>-363858825.66000003</v>
      </c>
      <c r="AM331" s="239">
        <v>-424668203</v>
      </c>
      <c r="AN331" s="239">
        <v>-228488791</v>
      </c>
      <c r="AO331" s="239">
        <v>-3602672</v>
      </c>
      <c r="AP331" s="239">
        <v>-1020618491.66</v>
      </c>
      <c r="AQ331" s="239">
        <v>-210290003.5</v>
      </c>
      <c r="AR331" s="239">
        <v>-385554056</v>
      </c>
      <c r="AS331" s="239">
        <v>-82238177</v>
      </c>
      <c r="AT331" s="239">
        <v>-4414834</v>
      </c>
      <c r="AU331" s="239">
        <v>-682497070.50000012</v>
      </c>
      <c r="AV331" s="239">
        <v>59626207.850000001</v>
      </c>
      <c r="AW331" s="239">
        <v>89684742</v>
      </c>
      <c r="AX331" s="239">
        <v>16446447</v>
      </c>
      <c r="AY331" s="239">
        <v>1141831</v>
      </c>
      <c r="AZ331" s="239">
        <v>166899227.84999999</v>
      </c>
      <c r="BA331" s="239">
        <v>-62733070.299999997</v>
      </c>
      <c r="BB331" s="239">
        <v>-106258728</v>
      </c>
      <c r="BC331" s="239">
        <v>-18392851</v>
      </c>
      <c r="BD331" s="239">
        <v>-1244256</v>
      </c>
      <c r="BE331" s="239">
        <v>-188628905.30000001</v>
      </c>
      <c r="BF331" s="239">
        <v>-213396865.94999999</v>
      </c>
      <c r="BG331" s="239">
        <v>-402128042</v>
      </c>
      <c r="BH331" s="239">
        <v>-84184581</v>
      </c>
      <c r="BI331" s="239">
        <v>-4517259</v>
      </c>
      <c r="BJ331" s="239">
        <v>-704226747.95000005</v>
      </c>
      <c r="BK331" s="239">
        <v>-943981102.23999977</v>
      </c>
      <c r="BL331" s="239">
        <v>-1284604901</v>
      </c>
      <c r="BM331" s="239">
        <v>-399102117</v>
      </c>
      <c r="BN331" s="239">
        <v>-14135533</v>
      </c>
      <c r="BO331" s="239">
        <v>-2641823653.2400002</v>
      </c>
      <c r="BP331" s="239">
        <v>331635268</v>
      </c>
      <c r="BQ331" s="239">
        <v>427018666</v>
      </c>
      <c r="BR331" s="239">
        <v>127724524</v>
      </c>
      <c r="BS331" s="239">
        <v>5066273</v>
      </c>
      <c r="BT331" s="239">
        <v>891444731</v>
      </c>
      <c r="BU331" s="239">
        <v>-432320274.23188901</v>
      </c>
      <c r="BV331" s="239">
        <v>-497632267</v>
      </c>
      <c r="BW331" s="239">
        <v>-126316141</v>
      </c>
      <c r="BX331" s="239">
        <v>-6258261</v>
      </c>
      <c r="BY331" s="239">
        <v>-1062526943.231889</v>
      </c>
      <c r="BZ331" s="239">
        <v>-1044666108.4718889</v>
      </c>
      <c r="CA331" s="239">
        <v>-1355218502</v>
      </c>
      <c r="CB331" s="239">
        <v>-397693734</v>
      </c>
      <c r="CC331" s="239">
        <v>-15327521</v>
      </c>
      <c r="CD331" s="239">
        <v>-2812905865.471889</v>
      </c>
      <c r="CE331" s="239">
        <v>-176221512.70999998</v>
      </c>
      <c r="CF331" s="239">
        <v>-161997388.09999999</v>
      </c>
      <c r="CG331" s="239">
        <v>-11930283.01</v>
      </c>
      <c r="CH331" s="239">
        <v>-2780863.6799999997</v>
      </c>
      <c r="CI331" s="239">
        <v>-352932692.55999994</v>
      </c>
      <c r="CJ331" s="239">
        <v>-251434861</v>
      </c>
      <c r="CK331" s="239">
        <v>-206622847</v>
      </c>
      <c r="CL331" s="239">
        <v>-41842388</v>
      </c>
      <c r="CM331" s="239">
        <v>-2969631</v>
      </c>
      <c r="CN331" s="239">
        <v>-502869727</v>
      </c>
      <c r="CO331" s="239">
        <v>75213348.289999992</v>
      </c>
      <c r="CP331" s="239">
        <v>44625458.899999999</v>
      </c>
      <c r="CQ331" s="239">
        <v>29912104.990000002</v>
      </c>
      <c r="CR331" s="239">
        <v>188767.32</v>
      </c>
      <c r="CS331" s="239">
        <v>149937034.44</v>
      </c>
      <c r="CT331" s="239">
        <v>9121096245</v>
      </c>
      <c r="CU331" s="239">
        <v>10990933040</v>
      </c>
      <c r="CV331" s="239">
        <v>3677717262</v>
      </c>
      <c r="CW331" s="239">
        <v>124288845</v>
      </c>
      <c r="CX331" s="239">
        <v>23914035392</v>
      </c>
      <c r="CY331" s="239">
        <v>9018913921.9533195</v>
      </c>
      <c r="CZ331" s="239">
        <v>10913528109</v>
      </c>
      <c r="DA331" s="239">
        <v>3709195544</v>
      </c>
      <c r="DB331" s="239">
        <v>122602105</v>
      </c>
      <c r="DC331" s="239">
        <v>23764239679.95332</v>
      </c>
      <c r="DD331" s="239">
        <v>-102165589.04668102</v>
      </c>
      <c r="DE331" s="239">
        <v>-77421330.780000001</v>
      </c>
      <c r="DF331" s="239">
        <v>31478282</v>
      </c>
      <c r="DG331" s="239">
        <v>-1687074.22</v>
      </c>
      <c r="DH331" s="239">
        <v>-149795712.04668102</v>
      </c>
      <c r="DI331" s="239">
        <v>-26952240.756681014</v>
      </c>
      <c r="DJ331" s="239">
        <v>-32795871.87999998</v>
      </c>
      <c r="DK331" s="239">
        <v>61390386.989999995</v>
      </c>
      <c r="DL331" s="239">
        <v>-1498306.9000000001</v>
      </c>
      <c r="DM331" s="239">
        <v>141322.39331897721</v>
      </c>
      <c r="DU331" s="239">
        <v>1</v>
      </c>
    </row>
  </sheetData>
  <mergeCells count="27">
    <mergeCell ref="BF1:BJ1"/>
    <mergeCell ref="D1:H1"/>
    <mergeCell ref="I1:J1"/>
    <mergeCell ref="L1:M1"/>
    <mergeCell ref="N1:O1"/>
    <mergeCell ref="P1:R1"/>
    <mergeCell ref="S1:V1"/>
    <mergeCell ref="AG1:AK1"/>
    <mergeCell ref="AL1:AP1"/>
    <mergeCell ref="AQ1:AU1"/>
    <mergeCell ref="AV1:AZ1"/>
    <mergeCell ref="BA1:BE1"/>
    <mergeCell ref="W1:Z1"/>
    <mergeCell ref="AA1:AB1"/>
    <mergeCell ref="AC1:AF1"/>
    <mergeCell ref="DN1:DR1"/>
    <mergeCell ref="BK1:BO1"/>
    <mergeCell ref="BP1:BT1"/>
    <mergeCell ref="BU1:BY1"/>
    <mergeCell ref="BZ1:CD1"/>
    <mergeCell ref="CE1:CI1"/>
    <mergeCell ref="CJ1:CN1"/>
    <mergeCell ref="CO1:CS1"/>
    <mergeCell ref="CT1:CX1"/>
    <mergeCell ref="CY1:DC1"/>
    <mergeCell ref="DD1:DH1"/>
    <mergeCell ref="DI1:DM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7"/>
  <sheetViews>
    <sheetView showGridLines="0" topLeftCell="A4" zoomScale="80" zoomScaleNormal="80" zoomScaleSheetLayoutView="90" workbookViewId="0">
      <selection activeCell="K22" sqref="K22:L22"/>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9.85546875" style="5" customWidth="1"/>
    <col min="13" max="13" width="3.7109375" style="5" customWidth="1"/>
    <col min="14" max="15" width="9.140625" style="5"/>
    <col min="16" max="16" width="3.7109375" style="5" customWidth="1"/>
    <col min="17" max="18" width="9.140625" style="5"/>
    <col min="19" max="19" width="6.140625" style="5" customWidth="1"/>
    <col min="20" max="21" width="9.140625" style="5"/>
    <col min="22" max="22" width="3.7109375" style="5" customWidth="1"/>
    <col min="23" max="24" width="9.140625" style="5"/>
    <col min="25" max="25" width="1.7109375" style="5" customWidth="1"/>
    <col min="26" max="26" width="14" style="316" customWidth="1"/>
    <col min="27" max="27" width="10.140625" style="114" hidden="1" customWidth="1"/>
    <col min="28" max="28" width="9.140625" style="5" hidden="1" customWidth="1"/>
    <col min="29" max="29" width="22.85546875" style="5" hidden="1" customWidth="1"/>
    <col min="30" max="31" width="10.140625" style="5" hidden="1"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5" x14ac:dyDescent="0.2">
      <c r="A1" s="11"/>
      <c r="B1" s="12"/>
      <c r="C1" s="12" t="s">
        <v>976</v>
      </c>
      <c r="D1" s="12"/>
      <c r="E1" s="12"/>
      <c r="F1" s="401">
        <v>326</v>
      </c>
      <c r="G1" s="12"/>
      <c r="H1" s="12"/>
      <c r="I1" s="12"/>
      <c r="J1" s="12"/>
      <c r="K1" s="12"/>
      <c r="L1" s="12"/>
      <c r="M1" s="12"/>
      <c r="N1" s="12"/>
      <c r="O1" s="12"/>
      <c r="P1" s="12"/>
      <c r="Q1" s="12"/>
      <c r="R1" s="867"/>
      <c r="S1" s="867"/>
      <c r="T1" s="12"/>
      <c r="U1" s="12"/>
      <c r="V1" s="12"/>
      <c r="W1" s="12"/>
      <c r="X1" s="12"/>
      <c r="Y1" s="13"/>
    </row>
    <row r="2" spans="1:35" ht="15.75" x14ac:dyDescent="0.25">
      <c r="A2" s="868" t="s">
        <v>40</v>
      </c>
      <c r="B2" s="869"/>
      <c r="C2" s="869"/>
      <c r="D2" s="869"/>
      <c r="E2" s="869"/>
      <c r="F2" s="869"/>
      <c r="G2" s="869"/>
      <c r="H2" s="869"/>
      <c r="I2" s="869"/>
      <c r="J2" s="869"/>
      <c r="K2" s="869"/>
      <c r="L2" s="869"/>
      <c r="M2" s="869"/>
      <c r="N2" s="869"/>
      <c r="O2" s="869"/>
      <c r="P2" s="869"/>
      <c r="Q2" s="869"/>
      <c r="R2" s="869"/>
      <c r="S2" s="869"/>
      <c r="T2" s="869"/>
      <c r="U2" s="869"/>
      <c r="V2" s="869"/>
      <c r="W2" s="869"/>
      <c r="X2" s="869"/>
      <c r="Y2" s="870"/>
    </row>
    <row r="3" spans="1:35" ht="15.75" x14ac:dyDescent="0.25">
      <c r="A3" s="868" t="s">
        <v>1365</v>
      </c>
      <c r="B3" s="869"/>
      <c r="C3" s="869"/>
      <c r="D3" s="869"/>
      <c r="E3" s="869"/>
      <c r="F3" s="869"/>
      <c r="G3" s="869"/>
      <c r="H3" s="869"/>
      <c r="I3" s="869"/>
      <c r="J3" s="869"/>
      <c r="K3" s="869"/>
      <c r="L3" s="869"/>
      <c r="M3" s="869"/>
      <c r="N3" s="869"/>
      <c r="O3" s="869"/>
      <c r="P3" s="869"/>
      <c r="Q3" s="869"/>
      <c r="R3" s="869"/>
      <c r="S3" s="869"/>
      <c r="T3" s="869"/>
      <c r="U3" s="869"/>
      <c r="V3" s="869"/>
      <c r="W3" s="869"/>
      <c r="X3" s="869"/>
      <c r="Y3" s="870"/>
    </row>
    <row r="4" spans="1:35" x14ac:dyDescent="0.2">
      <c r="A4" s="871"/>
      <c r="B4" s="872"/>
      <c r="C4" s="872"/>
      <c r="D4" s="872"/>
      <c r="E4" s="872"/>
      <c r="F4" s="872"/>
      <c r="G4" s="872"/>
      <c r="H4" s="872"/>
      <c r="I4" s="872"/>
      <c r="J4" s="872"/>
      <c r="K4" s="872"/>
      <c r="L4" s="872"/>
      <c r="M4" s="872"/>
      <c r="N4" s="872"/>
      <c r="O4" s="872"/>
      <c r="P4" s="872"/>
      <c r="Q4" s="872"/>
      <c r="R4" s="872"/>
      <c r="S4" s="872"/>
      <c r="T4" s="872"/>
      <c r="U4" s="872"/>
      <c r="V4" s="872"/>
      <c r="W4" s="872"/>
      <c r="X4" s="872"/>
      <c r="Y4" s="873"/>
    </row>
    <row r="5" spans="1:35" x14ac:dyDescent="0.2">
      <c r="A5" s="871"/>
      <c r="B5" s="872"/>
      <c r="C5" s="872"/>
      <c r="D5" s="872"/>
      <c r="E5" s="872"/>
      <c r="F5" s="872"/>
      <c r="G5" s="872"/>
      <c r="H5" s="872"/>
      <c r="I5" s="872"/>
      <c r="J5" s="872"/>
      <c r="K5" s="872"/>
      <c r="L5" s="872"/>
      <c r="M5" s="872"/>
      <c r="N5" s="872"/>
      <c r="O5" s="872"/>
      <c r="P5" s="872"/>
      <c r="Q5" s="872"/>
      <c r="R5" s="872"/>
      <c r="S5" s="872"/>
      <c r="T5" s="872"/>
      <c r="U5" s="872"/>
      <c r="V5" s="872"/>
      <c r="W5" s="872"/>
      <c r="X5" s="872"/>
      <c r="Y5" s="873"/>
    </row>
    <row r="6" spans="1:35" s="213" customFormat="1" x14ac:dyDescent="0.2">
      <c r="A6" s="43"/>
      <c r="B6" s="78"/>
      <c r="C6" s="78"/>
      <c r="D6" s="78"/>
      <c r="E6" s="78"/>
      <c r="F6" s="78"/>
      <c r="G6" s="78"/>
      <c r="H6" s="78"/>
      <c r="I6" s="78"/>
      <c r="J6" s="78"/>
      <c r="K6" s="78"/>
      <c r="L6" s="78"/>
      <c r="M6" s="78"/>
      <c r="N6" s="78"/>
      <c r="O6" s="78"/>
      <c r="P6" s="78"/>
      <c r="Q6" s="78"/>
      <c r="R6" s="78"/>
      <c r="S6" s="78"/>
      <c r="T6" s="78"/>
      <c r="U6" s="78"/>
      <c r="V6" s="78"/>
      <c r="W6" s="78"/>
      <c r="X6" s="78"/>
      <c r="Y6" s="79"/>
      <c r="Z6" s="317"/>
      <c r="AA6" s="315"/>
    </row>
    <row r="7" spans="1:35" ht="15.75" x14ac:dyDescent="0.25">
      <c r="A7" s="874"/>
      <c r="B7" s="875"/>
      <c r="C7" s="875"/>
      <c r="D7" s="875"/>
      <c r="E7" s="875"/>
      <c r="F7" s="875"/>
      <c r="G7" s="875"/>
      <c r="H7" s="875"/>
      <c r="I7" s="875"/>
      <c r="J7" s="875"/>
      <c r="K7" s="875"/>
      <c r="L7" s="875"/>
      <c r="M7" s="875"/>
      <c r="N7" s="875"/>
      <c r="O7" s="875"/>
      <c r="P7" s="875"/>
      <c r="Q7" s="875"/>
      <c r="R7" s="875"/>
      <c r="S7" s="875"/>
      <c r="T7" s="875"/>
      <c r="U7" s="875"/>
      <c r="V7" s="875"/>
      <c r="W7" s="875"/>
      <c r="X7" s="875"/>
      <c r="Y7" s="876"/>
    </row>
    <row r="8" spans="1:35" ht="15.75" thickBot="1" x14ac:dyDescent="0.25">
      <c r="A8" s="855"/>
      <c r="B8" s="856"/>
      <c r="C8" s="856"/>
      <c r="D8" s="856"/>
      <c r="E8" s="856"/>
      <c r="F8" s="856"/>
      <c r="G8" s="856"/>
      <c r="H8" s="856"/>
      <c r="I8" s="856"/>
      <c r="J8" s="856"/>
      <c r="K8" s="856"/>
      <c r="L8" s="856"/>
      <c r="M8" s="856"/>
      <c r="N8" s="856"/>
      <c r="O8" s="856"/>
      <c r="P8" s="856"/>
      <c r="Q8" s="856"/>
      <c r="R8" s="856"/>
      <c r="S8" s="856"/>
      <c r="T8" s="856"/>
      <c r="U8" s="856"/>
      <c r="V8" s="856"/>
      <c r="W8" s="856"/>
      <c r="X8" s="856"/>
      <c r="Y8" s="857"/>
      <c r="AB8" s="5" t="str">
        <f>VLOOKUP(F1,Datasheet1!B5:D331,2,FALSE)</f>
        <v>E2701</v>
      </c>
      <c r="AC8" s="5" t="str">
        <f>VLOOKUP(F1,Datasheet1!B5:D331,3,FALSE)</f>
        <v>York</v>
      </c>
    </row>
    <row r="9" spans="1:35"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5" x14ac:dyDescent="0.2">
      <c r="A10" s="346"/>
      <c r="B10" s="38"/>
      <c r="C10" s="38"/>
      <c r="D10" s="38"/>
      <c r="E10" s="858" t="s">
        <v>44</v>
      </c>
      <c r="F10" s="858"/>
      <c r="G10" s="858"/>
      <c r="H10" s="858"/>
      <c r="I10" s="858"/>
      <c r="J10" s="858"/>
      <c r="K10" s="38"/>
      <c r="L10" s="33"/>
      <c r="M10" s="33"/>
      <c r="N10" s="33"/>
      <c r="O10" s="34"/>
      <c r="P10" s="38"/>
      <c r="Q10" s="38"/>
      <c r="R10" s="38"/>
      <c r="S10" s="38"/>
      <c r="T10" s="38"/>
      <c r="U10" s="38"/>
      <c r="V10" s="38"/>
      <c r="W10" s="38"/>
      <c r="X10" s="38"/>
      <c r="Y10" s="39"/>
      <c r="AE10" s="252"/>
    </row>
    <row r="11" spans="1:35" ht="15.75" x14ac:dyDescent="0.25">
      <c r="A11" s="346"/>
      <c r="B11" s="38"/>
      <c r="C11" s="38"/>
      <c r="D11" s="38"/>
      <c r="E11" s="38"/>
      <c r="F11" s="34"/>
      <c r="G11" s="34"/>
      <c r="H11" s="34"/>
      <c r="I11" s="34"/>
      <c r="J11" s="34"/>
      <c r="K11" s="34"/>
      <c r="L11" s="33"/>
      <c r="M11" s="33"/>
      <c r="N11" s="33"/>
      <c r="O11" s="34"/>
      <c r="P11" s="38"/>
      <c r="Q11" s="38"/>
      <c r="R11" s="38"/>
      <c r="S11" s="38"/>
      <c r="T11" s="38"/>
      <c r="U11" s="38"/>
      <c r="V11" s="38"/>
      <c r="W11" s="38"/>
      <c r="X11" s="38"/>
      <c r="Y11" s="39"/>
      <c r="Z11" s="321"/>
      <c r="AE11" s="252"/>
      <c r="AI11" s="71"/>
    </row>
    <row r="12" spans="1:35" x14ac:dyDescent="0.2">
      <c r="A12" s="346"/>
      <c r="B12" s="38"/>
      <c r="C12" s="38"/>
      <c r="D12" s="38"/>
      <c r="E12" s="38"/>
      <c r="F12" s="35"/>
      <c r="G12" s="35"/>
      <c r="H12" s="35"/>
      <c r="I12" s="35"/>
      <c r="J12" s="35"/>
      <c r="K12" s="35"/>
      <c r="L12" s="36"/>
      <c r="M12" s="36"/>
      <c r="N12" s="36"/>
      <c r="O12" s="35"/>
      <c r="P12" s="38"/>
      <c r="Q12" s="38"/>
      <c r="R12" s="38"/>
      <c r="S12" s="38"/>
      <c r="T12" s="38"/>
      <c r="U12" s="38"/>
      <c r="V12" s="38"/>
      <c r="W12" s="38"/>
      <c r="X12" s="38"/>
      <c r="Y12" s="39"/>
      <c r="AE12" s="253"/>
    </row>
    <row r="13" spans="1:35" x14ac:dyDescent="0.2">
      <c r="A13" s="346"/>
      <c r="B13" s="38"/>
      <c r="C13" s="38"/>
      <c r="D13" s="38"/>
      <c r="E13" s="38"/>
      <c r="F13" s="35"/>
      <c r="G13" s="35"/>
      <c r="H13" s="35"/>
      <c r="I13" s="35"/>
      <c r="J13" s="35"/>
      <c r="K13" s="35"/>
      <c r="L13" s="36"/>
      <c r="M13" s="36"/>
      <c r="N13" s="36"/>
      <c r="O13" s="35"/>
      <c r="P13" s="38"/>
      <c r="Q13" s="38"/>
      <c r="R13" s="38"/>
      <c r="S13" s="38"/>
      <c r="T13" s="38"/>
      <c r="U13" s="38"/>
      <c r="V13" s="38"/>
      <c r="W13" s="38"/>
      <c r="X13" s="38"/>
      <c r="Y13" s="39"/>
      <c r="AE13" s="252"/>
    </row>
    <row r="14" spans="1:35" x14ac:dyDescent="0.2">
      <c r="A14" s="346"/>
      <c r="B14" s="38"/>
      <c r="C14" s="38"/>
      <c r="D14" s="38"/>
      <c r="E14" s="38"/>
      <c r="F14" s="35"/>
      <c r="G14" s="35"/>
      <c r="H14" s="35"/>
      <c r="I14" s="35"/>
      <c r="J14" s="35"/>
      <c r="K14" s="35"/>
      <c r="L14" s="36"/>
      <c r="M14" s="36"/>
      <c r="N14" s="36"/>
      <c r="O14" s="35"/>
      <c r="P14" s="38"/>
      <c r="Q14" s="38"/>
      <c r="R14" s="38"/>
      <c r="S14" s="38"/>
      <c r="T14" s="38"/>
      <c r="U14" s="38"/>
      <c r="V14" s="38"/>
      <c r="W14" s="38"/>
      <c r="X14" s="38"/>
      <c r="Y14" s="39"/>
      <c r="AE14" s="252"/>
    </row>
    <row r="15" spans="1:35" hidden="1" x14ac:dyDescent="0.2">
      <c r="A15" s="346"/>
      <c r="B15" s="38"/>
      <c r="C15" s="38"/>
      <c r="D15" s="38"/>
      <c r="E15" s="37"/>
      <c r="F15" s="35"/>
      <c r="G15" s="38"/>
      <c r="H15" s="35"/>
      <c r="I15" s="38"/>
      <c r="J15" s="35"/>
      <c r="K15" s="35"/>
      <c r="L15" s="859" t="str">
        <f>VLOOKUP(F1,Data!$A$8:$B$335,2,FALSE)</f>
        <v>York</v>
      </c>
      <c r="M15" s="859"/>
      <c r="N15" s="859"/>
      <c r="O15" s="859"/>
      <c r="P15" s="859"/>
      <c r="Q15" s="860"/>
      <c r="R15" s="38"/>
      <c r="S15" s="38"/>
      <c r="T15" s="38"/>
      <c r="U15" s="38"/>
      <c r="V15" s="38"/>
      <c r="W15" s="38"/>
      <c r="X15" s="38"/>
      <c r="Y15" s="39"/>
      <c r="AE15" s="252"/>
    </row>
    <row r="16" spans="1:35" hidden="1" x14ac:dyDescent="0.2">
      <c r="A16" s="346"/>
      <c r="B16" s="38"/>
      <c r="C16" s="38"/>
      <c r="D16" s="38"/>
      <c r="E16" s="37"/>
      <c r="F16" s="35"/>
      <c r="G16" s="38"/>
      <c r="H16" s="35"/>
      <c r="I16" s="38"/>
      <c r="J16" s="35"/>
      <c r="K16" s="35"/>
      <c r="L16" s="859" t="str">
        <f>VLOOKUP(F1,datar,3,FALSE)</f>
        <v>E2701</v>
      </c>
      <c r="M16" s="861"/>
      <c r="N16" s="861"/>
      <c r="O16" s="861"/>
      <c r="P16" s="861"/>
      <c r="Q16" s="862"/>
      <c r="R16" s="38"/>
      <c r="S16" s="38"/>
      <c r="T16" s="38"/>
      <c r="U16" s="38"/>
      <c r="V16" s="38"/>
      <c r="W16" s="38"/>
      <c r="X16" s="38"/>
      <c r="Y16" s="39"/>
      <c r="AE16" s="253"/>
    </row>
    <row r="17" spans="1:35" ht="15.75" thickBot="1" x14ac:dyDescent="0.25">
      <c r="A17" s="40"/>
      <c r="B17" s="41"/>
      <c r="C17" s="41"/>
      <c r="D17" s="41"/>
      <c r="E17" s="41"/>
      <c r="F17" s="41"/>
      <c r="G17" s="41"/>
      <c r="H17" s="41"/>
      <c r="I17" s="41"/>
      <c r="J17" s="41"/>
      <c r="K17" s="41"/>
      <c r="L17" s="41"/>
      <c r="M17" s="41"/>
      <c r="N17" s="41"/>
      <c r="O17" s="41"/>
      <c r="P17" s="41"/>
      <c r="Q17" s="41"/>
      <c r="R17" s="41"/>
      <c r="S17" s="41"/>
      <c r="T17" s="41"/>
      <c r="U17" s="41"/>
      <c r="V17" s="41"/>
      <c r="W17" s="581"/>
      <c r="X17" s="583"/>
      <c r="Y17" s="42"/>
    </row>
    <row r="18" spans="1:35" x14ac:dyDescent="0.2">
      <c r="A18" s="7"/>
      <c r="B18" s="6"/>
      <c r="C18" s="6"/>
      <c r="D18" s="6"/>
      <c r="E18" s="6"/>
      <c r="F18" s="6"/>
      <c r="G18" s="6"/>
      <c r="H18" s="6"/>
      <c r="I18" s="6"/>
      <c r="J18" s="6"/>
      <c r="K18" s="6"/>
      <c r="L18" s="6"/>
      <c r="M18" s="6"/>
      <c r="N18" s="6"/>
      <c r="O18" s="6"/>
      <c r="P18" s="6"/>
      <c r="Q18" s="6"/>
      <c r="R18" s="6"/>
      <c r="S18" s="6"/>
      <c r="T18" s="6"/>
      <c r="U18" s="6"/>
      <c r="V18" s="6"/>
      <c r="W18" s="6"/>
      <c r="X18" s="6"/>
      <c r="Y18" s="8"/>
      <c r="AB18" s="81"/>
      <c r="AC18" s="80"/>
      <c r="AD18" s="81"/>
      <c r="AE18" s="82"/>
      <c r="AF18" s="4"/>
      <c r="AG18" s="4"/>
      <c r="AH18" s="4"/>
      <c r="AI18" s="83"/>
    </row>
    <row r="19" spans="1:35" ht="15.75" x14ac:dyDescent="0.2">
      <c r="A19" s="7"/>
      <c r="B19" s="6"/>
      <c r="C19" s="865" t="s">
        <v>41</v>
      </c>
      <c r="D19" s="865"/>
      <c r="E19" s="865"/>
      <c r="F19" s="865"/>
      <c r="G19" s="865"/>
      <c r="H19" s="74"/>
      <c r="I19" s="74"/>
      <c r="J19" s="6"/>
      <c r="K19" s="6"/>
      <c r="L19" s="6"/>
      <c r="M19" s="6"/>
      <c r="N19" s="6"/>
      <c r="O19" s="6"/>
      <c r="P19" s="6"/>
      <c r="Q19" s="6"/>
      <c r="R19" s="6"/>
      <c r="S19" s="6"/>
      <c r="T19" s="6"/>
      <c r="U19" s="6"/>
      <c r="V19" s="6"/>
      <c r="W19" s="6"/>
      <c r="X19" s="6"/>
      <c r="Y19" s="8"/>
      <c r="AB19" s="81"/>
      <c r="AC19" s="81"/>
      <c r="AD19" s="81"/>
      <c r="AE19" s="4"/>
      <c r="AF19" s="4"/>
      <c r="AG19" s="4"/>
      <c r="AH19" s="4"/>
      <c r="AI19" s="83"/>
    </row>
    <row r="20" spans="1:35" ht="15.75" x14ac:dyDescent="0.2">
      <c r="A20" s="7"/>
      <c r="B20" s="6"/>
      <c r="C20" s="144"/>
      <c r="D20" s="144"/>
      <c r="E20" s="144"/>
      <c r="F20" s="144"/>
      <c r="G20" s="144"/>
      <c r="H20" s="74"/>
      <c r="I20" s="74"/>
      <c r="J20" s="6"/>
      <c r="K20" s="6"/>
      <c r="L20" s="6"/>
      <c r="M20" s="6"/>
      <c r="N20" s="6"/>
      <c r="O20" s="6"/>
      <c r="P20" s="6"/>
      <c r="Q20" s="6"/>
      <c r="R20" s="6"/>
      <c r="S20" s="6"/>
      <c r="T20" s="6"/>
      <c r="U20" s="6"/>
      <c r="V20" s="6"/>
      <c r="W20" s="6"/>
      <c r="X20" s="6"/>
      <c r="Y20" s="8"/>
      <c r="AB20" s="81"/>
      <c r="AC20" s="106"/>
      <c r="AD20" s="81"/>
      <c r="AE20" s="4"/>
      <c r="AF20" s="4"/>
      <c r="AG20" s="4"/>
      <c r="AH20" s="4"/>
      <c r="AI20" s="83"/>
    </row>
    <row r="21" spans="1:35" ht="16.5" thickBot="1" x14ac:dyDescent="0.3">
      <c r="A21" s="7"/>
      <c r="B21" s="6"/>
      <c r="C21" s="115" t="s">
        <v>48</v>
      </c>
      <c r="D21" s="74"/>
      <c r="E21" s="74"/>
      <c r="F21" s="74"/>
      <c r="G21" s="74"/>
      <c r="H21" s="74"/>
      <c r="I21" s="74"/>
      <c r="J21" s="6"/>
      <c r="K21" s="866" t="s">
        <v>20</v>
      </c>
      <c r="L21" s="866"/>
      <c r="M21" s="6"/>
      <c r="N21" s="6"/>
      <c r="O21" s="6"/>
      <c r="P21" s="6"/>
      <c r="Q21" s="6"/>
      <c r="R21" s="9"/>
      <c r="S21" s="6"/>
      <c r="T21" s="6"/>
      <c r="U21" s="6"/>
      <c r="V21" s="6"/>
      <c r="W21" s="6"/>
      <c r="X21" s="6"/>
      <c r="Y21" s="8"/>
      <c r="AB21" s="81"/>
      <c r="AC21" s="106"/>
      <c r="AD21" s="81"/>
      <c r="AE21" s="4"/>
      <c r="AF21" s="4"/>
      <c r="AG21" s="4"/>
      <c r="AH21" s="4"/>
      <c r="AI21" s="83"/>
    </row>
    <row r="22" spans="1:35" ht="16.5" thickBot="1" x14ac:dyDescent="0.25">
      <c r="A22" s="7"/>
      <c r="B22" s="6"/>
      <c r="C22" s="854" t="s">
        <v>957</v>
      </c>
      <c r="D22" s="863"/>
      <c r="E22" s="863"/>
      <c r="F22" s="863"/>
      <c r="G22" s="863"/>
      <c r="H22" s="863"/>
      <c r="I22" s="863"/>
      <c r="J22" s="6"/>
      <c r="K22" s="847">
        <f>VLOOKUP($L$16,Datasheet1!$C$5:$S$331,3,FALSE)</f>
        <v>102404971</v>
      </c>
      <c r="L22" s="848"/>
      <c r="M22" s="64"/>
      <c r="N22" s="64"/>
      <c r="O22" s="6"/>
      <c r="P22" s="65"/>
      <c r="Q22" s="65"/>
      <c r="R22" s="66"/>
      <c r="S22" s="64"/>
      <c r="T22" s="64"/>
      <c r="U22" s="64"/>
      <c r="V22" s="64"/>
      <c r="W22" s="64"/>
      <c r="X22" s="64"/>
      <c r="Y22" s="8"/>
      <c r="AB22" s="204"/>
      <c r="AC22" s="97"/>
      <c r="AD22" s="97"/>
      <c r="AE22" s="98"/>
      <c r="AF22" s="98"/>
      <c r="AG22" s="71"/>
      <c r="AH22" s="71"/>
      <c r="AI22" s="71"/>
    </row>
    <row r="23" spans="1:35" ht="15.75" x14ac:dyDescent="0.2">
      <c r="A23" s="7"/>
      <c r="B23" s="6"/>
      <c r="C23" s="854"/>
      <c r="D23" s="863"/>
      <c r="E23" s="863"/>
      <c r="F23" s="863"/>
      <c r="G23" s="863"/>
      <c r="H23" s="863"/>
      <c r="I23" s="863"/>
      <c r="J23" s="64"/>
      <c r="K23" s="64"/>
      <c r="L23" s="64"/>
      <c r="M23" s="64"/>
      <c r="N23" s="64"/>
      <c r="O23" s="6"/>
      <c r="P23" s="65"/>
      <c r="Q23" s="65"/>
      <c r="R23" s="66"/>
      <c r="S23" s="64"/>
      <c r="T23" s="64"/>
      <c r="U23" s="64"/>
      <c r="V23" s="64"/>
      <c r="W23" s="64"/>
      <c r="X23" s="64"/>
      <c r="Y23" s="8"/>
      <c r="Z23" s="318"/>
      <c r="AB23" s="204"/>
      <c r="AC23" s="96"/>
      <c r="AD23" s="97"/>
      <c r="AE23" s="100"/>
      <c r="AF23" s="98"/>
      <c r="AG23" s="71"/>
      <c r="AH23" s="71"/>
      <c r="AI23" s="71"/>
    </row>
    <row r="24" spans="1:35" x14ac:dyDescent="0.2">
      <c r="A24" s="7"/>
      <c r="B24" s="6"/>
      <c r="C24" s="863"/>
      <c r="D24" s="863"/>
      <c r="E24" s="863"/>
      <c r="F24" s="863"/>
      <c r="G24" s="863"/>
      <c r="H24" s="863"/>
      <c r="I24" s="863"/>
      <c r="J24" s="6"/>
      <c r="K24" s="64"/>
      <c r="L24" s="64"/>
      <c r="M24" s="64"/>
      <c r="N24" s="64"/>
      <c r="O24" s="6"/>
      <c r="P24" s="65"/>
      <c r="Q24" s="65"/>
      <c r="R24" s="65"/>
      <c r="S24" s="64"/>
      <c r="T24" s="64"/>
      <c r="U24" s="64"/>
      <c r="V24" s="64"/>
      <c r="W24" s="64"/>
      <c r="X24" s="64"/>
      <c r="Y24" s="8"/>
      <c r="AB24" s="71"/>
      <c r="AC24" s="96"/>
      <c r="AD24" s="98"/>
      <c r="AE24" s="100"/>
      <c r="AF24" s="98"/>
      <c r="AG24" s="71"/>
      <c r="AH24" s="71"/>
    </row>
    <row r="25" spans="1:35" x14ac:dyDescent="0.2">
      <c r="A25" s="7"/>
      <c r="B25" s="6"/>
      <c r="C25" s="74"/>
      <c r="D25" s="74"/>
      <c r="E25" s="74"/>
      <c r="F25" s="74"/>
      <c r="G25" s="74"/>
      <c r="H25" s="74"/>
      <c r="I25" s="74"/>
      <c r="J25" s="10"/>
      <c r="K25" s="64"/>
      <c r="L25" s="64"/>
      <c r="M25" s="64"/>
      <c r="N25" s="64"/>
      <c r="O25" s="6"/>
      <c r="P25" s="65"/>
      <c r="Q25" s="65"/>
      <c r="R25" s="65"/>
      <c r="S25" s="64"/>
      <c r="T25" s="64"/>
      <c r="U25" s="64"/>
      <c r="V25" s="64"/>
      <c r="W25" s="64"/>
      <c r="X25" s="64"/>
      <c r="Y25" s="8"/>
      <c r="AB25" s="71"/>
      <c r="AC25" s="96"/>
      <c r="AD25" s="98"/>
      <c r="AE25" s="100"/>
      <c r="AF25" s="98"/>
      <c r="AG25" s="71"/>
      <c r="AH25" s="71"/>
    </row>
    <row r="26" spans="1:35" ht="16.5" thickBot="1" x14ac:dyDescent="0.25">
      <c r="A26" s="7"/>
      <c r="B26" s="6"/>
      <c r="C26" s="864" t="s">
        <v>15</v>
      </c>
      <c r="D26" s="864"/>
      <c r="E26" s="864"/>
      <c r="F26" s="864"/>
      <c r="G26" s="864"/>
      <c r="H26" s="864"/>
      <c r="I26" s="864"/>
      <c r="J26" s="6"/>
      <c r="K26" s="64"/>
      <c r="L26" s="64"/>
      <c r="M26" s="64"/>
      <c r="N26" s="64"/>
      <c r="O26" s="6"/>
      <c r="P26" s="65"/>
      <c r="Q26" s="65"/>
      <c r="R26" s="65"/>
      <c r="S26" s="64"/>
      <c r="T26" s="64"/>
      <c r="U26" s="64"/>
      <c r="V26" s="64"/>
      <c r="W26" s="64"/>
      <c r="X26" s="64"/>
      <c r="Y26" s="8"/>
      <c r="AB26" s="71"/>
      <c r="AC26" s="96"/>
      <c r="AD26" s="98"/>
      <c r="AE26" s="100"/>
      <c r="AF26" s="98"/>
      <c r="AG26" s="71"/>
      <c r="AH26" s="71"/>
    </row>
    <row r="27" spans="1:35" ht="16.5" thickBot="1" x14ac:dyDescent="0.25">
      <c r="A27" s="7"/>
      <c r="B27" s="6"/>
      <c r="C27" s="74" t="s">
        <v>958</v>
      </c>
      <c r="D27" s="74"/>
      <c r="E27" s="74"/>
      <c r="F27" s="74"/>
      <c r="G27" s="74"/>
      <c r="H27" s="74"/>
      <c r="I27" s="74"/>
      <c r="J27" s="6"/>
      <c r="K27" s="847">
        <f>VLOOKUP($L$16,Datasheet1!$C$5:$S$331,4,FALSE)</f>
        <v>0</v>
      </c>
      <c r="L27" s="848"/>
      <c r="M27" s="64"/>
      <c r="N27" s="64"/>
      <c r="O27" s="6"/>
      <c r="P27" s="65"/>
      <c r="Q27" s="65"/>
      <c r="R27" s="65"/>
      <c r="S27" s="64"/>
      <c r="T27" s="64"/>
      <c r="U27" s="64"/>
      <c r="V27" s="64"/>
      <c r="W27" s="64"/>
      <c r="X27" s="64"/>
      <c r="Y27" s="8"/>
      <c r="AB27" s="71"/>
      <c r="AC27" s="96"/>
      <c r="AD27" s="98"/>
      <c r="AE27" s="98"/>
      <c r="AF27" s="98"/>
      <c r="AG27" s="71"/>
      <c r="AH27" s="71"/>
    </row>
    <row r="28" spans="1:35" ht="15.75" thickBot="1" x14ac:dyDescent="0.25">
      <c r="A28" s="7"/>
      <c r="B28" s="6"/>
      <c r="C28" s="74"/>
      <c r="D28" s="74"/>
      <c r="E28" s="74"/>
      <c r="F28" s="74"/>
      <c r="G28" s="74"/>
      <c r="H28" s="74"/>
      <c r="I28" s="74"/>
      <c r="J28" s="6"/>
      <c r="K28" s="64"/>
      <c r="L28" s="64"/>
      <c r="M28" s="64"/>
      <c r="N28" s="64"/>
      <c r="O28" s="67"/>
      <c r="P28" s="65"/>
      <c r="Q28" s="65"/>
      <c r="R28" s="65"/>
      <c r="S28" s="64"/>
      <c r="T28" s="64"/>
      <c r="U28" s="64"/>
      <c r="V28" s="64"/>
      <c r="W28" s="64"/>
      <c r="X28" s="64"/>
      <c r="Y28" s="8"/>
      <c r="AB28" s="71"/>
      <c r="AC28" s="99"/>
      <c r="AD28" s="71"/>
      <c r="AE28" s="71"/>
      <c r="AF28" s="71"/>
      <c r="AG28" s="71"/>
      <c r="AH28" s="71"/>
    </row>
    <row r="29" spans="1:35" ht="16.5" thickBot="1" x14ac:dyDescent="0.25">
      <c r="A29" s="7"/>
      <c r="B29" s="6"/>
      <c r="C29" s="74" t="s">
        <v>959</v>
      </c>
      <c r="D29" s="74"/>
      <c r="E29" s="74"/>
      <c r="F29" s="74"/>
      <c r="G29" s="74"/>
      <c r="H29" s="74"/>
      <c r="I29" s="74"/>
      <c r="J29" s="6"/>
      <c r="K29" s="847">
        <f>VLOOKUP($L$16,Datasheet1!$C$5:$S$331,5,FALSE)</f>
        <v>2617939</v>
      </c>
      <c r="L29" s="848"/>
      <c r="M29" s="64"/>
      <c r="N29" s="64"/>
      <c r="O29" s="67"/>
      <c r="P29" s="65"/>
      <c r="Q29" s="65"/>
      <c r="R29" s="65"/>
      <c r="S29" s="64"/>
      <c r="T29" s="64"/>
      <c r="U29" s="64"/>
      <c r="V29" s="64"/>
      <c r="W29" s="64"/>
      <c r="X29" s="64"/>
      <c r="Y29" s="8"/>
      <c r="AB29" s="71"/>
      <c r="AC29" s="71"/>
      <c r="AD29" s="71"/>
      <c r="AE29" s="71"/>
      <c r="AF29" s="71"/>
      <c r="AG29" s="71"/>
      <c r="AH29" s="71"/>
    </row>
    <row r="30" spans="1:35" x14ac:dyDescent="0.2">
      <c r="A30" s="7"/>
      <c r="B30" s="6"/>
      <c r="C30" s="74"/>
      <c r="D30" s="74"/>
      <c r="E30" s="74"/>
      <c r="F30" s="74"/>
      <c r="G30" s="74"/>
      <c r="H30" s="74"/>
      <c r="I30" s="74"/>
      <c r="J30" s="6"/>
      <c r="K30" s="64"/>
      <c r="L30" s="64"/>
      <c r="M30" s="64"/>
      <c r="N30" s="64"/>
      <c r="O30" s="67"/>
      <c r="P30" s="65"/>
      <c r="Q30" s="65"/>
      <c r="R30" s="65"/>
      <c r="S30" s="64"/>
      <c r="T30" s="64"/>
      <c r="U30" s="64"/>
      <c r="V30" s="64"/>
      <c r="W30" s="64"/>
      <c r="X30" s="64"/>
      <c r="Y30" s="8"/>
    </row>
    <row r="31" spans="1:35" ht="16.5" thickBot="1" x14ac:dyDescent="0.25">
      <c r="A31" s="7"/>
      <c r="B31" s="6"/>
      <c r="C31" s="115" t="s">
        <v>49</v>
      </c>
      <c r="D31" s="115"/>
      <c r="E31" s="115"/>
      <c r="F31" s="115"/>
      <c r="G31" s="74"/>
      <c r="H31" s="74"/>
      <c r="I31" s="74"/>
      <c r="J31" s="6"/>
      <c r="K31" s="64"/>
      <c r="L31" s="64"/>
      <c r="M31" s="64"/>
      <c r="N31" s="64"/>
      <c r="O31" s="67"/>
      <c r="P31" s="65"/>
      <c r="Q31" s="65"/>
      <c r="R31" s="65"/>
      <c r="S31" s="64"/>
      <c r="T31" s="64"/>
      <c r="U31" s="64"/>
      <c r="V31" s="64"/>
      <c r="W31" s="64"/>
      <c r="X31" s="64"/>
      <c r="Y31" s="8"/>
    </row>
    <row r="32" spans="1:35" ht="16.5" thickBot="1" x14ac:dyDescent="0.3">
      <c r="A32" s="7"/>
      <c r="B32" s="6"/>
      <c r="C32" s="74" t="s">
        <v>31</v>
      </c>
      <c r="D32" s="74"/>
      <c r="E32" s="74"/>
      <c r="F32" s="74"/>
      <c r="G32" s="74"/>
      <c r="H32" s="74"/>
      <c r="I32" s="74"/>
      <c r="J32" s="6"/>
      <c r="K32" s="847">
        <f>VLOOKUP($L$16,Datasheet1!$C$5:$S$331,6,FALSE)</f>
        <v>291989</v>
      </c>
      <c r="L32" s="848"/>
      <c r="M32" s="64"/>
      <c r="N32" s="64"/>
      <c r="O32" s="75"/>
      <c r="P32" s="65"/>
      <c r="Q32" s="65"/>
      <c r="R32" s="65"/>
      <c r="S32" s="64"/>
      <c r="T32" s="64"/>
      <c r="U32" s="64"/>
      <c r="V32" s="64"/>
      <c r="W32" s="64"/>
      <c r="X32" s="64"/>
      <c r="Y32" s="8"/>
      <c r="Z32" s="321"/>
      <c r="AA32" s="320"/>
    </row>
    <row r="33" spans="1:33" ht="16.5" thickBot="1" x14ac:dyDescent="0.25">
      <c r="A33" s="7"/>
      <c r="B33" s="6"/>
      <c r="C33" s="74"/>
      <c r="D33" s="74"/>
      <c r="E33" s="74"/>
      <c r="F33" s="74"/>
      <c r="G33" s="74"/>
      <c r="H33" s="74"/>
      <c r="I33" s="74"/>
      <c r="J33" s="6"/>
      <c r="K33" s="76"/>
      <c r="L33" s="64"/>
      <c r="M33" s="64"/>
      <c r="N33" s="64"/>
      <c r="O33" s="67"/>
      <c r="P33" s="65"/>
      <c r="Q33" s="65"/>
      <c r="R33" s="65"/>
      <c r="S33" s="64"/>
      <c r="T33" s="64"/>
      <c r="U33" s="64"/>
      <c r="V33" s="64"/>
      <c r="W33" s="64"/>
      <c r="X33" s="64"/>
      <c r="Y33" s="8"/>
      <c r="AA33" s="378" t="s">
        <v>1045</v>
      </c>
    </row>
    <row r="34" spans="1:33" ht="16.5" thickBot="1" x14ac:dyDescent="0.25">
      <c r="A34" s="7"/>
      <c r="B34" s="6"/>
      <c r="C34" s="74" t="s">
        <v>960</v>
      </c>
      <c r="D34" s="74"/>
      <c r="E34" s="74"/>
      <c r="F34" s="74"/>
      <c r="G34" s="74"/>
      <c r="H34" s="74"/>
      <c r="I34" s="74"/>
      <c r="J34" s="6"/>
      <c r="K34" s="847">
        <f>VLOOKUP($L$16,Datasheet1!$C$5:$S$331,7,FALSE)</f>
        <v>0</v>
      </c>
      <c r="L34" s="848"/>
      <c r="M34" s="64"/>
      <c r="N34" s="64"/>
      <c r="O34" s="67"/>
      <c r="P34" s="65"/>
      <c r="Q34" s="65"/>
      <c r="R34" s="65"/>
      <c r="S34" s="64"/>
      <c r="T34" s="64"/>
      <c r="U34" s="64"/>
      <c r="V34" s="64"/>
      <c r="W34" s="64"/>
      <c r="X34" s="64"/>
      <c r="Y34" s="8"/>
      <c r="AA34" s="566">
        <f>ROUND(K34,0)</f>
        <v>0</v>
      </c>
      <c r="AB34" s="567"/>
      <c r="AC34" s="568">
        <f>K34</f>
        <v>0</v>
      </c>
      <c r="AD34" s="213"/>
      <c r="AE34" s="568">
        <f>AC34-AA34</f>
        <v>0</v>
      </c>
      <c r="AF34" s="213"/>
      <c r="AG34" s="213" t="str">
        <f>IF(AE34&lt;&gt;0,"Please remove pence. All figures shown in whole £s","")</f>
        <v/>
      </c>
    </row>
    <row r="35" spans="1:33" ht="16.5" thickBot="1" x14ac:dyDescent="0.25">
      <c r="A35" s="7"/>
      <c r="B35" s="6"/>
      <c r="C35" s="74"/>
      <c r="D35" s="74"/>
      <c r="E35" s="74"/>
      <c r="F35" s="74"/>
      <c r="G35" s="74"/>
      <c r="H35" s="74"/>
      <c r="I35" s="74"/>
      <c r="J35" s="6"/>
      <c r="K35" s="76"/>
      <c r="L35" s="64"/>
      <c r="M35" s="64"/>
      <c r="N35" s="64"/>
      <c r="O35" s="67"/>
      <c r="P35" s="65"/>
      <c r="Q35" s="65"/>
      <c r="R35" s="65"/>
      <c r="S35" s="64"/>
      <c r="T35" s="64"/>
      <c r="U35" s="64"/>
      <c r="V35" s="64"/>
      <c r="W35" s="64"/>
      <c r="X35" s="64"/>
      <c r="Y35" s="8"/>
      <c r="AA35" s="315"/>
      <c r="AB35" s="213"/>
      <c r="AC35" s="213"/>
      <c r="AD35" s="213"/>
      <c r="AE35" s="213"/>
      <c r="AF35" s="213"/>
      <c r="AG35" s="213"/>
    </row>
    <row r="36" spans="1:33" ht="16.5" thickBot="1" x14ac:dyDescent="0.25">
      <c r="A36" s="7"/>
      <c r="B36" s="6"/>
      <c r="C36" s="74" t="s">
        <v>961</v>
      </c>
      <c r="D36" s="74"/>
      <c r="E36" s="74"/>
      <c r="F36" s="74"/>
      <c r="G36" s="74"/>
      <c r="H36" s="74"/>
      <c r="I36" s="74"/>
      <c r="J36" s="6"/>
      <c r="K36" s="847">
        <f>VLOOKUP($L$16,Datasheet1!$C$5:$S$331,8,FALSE)</f>
        <v>291989</v>
      </c>
      <c r="L36" s="848"/>
      <c r="M36" s="64"/>
      <c r="N36" s="64"/>
      <c r="O36" s="67"/>
      <c r="P36" s="65"/>
      <c r="Q36" s="65"/>
      <c r="R36" s="65"/>
      <c r="S36" s="64"/>
      <c r="T36" s="64"/>
      <c r="U36" s="64"/>
      <c r="V36" s="64"/>
      <c r="W36" s="64"/>
      <c r="X36" s="64"/>
      <c r="Y36" s="8"/>
      <c r="AA36" s="315"/>
      <c r="AB36" s="213"/>
      <c r="AC36" s="213"/>
      <c r="AD36" s="213"/>
      <c r="AE36" s="213"/>
      <c r="AF36" s="213"/>
      <c r="AG36" s="213"/>
    </row>
    <row r="37" spans="1:33" ht="15.75" x14ac:dyDescent="0.2">
      <c r="A37" s="7"/>
      <c r="B37" s="6"/>
      <c r="C37" s="74"/>
      <c r="D37" s="74"/>
      <c r="E37" s="74"/>
      <c r="F37" s="74"/>
      <c r="G37" s="74"/>
      <c r="H37" s="74"/>
      <c r="I37" s="74"/>
      <c r="J37" s="6"/>
      <c r="K37" s="76"/>
      <c r="L37" s="64"/>
      <c r="M37" s="64"/>
      <c r="N37" s="64"/>
      <c r="O37" s="67"/>
      <c r="P37" s="65"/>
      <c r="Q37" s="65"/>
      <c r="R37" s="65"/>
      <c r="S37" s="64"/>
      <c r="T37" s="64"/>
      <c r="U37" s="64"/>
      <c r="V37" s="64"/>
      <c r="W37" s="64"/>
      <c r="X37" s="64"/>
      <c r="Y37" s="8"/>
      <c r="AA37" s="315"/>
      <c r="AB37" s="213"/>
      <c r="AC37" s="213"/>
      <c r="AD37" s="213"/>
      <c r="AE37" s="213"/>
      <c r="AF37" s="213"/>
      <c r="AG37" s="213"/>
    </row>
    <row r="38" spans="1:33" ht="16.5" thickBot="1" x14ac:dyDescent="0.25">
      <c r="A38" s="7"/>
      <c r="B38" s="6"/>
      <c r="C38" s="115" t="s">
        <v>32</v>
      </c>
      <c r="D38" s="74"/>
      <c r="E38" s="74"/>
      <c r="F38" s="74"/>
      <c r="G38" s="74"/>
      <c r="H38" s="74"/>
      <c r="I38" s="74"/>
      <c r="J38" s="6"/>
      <c r="K38" s="76"/>
      <c r="L38" s="64"/>
      <c r="M38" s="64"/>
      <c r="N38" s="64"/>
      <c r="O38" s="67"/>
      <c r="P38" s="65"/>
      <c r="Q38" s="65"/>
      <c r="R38" s="65"/>
      <c r="S38" s="64"/>
      <c r="T38" s="64"/>
      <c r="U38" s="64"/>
      <c r="V38" s="64"/>
      <c r="W38" s="64"/>
      <c r="X38" s="64"/>
      <c r="Y38" s="8"/>
      <c r="AA38" s="315"/>
      <c r="AB38" s="213"/>
      <c r="AC38" s="213"/>
      <c r="AD38" s="213"/>
      <c r="AE38" s="213"/>
      <c r="AF38" s="213"/>
      <c r="AG38" s="213"/>
    </row>
    <row r="39" spans="1:33" ht="16.5" thickBot="1" x14ac:dyDescent="0.3">
      <c r="A39" s="7"/>
      <c r="B39" s="6"/>
      <c r="C39" s="74" t="s">
        <v>1143</v>
      </c>
      <c r="D39" s="74"/>
      <c r="E39" s="74"/>
      <c r="F39" s="74"/>
      <c r="G39" s="74"/>
      <c r="H39" s="74"/>
      <c r="I39" s="74"/>
      <c r="J39" s="6"/>
      <c r="K39" s="847">
        <f>VLOOKUP($L$16,Datasheet1!$C$5:$S$331,9,FALSE)</f>
        <v>0</v>
      </c>
      <c r="L39" s="848"/>
      <c r="M39" s="64"/>
      <c r="N39" s="64"/>
      <c r="O39" s="67"/>
      <c r="P39" s="65"/>
      <c r="Q39" s="65"/>
      <c r="R39" s="65"/>
      <c r="S39" s="64"/>
      <c r="T39" s="64"/>
      <c r="U39" s="64"/>
      <c r="V39" s="64"/>
      <c r="W39" s="64"/>
      <c r="X39" s="64"/>
      <c r="Y39" s="8"/>
      <c r="Z39" s="321"/>
      <c r="AA39" s="320"/>
      <c r="AB39" s="213"/>
      <c r="AC39" s="213"/>
      <c r="AD39" s="213"/>
      <c r="AE39" s="213"/>
      <c r="AF39" s="213"/>
      <c r="AG39" s="213"/>
    </row>
    <row r="40" spans="1:33" ht="15.75" x14ac:dyDescent="0.2">
      <c r="A40" s="7"/>
      <c r="B40" s="6"/>
      <c r="C40" s="74"/>
      <c r="D40" s="74"/>
      <c r="E40" s="74"/>
      <c r="F40" s="74"/>
      <c r="G40" s="74"/>
      <c r="H40" s="74"/>
      <c r="I40" s="74"/>
      <c r="J40" s="6"/>
      <c r="K40" s="76"/>
      <c r="L40" s="64"/>
      <c r="M40" s="64"/>
      <c r="N40" s="64"/>
      <c r="O40" s="67"/>
      <c r="P40" s="65"/>
      <c r="Q40" s="65"/>
      <c r="R40" s="65"/>
      <c r="S40" s="64"/>
      <c r="T40" s="64"/>
      <c r="U40" s="64"/>
      <c r="V40" s="64"/>
      <c r="W40" s="64"/>
      <c r="X40" s="64"/>
      <c r="Y40" s="8"/>
      <c r="AA40" s="315"/>
      <c r="AB40" s="213"/>
      <c r="AC40" s="213"/>
      <c r="AD40" s="213"/>
      <c r="AE40" s="213"/>
      <c r="AF40" s="213"/>
      <c r="AG40" s="213"/>
    </row>
    <row r="41" spans="1:33" ht="16.5" thickBot="1" x14ac:dyDescent="0.25">
      <c r="A41" s="7"/>
      <c r="B41" s="6"/>
      <c r="C41" s="115" t="s">
        <v>39</v>
      </c>
      <c r="D41" s="74"/>
      <c r="E41" s="74"/>
      <c r="F41" s="74"/>
      <c r="G41" s="74"/>
      <c r="H41" s="74"/>
      <c r="I41" s="74"/>
      <c r="J41" s="6"/>
      <c r="K41" s="64"/>
      <c r="L41" s="64"/>
      <c r="M41" s="64"/>
      <c r="N41" s="64"/>
      <c r="O41" s="67"/>
      <c r="P41" s="65"/>
      <c r="Q41" s="65"/>
      <c r="R41" s="65"/>
      <c r="S41" s="64"/>
      <c r="T41" s="64"/>
      <c r="U41" s="64"/>
      <c r="V41" s="64"/>
      <c r="W41" s="64"/>
      <c r="X41" s="64"/>
      <c r="Y41" s="8"/>
      <c r="AA41" s="315"/>
      <c r="AB41" s="213"/>
      <c r="AC41" s="213"/>
      <c r="AD41" s="213"/>
      <c r="AE41" s="213"/>
      <c r="AF41" s="213"/>
      <c r="AG41" s="213"/>
    </row>
    <row r="42" spans="1:33" ht="16.5" thickBot="1" x14ac:dyDescent="0.25">
      <c r="A42" s="7"/>
      <c r="B42" s="6"/>
      <c r="C42" s="74" t="s">
        <v>962</v>
      </c>
      <c r="D42" s="74"/>
      <c r="E42" s="74"/>
      <c r="F42" s="74"/>
      <c r="G42" s="74"/>
      <c r="H42" s="74"/>
      <c r="I42" s="74"/>
      <c r="J42" s="6"/>
      <c r="K42" s="847">
        <f>VLOOKUP($L$16,Datasheet1!$C$5:$S$331,10,FALSE)</f>
        <v>523678</v>
      </c>
      <c r="L42" s="848"/>
      <c r="M42" s="64"/>
      <c r="N42" s="64"/>
      <c r="O42" s="67"/>
      <c r="P42" s="65"/>
      <c r="Q42" s="65"/>
      <c r="R42" s="65"/>
      <c r="S42" s="64"/>
      <c r="T42" s="64"/>
      <c r="U42" s="64"/>
      <c r="V42" s="64"/>
      <c r="W42" s="64"/>
      <c r="X42" s="64"/>
      <c r="Y42" s="8"/>
      <c r="AA42" s="315"/>
      <c r="AB42" s="213"/>
      <c r="AC42" s="213"/>
      <c r="AD42" s="213"/>
      <c r="AE42" s="213"/>
      <c r="AF42" s="213"/>
      <c r="AG42" s="213"/>
    </row>
    <row r="43" spans="1:33" ht="15.75" thickBot="1" x14ac:dyDescent="0.25">
      <c r="A43" s="7"/>
      <c r="B43" s="6"/>
      <c r="C43" s="74"/>
      <c r="D43" s="74"/>
      <c r="E43" s="74"/>
      <c r="F43" s="74"/>
      <c r="G43" s="74"/>
      <c r="H43" s="74"/>
      <c r="I43" s="74"/>
      <c r="J43" s="6"/>
      <c r="K43" s="64"/>
      <c r="L43" s="64"/>
      <c r="M43" s="64"/>
      <c r="N43" s="64"/>
      <c r="O43" s="67"/>
      <c r="P43" s="65"/>
      <c r="Q43" s="849"/>
      <c r="R43" s="849"/>
      <c r="S43" s="849"/>
      <c r="T43" s="849"/>
      <c r="U43" s="849"/>
      <c r="V43" s="849"/>
      <c r="W43" s="849"/>
      <c r="X43" s="64"/>
      <c r="Y43" s="8"/>
      <c r="AA43" s="315"/>
      <c r="AB43" s="213"/>
      <c r="AC43" s="213"/>
      <c r="AD43" s="213"/>
      <c r="AE43" s="213"/>
      <c r="AF43" s="213"/>
      <c r="AG43" s="213"/>
    </row>
    <row r="44" spans="1:33" ht="16.5" thickBot="1" x14ac:dyDescent="0.25">
      <c r="A44" s="7"/>
      <c r="B44" s="6"/>
      <c r="C44" s="854" t="s">
        <v>963</v>
      </c>
      <c r="D44" s="854"/>
      <c r="E44" s="854"/>
      <c r="F44" s="854"/>
      <c r="G44" s="854"/>
      <c r="H44" s="854"/>
      <c r="I44" s="854"/>
      <c r="J44" s="6"/>
      <c r="K44" s="847">
        <f>VLOOKUP($L$16,Datasheet1!$C$5:$S$331,11,FALSE)</f>
        <v>0</v>
      </c>
      <c r="L44" s="848"/>
      <c r="M44" s="64"/>
      <c r="N44" s="64"/>
      <c r="O44" s="67"/>
      <c r="P44" s="65"/>
      <c r="Q44" s="65"/>
      <c r="R44" s="65"/>
      <c r="S44" s="64"/>
      <c r="T44" s="64"/>
      <c r="U44" s="64"/>
      <c r="V44" s="64"/>
      <c r="W44" s="64"/>
      <c r="X44" s="64"/>
      <c r="Y44" s="8"/>
      <c r="AA44" s="315"/>
      <c r="AB44" s="213"/>
      <c r="AC44" s="213"/>
      <c r="AD44" s="213"/>
      <c r="AE44" s="213"/>
      <c r="AF44" s="213"/>
      <c r="AG44" s="213"/>
    </row>
    <row r="45" spans="1:33" x14ac:dyDescent="0.2">
      <c r="A45" s="7"/>
      <c r="B45" s="6"/>
      <c r="C45" s="854"/>
      <c r="D45" s="854"/>
      <c r="E45" s="854"/>
      <c r="F45" s="854"/>
      <c r="G45" s="854"/>
      <c r="H45" s="854"/>
      <c r="I45" s="854"/>
      <c r="J45" s="6"/>
      <c r="K45" s="64"/>
      <c r="L45" s="64"/>
      <c r="M45" s="64"/>
      <c r="N45" s="64"/>
      <c r="O45" s="67"/>
      <c r="P45" s="65"/>
      <c r="Q45" s="65"/>
      <c r="R45" s="65"/>
      <c r="S45" s="64"/>
      <c r="T45" s="64"/>
      <c r="U45" s="64"/>
      <c r="V45" s="64"/>
      <c r="W45" s="64"/>
      <c r="X45" s="64"/>
      <c r="Y45" s="8"/>
      <c r="AA45" s="315"/>
      <c r="AB45" s="213"/>
      <c r="AC45" s="213"/>
      <c r="AD45" s="213"/>
      <c r="AE45" s="213"/>
      <c r="AF45" s="213"/>
      <c r="AG45" s="213"/>
    </row>
    <row r="46" spans="1:33" x14ac:dyDescent="0.2">
      <c r="A46" s="7"/>
      <c r="B46" s="6"/>
      <c r="C46" s="147"/>
      <c r="D46" s="147"/>
      <c r="E46" s="147"/>
      <c r="F46" s="147"/>
      <c r="G46" s="147"/>
      <c r="H46" s="147"/>
      <c r="I46" s="147"/>
      <c r="J46" s="6"/>
      <c r="K46" s="64"/>
      <c r="L46" s="64"/>
      <c r="M46" s="64"/>
      <c r="N46" s="64"/>
      <c r="O46" s="67"/>
      <c r="P46" s="65"/>
      <c r="Q46" s="65"/>
      <c r="R46" s="65"/>
      <c r="S46" s="64"/>
      <c r="T46" s="64"/>
      <c r="U46" s="64"/>
      <c r="V46" s="64"/>
      <c r="W46" s="64"/>
      <c r="X46" s="64"/>
      <c r="Y46" s="8"/>
      <c r="AA46" s="315"/>
      <c r="AB46" s="213"/>
      <c r="AC46" s="213"/>
      <c r="AD46" s="213"/>
      <c r="AE46" s="213"/>
      <c r="AF46" s="213"/>
      <c r="AG46" s="213"/>
    </row>
    <row r="47" spans="1:33" ht="15.75" thickBot="1" x14ac:dyDescent="0.25">
      <c r="A47" s="7"/>
      <c r="B47" s="6"/>
      <c r="C47" s="74" t="s">
        <v>43</v>
      </c>
      <c r="D47" s="74"/>
      <c r="E47" s="74"/>
      <c r="F47" s="74"/>
      <c r="G47" s="74"/>
      <c r="H47" s="74"/>
      <c r="I47" s="74"/>
      <c r="J47" s="6"/>
      <c r="K47" s="64"/>
      <c r="L47" s="64"/>
      <c r="M47" s="64"/>
      <c r="N47" s="64"/>
      <c r="O47" s="67"/>
      <c r="P47" s="65"/>
      <c r="Q47" s="65"/>
      <c r="R47" s="65"/>
      <c r="S47" s="64"/>
      <c r="T47" s="64"/>
      <c r="U47" s="64"/>
      <c r="V47" s="64"/>
      <c r="W47" s="64"/>
      <c r="X47" s="64"/>
      <c r="Y47" s="8"/>
      <c r="AA47" s="315"/>
      <c r="AB47" s="213"/>
      <c r="AC47" s="213"/>
      <c r="AD47" s="213"/>
      <c r="AE47" s="213"/>
      <c r="AF47" s="213"/>
      <c r="AG47" s="213"/>
    </row>
    <row r="48" spans="1:33" ht="16.5" thickBot="1" x14ac:dyDescent="0.25">
      <c r="A48" s="7"/>
      <c r="B48" s="6"/>
      <c r="C48" s="74" t="s">
        <v>67</v>
      </c>
      <c r="D48" s="74"/>
      <c r="E48" s="74"/>
      <c r="F48" s="74"/>
      <c r="G48" s="74"/>
      <c r="H48" s="74"/>
      <c r="I48" s="74"/>
      <c r="J48" s="6"/>
      <c r="K48" s="847">
        <f>VLOOKUP($L$16,Datasheet1!$C$5:$S$331,12,FALSE)</f>
        <v>0</v>
      </c>
      <c r="L48" s="848"/>
      <c r="M48" s="64"/>
      <c r="N48" s="64"/>
      <c r="O48" s="67"/>
      <c r="P48" s="65"/>
      <c r="Q48" s="65"/>
      <c r="R48" s="65"/>
      <c r="S48" s="64"/>
      <c r="T48" s="64"/>
      <c r="U48" s="64"/>
      <c r="V48" s="64"/>
      <c r="W48" s="64"/>
      <c r="X48" s="64"/>
      <c r="Y48" s="8"/>
      <c r="AA48" s="566">
        <f>ROUND(K48,0)</f>
        <v>0</v>
      </c>
      <c r="AB48" s="567"/>
      <c r="AC48" s="568">
        <f>K48</f>
        <v>0</v>
      </c>
      <c r="AD48" s="213"/>
      <c r="AE48" s="568">
        <f>AC48-AA48</f>
        <v>0</v>
      </c>
      <c r="AF48" s="213"/>
      <c r="AG48" s="213" t="str">
        <f>IF(AE48&lt;&gt;0,"Please remove pence. All figures shown in whole £s","")</f>
        <v/>
      </c>
    </row>
    <row r="49" spans="1:27" ht="15.75" thickBot="1" x14ac:dyDescent="0.25">
      <c r="A49" s="548"/>
      <c r="B49" s="503"/>
      <c r="C49" s="549"/>
      <c r="D49" s="549"/>
      <c r="E49" s="549"/>
      <c r="F49" s="549"/>
      <c r="G49" s="549"/>
      <c r="H49" s="549"/>
      <c r="I49" s="549"/>
      <c r="J49" s="503"/>
      <c r="K49" s="532"/>
      <c r="L49" s="532"/>
      <c r="M49" s="64"/>
      <c r="N49" s="64"/>
      <c r="O49" s="67"/>
      <c r="P49" s="65"/>
      <c r="Q49" s="65"/>
      <c r="R49" s="65"/>
      <c r="S49" s="64"/>
      <c r="T49" s="64"/>
      <c r="U49" s="64"/>
      <c r="V49" s="64"/>
      <c r="W49" s="64"/>
      <c r="X49" s="64"/>
      <c r="Y49" s="8"/>
    </row>
    <row r="50" spans="1:27" ht="16.5" thickBot="1" x14ac:dyDescent="0.25">
      <c r="A50" s="7"/>
      <c r="B50" s="6"/>
      <c r="C50" s="74" t="s">
        <v>68</v>
      </c>
      <c r="D50" s="74"/>
      <c r="E50" s="74"/>
      <c r="F50" s="74"/>
      <c r="G50" s="74"/>
      <c r="H50" s="74"/>
      <c r="I50" s="74"/>
      <c r="J50" s="6"/>
      <c r="K50" s="847">
        <f>VLOOKUP($L$16,Datasheet1!$C$5:$S$331,13,FALSE)</f>
        <v>0</v>
      </c>
      <c r="L50" s="848"/>
      <c r="M50" s="64"/>
      <c r="N50" s="64"/>
      <c r="O50" s="67"/>
      <c r="P50" s="65"/>
      <c r="Q50" s="65"/>
      <c r="R50" s="65"/>
      <c r="S50" s="64"/>
      <c r="T50" s="64"/>
      <c r="U50" s="64"/>
      <c r="V50" s="64"/>
      <c r="W50" s="64"/>
      <c r="X50" s="64"/>
      <c r="Y50" s="8"/>
    </row>
    <row r="51" spans="1:27" ht="15.75" x14ac:dyDescent="0.2">
      <c r="A51" s="7"/>
      <c r="B51" s="6"/>
      <c r="C51" s="74"/>
      <c r="D51" s="74"/>
      <c r="E51" s="74"/>
      <c r="F51" s="74"/>
      <c r="G51" s="74"/>
      <c r="H51" s="74"/>
      <c r="I51" s="74"/>
      <c r="J51" s="6"/>
      <c r="K51" s="850" t="str">
        <f>IF(+K48+K50-K44=0,"","Lines 10 &amp; 11 should equal line 9, please check your figures")</f>
        <v/>
      </c>
      <c r="L51" s="851"/>
      <c r="M51" s="851"/>
      <c r="N51" s="851"/>
      <c r="O51" s="851"/>
      <c r="P51" s="851"/>
      <c r="Q51" s="851"/>
      <c r="R51" s="851"/>
      <c r="S51" s="851"/>
      <c r="T51" s="851"/>
      <c r="U51" s="851"/>
      <c r="V51" s="851"/>
      <c r="W51" s="851"/>
      <c r="X51" s="64"/>
      <c r="Y51" s="8"/>
    </row>
    <row r="52" spans="1:27" ht="16.5" thickBot="1" x14ac:dyDescent="0.25">
      <c r="A52" s="7"/>
      <c r="B52" s="6"/>
      <c r="C52" s="115" t="s">
        <v>38</v>
      </c>
      <c r="D52" s="115"/>
      <c r="E52" s="115"/>
      <c r="F52" s="115"/>
      <c r="G52" s="115"/>
      <c r="H52" s="74"/>
      <c r="I52" s="74"/>
      <c r="J52" s="6"/>
      <c r="K52" s="64"/>
      <c r="L52" s="64"/>
      <c r="M52" s="64"/>
      <c r="N52" s="64"/>
      <c r="O52" s="67"/>
      <c r="P52" s="65"/>
      <c r="Q52" s="65"/>
      <c r="R52" s="65"/>
      <c r="S52" s="64"/>
      <c r="T52" s="64"/>
      <c r="U52" s="64"/>
      <c r="V52" s="64"/>
      <c r="W52" s="64"/>
      <c r="X52" s="64"/>
      <c r="Y52" s="8"/>
    </row>
    <row r="53" spans="1:27" ht="16.5" thickBot="1" x14ac:dyDescent="0.25">
      <c r="A53" s="7"/>
      <c r="B53" s="6"/>
      <c r="C53" s="74" t="s">
        <v>964</v>
      </c>
      <c r="D53" s="74"/>
      <c r="E53" s="74"/>
      <c r="F53" s="74"/>
      <c r="G53" s="74"/>
      <c r="H53" s="74"/>
      <c r="I53" s="74"/>
      <c r="J53" s="6"/>
      <c r="K53" s="847">
        <f>VLOOKUP($L$16,Datasheet1!$C$5:$S$331,14,FALSE)</f>
        <v>98971365</v>
      </c>
      <c r="L53" s="848"/>
      <c r="M53" s="64"/>
      <c r="N53" s="853"/>
      <c r="O53" s="853"/>
      <c r="P53" s="852"/>
      <c r="Q53" s="852"/>
      <c r="R53" s="852"/>
      <c r="S53" s="75"/>
      <c r="T53" s="68"/>
      <c r="U53" s="68"/>
      <c r="V53" s="68"/>
      <c r="W53" s="68"/>
      <c r="X53" s="64"/>
      <c r="Y53" s="8"/>
    </row>
    <row r="54" spans="1:27" ht="15.75" thickBot="1" x14ac:dyDescent="0.25">
      <c r="A54" s="117"/>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8"/>
    </row>
    <row r="55" spans="1:27" s="556" customFormat="1" ht="15.75" x14ac:dyDescent="0.25">
      <c r="A55" s="557"/>
      <c r="B55" s="555"/>
      <c r="C55" s="558"/>
      <c r="D55" s="558"/>
      <c r="E55" s="558"/>
      <c r="F55" s="558"/>
      <c r="G55" s="558"/>
      <c r="H55" s="558"/>
      <c r="I55" s="558"/>
      <c r="J55" s="558"/>
      <c r="K55" s="558"/>
      <c r="L55" s="558"/>
      <c r="M55" s="558"/>
      <c r="N55" s="558"/>
      <c r="O55" s="558"/>
      <c r="P55" s="558"/>
      <c r="Q55" s="558"/>
      <c r="R55" s="558"/>
      <c r="S55" s="558"/>
      <c r="T55" s="558"/>
      <c r="U55" s="558"/>
      <c r="V55" s="558"/>
      <c r="W55" s="558"/>
      <c r="X55" s="558"/>
      <c r="Y55" s="559"/>
      <c r="Z55" s="554"/>
      <c r="AA55" s="555"/>
    </row>
    <row r="56" spans="1:27" s="556" customFormat="1" x14ac:dyDescent="0.2">
      <c r="A56" s="560"/>
      <c r="B56" s="561"/>
      <c r="C56" s="561"/>
      <c r="D56" s="561"/>
      <c r="E56" s="561"/>
      <c r="F56" s="561"/>
      <c r="G56" s="561"/>
      <c r="H56" s="561"/>
      <c r="I56" s="561"/>
      <c r="J56" s="561"/>
      <c r="K56" s="561"/>
      <c r="L56" s="561"/>
      <c r="M56" s="561"/>
      <c r="N56" s="561"/>
      <c r="O56" s="561"/>
      <c r="P56" s="561"/>
      <c r="Q56" s="561"/>
      <c r="R56" s="561"/>
      <c r="S56" s="561"/>
      <c r="T56" s="561"/>
      <c r="U56" s="561"/>
      <c r="V56" s="561"/>
      <c r="W56" s="561"/>
      <c r="X56" s="561"/>
      <c r="Y56" s="562"/>
      <c r="Z56" s="554"/>
      <c r="AA56" s="555"/>
    </row>
    <row r="57" spans="1:27" s="553" customFormat="1" x14ac:dyDescent="0.2">
      <c r="Z57" s="551"/>
      <c r="AA57" s="552"/>
    </row>
  </sheetData>
  <mergeCells count="31">
    <mergeCell ref="R1:S1"/>
    <mergeCell ref="A2:Y2"/>
    <mergeCell ref="A5:Y5"/>
    <mergeCell ref="A3:Y3"/>
    <mergeCell ref="A7:Y7"/>
    <mergeCell ref="A4:Y4"/>
    <mergeCell ref="A8:Y8"/>
    <mergeCell ref="E10:J10"/>
    <mergeCell ref="L15:Q15"/>
    <mergeCell ref="L16:Q16"/>
    <mergeCell ref="K27:L27"/>
    <mergeCell ref="C22:I24"/>
    <mergeCell ref="K22:L22"/>
    <mergeCell ref="C26:I26"/>
    <mergeCell ref="C19:G19"/>
    <mergeCell ref="K21:L21"/>
    <mergeCell ref="K32:L32"/>
    <mergeCell ref="K29:L29"/>
    <mergeCell ref="K42:L42"/>
    <mergeCell ref="C44:I45"/>
    <mergeCell ref="K44:L44"/>
    <mergeCell ref="K34:L34"/>
    <mergeCell ref="K36:L36"/>
    <mergeCell ref="K48:L48"/>
    <mergeCell ref="K50:L50"/>
    <mergeCell ref="K53:L53"/>
    <mergeCell ref="K39:L39"/>
    <mergeCell ref="Q43:W43"/>
    <mergeCell ref="K51:W51"/>
    <mergeCell ref="P53:R53"/>
    <mergeCell ref="N53:O53"/>
  </mergeCells>
  <phoneticPr fontId="5" type="noConversion"/>
  <dataValidations count="1">
    <dataValidation type="whole" operator="greaterThanOrEqual" allowBlank="1" showInputMessage="1" showErrorMessage="1" error="This cell must be positive" sqref="K27:L27 K34:L34 K36:L36 K39:L39 K22:L22 K50:L50 K29:L29 K32:L32 K42:L42 K44:L44 K48:L48 K53:L53" xr:uid="{00000000-0002-0000-0100-000000000000}">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581025</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14"/>
  <sheetViews>
    <sheetView showGridLines="0" topLeftCell="C64" zoomScale="89" zoomScaleNormal="89" zoomScaleSheetLayoutView="100" workbookViewId="0">
      <selection activeCell="K60" sqref="K60"/>
    </sheetView>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16384" width="9.140625" style="24"/>
  </cols>
  <sheetData>
    <row r="1" spans="1:22" x14ac:dyDescent="0.2">
      <c r="A1" s="57"/>
      <c r="B1" s="58"/>
      <c r="C1" s="58"/>
      <c r="D1" s="58"/>
      <c r="E1" s="58"/>
      <c r="F1" s="58"/>
      <c r="G1" s="58"/>
      <c r="H1" s="58"/>
      <c r="I1" s="58"/>
      <c r="J1" s="58"/>
      <c r="K1" s="58"/>
      <c r="L1" s="58"/>
      <c r="M1" s="58"/>
      <c r="N1" s="58"/>
      <c r="O1" s="58"/>
      <c r="P1" s="58"/>
      <c r="Q1" s="58"/>
      <c r="R1" s="58"/>
      <c r="S1" s="58"/>
      <c r="T1" s="52"/>
      <c r="U1" s="52"/>
      <c r="V1" s="59"/>
    </row>
    <row r="2" spans="1:22" ht="15.75" x14ac:dyDescent="0.25">
      <c r="A2" s="916" t="s">
        <v>40</v>
      </c>
      <c r="B2" s="917"/>
      <c r="C2" s="917"/>
      <c r="D2" s="917"/>
      <c r="E2" s="917"/>
      <c r="F2" s="917"/>
      <c r="G2" s="917"/>
      <c r="H2" s="917"/>
      <c r="I2" s="917"/>
      <c r="J2" s="917"/>
      <c r="K2" s="917"/>
      <c r="L2" s="917"/>
      <c r="M2" s="917"/>
      <c r="N2" s="917"/>
      <c r="O2" s="917"/>
      <c r="P2" s="917"/>
      <c r="Q2" s="917"/>
      <c r="R2" s="917"/>
      <c r="S2" s="917"/>
      <c r="T2" s="917"/>
      <c r="U2" s="917"/>
      <c r="V2" s="918"/>
    </row>
    <row r="3" spans="1:22" ht="15.75" x14ac:dyDescent="0.25">
      <c r="A3" s="868" t="s">
        <v>1365</v>
      </c>
      <c r="B3" s="917"/>
      <c r="C3" s="917"/>
      <c r="D3" s="917"/>
      <c r="E3" s="917"/>
      <c r="F3" s="917"/>
      <c r="G3" s="917"/>
      <c r="H3" s="917"/>
      <c r="I3" s="917"/>
      <c r="J3" s="917"/>
      <c r="K3" s="917"/>
      <c r="L3" s="917"/>
      <c r="M3" s="917"/>
      <c r="N3" s="917"/>
      <c r="O3" s="917"/>
      <c r="P3" s="917"/>
      <c r="Q3" s="917"/>
      <c r="R3" s="917"/>
      <c r="S3" s="917"/>
      <c r="T3" s="917"/>
      <c r="U3" s="917"/>
      <c r="V3" s="918"/>
    </row>
    <row r="4" spans="1:22" ht="15.75" x14ac:dyDescent="0.25">
      <c r="A4" s="84"/>
      <c r="B4" s="78"/>
      <c r="C4" s="78"/>
      <c r="D4" s="78"/>
      <c r="E4" s="78"/>
      <c r="F4" s="78"/>
      <c r="G4" s="78"/>
      <c r="H4" s="78"/>
      <c r="I4" s="78"/>
      <c r="J4" s="78"/>
      <c r="K4" s="78"/>
      <c r="L4" s="78"/>
      <c r="M4" s="78"/>
      <c r="N4" s="78"/>
      <c r="O4" s="78"/>
      <c r="P4" s="78"/>
      <c r="Q4" s="78"/>
      <c r="R4" s="78"/>
      <c r="S4" s="78"/>
      <c r="T4" s="78"/>
      <c r="U4" s="78"/>
      <c r="V4" s="79"/>
    </row>
    <row r="5" spans="1:22" x14ac:dyDescent="0.2">
      <c r="A5" s="871"/>
      <c r="B5" s="872"/>
      <c r="C5" s="872"/>
      <c r="D5" s="872"/>
      <c r="E5" s="872"/>
      <c r="F5" s="872"/>
      <c r="G5" s="872"/>
      <c r="H5" s="872"/>
      <c r="I5" s="872"/>
      <c r="J5" s="872"/>
      <c r="K5" s="872"/>
      <c r="L5" s="872"/>
      <c r="M5" s="872"/>
      <c r="N5" s="872"/>
      <c r="O5" s="872"/>
      <c r="P5" s="872"/>
      <c r="Q5" s="872"/>
      <c r="R5" s="872"/>
      <c r="S5" s="872"/>
      <c r="T5" s="872"/>
      <c r="U5" s="872"/>
      <c r="V5" s="873"/>
    </row>
    <row r="6" spans="1:22" x14ac:dyDescent="0.2">
      <c r="A6" s="77"/>
      <c r="B6" s="78"/>
      <c r="C6" s="78"/>
      <c r="D6" s="78"/>
      <c r="E6" s="78"/>
      <c r="F6" s="78"/>
      <c r="G6" s="78"/>
      <c r="H6" s="78"/>
      <c r="I6" s="78"/>
      <c r="J6" s="78"/>
      <c r="K6" s="78"/>
      <c r="L6" s="78"/>
      <c r="M6" s="78"/>
      <c r="N6" s="78"/>
      <c r="O6" s="78"/>
      <c r="P6" s="78"/>
      <c r="Q6" s="78"/>
      <c r="R6" s="78"/>
      <c r="S6" s="78"/>
      <c r="T6" s="78"/>
      <c r="U6" s="78"/>
      <c r="V6" s="79"/>
    </row>
    <row r="7" spans="1:22" x14ac:dyDescent="0.2">
      <c r="A7" s="871"/>
      <c r="B7" s="872"/>
      <c r="C7" s="872"/>
      <c r="D7" s="872"/>
      <c r="E7" s="872"/>
      <c r="F7" s="872"/>
      <c r="G7" s="872"/>
      <c r="H7" s="872"/>
      <c r="I7" s="872"/>
      <c r="J7" s="872"/>
      <c r="K7" s="872"/>
      <c r="L7" s="872"/>
      <c r="M7" s="872"/>
      <c r="N7" s="872"/>
      <c r="O7" s="872"/>
      <c r="P7" s="872"/>
      <c r="Q7" s="872"/>
      <c r="R7" s="872"/>
      <c r="S7" s="872"/>
      <c r="T7" s="872"/>
      <c r="U7" s="872"/>
      <c r="V7" s="873"/>
    </row>
    <row r="8" spans="1:22" ht="15.75" thickBot="1" x14ac:dyDescent="0.25">
      <c r="A8" s="60"/>
      <c r="B8" s="61"/>
      <c r="C8" s="61"/>
      <c r="D8" s="61"/>
      <c r="E8" s="61"/>
      <c r="F8" s="61"/>
      <c r="G8" s="61"/>
      <c r="H8" s="61"/>
      <c r="I8" s="61"/>
      <c r="J8" s="61"/>
      <c r="K8" s="61"/>
      <c r="L8" s="61"/>
      <c r="M8" s="61"/>
      <c r="N8" s="61"/>
      <c r="O8" s="61"/>
      <c r="P8" s="61"/>
      <c r="Q8" s="61"/>
      <c r="R8" s="61"/>
      <c r="S8" s="584"/>
      <c r="T8" s="582"/>
      <c r="U8" s="51"/>
      <c r="V8" s="62"/>
    </row>
    <row r="9" spans="1:22" ht="15.75" customHeight="1" x14ac:dyDescent="0.2">
      <c r="A9" s="14"/>
      <c r="B9" s="2"/>
      <c r="C9" s="920"/>
      <c r="D9" s="920"/>
      <c r="E9" s="920"/>
      <c r="F9" s="920"/>
      <c r="G9" s="920"/>
      <c r="H9" s="2"/>
      <c r="I9" s="2"/>
      <c r="J9" s="2"/>
      <c r="K9" s="2"/>
      <c r="L9" s="2"/>
      <c r="M9" s="2"/>
      <c r="N9" s="2"/>
      <c r="O9" s="2"/>
      <c r="P9" s="2"/>
      <c r="Q9" s="2"/>
      <c r="R9" s="2"/>
      <c r="S9" s="2"/>
      <c r="T9" s="2"/>
      <c r="U9" s="2"/>
      <c r="V9" s="47"/>
    </row>
    <row r="10" spans="1:22" ht="18" x14ac:dyDescent="0.25">
      <c r="A10" s="32"/>
      <c r="B10" s="18"/>
      <c r="C10" s="498" t="str">
        <f>+CONCATENATE("Local Authority : ",+'Part 1'!$L$15)</f>
        <v>Local Authority : York</v>
      </c>
      <c r="D10" s="63"/>
      <c r="E10" s="500"/>
      <c r="F10" s="500"/>
      <c r="G10" s="500"/>
      <c r="H10" s="18"/>
      <c r="I10" s="18"/>
      <c r="J10" s="18"/>
      <c r="K10" s="18"/>
      <c r="L10" s="18"/>
      <c r="M10" s="18"/>
      <c r="N10" s="18"/>
      <c r="O10" s="18"/>
      <c r="P10" s="18"/>
      <c r="Q10" s="18"/>
      <c r="R10" s="18"/>
      <c r="S10" s="18"/>
      <c r="T10" s="18"/>
      <c r="U10" s="18"/>
      <c r="V10" s="19"/>
    </row>
    <row r="11" spans="1:22" ht="15.75" x14ac:dyDescent="0.25">
      <c r="A11" s="28"/>
      <c r="B11" s="500"/>
      <c r="C11" s="500"/>
      <c r="D11" s="500"/>
      <c r="E11" s="29"/>
      <c r="F11" s="31"/>
      <c r="G11" s="31"/>
      <c r="H11" s="31"/>
      <c r="I11" s="31"/>
      <c r="J11" s="18"/>
      <c r="K11" s="18"/>
      <c r="L11" s="18"/>
      <c r="M11" s="18"/>
      <c r="N11" s="18"/>
      <c r="O11" s="18"/>
      <c r="P11" s="18"/>
      <c r="Q11" s="18"/>
      <c r="R11" s="18"/>
      <c r="S11" s="18"/>
      <c r="T11" s="18"/>
      <c r="U11" s="18"/>
      <c r="V11" s="19"/>
    </row>
    <row r="12" spans="1:22" ht="15.75" x14ac:dyDescent="0.25">
      <c r="A12" s="28"/>
      <c r="B12" s="500"/>
      <c r="C12" s="500" t="s">
        <v>0</v>
      </c>
      <c r="D12" s="500"/>
      <c r="E12" s="29"/>
      <c r="F12" s="31"/>
      <c r="G12" s="31"/>
      <c r="H12" s="31"/>
      <c r="I12" s="31"/>
      <c r="J12" s="18"/>
      <c r="K12" s="18"/>
      <c r="L12" s="18"/>
      <c r="M12" s="18"/>
      <c r="N12" s="18"/>
      <c r="O12" s="18"/>
      <c r="P12" s="18"/>
      <c r="Q12" s="18"/>
      <c r="R12" s="18"/>
      <c r="S12" s="18"/>
      <c r="T12" s="18"/>
      <c r="U12" s="18"/>
      <c r="V12" s="19"/>
    </row>
    <row r="13" spans="1:22" ht="15.75" x14ac:dyDescent="0.2">
      <c r="A13" s="30"/>
      <c r="B13" s="29"/>
      <c r="C13" s="933"/>
      <c r="D13" s="933"/>
      <c r="E13" s="933"/>
      <c r="F13" s="933"/>
      <c r="G13" s="933"/>
      <c r="H13" s="933"/>
      <c r="I13" s="495"/>
      <c r="J13" s="495"/>
      <c r="K13" s="927" t="s">
        <v>23</v>
      </c>
      <c r="L13" s="928"/>
      <c r="M13" s="53"/>
      <c r="N13" s="53"/>
      <c r="O13" s="927" t="s">
        <v>24</v>
      </c>
      <c r="P13" s="928"/>
      <c r="Q13" s="18"/>
      <c r="R13" s="18"/>
      <c r="S13" s="927" t="s">
        <v>25</v>
      </c>
      <c r="T13" s="928"/>
      <c r="U13" s="53"/>
      <c r="V13" s="19"/>
    </row>
    <row r="14" spans="1:22" ht="15.75" customHeight="1" x14ac:dyDescent="0.25">
      <c r="A14" s="30"/>
      <c r="B14" s="29"/>
      <c r="C14" s="29"/>
      <c r="D14" s="29"/>
      <c r="E14" s="29"/>
      <c r="F14" s="29"/>
      <c r="G14" s="906"/>
      <c r="H14" s="929"/>
      <c r="I14" s="497"/>
      <c r="J14" s="493"/>
      <c r="K14" s="907" t="s">
        <v>53</v>
      </c>
      <c r="L14" s="907"/>
      <c r="M14" s="50"/>
      <c r="N14" s="50"/>
      <c r="O14" s="906" t="s">
        <v>51</v>
      </c>
      <c r="P14" s="906"/>
      <c r="Q14" s="18"/>
      <c r="R14" s="50"/>
      <c r="S14" s="906" t="s">
        <v>943</v>
      </c>
      <c r="T14" s="929"/>
      <c r="U14" s="50"/>
      <c r="V14" s="19"/>
    </row>
    <row r="15" spans="1:22" ht="15.75" x14ac:dyDescent="0.25">
      <c r="A15" s="30"/>
      <c r="B15" s="29"/>
      <c r="C15" s="29"/>
      <c r="D15" s="29"/>
      <c r="E15" s="29"/>
      <c r="F15" s="29"/>
      <c r="G15" s="930"/>
      <c r="H15" s="930"/>
      <c r="I15" s="497"/>
      <c r="J15" s="493"/>
      <c r="K15" s="907"/>
      <c r="L15" s="907"/>
      <c r="M15" s="50"/>
      <c r="N15" s="50"/>
      <c r="O15" s="906"/>
      <c r="P15" s="906"/>
      <c r="Q15" s="18"/>
      <c r="R15" s="18"/>
      <c r="S15" s="929"/>
      <c r="T15" s="929"/>
      <c r="U15" s="18"/>
      <c r="V15" s="19"/>
    </row>
    <row r="16" spans="1:22" ht="30" customHeight="1" x14ac:dyDescent="0.25">
      <c r="A16" s="30"/>
      <c r="B16" s="29"/>
      <c r="C16" s="29"/>
      <c r="D16" s="29"/>
      <c r="E16" s="29"/>
      <c r="F16" s="29"/>
      <c r="G16" s="926"/>
      <c r="H16" s="926"/>
      <c r="I16" s="497"/>
      <c r="J16" s="493"/>
      <c r="K16" s="934"/>
      <c r="L16" s="934"/>
      <c r="M16" s="29"/>
      <c r="N16" s="29"/>
      <c r="O16" s="934"/>
      <c r="P16" s="934"/>
      <c r="Q16" s="29"/>
      <c r="R16" s="935"/>
      <c r="S16" s="935"/>
      <c r="T16" s="935"/>
      <c r="U16" s="935"/>
      <c r="V16" s="19"/>
    </row>
    <row r="17" spans="1:22" ht="16.5" thickBot="1" x14ac:dyDescent="0.3">
      <c r="A17" s="30"/>
      <c r="B17" s="492" t="s">
        <v>62</v>
      </c>
      <c r="C17" s="29"/>
      <c r="D17" s="137"/>
      <c r="E17" s="49"/>
      <c r="F17" s="29"/>
      <c r="G17" s="926"/>
      <c r="H17" s="926"/>
      <c r="I17" s="497"/>
      <c r="J17" s="18"/>
      <c r="K17" s="936" t="s">
        <v>20</v>
      </c>
      <c r="L17" s="936"/>
      <c r="M17" s="18"/>
      <c r="N17" s="18"/>
      <c r="O17" s="926" t="s">
        <v>20</v>
      </c>
      <c r="P17" s="926"/>
      <c r="Q17" s="18"/>
      <c r="R17" s="324"/>
      <c r="S17" s="919" t="s">
        <v>20</v>
      </c>
      <c r="T17" s="919"/>
      <c r="U17" s="324"/>
      <c r="V17" s="19"/>
    </row>
    <row r="18" spans="1:22" ht="16.5" thickBot="1" x14ac:dyDescent="0.3">
      <c r="A18" s="30"/>
      <c r="B18" s="29"/>
      <c r="C18" s="921" t="s">
        <v>965</v>
      </c>
      <c r="D18" s="921"/>
      <c r="E18" s="921"/>
      <c r="F18" s="29"/>
      <c r="G18" s="925"/>
      <c r="H18" s="925"/>
      <c r="I18" s="497"/>
      <c r="J18" s="54"/>
      <c r="K18" s="902">
        <f>VLOOKUP('Part 1'!$L$16,Datasheet2!$B$5:$BI$331,3,FALSE)</f>
        <v>98170861</v>
      </c>
      <c r="L18" s="903"/>
      <c r="M18" s="73"/>
      <c r="N18" s="73"/>
      <c r="O18" s="902">
        <f>VLOOKUP('Part 1'!$L$16,Datasheet2!$B$5:$BI$331,4,FALSE)</f>
        <v>835957</v>
      </c>
      <c r="P18" s="903"/>
      <c r="Q18" s="18"/>
      <c r="R18" s="322"/>
      <c r="S18" s="923">
        <f>VLOOKUP('Part 1'!$L$16,Datasheet2!$B$5:$BI$331,5,FALSE)</f>
        <v>99006818</v>
      </c>
      <c r="T18" s="924"/>
      <c r="U18" s="324"/>
      <c r="V18" s="19"/>
    </row>
    <row r="19" spans="1:22" x14ac:dyDescent="0.2">
      <c r="A19" s="30"/>
      <c r="B19" s="29"/>
      <c r="C19" s="921"/>
      <c r="D19" s="921"/>
      <c r="E19" s="921"/>
      <c r="F19" s="29"/>
      <c r="G19" s="124"/>
      <c r="H19" s="124"/>
      <c r="I19" s="54"/>
      <c r="J19" s="54"/>
      <c r="K19" s="435"/>
      <c r="L19" s="435"/>
      <c r="M19" s="435"/>
      <c r="N19" s="435"/>
      <c r="O19" s="435"/>
      <c r="P19" s="435"/>
      <c r="Q19" s="507"/>
      <c r="R19" s="436"/>
      <c r="S19" s="436"/>
      <c r="T19" s="436"/>
      <c r="U19" s="324"/>
      <c r="V19" s="19"/>
    </row>
    <row r="20" spans="1:22" x14ac:dyDescent="0.2">
      <c r="A20" s="30"/>
      <c r="B20" s="29"/>
      <c r="C20" s="922"/>
      <c r="D20" s="922"/>
      <c r="E20" s="922"/>
      <c r="F20" s="29"/>
      <c r="G20" s="124"/>
      <c r="H20" s="124"/>
      <c r="I20" s="54"/>
      <c r="J20" s="54"/>
      <c r="K20" s="435"/>
      <c r="L20" s="435"/>
      <c r="M20" s="435"/>
      <c r="N20" s="435"/>
      <c r="O20" s="435"/>
      <c r="P20" s="435"/>
      <c r="Q20" s="435"/>
      <c r="R20" s="436"/>
      <c r="S20" s="436"/>
      <c r="T20" s="436"/>
      <c r="U20" s="324"/>
      <c r="V20" s="19"/>
    </row>
    <row r="21" spans="1:22" x14ac:dyDescent="0.2">
      <c r="A21" s="30"/>
      <c r="B21" s="29"/>
      <c r="C21" s="146"/>
      <c r="D21" s="146"/>
      <c r="E21" s="146"/>
      <c r="F21" s="149"/>
      <c r="G21" s="124"/>
      <c r="H21" s="124"/>
      <c r="I21" s="54"/>
      <c r="J21" s="54"/>
      <c r="K21" s="435"/>
      <c r="L21" s="435"/>
      <c r="M21" s="435"/>
      <c r="N21" s="435"/>
      <c r="O21" s="435"/>
      <c r="P21" s="435"/>
      <c r="Q21" s="435"/>
      <c r="R21" s="436"/>
      <c r="S21" s="436"/>
      <c r="T21" s="436"/>
      <c r="U21" s="324"/>
      <c r="V21" s="19"/>
    </row>
    <row r="22" spans="1:22" ht="15" customHeight="1" thickBot="1" x14ac:dyDescent="0.25">
      <c r="A22" s="30"/>
      <c r="B22" s="931" t="s">
        <v>84</v>
      </c>
      <c r="C22" s="931"/>
      <c r="D22" s="146"/>
      <c r="E22" s="146"/>
      <c r="F22" s="149"/>
      <c r="G22" s="124"/>
      <c r="H22" s="124"/>
      <c r="I22" s="54"/>
      <c r="J22" s="54"/>
      <c r="K22" s="435"/>
      <c r="L22" s="435"/>
      <c r="M22" s="435"/>
      <c r="N22" s="435"/>
      <c r="O22" s="435"/>
      <c r="P22" s="435"/>
      <c r="Q22" s="435"/>
      <c r="R22" s="436"/>
      <c r="S22" s="436"/>
      <c r="T22" s="436"/>
      <c r="U22" s="324"/>
      <c r="V22" s="19"/>
    </row>
    <row r="23" spans="1:22" ht="16.5" thickBot="1" x14ac:dyDescent="0.25">
      <c r="A23" s="30"/>
      <c r="B23" s="29"/>
      <c r="C23" s="932" t="s">
        <v>966</v>
      </c>
      <c r="D23" s="932"/>
      <c r="E23" s="932"/>
      <c r="F23" s="149"/>
      <c r="G23" s="925"/>
      <c r="H23" s="925"/>
      <c r="I23" s="54"/>
      <c r="J23" s="54"/>
      <c r="K23" s="902">
        <f>VLOOKUP('Part 1'!$L$16,Datasheet2!$B$5:$BI$331,6,FALSE)</f>
        <v>-1444</v>
      </c>
      <c r="L23" s="903"/>
      <c r="M23" s="73"/>
      <c r="N23" s="73"/>
      <c r="O23" s="902">
        <f>VLOOKUP('Part 1'!$L$16,Datasheet2!$B$5:$BI$331,7,FALSE)</f>
        <v>0</v>
      </c>
      <c r="P23" s="903"/>
      <c r="Q23" s="18"/>
      <c r="R23" s="322"/>
      <c r="S23" s="923">
        <f>VLOOKUP('Part 1'!$L$16,Datasheet2!$B$5:$BI$331,8,FALSE)</f>
        <v>-1444</v>
      </c>
      <c r="T23" s="924"/>
      <c r="U23" s="324"/>
      <c r="V23" s="19"/>
    </row>
    <row r="24" spans="1:22" x14ac:dyDescent="0.2">
      <c r="A24" s="30"/>
      <c r="B24" s="29"/>
      <c r="C24" s="146"/>
      <c r="D24" s="146"/>
      <c r="E24" s="146"/>
      <c r="F24" s="149"/>
      <c r="G24" s="124"/>
      <c r="H24" s="124"/>
      <c r="I24" s="54"/>
      <c r="J24" s="54"/>
      <c r="K24" s="435"/>
      <c r="L24" s="435"/>
      <c r="M24" s="435"/>
      <c r="N24" s="435"/>
      <c r="O24" s="435"/>
      <c r="P24" s="435"/>
      <c r="Q24" s="435"/>
      <c r="R24" s="436"/>
      <c r="S24" s="436"/>
      <c r="T24" s="436"/>
      <c r="U24" s="324"/>
      <c r="V24" s="19"/>
    </row>
    <row r="25" spans="1:22" ht="15.75" x14ac:dyDescent="0.2">
      <c r="A25" s="30"/>
      <c r="B25" s="491" t="s">
        <v>64</v>
      </c>
      <c r="C25" s="146"/>
      <c r="D25" s="49"/>
      <c r="E25" s="49"/>
      <c r="F25" s="29"/>
      <c r="G25" s="124"/>
      <c r="H25" s="124"/>
      <c r="I25" s="54"/>
      <c r="J25" s="54"/>
      <c r="K25" s="435"/>
      <c r="L25" s="435"/>
      <c r="M25" s="435"/>
      <c r="N25" s="435"/>
      <c r="O25" s="435"/>
      <c r="P25" s="435"/>
      <c r="Q25" s="435"/>
      <c r="R25" s="436"/>
      <c r="S25" s="436"/>
      <c r="T25" s="436"/>
      <c r="U25" s="324"/>
      <c r="V25" s="19"/>
    </row>
    <row r="26" spans="1:22" ht="14.25" customHeight="1" thickBot="1" x14ac:dyDescent="0.3">
      <c r="A26" s="30"/>
      <c r="B26" s="31"/>
      <c r="C26" s="491" t="s">
        <v>65</v>
      </c>
      <c r="D26" s="148"/>
      <c r="E26" s="49"/>
      <c r="F26" s="29"/>
      <c r="G26" s="124"/>
      <c r="H26" s="124"/>
      <c r="I26" s="54"/>
      <c r="J26" s="54"/>
      <c r="K26" s="435"/>
      <c r="L26" s="435"/>
      <c r="M26" s="435"/>
      <c r="N26" s="435"/>
      <c r="O26" s="435"/>
      <c r="P26" s="435"/>
      <c r="Q26" s="435"/>
      <c r="R26" s="436"/>
      <c r="S26" s="436"/>
      <c r="T26" s="436"/>
      <c r="U26" s="324"/>
      <c r="V26" s="19"/>
    </row>
    <row r="27" spans="1:22" ht="16.5" thickBot="1" x14ac:dyDescent="0.25">
      <c r="A27" s="30"/>
      <c r="B27" s="454"/>
      <c r="C27" s="573" t="s">
        <v>999</v>
      </c>
      <c r="D27" s="574"/>
      <c r="E27" s="573"/>
      <c r="F27" s="575"/>
      <c r="G27" s="576"/>
      <c r="H27" s="576"/>
      <c r="I27" s="576"/>
      <c r="J27" s="576"/>
      <c r="K27" s="902">
        <f>VLOOKUP('Part 1'!$L$16,Datasheet2!$B$5:$BI$331,9,FALSE)</f>
        <v>-241924</v>
      </c>
      <c r="L27" s="903"/>
      <c r="M27" s="577"/>
      <c r="N27" s="577"/>
      <c r="O27" s="902">
        <f>VLOOKUP('Part 1'!$L$16,Datasheet2!$B$5:$BI$331,10,FALSE)</f>
        <v>0</v>
      </c>
      <c r="P27" s="903"/>
      <c r="Q27" s="577"/>
      <c r="R27" s="322"/>
      <c r="S27" s="923">
        <f>VLOOKUP('Part 1'!$L$16,Datasheet2!$B$5:$BI$331,11,FALSE)</f>
        <v>-241924</v>
      </c>
      <c r="T27" s="924"/>
      <c r="U27" s="337">
        <f>+S27</f>
        <v>-241924</v>
      </c>
      <c r="V27" s="19"/>
    </row>
    <row r="28" spans="1:22" ht="16.5" thickBot="1" x14ac:dyDescent="0.25">
      <c r="A28" s="30"/>
      <c r="B28" s="29"/>
      <c r="C28" s="74"/>
      <c r="D28" s="136"/>
      <c r="E28" s="136"/>
      <c r="F28" s="149"/>
      <c r="G28" s="563"/>
      <c r="H28" s="563"/>
      <c r="I28" s="563"/>
      <c r="J28" s="124"/>
      <c r="K28" s="505"/>
      <c r="L28" s="505"/>
      <c r="M28" s="505"/>
      <c r="N28" s="505"/>
      <c r="O28" s="505"/>
      <c r="P28" s="505"/>
      <c r="Q28" s="504"/>
      <c r="R28" s="436"/>
      <c r="S28" s="506"/>
      <c r="T28" s="436"/>
      <c r="U28" s="338"/>
      <c r="V28" s="19"/>
    </row>
    <row r="29" spans="1:22" ht="16.5" thickBot="1" x14ac:dyDescent="0.25">
      <c r="A29" s="30"/>
      <c r="B29" s="29"/>
      <c r="C29" s="854" t="s">
        <v>1000</v>
      </c>
      <c r="D29" s="922"/>
      <c r="E29" s="922"/>
      <c r="F29" s="938"/>
      <c r="G29" s="938"/>
      <c r="H29" s="395"/>
      <c r="I29" s="494"/>
      <c r="J29" s="54"/>
      <c r="K29" s="902">
        <f>VLOOKUP('Part 1'!$L$16,Datasheet2!$B$5:$BI$331,12,FALSE)</f>
        <v>0</v>
      </c>
      <c r="L29" s="903"/>
      <c r="M29" s="73"/>
      <c r="N29" s="73"/>
      <c r="O29" s="902">
        <f>VLOOKUP('Part 1'!$L$16,Datasheet2!$B$5:$BI$331,13,FALSE)</f>
        <v>0</v>
      </c>
      <c r="P29" s="903"/>
      <c r="Q29" s="18"/>
      <c r="R29" s="322"/>
      <c r="S29" s="923">
        <f>VLOOKUP('Part 1'!$L$16,Datasheet2!$B$5:$BI$331,14,FALSE)</f>
        <v>0</v>
      </c>
      <c r="T29" s="924"/>
      <c r="U29" s="324"/>
      <c r="V29" s="19"/>
    </row>
    <row r="30" spans="1:22" ht="15.75" x14ac:dyDescent="0.2">
      <c r="A30" s="30"/>
      <c r="B30" s="29"/>
      <c r="C30" s="922"/>
      <c r="D30" s="922"/>
      <c r="E30" s="922"/>
      <c r="F30" s="938"/>
      <c r="G30" s="938"/>
      <c r="H30" s="395"/>
      <c r="I30" s="494"/>
      <c r="J30" s="54"/>
      <c r="K30" s="504"/>
      <c r="L30" s="435"/>
      <c r="M30" s="504"/>
      <c r="N30" s="505"/>
      <c r="O30" s="505"/>
      <c r="P30" s="505"/>
      <c r="Q30" s="435"/>
      <c r="R30" s="436"/>
      <c r="S30" s="506"/>
      <c r="T30" s="436"/>
      <c r="U30" s="324"/>
      <c r="V30" s="19"/>
    </row>
    <row r="31" spans="1:22" ht="16.5" thickBot="1" x14ac:dyDescent="0.25">
      <c r="A31" s="30"/>
      <c r="B31" s="29"/>
      <c r="C31" s="136"/>
      <c r="D31" s="136"/>
      <c r="E31" s="136"/>
      <c r="F31" s="149"/>
      <c r="G31" s="124"/>
      <c r="H31" s="124"/>
      <c r="I31" s="494"/>
      <c r="J31" s="124"/>
      <c r="K31" s="505"/>
      <c r="L31" s="505"/>
      <c r="M31" s="505"/>
      <c r="N31" s="505"/>
      <c r="O31" s="505"/>
      <c r="P31" s="505"/>
      <c r="Q31" s="504"/>
      <c r="R31" s="436"/>
      <c r="S31" s="436"/>
      <c r="T31" s="436"/>
      <c r="U31" s="324"/>
      <c r="V31" s="19"/>
    </row>
    <row r="32" spans="1:22" ht="16.5" customHeight="1" thickBot="1" x14ac:dyDescent="0.25">
      <c r="A32" s="30"/>
      <c r="B32" s="29"/>
      <c r="C32" s="74" t="s">
        <v>1001</v>
      </c>
      <c r="D32" s="136"/>
      <c r="E32" s="49"/>
      <c r="F32" s="29"/>
      <c r="G32" s="925"/>
      <c r="H32" s="925"/>
      <c r="I32" s="494"/>
      <c r="J32" s="54"/>
      <c r="K32" s="902">
        <f>VLOOKUP('Part 1'!$L$16,Datasheet2!$B$5:$BI$331,15,FALSE)</f>
        <v>-658403</v>
      </c>
      <c r="L32" s="903"/>
      <c r="M32" s="73"/>
      <c r="N32" s="73"/>
      <c r="O32" s="902">
        <f>VLOOKUP('Part 1'!$L$16,Datasheet2!$B$5:$BI$331,16,FALSE)</f>
        <v>0</v>
      </c>
      <c r="P32" s="903"/>
      <c r="Q32" s="18"/>
      <c r="R32" s="322"/>
      <c r="S32" s="923">
        <f>VLOOKUP('Part 1'!$L$16,Datasheet2!$B$5:$BI$331,17,FALSE)</f>
        <v>-658403</v>
      </c>
      <c r="T32" s="924"/>
      <c r="U32" s="338"/>
      <c r="V32" s="19"/>
    </row>
    <row r="33" spans="1:22" ht="15.75" x14ac:dyDescent="0.2">
      <c r="A33" s="30"/>
      <c r="B33" s="29"/>
      <c r="C33" s="49"/>
      <c r="D33" s="136"/>
      <c r="E33" s="49"/>
      <c r="F33" s="29"/>
      <c r="G33" s="494"/>
      <c r="H33" s="494"/>
      <c r="I33" s="494"/>
      <c r="J33" s="54"/>
      <c r="K33" s="435"/>
      <c r="L33" s="435"/>
      <c r="M33" s="435"/>
      <c r="N33" s="435"/>
      <c r="O33" s="435"/>
      <c r="P33" s="435"/>
      <c r="Q33" s="504"/>
      <c r="R33" s="436"/>
      <c r="S33" s="506"/>
      <c r="T33" s="436"/>
      <c r="U33" s="338"/>
      <c r="V33" s="19"/>
    </row>
    <row r="34" spans="1:22" ht="16.5" thickBot="1" x14ac:dyDescent="0.25">
      <c r="A34" s="30"/>
      <c r="B34" s="29"/>
      <c r="C34" s="491" t="s">
        <v>66</v>
      </c>
      <c r="D34" s="148"/>
      <c r="E34" s="49"/>
      <c r="F34" s="29"/>
      <c r="G34" s="124"/>
      <c r="H34" s="124"/>
      <c r="I34" s="494"/>
      <c r="J34" s="54"/>
      <c r="K34" s="435"/>
      <c r="L34" s="435"/>
      <c r="M34" s="435"/>
      <c r="N34" s="435"/>
      <c r="O34" s="435"/>
      <c r="P34" s="435"/>
      <c r="Q34" s="504"/>
      <c r="R34" s="436"/>
      <c r="S34" s="436"/>
      <c r="T34" s="436"/>
      <c r="U34" s="338"/>
      <c r="V34" s="19"/>
    </row>
    <row r="35" spans="1:22" ht="16.5" thickBot="1" x14ac:dyDescent="0.25">
      <c r="A35" s="30"/>
      <c r="B35" s="29"/>
      <c r="C35" s="74" t="s">
        <v>1002</v>
      </c>
      <c r="D35" s="148"/>
      <c r="E35" s="49"/>
      <c r="F35" s="29"/>
      <c r="G35" s="395"/>
      <c r="H35" s="395"/>
      <c r="I35" s="494"/>
      <c r="J35" s="54"/>
      <c r="K35" s="902">
        <f>VLOOKUP('Part 1'!$L$16,Datasheet2!$B$5:$BI$331,18,FALSE)</f>
        <v>4896733</v>
      </c>
      <c r="L35" s="903"/>
      <c r="M35" s="73"/>
      <c r="N35" s="73"/>
      <c r="O35" s="902">
        <f>VLOOKUP('Part 1'!$L$16,Datasheet2!$B$5:$BI$331,19,FALSE)</f>
        <v>0</v>
      </c>
      <c r="P35" s="903"/>
      <c r="Q35" s="18"/>
      <c r="R35" s="322"/>
      <c r="S35" s="923">
        <f>VLOOKUP('Part 1'!$L$16,Datasheet2!$B$5:$BI$331,20,FALSE)</f>
        <v>4896733</v>
      </c>
      <c r="T35" s="924"/>
      <c r="U35" s="338"/>
      <c r="V35" s="19"/>
    </row>
    <row r="36" spans="1:22" ht="16.5" thickBot="1" x14ac:dyDescent="0.25">
      <c r="A36" s="30"/>
      <c r="B36" s="29"/>
      <c r="C36" s="74"/>
      <c r="D36" s="148"/>
      <c r="E36" s="49"/>
      <c r="F36" s="29"/>
      <c r="G36" s="124"/>
      <c r="H36" s="124"/>
      <c r="I36" s="494"/>
      <c r="J36" s="54"/>
      <c r="K36" s="435"/>
      <c r="L36" s="435"/>
      <c r="M36" s="435"/>
      <c r="N36" s="435"/>
      <c r="O36" s="435"/>
      <c r="P36" s="435"/>
      <c r="Q36" s="504"/>
      <c r="R36" s="436"/>
      <c r="S36" s="436"/>
      <c r="T36" s="436"/>
      <c r="U36" s="338"/>
      <c r="V36" s="19"/>
    </row>
    <row r="37" spans="1:22" ht="16.5" thickBot="1" x14ac:dyDescent="0.25">
      <c r="A37" s="30"/>
      <c r="B37" s="29"/>
      <c r="C37" s="74" t="s">
        <v>1003</v>
      </c>
      <c r="D37" s="136"/>
      <c r="E37" s="49"/>
      <c r="F37" s="29"/>
      <c r="G37" s="925"/>
      <c r="H37" s="925"/>
      <c r="I37" s="494"/>
      <c r="J37" s="54"/>
      <c r="K37" s="902">
        <f>VLOOKUP('Part 1'!$L$16,Datasheet2!$B$5:$BI$331,21,FALSE)</f>
        <v>-838733</v>
      </c>
      <c r="L37" s="903"/>
      <c r="M37" s="73"/>
      <c r="N37" s="73"/>
      <c r="O37" s="902">
        <f>VLOOKUP('Part 1'!$L$16,Datasheet2!$B$5:$BI$331,22,FALSE)</f>
        <v>0</v>
      </c>
      <c r="P37" s="903"/>
      <c r="Q37" s="18"/>
      <c r="R37" s="322"/>
      <c r="S37" s="923">
        <f>VLOOKUP('Part 1'!$L$16,Datasheet2!$B$5:$BI$331,23,FALSE)</f>
        <v>-838733</v>
      </c>
      <c r="T37" s="924"/>
      <c r="U37" s="338"/>
      <c r="V37" s="19"/>
    </row>
    <row r="38" spans="1:22" ht="16.5" thickBot="1" x14ac:dyDescent="0.25">
      <c r="A38" s="30"/>
      <c r="B38" s="29"/>
      <c r="C38" s="49"/>
      <c r="D38" s="49"/>
      <c r="E38" s="49"/>
      <c r="F38" s="29"/>
      <c r="G38" s="494"/>
      <c r="H38" s="494"/>
      <c r="I38" s="55"/>
      <c r="J38" s="54"/>
      <c r="K38" s="435"/>
      <c r="L38" s="435"/>
      <c r="M38" s="435"/>
      <c r="N38" s="435"/>
      <c r="O38" s="537"/>
      <c r="P38" s="537"/>
      <c r="Q38" s="504"/>
      <c r="R38" s="436"/>
      <c r="S38" s="506"/>
      <c r="T38" s="436"/>
      <c r="U38" s="338"/>
      <c r="V38" s="19"/>
    </row>
    <row r="39" spans="1:22" ht="15.75" x14ac:dyDescent="0.2">
      <c r="A39" s="30"/>
      <c r="B39" s="87"/>
      <c r="C39" s="138"/>
      <c r="D39" s="138"/>
      <c r="E39" s="138"/>
      <c r="F39" s="88"/>
      <c r="G39" s="205"/>
      <c r="H39" s="205"/>
      <c r="I39" s="89"/>
      <c r="J39" s="90"/>
      <c r="K39" s="540"/>
      <c r="L39" s="540"/>
      <c r="M39" s="540"/>
      <c r="N39" s="540"/>
      <c r="O39" s="541"/>
      <c r="P39" s="541"/>
      <c r="Q39" s="541"/>
      <c r="R39" s="542"/>
      <c r="S39" s="543"/>
      <c r="T39" s="542"/>
      <c r="U39" s="339"/>
      <c r="V39" s="19"/>
    </row>
    <row r="40" spans="1:22" ht="16.5" thickBot="1" x14ac:dyDescent="0.25">
      <c r="A40" s="30"/>
      <c r="B40" s="91"/>
      <c r="C40" s="491" t="s">
        <v>63</v>
      </c>
      <c r="D40" s="49"/>
      <c r="E40" s="49"/>
      <c r="F40" s="29"/>
      <c r="G40" s="124"/>
      <c r="H40" s="124"/>
      <c r="I40" s="54"/>
      <c r="J40" s="54"/>
      <c r="K40" s="435"/>
      <c r="L40" s="435"/>
      <c r="M40" s="435"/>
      <c r="N40" s="435"/>
      <c r="O40" s="435"/>
      <c r="P40" s="435"/>
      <c r="Q40" s="435"/>
      <c r="R40" s="436"/>
      <c r="S40" s="436"/>
      <c r="T40" s="436"/>
      <c r="U40" s="340"/>
      <c r="V40" s="19"/>
    </row>
    <row r="41" spans="1:22" ht="16.5" thickBot="1" x14ac:dyDescent="0.3">
      <c r="A41" s="30"/>
      <c r="B41" s="92"/>
      <c r="C41" s="74" t="s">
        <v>1004</v>
      </c>
      <c r="D41" s="49"/>
      <c r="E41" s="49"/>
      <c r="F41" s="29"/>
      <c r="G41" s="939"/>
      <c r="H41" s="940"/>
      <c r="I41" s="494"/>
      <c r="J41" s="54"/>
      <c r="K41" s="902">
        <f>VLOOKUP('Part 1'!$L$16,Datasheet2!$B$5:$BI$331,24,FALSE)</f>
        <v>101569014</v>
      </c>
      <c r="L41" s="903"/>
      <c r="M41" s="435"/>
      <c r="N41" s="435"/>
      <c r="O41" s="902">
        <f>VLOOKUP('Part 1'!$L$16,Datasheet2!$B$5:$BI$331,25,FALSE)</f>
        <v>835957</v>
      </c>
      <c r="P41" s="903"/>
      <c r="Q41" s="435"/>
      <c r="R41" s="436"/>
      <c r="S41" s="923">
        <f>VLOOKUP('Part 1'!$L$16,Datasheet2!$B$5:$BI$331,26,FALSE)</f>
        <v>102404971</v>
      </c>
      <c r="T41" s="924"/>
      <c r="U41" s="341"/>
      <c r="V41" s="19"/>
    </row>
    <row r="42" spans="1:22" ht="15.75" thickBot="1" x14ac:dyDescent="0.25">
      <c r="A42" s="30"/>
      <c r="B42" s="93"/>
      <c r="C42" s="139"/>
      <c r="D42" s="139"/>
      <c r="E42" s="139"/>
      <c r="F42" s="94"/>
      <c r="G42" s="206"/>
      <c r="H42" s="206"/>
      <c r="I42" s="95"/>
      <c r="J42" s="95"/>
      <c r="K42" s="545"/>
      <c r="L42" s="545"/>
      <c r="M42" s="545"/>
      <c r="N42" s="545"/>
      <c r="O42" s="545"/>
      <c r="P42" s="545"/>
      <c r="Q42" s="545"/>
      <c r="R42" s="546"/>
      <c r="S42" s="546"/>
      <c r="T42" s="546"/>
      <c r="U42" s="342"/>
      <c r="V42" s="19"/>
    </row>
    <row r="43" spans="1:22" ht="15.75" thickBot="1" x14ac:dyDescent="0.25">
      <c r="A43" s="30"/>
      <c r="B43" s="29"/>
      <c r="C43" s="49"/>
      <c r="D43" s="49"/>
      <c r="E43" s="49"/>
      <c r="F43" s="29"/>
      <c r="G43" s="435"/>
      <c r="H43" s="435"/>
      <c r="I43" s="435"/>
      <c r="J43" s="435"/>
      <c r="K43" s="435"/>
      <c r="L43" s="435"/>
      <c r="M43" s="435"/>
      <c r="N43" s="435"/>
      <c r="O43" s="435"/>
      <c r="P43" s="435"/>
      <c r="Q43" s="435"/>
      <c r="R43" s="435"/>
      <c r="S43" s="435"/>
      <c r="T43" s="435"/>
      <c r="U43" s="18"/>
      <c r="V43" s="19"/>
    </row>
    <row r="44" spans="1:22" x14ac:dyDescent="0.2">
      <c r="A44" s="207"/>
      <c r="B44" s="208"/>
      <c r="C44" s="209"/>
      <c r="D44" s="209"/>
      <c r="E44" s="209"/>
      <c r="F44" s="208"/>
      <c r="G44" s="544"/>
      <c r="H44" s="544"/>
      <c r="I44" s="544"/>
      <c r="J44" s="544"/>
      <c r="K44" s="544"/>
      <c r="L44" s="544"/>
      <c r="M44" s="544"/>
      <c r="N44" s="544"/>
      <c r="O44" s="544"/>
      <c r="P44" s="544"/>
      <c r="Q44" s="544"/>
      <c r="R44" s="544"/>
      <c r="S44" s="544"/>
      <c r="T44" s="544"/>
      <c r="U44" s="210"/>
      <c r="V44" s="211"/>
    </row>
    <row r="45" spans="1:22" ht="15.75" x14ac:dyDescent="0.2">
      <c r="A45" s="30"/>
      <c r="B45" s="29"/>
      <c r="C45" s="491" t="s">
        <v>85</v>
      </c>
      <c r="D45" s="49"/>
      <c r="E45" s="49"/>
      <c r="F45" s="29"/>
      <c r="G45" s="435"/>
      <c r="H45" s="435"/>
      <c r="I45" s="435"/>
      <c r="J45" s="435"/>
      <c r="K45" s="435"/>
      <c r="L45" s="435"/>
      <c r="M45" s="435"/>
      <c r="N45" s="435"/>
      <c r="O45" s="435"/>
      <c r="P45" s="435"/>
      <c r="Q45" s="435"/>
      <c r="R45" s="435"/>
      <c r="S45" s="435"/>
      <c r="T45" s="435"/>
      <c r="U45" s="18"/>
      <c r="V45" s="19"/>
    </row>
    <row r="46" spans="1:22" ht="15.75" x14ac:dyDescent="0.2">
      <c r="A46" s="30"/>
      <c r="B46" s="29"/>
      <c r="C46" s="345"/>
      <c r="D46" s="49"/>
      <c r="E46" s="49"/>
      <c r="F46" s="29"/>
      <c r="G46" s="937"/>
      <c r="H46" s="937"/>
      <c r="I46" s="435"/>
      <c r="J46" s="435"/>
      <c r="K46" s="937" t="s">
        <v>23</v>
      </c>
      <c r="L46" s="937"/>
      <c r="M46" s="435"/>
      <c r="N46" s="435"/>
      <c r="O46" s="937" t="s">
        <v>24</v>
      </c>
      <c r="P46" s="941"/>
      <c r="Q46" s="435"/>
      <c r="R46" s="435"/>
      <c r="S46" s="937" t="s">
        <v>25</v>
      </c>
      <c r="T46" s="941"/>
      <c r="U46" s="18"/>
      <c r="V46" s="19"/>
    </row>
    <row r="47" spans="1:22" ht="15.75" customHeight="1" x14ac:dyDescent="0.2">
      <c r="A47" s="30"/>
      <c r="B47" s="29"/>
      <c r="C47" s="491"/>
      <c r="D47" s="49"/>
      <c r="E47" s="49"/>
      <c r="F47" s="29"/>
      <c r="G47" s="435"/>
      <c r="H47" s="435"/>
      <c r="I47" s="435"/>
      <c r="J47" s="435"/>
      <c r="K47" s="907" t="s">
        <v>53</v>
      </c>
      <c r="L47" s="907"/>
      <c r="M47" s="435"/>
      <c r="N47" s="435"/>
      <c r="O47" s="906" t="s">
        <v>51</v>
      </c>
      <c r="P47" s="906"/>
      <c r="Q47" s="435"/>
      <c r="R47" s="436"/>
      <c r="S47" s="898" t="s">
        <v>7</v>
      </c>
      <c r="T47" s="898"/>
      <c r="U47" s="324"/>
      <c r="V47" s="19"/>
    </row>
    <row r="48" spans="1:22" ht="32.25" customHeight="1" x14ac:dyDescent="0.2">
      <c r="A48" s="30"/>
      <c r="B48" s="29"/>
      <c r="C48" s="491"/>
      <c r="D48" s="49"/>
      <c r="E48" s="49"/>
      <c r="F48" s="29"/>
      <c r="G48" s="435"/>
      <c r="H48" s="435"/>
      <c r="I48" s="435"/>
      <c r="J48" s="435"/>
      <c r="K48" s="907"/>
      <c r="L48" s="907"/>
      <c r="M48" s="435"/>
      <c r="N48" s="435"/>
      <c r="O48" s="906"/>
      <c r="P48" s="906"/>
      <c r="Q48" s="435"/>
      <c r="R48" s="436"/>
      <c r="S48" s="898"/>
      <c r="T48" s="898"/>
      <c r="U48" s="324"/>
      <c r="V48" s="19"/>
    </row>
    <row r="49" spans="1:22" ht="32.25" customHeight="1" thickBot="1" x14ac:dyDescent="0.3">
      <c r="A49" s="30"/>
      <c r="B49" s="29"/>
      <c r="C49" s="178" t="s">
        <v>48</v>
      </c>
      <c r="D49" s="49"/>
      <c r="E49" s="49"/>
      <c r="F49" s="29"/>
      <c r="G49" s="435"/>
      <c r="H49" s="435"/>
      <c r="I49" s="435"/>
      <c r="J49" s="435"/>
      <c r="K49" s="901"/>
      <c r="L49" s="901"/>
      <c r="M49" s="435"/>
      <c r="N49" s="435"/>
      <c r="O49" s="901"/>
      <c r="P49" s="901"/>
      <c r="Q49" s="435"/>
      <c r="R49" s="436"/>
      <c r="S49" s="898" t="s">
        <v>1178</v>
      </c>
      <c r="T49" s="898"/>
      <c r="U49" s="324"/>
      <c r="V49" s="19"/>
    </row>
    <row r="50" spans="1:22" ht="16.5" thickBot="1" x14ac:dyDescent="0.25">
      <c r="A50" s="30"/>
      <c r="B50" s="29"/>
      <c r="C50" s="74" t="s">
        <v>1005</v>
      </c>
      <c r="D50" s="49"/>
      <c r="E50" s="49"/>
      <c r="F50" s="29"/>
      <c r="G50" s="54"/>
      <c r="H50" s="54"/>
      <c r="I50" s="54"/>
      <c r="J50" s="54"/>
      <c r="K50" s="901"/>
      <c r="L50" s="901"/>
      <c r="M50" s="435"/>
      <c r="N50" s="435"/>
      <c r="O50" s="902">
        <f>VLOOKUP('Part 1'!$L$16,Datasheet2!$B$5:$BI$331,27,FALSE)</f>
        <v>835957</v>
      </c>
      <c r="P50" s="903"/>
      <c r="Q50" s="54"/>
      <c r="R50" s="436"/>
      <c r="S50" s="899">
        <f>VLOOKUP('Part 1'!$L$16,Datasheet2!$B$5:$BI$331,28,FALSE)</f>
        <v>835957</v>
      </c>
      <c r="T50" s="900"/>
      <c r="U50" s="437"/>
      <c r="V50" s="19"/>
    </row>
    <row r="51" spans="1:22" ht="15.75" x14ac:dyDescent="0.2">
      <c r="A51" s="30"/>
      <c r="B51" s="29"/>
      <c r="C51" s="491"/>
      <c r="D51" s="49"/>
      <c r="E51" s="49"/>
      <c r="F51" s="29"/>
      <c r="G51" s="547"/>
      <c r="H51" s="435"/>
      <c r="I51" s="547"/>
      <c r="J51" s="435"/>
      <c r="K51" s="547"/>
      <c r="L51" s="547"/>
      <c r="M51" s="547"/>
      <c r="N51" s="547"/>
      <c r="O51" s="547"/>
      <c r="P51" s="547"/>
      <c r="Q51" s="435"/>
      <c r="R51" s="436"/>
      <c r="S51" s="436"/>
      <c r="T51" s="436"/>
      <c r="U51" s="437"/>
      <c r="V51" s="19"/>
    </row>
    <row r="52" spans="1:22" ht="15.75" x14ac:dyDescent="0.2">
      <c r="A52" s="30"/>
      <c r="B52" s="29"/>
      <c r="C52" s="491"/>
      <c r="D52" s="49"/>
      <c r="E52" s="49"/>
      <c r="F52" s="29"/>
      <c r="G52" s="435"/>
      <c r="H52" s="435"/>
      <c r="I52" s="547"/>
      <c r="J52" s="435"/>
      <c r="K52" s="435"/>
      <c r="L52" s="435"/>
      <c r="M52" s="435"/>
      <c r="N52" s="435"/>
      <c r="O52" s="435"/>
      <c r="P52" s="435"/>
      <c r="Q52" s="435"/>
      <c r="R52" s="436"/>
      <c r="S52" s="436"/>
      <c r="T52" s="436"/>
      <c r="U52" s="437"/>
      <c r="V52" s="19"/>
    </row>
    <row r="53" spans="1:22" ht="15" customHeight="1" x14ac:dyDescent="0.2">
      <c r="A53" s="30"/>
      <c r="B53" s="29"/>
      <c r="C53" s="126"/>
      <c r="D53" s="49"/>
      <c r="E53" s="49"/>
      <c r="F53" s="29"/>
      <c r="G53" s="895"/>
      <c r="H53" s="895"/>
      <c r="I53" s="435"/>
      <c r="J53" s="435"/>
      <c r="K53" s="435"/>
      <c r="L53" s="435"/>
      <c r="M53" s="435"/>
      <c r="N53" s="435"/>
      <c r="O53" s="435"/>
      <c r="P53" s="435"/>
      <c r="Q53" s="435"/>
      <c r="R53" s="436"/>
      <c r="S53" s="904" t="s">
        <v>943</v>
      </c>
      <c r="T53" s="905"/>
      <c r="U53" s="437"/>
      <c r="V53" s="19"/>
    </row>
    <row r="54" spans="1:22" ht="16.5" customHeight="1" thickBot="1" x14ac:dyDescent="0.3">
      <c r="A54" s="30"/>
      <c r="B54" s="31"/>
      <c r="C54" s="586" t="s">
        <v>1148</v>
      </c>
      <c r="D54" s="49"/>
      <c r="E54" s="49"/>
      <c r="F54" s="29"/>
      <c r="G54" s="895"/>
      <c r="H54" s="895"/>
      <c r="I54" s="435"/>
      <c r="J54" s="435"/>
      <c r="K54" s="435"/>
      <c r="L54" s="435"/>
      <c r="M54" s="435"/>
      <c r="N54" s="435"/>
      <c r="O54" s="435"/>
      <c r="P54" s="435"/>
      <c r="Q54" s="435"/>
      <c r="R54" s="436"/>
      <c r="S54" s="905"/>
      <c r="T54" s="905"/>
      <c r="U54" s="438"/>
      <c r="V54" s="19"/>
    </row>
    <row r="55" spans="1:22" ht="16.5" thickBot="1" x14ac:dyDescent="0.25">
      <c r="A55" s="30"/>
      <c r="B55" s="18"/>
      <c r="C55" s="74" t="s">
        <v>1006</v>
      </c>
      <c r="D55" s="49"/>
      <c r="E55" s="49"/>
      <c r="F55" s="18"/>
      <c r="G55" s="895"/>
      <c r="H55" s="895"/>
      <c r="I55" s="54"/>
      <c r="J55" s="54"/>
      <c r="K55" s="902">
        <f>VLOOKUP('Part 1'!$L$16,Datasheet2!$B$5:$BI$331,29,FALSE)</f>
        <v>0</v>
      </c>
      <c r="L55" s="903"/>
      <c r="M55" s="435"/>
      <c r="N55" s="435"/>
      <c r="O55" s="902">
        <f>VLOOKUP('Part 1'!$L$16,Datasheet2!$B$5:$BI$331,30,FALSE)</f>
        <v>0</v>
      </c>
      <c r="P55" s="903"/>
      <c r="Q55" s="18"/>
      <c r="R55" s="436"/>
      <c r="S55" s="899">
        <f>VLOOKUP('Part 1'!$L$16,Datasheet2!$B$5:$BI$331,31,FALSE)</f>
        <v>0</v>
      </c>
      <c r="T55" s="900"/>
      <c r="U55" s="439"/>
      <c r="V55" s="19"/>
    </row>
    <row r="56" spans="1:22" ht="15.75" thickBot="1" x14ac:dyDescent="0.25">
      <c r="A56" s="30"/>
      <c r="B56" s="18"/>
      <c r="C56" s="49"/>
      <c r="D56" s="49"/>
      <c r="E56" s="49"/>
      <c r="F56" s="18"/>
      <c r="G56" s="895"/>
      <c r="H56" s="895"/>
      <c r="I56" s="435"/>
      <c r="J56" s="435"/>
      <c r="K56" s="435"/>
      <c r="L56" s="435"/>
      <c r="M56" s="435"/>
      <c r="N56" s="435"/>
      <c r="O56" s="435"/>
      <c r="P56" s="435"/>
      <c r="Q56" s="435"/>
      <c r="R56" s="436"/>
      <c r="S56" s="436"/>
      <c r="T56" s="436"/>
      <c r="U56" s="437"/>
      <c r="V56" s="19"/>
    </row>
    <row r="57" spans="1:22" ht="16.5" thickBot="1" x14ac:dyDescent="0.25">
      <c r="A57" s="30"/>
      <c r="B57" s="18"/>
      <c r="C57" s="74" t="s">
        <v>1007</v>
      </c>
      <c r="D57" s="49"/>
      <c r="E57" s="49"/>
      <c r="F57" s="18"/>
      <c r="G57" s="54"/>
      <c r="H57" s="54"/>
      <c r="I57" s="54"/>
      <c r="J57" s="54"/>
      <c r="K57" s="435"/>
      <c r="L57" s="435"/>
      <c r="M57" s="435"/>
      <c r="N57" s="435"/>
      <c r="O57" s="902">
        <f>VLOOKUP('Part 1'!$L$16,Datasheet2!$B$5:$BI$331,32,FALSE)</f>
        <v>433574</v>
      </c>
      <c r="P57" s="903"/>
      <c r="Q57" s="54"/>
      <c r="R57" s="436"/>
      <c r="S57" s="899">
        <f>VLOOKUP('Part 1'!$L$16,Datasheet2!$B$5:$BI$331,33,FALSE)</f>
        <v>433574</v>
      </c>
      <c r="T57" s="900"/>
      <c r="U57" s="437"/>
      <c r="V57" s="19"/>
    </row>
    <row r="58" spans="1:22" ht="15.75" thickBot="1" x14ac:dyDescent="0.25">
      <c r="A58" s="30"/>
      <c r="B58" s="18"/>
      <c r="C58" s="49"/>
      <c r="D58" s="49"/>
      <c r="E58" s="49"/>
      <c r="F58" s="18"/>
      <c r="G58" s="435"/>
      <c r="H58" s="435"/>
      <c r="I58" s="435"/>
      <c r="J58" s="435"/>
      <c r="K58" s="435"/>
      <c r="L58" s="435"/>
      <c r="M58" s="435"/>
      <c r="N58" s="435"/>
      <c r="O58" s="435"/>
      <c r="P58" s="435"/>
      <c r="Q58" s="435"/>
      <c r="R58" s="436"/>
      <c r="S58" s="436"/>
      <c r="T58" s="436"/>
      <c r="U58" s="437"/>
      <c r="V58" s="19"/>
    </row>
    <row r="59" spans="1:22" ht="16.5" thickBot="1" x14ac:dyDescent="0.25">
      <c r="A59" s="32"/>
      <c r="B59" s="18"/>
      <c r="C59" s="74" t="s">
        <v>1008</v>
      </c>
      <c r="D59" s="49"/>
      <c r="E59" s="49"/>
      <c r="F59" s="18"/>
      <c r="G59" s="54"/>
      <c r="H59" s="54"/>
      <c r="I59" s="54"/>
      <c r="J59" s="54"/>
      <c r="K59" s="435"/>
      <c r="L59" s="435"/>
      <c r="M59" s="435"/>
      <c r="N59" s="435"/>
      <c r="O59" s="902">
        <f>VLOOKUP('Part 1'!$L$16,Datasheet2!$B$5:$BI$331,34,FALSE)</f>
        <v>745853</v>
      </c>
      <c r="P59" s="903"/>
      <c r="Q59" s="54"/>
      <c r="R59" s="436"/>
      <c r="S59" s="896">
        <f>VLOOKUP('Part 1'!$L$16,Datasheet2!$B$5:$BI$331,35,FALSE)</f>
        <v>745853</v>
      </c>
      <c r="T59" s="897"/>
      <c r="U59" s="437"/>
      <c r="V59" s="19"/>
    </row>
    <row r="60" spans="1:22" ht="16.5" thickBot="1" x14ac:dyDescent="0.25">
      <c r="A60" s="32"/>
      <c r="B60" s="18"/>
      <c r="C60" s="49"/>
      <c r="D60" s="49"/>
      <c r="E60" s="49"/>
      <c r="F60" s="18"/>
      <c r="G60" s="435"/>
      <c r="H60" s="435"/>
      <c r="I60" s="435"/>
      <c r="J60" s="435"/>
      <c r="K60" s="435"/>
      <c r="L60" s="435"/>
      <c r="M60" s="435"/>
      <c r="N60" s="435"/>
      <c r="O60" s="537"/>
      <c r="P60" s="435"/>
      <c r="Q60" s="435"/>
      <c r="R60" s="436"/>
      <c r="S60" s="436"/>
      <c r="T60" s="436"/>
      <c r="U60" s="437"/>
      <c r="V60" s="19"/>
    </row>
    <row r="61" spans="1:22" x14ac:dyDescent="0.2">
      <c r="A61" s="32"/>
      <c r="B61" s="25"/>
      <c r="C61" s="140"/>
      <c r="D61" s="140"/>
      <c r="E61" s="140"/>
      <c r="F61" s="20"/>
      <c r="G61" s="440"/>
      <c r="H61" s="440"/>
      <c r="I61" s="440"/>
      <c r="J61" s="440"/>
      <c r="K61" s="440"/>
      <c r="L61" s="440"/>
      <c r="M61" s="440"/>
      <c r="N61" s="440"/>
      <c r="O61" s="440"/>
      <c r="P61" s="440"/>
      <c r="Q61" s="440"/>
      <c r="R61" s="440"/>
      <c r="S61" s="440"/>
      <c r="T61" s="440"/>
      <c r="U61" s="441"/>
      <c r="V61" s="19"/>
    </row>
    <row r="62" spans="1:22" ht="15.75" x14ac:dyDescent="0.2">
      <c r="A62" s="32"/>
      <c r="B62" s="26"/>
      <c r="C62" s="142"/>
      <c r="D62" s="142"/>
      <c r="E62" s="142"/>
      <c r="F62" s="21"/>
      <c r="G62" s="56"/>
      <c r="H62" s="56"/>
      <c r="I62" s="56"/>
      <c r="J62" s="56"/>
      <c r="K62" s="434"/>
      <c r="L62" s="434"/>
      <c r="M62" s="434"/>
      <c r="N62" s="434"/>
      <c r="O62" s="434"/>
      <c r="P62" s="434"/>
      <c r="Q62" s="56"/>
      <c r="R62" s="914" t="s">
        <v>69</v>
      </c>
      <c r="S62" s="914"/>
      <c r="T62" s="914"/>
      <c r="U62" s="915"/>
      <c r="V62" s="19"/>
    </row>
    <row r="63" spans="1:22" ht="16.5" thickBot="1" x14ac:dyDescent="0.25">
      <c r="A63" s="32"/>
      <c r="B63" s="26"/>
      <c r="C63" s="141" t="s">
        <v>39</v>
      </c>
      <c r="D63" s="142"/>
      <c r="E63" s="142"/>
      <c r="F63" s="21"/>
      <c r="G63" s="56"/>
      <c r="H63" s="56"/>
      <c r="I63" s="56"/>
      <c r="J63" s="56"/>
      <c r="K63" s="434"/>
      <c r="L63" s="434"/>
      <c r="M63" s="434"/>
      <c r="N63" s="434"/>
      <c r="O63" s="910"/>
      <c r="P63" s="910"/>
      <c r="Q63" s="203"/>
      <c r="R63" s="442"/>
      <c r="S63" s="913" t="s">
        <v>20</v>
      </c>
      <c r="T63" s="913"/>
      <c r="U63" s="443"/>
      <c r="V63" s="19"/>
    </row>
    <row r="64" spans="1:22" ht="16.5" thickBot="1" x14ac:dyDescent="0.25">
      <c r="A64" s="32"/>
      <c r="B64" s="26"/>
      <c r="C64" s="145" t="s">
        <v>1009</v>
      </c>
      <c r="D64" s="142"/>
      <c r="E64" s="142"/>
      <c r="F64" s="21"/>
      <c r="G64" s="56"/>
      <c r="H64" s="56"/>
      <c r="I64" s="56"/>
      <c r="J64" s="56"/>
      <c r="K64" s="434"/>
      <c r="L64" s="434"/>
      <c r="M64" s="434"/>
      <c r="N64" s="434"/>
      <c r="O64" s="910"/>
      <c r="P64" s="910"/>
      <c r="Q64" s="216"/>
      <c r="R64" s="442"/>
      <c r="S64" s="911">
        <f>VLOOKUP('Part 1'!$L$16,Datasheet2!$B$5:$BI$331,36,FALSE)</f>
        <v>523678</v>
      </c>
      <c r="T64" s="912"/>
      <c r="U64" s="443"/>
      <c r="V64" s="19"/>
    </row>
    <row r="65" spans="1:30" ht="15.75" thickBot="1" x14ac:dyDescent="0.25">
      <c r="A65" s="32"/>
      <c r="B65" s="27"/>
      <c r="C65" s="143"/>
      <c r="D65" s="143"/>
      <c r="E65" s="143"/>
      <c r="F65" s="22"/>
      <c r="G65" s="112"/>
      <c r="H65" s="112"/>
      <c r="I65" s="112"/>
      <c r="J65" s="112"/>
      <c r="K65" s="112"/>
      <c r="L65" s="112"/>
      <c r="M65" s="112"/>
      <c r="N65" s="112"/>
      <c r="O65" s="112"/>
      <c r="P65" s="112"/>
      <c r="Q65" s="112"/>
      <c r="R65" s="112"/>
      <c r="S65" s="112"/>
      <c r="T65" s="112"/>
      <c r="U65" s="23"/>
      <c r="V65" s="19"/>
    </row>
    <row r="66" spans="1:30" x14ac:dyDescent="0.2">
      <c r="A66" s="32"/>
      <c r="B66" s="18"/>
      <c r="C66" s="49"/>
      <c r="D66" s="49"/>
      <c r="E66" s="49"/>
      <c r="F66" s="18"/>
      <c r="G66" s="113"/>
      <c r="H66" s="113"/>
      <c r="I66" s="113"/>
      <c r="J66" s="113"/>
      <c r="K66" s="113"/>
      <c r="L66" s="113"/>
      <c r="M66" s="113"/>
      <c r="N66" s="113"/>
      <c r="O66" s="113"/>
      <c r="P66" s="113"/>
      <c r="Q66" s="113"/>
      <c r="R66" s="113"/>
      <c r="S66" s="113"/>
      <c r="T66" s="113"/>
      <c r="U66" s="18"/>
      <c r="V66" s="19"/>
    </row>
    <row r="67" spans="1:30" s="5" customFormat="1" ht="15.75" x14ac:dyDescent="0.25">
      <c r="A67" s="7"/>
      <c r="B67" s="6"/>
      <c r="C67" s="737" t="s">
        <v>1356</v>
      </c>
      <c r="D67" s="74"/>
      <c r="E67" s="64"/>
      <c r="F67" s="64"/>
      <c r="G67" s="64"/>
      <c r="H67" s="64"/>
      <c r="I67" s="64"/>
      <c r="J67" s="64"/>
      <c r="K67" s="64"/>
      <c r="L67" s="64"/>
      <c r="M67" s="64"/>
      <c r="N67" s="64"/>
      <c r="O67" s="64"/>
      <c r="P67" s="64"/>
      <c r="Q67" s="64"/>
      <c r="R67" s="750"/>
      <c r="S67" s="751"/>
      <c r="T67" s="750"/>
      <c r="U67" s="752"/>
      <c r="V67" s="8"/>
      <c r="W67" s="321"/>
      <c r="X67" s="213"/>
      <c r="Y67" s="213"/>
      <c r="Z67" s="213"/>
      <c r="AA67" s="213"/>
      <c r="AB67" s="213"/>
      <c r="AC67" s="213"/>
      <c r="AD67" s="213"/>
    </row>
    <row r="68" spans="1:30" s="5" customFormat="1" ht="16.5" thickBot="1" x14ac:dyDescent="0.3">
      <c r="A68" s="7"/>
      <c r="B68" s="6"/>
      <c r="C68" s="74"/>
      <c r="D68" s="74"/>
      <c r="E68" s="64"/>
      <c r="F68" s="64"/>
      <c r="G68" s="64"/>
      <c r="H68" s="64"/>
      <c r="I68" s="64"/>
      <c r="J68" s="64"/>
      <c r="K68" s="738"/>
      <c r="L68" s="547"/>
      <c r="M68" s="64"/>
      <c r="N68" s="532"/>
      <c r="O68" s="532"/>
      <c r="P68" s="532"/>
      <c r="Q68" s="532"/>
      <c r="R68" s="750"/>
      <c r="S68" s="751"/>
      <c r="T68" s="750"/>
      <c r="U68" s="752"/>
      <c r="V68" s="8"/>
      <c r="W68" s="321"/>
      <c r="X68" s="213"/>
      <c r="Y68" s="213"/>
      <c r="Z68" s="213"/>
      <c r="AA68" s="213"/>
      <c r="AB68" s="213"/>
      <c r="AC68" s="213"/>
      <c r="AD68" s="213"/>
    </row>
    <row r="69" spans="1:30" s="5" customFormat="1" ht="16.5" thickBot="1" x14ac:dyDescent="0.3">
      <c r="A69" s="7"/>
      <c r="B69" s="6"/>
      <c r="C69" s="74" t="s">
        <v>1357</v>
      </c>
      <c r="D69" s="74"/>
      <c r="E69" s="64"/>
      <c r="F69" s="64"/>
      <c r="G69" s="64"/>
      <c r="H69" s="64"/>
      <c r="I69" s="64"/>
      <c r="J69" s="64"/>
      <c r="K69" s="877">
        <f>VLOOKUP('Part 1'!$L$16,Datasheet2!$B$5:$BI$331,37,FALSE)</f>
        <v>0</v>
      </c>
      <c r="L69" s="878"/>
      <c r="M69" s="64"/>
      <c r="N69" s="738"/>
      <c r="O69" s="877">
        <f>VLOOKUP('Part 1'!$L$16,Datasheet2!$B$5:$BI$331,38,FALSE)</f>
        <v>0</v>
      </c>
      <c r="P69" s="878"/>
      <c r="Q69" s="738"/>
      <c r="R69" s="750"/>
      <c r="S69" s="885">
        <f>VLOOKUP('Part 1'!$L$16,Datasheet2!$B$5:$BI$331,39,FALSE)</f>
        <v>0</v>
      </c>
      <c r="T69" s="892"/>
      <c r="U69" s="752"/>
      <c r="V69" s="8"/>
      <c r="W69" s="321"/>
      <c r="X69" s="566"/>
      <c r="Y69" s="567"/>
      <c r="Z69" s="568"/>
      <c r="AA69" s="213"/>
      <c r="AB69" s="568"/>
      <c r="AC69" s="213"/>
      <c r="AD69" s="213"/>
    </row>
    <row r="70" spans="1:30" s="5" customFormat="1" ht="15.75" x14ac:dyDescent="0.25">
      <c r="A70" s="7"/>
      <c r="B70" s="6"/>
      <c r="C70" s="74"/>
      <c r="D70" s="74"/>
      <c r="E70" s="64"/>
      <c r="F70" s="64"/>
      <c r="G70" s="64"/>
      <c r="H70" s="64"/>
      <c r="I70" s="64"/>
      <c r="J70" s="64"/>
      <c r="K70" s="738"/>
      <c r="L70" s="547"/>
      <c r="M70" s="547"/>
      <c r="N70" s="547"/>
      <c r="O70" s="64"/>
      <c r="P70" s="738"/>
      <c r="Q70" s="532"/>
      <c r="R70" s="750"/>
      <c r="S70" s="751"/>
      <c r="T70" s="751"/>
      <c r="U70" s="752"/>
      <c r="V70" s="8"/>
      <c r="W70" s="321"/>
      <c r="X70" s="213"/>
      <c r="Y70" s="213"/>
      <c r="Z70" s="213"/>
      <c r="AA70" s="213"/>
      <c r="AB70" s="213"/>
      <c r="AC70" s="213"/>
      <c r="AD70" s="213"/>
    </row>
    <row r="71" spans="1:30" s="5" customFormat="1" ht="15.75" x14ac:dyDescent="0.25">
      <c r="A71" s="7"/>
      <c r="B71" s="6"/>
      <c r="C71" s="737" t="s">
        <v>1358</v>
      </c>
      <c r="D71" s="74"/>
      <c r="E71" s="64"/>
      <c r="F71" s="64"/>
      <c r="G71" s="64"/>
      <c r="H71" s="64"/>
      <c r="I71" s="64"/>
      <c r="J71" s="64"/>
      <c r="K71" s="738"/>
      <c r="L71" s="547"/>
      <c r="M71" s="64"/>
      <c r="N71" s="64"/>
      <c r="O71" s="64"/>
      <c r="P71" s="738"/>
      <c r="Q71" s="532"/>
      <c r="R71" s="750"/>
      <c r="S71" s="751"/>
      <c r="T71" s="751"/>
      <c r="U71" s="752"/>
      <c r="V71" s="8"/>
      <c r="W71" s="321"/>
      <c r="X71" s="213"/>
      <c r="Y71" s="213"/>
      <c r="Z71" s="213"/>
      <c r="AA71" s="213"/>
      <c r="AB71" s="213"/>
      <c r="AC71" s="213"/>
      <c r="AD71" s="213"/>
    </row>
    <row r="72" spans="1:30" s="5" customFormat="1" ht="16.5" thickBot="1" x14ac:dyDescent="0.3">
      <c r="A72" s="7"/>
      <c r="B72" s="6"/>
      <c r="C72" s="74"/>
      <c r="D72" s="74"/>
      <c r="E72" s="64"/>
      <c r="F72" s="64"/>
      <c r="G72" s="64"/>
      <c r="H72" s="64"/>
      <c r="I72" s="64"/>
      <c r="J72" s="64"/>
      <c r="K72" s="738"/>
      <c r="L72" s="547"/>
      <c r="M72" s="547"/>
      <c r="N72" s="547"/>
      <c r="O72" s="64"/>
      <c r="P72" s="738"/>
      <c r="Q72" s="532"/>
      <c r="R72" s="750"/>
      <c r="S72" s="751"/>
      <c r="T72" s="751"/>
      <c r="U72" s="752"/>
      <c r="V72" s="8"/>
      <c r="W72" s="321"/>
      <c r="X72" s="213"/>
      <c r="Y72" s="213"/>
      <c r="Z72" s="213"/>
      <c r="AA72" s="213"/>
      <c r="AB72" s="213"/>
      <c r="AC72" s="213"/>
      <c r="AD72" s="213"/>
    </row>
    <row r="73" spans="1:30" s="5" customFormat="1" ht="16.5" thickBot="1" x14ac:dyDescent="0.3">
      <c r="A73" s="7"/>
      <c r="B73" s="6"/>
      <c r="C73" s="74" t="s">
        <v>1359</v>
      </c>
      <c r="D73" s="74"/>
      <c r="E73" s="64"/>
      <c r="F73" s="64"/>
      <c r="G73" s="64"/>
      <c r="H73" s="64"/>
      <c r="I73" s="64"/>
      <c r="J73" s="64"/>
      <c r="K73" s="893">
        <f>VLOOKUP('Part 1'!$L$16,Datasheet2!$B$5:$BI$331,40,FALSE)</f>
        <v>0</v>
      </c>
      <c r="L73" s="894"/>
      <c r="M73" s="64"/>
      <c r="N73" s="738"/>
      <c r="O73" s="893">
        <f>VLOOKUP('Part 1'!$L$16,Datasheet2!$B$5:$BI$331,41,FALSE)</f>
        <v>0</v>
      </c>
      <c r="P73" s="894"/>
      <c r="Q73" s="532"/>
      <c r="R73" s="750"/>
      <c r="S73" s="879">
        <f>VLOOKUP('Part 1'!$L$16,Datasheet2!$B$5:$BI$331,42,FALSE)</f>
        <v>0</v>
      </c>
      <c r="T73" s="880"/>
      <c r="U73" s="752"/>
      <c r="V73" s="8"/>
      <c r="W73" s="321"/>
      <c r="X73" s="213"/>
      <c r="Y73" s="213"/>
      <c r="Z73" s="213"/>
      <c r="AA73" s="213"/>
      <c r="AB73" s="213"/>
      <c r="AC73" s="213"/>
      <c r="AD73" s="213"/>
    </row>
    <row r="74" spans="1:30" s="5" customFormat="1" ht="15.75" x14ac:dyDescent="0.25">
      <c r="A74" s="7"/>
      <c r="B74" s="6"/>
      <c r="C74" s="74"/>
      <c r="D74" s="74"/>
      <c r="E74" s="64"/>
      <c r="F74" s="64"/>
      <c r="G74" s="64"/>
      <c r="H74" s="64"/>
      <c r="I74" s="64"/>
      <c r="J74" s="64"/>
      <c r="K74" s="738"/>
      <c r="L74" s="547"/>
      <c r="M74" s="547"/>
      <c r="N74" s="547"/>
      <c r="O74" s="547"/>
      <c r="P74" s="64"/>
      <c r="Q74" s="532"/>
      <c r="R74" s="750"/>
      <c r="S74" s="751"/>
      <c r="T74" s="750"/>
      <c r="U74" s="752"/>
      <c r="V74" s="8"/>
      <c r="W74" s="321"/>
      <c r="X74" s="213"/>
      <c r="Y74" s="213"/>
      <c r="Z74" s="213"/>
      <c r="AA74" s="213"/>
      <c r="AB74" s="213"/>
      <c r="AC74" s="213"/>
      <c r="AD74" s="213"/>
    </row>
    <row r="75" spans="1:30" s="5" customFormat="1" ht="15.75" x14ac:dyDescent="0.25">
      <c r="A75" s="7"/>
      <c r="B75" s="6"/>
      <c r="C75" s="737" t="s">
        <v>1360</v>
      </c>
      <c r="D75" s="74"/>
      <c r="E75" s="64"/>
      <c r="F75" s="64"/>
      <c r="G75" s="64"/>
      <c r="H75" s="64"/>
      <c r="I75" s="64"/>
      <c r="J75" s="64"/>
      <c r="K75" s="738"/>
      <c r="L75" s="547"/>
      <c r="M75" s="547"/>
      <c r="N75" s="547"/>
      <c r="O75" s="547"/>
      <c r="P75" s="547"/>
      <c r="Q75" s="532"/>
      <c r="R75" s="750"/>
      <c r="S75" s="751"/>
      <c r="T75" s="750"/>
      <c r="U75" s="752"/>
      <c r="V75" s="8"/>
      <c r="W75" s="321"/>
      <c r="X75" s="213"/>
      <c r="Y75" s="213"/>
      <c r="Z75" s="213"/>
      <c r="AA75" s="213"/>
      <c r="AB75" s="213"/>
      <c r="AC75" s="213"/>
      <c r="AD75" s="213"/>
    </row>
    <row r="76" spans="1:30" s="5" customFormat="1" ht="16.5" thickBot="1" x14ac:dyDescent="0.3">
      <c r="A76" s="7"/>
      <c r="B76" s="6"/>
      <c r="C76" s="74"/>
      <c r="D76" s="74"/>
      <c r="E76" s="64"/>
      <c r="F76" s="64"/>
      <c r="G76" s="64"/>
      <c r="H76" s="64"/>
      <c r="I76" s="64"/>
      <c r="J76" s="64"/>
      <c r="K76" s="738"/>
      <c r="L76" s="547"/>
      <c r="M76" s="547"/>
      <c r="N76" s="547"/>
      <c r="O76" s="547"/>
      <c r="P76" s="547"/>
      <c r="Q76" s="532"/>
      <c r="R76" s="750"/>
      <c r="S76" s="751"/>
      <c r="T76" s="750"/>
      <c r="U76" s="752"/>
      <c r="V76" s="8"/>
      <c r="W76" s="321"/>
      <c r="X76" s="213"/>
      <c r="Y76" s="213"/>
      <c r="Z76" s="213"/>
      <c r="AA76" s="213"/>
      <c r="AB76" s="213"/>
      <c r="AC76" s="213"/>
      <c r="AD76" s="213"/>
    </row>
    <row r="77" spans="1:30" s="5" customFormat="1" ht="16.5" thickBot="1" x14ac:dyDescent="0.3">
      <c r="A77" s="7"/>
      <c r="B77" s="6"/>
      <c r="C77" s="887" t="s">
        <v>1477</v>
      </c>
      <c r="D77" s="887"/>
      <c r="E77" s="887"/>
      <c r="F77" s="887"/>
      <c r="G77" s="741"/>
      <c r="H77" s="741"/>
      <c r="I77" s="64"/>
      <c r="J77" s="64"/>
      <c r="K77" s="888">
        <f>VLOOKUP('Part 1'!$L$16,Datasheet2!$B$5:$BI$331,43,FALSE)</f>
        <v>0</v>
      </c>
      <c r="L77" s="889"/>
      <c r="M77" s="738"/>
      <c r="N77" s="547"/>
      <c r="O77" s="547"/>
      <c r="P77" s="532"/>
      <c r="Q77" s="532"/>
      <c r="R77" s="750"/>
      <c r="S77" s="879">
        <f>VLOOKUP('Part 1'!$L$16,Datasheet2!$B$5:$BI$331,44,FALSE)</f>
        <v>0</v>
      </c>
      <c r="T77" s="880"/>
      <c r="U77" s="750"/>
      <c r="V77" s="8"/>
      <c r="W77" s="321"/>
      <c r="X77" s="213"/>
      <c r="Y77" s="213"/>
      <c r="Z77" s="213"/>
      <c r="AA77" s="213"/>
      <c r="AB77" s="213"/>
      <c r="AC77" s="213"/>
      <c r="AD77" s="213"/>
    </row>
    <row r="78" spans="1:30" s="5" customFormat="1" ht="15.75" x14ac:dyDescent="0.25">
      <c r="A78" s="7"/>
      <c r="B78" s="6"/>
      <c r="C78" s="887"/>
      <c r="D78" s="887"/>
      <c r="E78" s="887"/>
      <c r="F78" s="887"/>
      <c r="G78" s="741"/>
      <c r="H78" s="741"/>
      <c r="I78" s="64"/>
      <c r="J78" s="64"/>
      <c r="K78" s="74"/>
      <c r="L78" s="74"/>
      <c r="M78" s="738"/>
      <c r="N78" s="547"/>
      <c r="O78" s="547"/>
      <c r="P78" s="532"/>
      <c r="Q78" s="532"/>
      <c r="R78" s="750"/>
      <c r="S78" s="751"/>
      <c r="T78" s="750"/>
      <c r="U78" s="750"/>
      <c r="V78" s="8"/>
      <c r="W78" s="321"/>
      <c r="X78" s="213"/>
      <c r="Y78" s="213"/>
      <c r="Z78" s="213"/>
      <c r="AA78" s="213"/>
      <c r="AB78" s="213"/>
      <c r="AC78" s="213"/>
      <c r="AD78" s="213"/>
    </row>
    <row r="79" spans="1:30" s="5" customFormat="1" ht="16.5" thickBot="1" x14ac:dyDescent="0.3">
      <c r="A79" s="7"/>
      <c r="B79" s="6"/>
      <c r="C79" s="74"/>
      <c r="D79" s="74"/>
      <c r="E79" s="64"/>
      <c r="F79" s="64"/>
      <c r="G79" s="64"/>
      <c r="H79" s="64"/>
      <c r="I79" s="64"/>
      <c r="J79" s="64"/>
      <c r="K79" s="64"/>
      <c r="L79" s="64"/>
      <c r="M79" s="738"/>
      <c r="N79" s="547"/>
      <c r="O79" s="547"/>
      <c r="P79" s="532"/>
      <c r="Q79" s="532"/>
      <c r="R79" s="750"/>
      <c r="S79" s="751"/>
      <c r="T79" s="750"/>
      <c r="U79" s="750"/>
      <c r="V79" s="8"/>
      <c r="W79" s="321"/>
      <c r="X79" s="213"/>
      <c r="Y79" s="213"/>
      <c r="Z79" s="213"/>
      <c r="AA79" s="213"/>
      <c r="AB79" s="213"/>
      <c r="AC79" s="213"/>
      <c r="AD79" s="213"/>
    </row>
    <row r="80" spans="1:30" s="5" customFormat="1" ht="16.5" thickBot="1" x14ac:dyDescent="0.3">
      <c r="A80" s="7"/>
      <c r="B80" s="6"/>
      <c r="C80" s="74" t="s">
        <v>1478</v>
      </c>
      <c r="D80" s="74"/>
      <c r="E80" s="64"/>
      <c r="F80" s="64"/>
      <c r="G80" s="64"/>
      <c r="H80" s="64"/>
      <c r="I80" s="64"/>
      <c r="J80" s="64"/>
      <c r="K80" s="890">
        <f>VLOOKUP('Part 1'!$L$16,Datasheet2!$B$5:$BI$331,45,FALSE)</f>
        <v>0</v>
      </c>
      <c r="L80" s="891"/>
      <c r="M80" s="738"/>
      <c r="N80" s="547"/>
      <c r="O80" s="547"/>
      <c r="P80" s="532"/>
      <c r="Q80" s="532"/>
      <c r="R80" s="750"/>
      <c r="S80" s="879">
        <f>VLOOKUP('Part 1'!$L$16,Datasheet2!$B$5:$BI$331,46,FALSE)</f>
        <v>0</v>
      </c>
      <c r="T80" s="880"/>
      <c r="U80" s="750"/>
      <c r="V80" s="8"/>
      <c r="W80" s="321"/>
      <c r="X80" s="213"/>
      <c r="Y80" s="213"/>
      <c r="Z80" s="213"/>
      <c r="AA80" s="213"/>
      <c r="AB80" s="213"/>
      <c r="AC80" s="213"/>
      <c r="AD80" s="213"/>
    </row>
    <row r="81" spans="1:30" s="5" customFormat="1" ht="16.5" thickBot="1" x14ac:dyDescent="0.3">
      <c r="A81" s="7"/>
      <c r="B81" s="6"/>
      <c r="C81" s="74"/>
      <c r="D81" s="74"/>
      <c r="E81" s="64"/>
      <c r="F81" s="64"/>
      <c r="G81" s="64"/>
      <c r="H81" s="64"/>
      <c r="I81" s="64"/>
      <c r="J81" s="64"/>
      <c r="K81" s="64"/>
      <c r="L81" s="64"/>
      <c r="M81" s="738"/>
      <c r="N81" s="547"/>
      <c r="O81" s="547"/>
      <c r="P81" s="532"/>
      <c r="Q81" s="532"/>
      <c r="R81" s="750"/>
      <c r="S81" s="751"/>
      <c r="T81" s="750"/>
      <c r="U81" s="750"/>
      <c r="V81" s="8"/>
      <c r="W81" s="321"/>
      <c r="X81" s="213"/>
      <c r="Y81" s="213"/>
      <c r="Z81" s="213"/>
      <c r="AA81" s="213"/>
      <c r="AB81" s="213"/>
      <c r="AC81" s="213"/>
      <c r="AD81" s="213"/>
    </row>
    <row r="82" spans="1:30" s="5" customFormat="1" ht="16.5" thickBot="1" x14ac:dyDescent="0.3">
      <c r="A82" s="7"/>
      <c r="B82" s="6"/>
      <c r="C82" s="74" t="s">
        <v>1648</v>
      </c>
      <c r="D82" s="74"/>
      <c r="E82" s="64"/>
      <c r="F82" s="64"/>
      <c r="G82" s="64"/>
      <c r="H82" s="64"/>
      <c r="I82" s="64"/>
      <c r="J82" s="64"/>
      <c r="K82" s="877">
        <f>VLOOKUP('Part 1'!$L$16,Datasheet2!$B$5:$BI$331,47,FALSE)</f>
        <v>0</v>
      </c>
      <c r="L82" s="878"/>
      <c r="M82" s="738"/>
      <c r="N82" s="547"/>
      <c r="O82" s="547"/>
      <c r="P82" s="532"/>
      <c r="Q82" s="532"/>
      <c r="R82" s="750"/>
      <c r="S82" s="879">
        <f>VLOOKUP('Part 1'!$L$16,Datasheet2!$B$5:$BI$331,48,FALSE)</f>
        <v>0</v>
      </c>
      <c r="T82" s="880"/>
      <c r="U82" s="750"/>
      <c r="V82" s="8"/>
      <c r="W82" s="321"/>
      <c r="X82" s="213"/>
      <c r="Y82" s="213"/>
      <c r="Z82" s="213"/>
      <c r="AA82" s="213"/>
      <c r="AB82" s="213"/>
      <c r="AC82" s="213"/>
      <c r="AD82" s="213"/>
    </row>
    <row r="83" spans="1:30" s="5" customFormat="1" ht="15.75" x14ac:dyDescent="0.25">
      <c r="A83" s="7"/>
      <c r="B83" s="6"/>
      <c r="C83" s="74"/>
      <c r="D83" s="74"/>
      <c r="E83" s="64"/>
      <c r="F83" s="64"/>
      <c r="G83" s="64"/>
      <c r="H83" s="64"/>
      <c r="I83" s="64"/>
      <c r="J83" s="64"/>
      <c r="K83" s="64"/>
      <c r="L83" s="64"/>
      <c r="M83" s="738"/>
      <c r="N83" s="547"/>
      <c r="O83" s="547"/>
      <c r="P83" s="532"/>
      <c r="Q83" s="532"/>
      <c r="R83" s="750"/>
      <c r="S83" s="751"/>
      <c r="T83" s="750"/>
      <c r="U83" s="750"/>
      <c r="V83" s="8"/>
      <c r="W83" s="321"/>
      <c r="X83" s="213"/>
      <c r="Y83" s="213"/>
      <c r="Z83" s="213"/>
      <c r="AA83" s="213"/>
      <c r="AB83" s="213"/>
      <c r="AC83" s="213"/>
      <c r="AD83" s="213"/>
    </row>
    <row r="84" spans="1:30" s="5" customFormat="1" ht="15.75" x14ac:dyDescent="0.25">
      <c r="A84" s="7"/>
      <c r="B84" s="6"/>
      <c r="C84" s="737" t="s">
        <v>1361</v>
      </c>
      <c r="D84" s="74"/>
      <c r="E84" s="64"/>
      <c r="F84" s="64"/>
      <c r="G84" s="64"/>
      <c r="H84" s="64"/>
      <c r="I84" s="64"/>
      <c r="J84" s="64"/>
      <c r="K84" s="64"/>
      <c r="L84" s="64"/>
      <c r="M84" s="738"/>
      <c r="N84" s="547"/>
      <c r="O84" s="547"/>
      <c r="P84" s="532"/>
      <c r="Q84" s="532"/>
      <c r="R84" s="750"/>
      <c r="S84" s="751"/>
      <c r="T84" s="750"/>
      <c r="U84" s="750"/>
      <c r="V84" s="8"/>
      <c r="W84" s="321"/>
      <c r="X84" s="213"/>
      <c r="Y84" s="213"/>
      <c r="Z84" s="213"/>
      <c r="AA84" s="213"/>
      <c r="AB84" s="213"/>
      <c r="AC84" s="213"/>
      <c r="AD84" s="213"/>
    </row>
    <row r="85" spans="1:30" s="5" customFormat="1" ht="16.5" thickBot="1" x14ac:dyDescent="0.3">
      <c r="A85" s="7"/>
      <c r="B85" s="6"/>
      <c r="C85" s="737"/>
      <c r="D85" s="74"/>
      <c r="E85" s="64"/>
      <c r="F85" s="64"/>
      <c r="G85" s="64"/>
      <c r="H85" s="64"/>
      <c r="I85" s="64"/>
      <c r="J85" s="64"/>
      <c r="K85" s="64"/>
      <c r="L85" s="64"/>
      <c r="M85" s="738"/>
      <c r="N85" s="547"/>
      <c r="O85" s="547"/>
      <c r="P85" s="532"/>
      <c r="Q85" s="532"/>
      <c r="R85" s="750"/>
      <c r="S85" s="751"/>
      <c r="T85" s="750"/>
      <c r="U85" s="750"/>
      <c r="V85" s="8"/>
      <c r="W85" s="321"/>
      <c r="X85" s="213"/>
      <c r="Y85" s="213"/>
      <c r="Z85" s="213"/>
      <c r="AA85" s="213"/>
      <c r="AB85" s="213"/>
      <c r="AC85" s="213"/>
      <c r="AD85" s="213"/>
    </row>
    <row r="86" spans="1:30" s="5" customFormat="1" ht="16.5" thickBot="1" x14ac:dyDescent="0.3">
      <c r="A86" s="7"/>
      <c r="B86" s="6"/>
      <c r="C86" s="74" t="s">
        <v>1479</v>
      </c>
      <c r="D86" s="74"/>
      <c r="E86" s="64"/>
      <c r="F86" s="64"/>
      <c r="G86" s="64"/>
      <c r="H86" s="64"/>
      <c r="I86" s="64"/>
      <c r="J86" s="64"/>
      <c r="K86" s="881">
        <f>VLOOKUP('Part 1'!$L$16,Datasheet2!$B$5:$BI$331,49,FALSE)</f>
        <v>0</v>
      </c>
      <c r="L86" s="882"/>
      <c r="M86" s="738"/>
      <c r="N86" s="547"/>
      <c r="O86" s="547"/>
      <c r="P86" s="532"/>
      <c r="Q86" s="532"/>
      <c r="R86" s="750"/>
      <c r="S86" s="879">
        <f>VLOOKUP('Part 1'!$L$16,Datasheet2!$B$5:$BI$331,50,FALSE)</f>
        <v>0</v>
      </c>
      <c r="T86" s="880"/>
      <c r="U86" s="750"/>
      <c r="V86" s="8"/>
      <c r="W86" s="321"/>
      <c r="X86" s="213"/>
      <c r="Y86" s="213"/>
      <c r="Z86" s="213"/>
      <c r="AA86" s="213"/>
      <c r="AB86" s="213"/>
      <c r="AC86" s="213"/>
      <c r="AD86" s="213"/>
    </row>
    <row r="87" spans="1:30" s="5" customFormat="1" ht="16.5" thickBot="1" x14ac:dyDescent="0.3">
      <c r="A87" s="7"/>
      <c r="B87" s="6"/>
      <c r="C87" s="74"/>
      <c r="D87" s="74"/>
      <c r="E87" s="64"/>
      <c r="F87" s="64"/>
      <c r="G87" s="64"/>
      <c r="H87" s="64"/>
      <c r="I87" s="64"/>
      <c r="J87" s="64"/>
      <c r="K87" s="64"/>
      <c r="L87" s="64"/>
      <c r="M87" s="738"/>
      <c r="N87" s="547"/>
      <c r="O87" s="547"/>
      <c r="P87" s="532"/>
      <c r="Q87" s="532"/>
      <c r="R87" s="750"/>
      <c r="S87" s="751"/>
      <c r="T87" s="750"/>
      <c r="U87" s="750"/>
      <c r="V87" s="8"/>
      <c r="W87" s="321"/>
      <c r="X87" s="213"/>
      <c r="Y87" s="213"/>
      <c r="Z87" s="213"/>
      <c r="AA87" s="213"/>
      <c r="AB87" s="213"/>
      <c r="AC87" s="213"/>
      <c r="AD87" s="213"/>
    </row>
    <row r="88" spans="1:30" s="5" customFormat="1" ht="15.75" x14ac:dyDescent="0.25">
      <c r="A88" s="7"/>
      <c r="B88" s="6"/>
      <c r="C88" s="753"/>
      <c r="D88" s="754"/>
      <c r="E88" s="755"/>
      <c r="F88" s="755"/>
      <c r="G88" s="755"/>
      <c r="H88" s="755"/>
      <c r="I88" s="755"/>
      <c r="J88" s="755"/>
      <c r="K88" s="755"/>
      <c r="L88" s="755"/>
      <c r="M88" s="756"/>
      <c r="N88" s="757"/>
      <c r="O88" s="757"/>
      <c r="P88" s="758"/>
      <c r="Q88" s="758"/>
      <c r="R88" s="760"/>
      <c r="S88" s="760"/>
      <c r="T88" s="759"/>
      <c r="U88" s="761"/>
      <c r="V88" s="8"/>
      <c r="W88" s="321"/>
      <c r="X88" s="213"/>
      <c r="Y88" s="213"/>
      <c r="Z88" s="213"/>
      <c r="AA88" s="213"/>
      <c r="AB88" s="213"/>
      <c r="AC88" s="213"/>
      <c r="AD88" s="213"/>
    </row>
    <row r="89" spans="1:30" s="5" customFormat="1" ht="19.5" customHeight="1" thickBot="1" x14ac:dyDescent="0.3">
      <c r="A89" s="7"/>
      <c r="B89" s="6"/>
      <c r="C89" s="762" t="s">
        <v>1358</v>
      </c>
      <c r="D89" s="763"/>
      <c r="E89" s="764"/>
      <c r="F89" s="764"/>
      <c r="G89" s="764"/>
      <c r="H89" s="764"/>
      <c r="I89" s="764"/>
      <c r="J89" s="764"/>
      <c r="K89" s="764"/>
      <c r="L89" s="764"/>
      <c r="M89" s="765"/>
      <c r="N89" s="766"/>
      <c r="O89" s="766"/>
      <c r="P89" s="767"/>
      <c r="Q89" s="767"/>
      <c r="R89" s="750"/>
      <c r="S89" s="751"/>
      <c r="T89" s="750"/>
      <c r="U89" s="768"/>
      <c r="V89" s="8"/>
      <c r="W89" s="321"/>
      <c r="X89" s="213"/>
      <c r="Y89" s="213"/>
      <c r="Z89" s="213"/>
      <c r="AA89" s="213"/>
      <c r="AB89" s="213"/>
      <c r="AC89" s="213"/>
      <c r="AD89" s="213"/>
    </row>
    <row r="90" spans="1:30" s="5" customFormat="1" ht="16.5" thickBot="1" x14ac:dyDescent="0.3">
      <c r="A90" s="7"/>
      <c r="B90" s="6"/>
      <c r="C90" s="769" t="s">
        <v>1362</v>
      </c>
      <c r="D90" s="763"/>
      <c r="E90" s="764"/>
      <c r="F90" s="764"/>
      <c r="G90" s="764"/>
      <c r="H90" s="764"/>
      <c r="I90" s="764"/>
      <c r="J90" s="764"/>
      <c r="K90" s="883">
        <f>VLOOKUP('Part 1'!$L$16,Datasheet2!$B$5:$BI$331,51,FALSE)</f>
        <v>0</v>
      </c>
      <c r="L90" s="884"/>
      <c r="M90" s="767"/>
      <c r="N90" s="765"/>
      <c r="O90" s="883">
        <f>VLOOKUP('Part 1'!$L$16,Datasheet2!$B$5:$BI$331,52,FALSE)</f>
        <v>0</v>
      </c>
      <c r="P90" s="884"/>
      <c r="Q90" s="767"/>
      <c r="R90" s="750"/>
      <c r="S90" s="885">
        <f>VLOOKUP('Part 1'!$L$16,Datasheet2!$B$5:$BI$331,53,FALSE)</f>
        <v>0</v>
      </c>
      <c r="T90" s="886"/>
      <c r="U90" s="770"/>
      <c r="V90" s="8"/>
      <c r="W90" s="321"/>
      <c r="X90" s="213"/>
      <c r="Y90" s="213"/>
      <c r="Z90" s="213"/>
      <c r="AA90" s="213"/>
      <c r="AB90" s="213"/>
      <c r="AC90" s="213"/>
      <c r="AD90" s="213"/>
    </row>
    <row r="91" spans="1:30" s="5" customFormat="1" ht="16.5" thickBot="1" x14ac:dyDescent="0.3">
      <c r="A91" s="7"/>
      <c r="B91" s="6"/>
      <c r="C91" s="771"/>
      <c r="D91" s="772"/>
      <c r="E91" s="773"/>
      <c r="F91" s="773"/>
      <c r="G91" s="773"/>
      <c r="H91" s="773"/>
      <c r="I91" s="773"/>
      <c r="J91" s="773"/>
      <c r="K91" s="773"/>
      <c r="L91" s="773"/>
      <c r="M91" s="774"/>
      <c r="N91" s="775"/>
      <c r="O91" s="775"/>
      <c r="P91" s="776"/>
      <c r="Q91" s="776"/>
      <c r="R91" s="777"/>
      <c r="S91" s="777"/>
      <c r="T91" s="777"/>
      <c r="U91" s="778"/>
      <c r="V91" s="8"/>
      <c r="W91" s="321"/>
      <c r="X91" s="213"/>
      <c r="Y91" s="213"/>
      <c r="Z91" s="213"/>
      <c r="AA91" s="213"/>
      <c r="AB91" s="213"/>
      <c r="AC91" s="213"/>
      <c r="AD91" s="213"/>
    </row>
    <row r="92" spans="1:30" s="5" customFormat="1" x14ac:dyDescent="0.2">
      <c r="A92" s="7"/>
      <c r="B92" s="6"/>
      <c r="C92" s="74"/>
      <c r="D92" s="74"/>
      <c r="E92" s="74"/>
      <c r="F92" s="6"/>
      <c r="G92" s="779"/>
      <c r="H92" s="779"/>
      <c r="I92" s="779"/>
      <c r="J92" s="779"/>
      <c r="K92" s="779"/>
      <c r="L92" s="779"/>
      <c r="M92" s="779"/>
      <c r="N92" s="779"/>
      <c r="O92" s="779"/>
      <c r="P92" s="779"/>
      <c r="Q92" s="779"/>
      <c r="R92" s="6"/>
      <c r="S92" s="6"/>
      <c r="T92" s="6"/>
      <c r="U92" s="6"/>
      <c r="V92" s="8"/>
      <c r="W92" s="780"/>
    </row>
    <row r="93" spans="1:30" ht="15.75" thickBot="1" x14ac:dyDescent="0.25">
      <c r="A93" s="32"/>
      <c r="B93" s="18"/>
      <c r="C93" s="49"/>
      <c r="D93" s="49"/>
      <c r="E93" s="49"/>
      <c r="F93" s="18"/>
      <c r="G93" s="113"/>
      <c r="H93" s="113"/>
      <c r="I93" s="113"/>
      <c r="J93" s="113"/>
      <c r="K93" s="113"/>
      <c r="L93" s="113"/>
      <c r="M93" s="113"/>
      <c r="N93" s="113"/>
      <c r="O93" s="113"/>
      <c r="P93" s="113"/>
      <c r="Q93" s="113"/>
      <c r="R93" s="113"/>
      <c r="S93" s="113"/>
      <c r="T93" s="113"/>
      <c r="U93" s="18"/>
      <c r="V93" s="19"/>
    </row>
    <row r="94" spans="1:30" x14ac:dyDescent="0.2">
      <c r="A94" s="32"/>
      <c r="B94" s="190"/>
      <c r="C94" s="191"/>
      <c r="D94" s="191"/>
      <c r="E94" s="191"/>
      <c r="F94" s="192"/>
      <c r="G94" s="192"/>
      <c r="H94" s="193"/>
      <c r="I94" s="193"/>
      <c r="J94" s="193"/>
      <c r="K94" s="193"/>
      <c r="L94" s="193"/>
      <c r="M94" s="193"/>
      <c r="N94" s="193"/>
      <c r="O94" s="193"/>
      <c r="P94" s="193"/>
      <c r="Q94" s="193"/>
      <c r="R94" s="193"/>
      <c r="S94" s="193"/>
      <c r="T94" s="193"/>
      <c r="U94" s="194"/>
      <c r="V94" s="19"/>
    </row>
    <row r="95" spans="1:30" ht="16.5" thickBot="1" x14ac:dyDescent="0.25">
      <c r="A95" s="32"/>
      <c r="B95" s="195"/>
      <c r="C95" s="196" t="s">
        <v>50</v>
      </c>
      <c r="D95" s="179"/>
      <c r="E95" s="179"/>
      <c r="F95" s="189"/>
      <c r="G95" s="189"/>
      <c r="H95" s="189"/>
      <c r="I95" s="189"/>
      <c r="J95" s="189"/>
      <c r="K95" s="189"/>
      <c r="L95" s="189"/>
      <c r="M95" s="189"/>
      <c r="N95" s="189"/>
      <c r="O95" s="189"/>
      <c r="P95" s="189"/>
      <c r="Q95" s="189"/>
      <c r="R95" s="189"/>
      <c r="S95" s="197"/>
      <c r="T95" s="197"/>
      <c r="U95" s="198"/>
      <c r="V95" s="19"/>
    </row>
    <row r="96" spans="1:30" ht="16.5" thickBot="1" x14ac:dyDescent="0.25">
      <c r="A96" s="32"/>
      <c r="B96" s="195"/>
      <c r="C96" s="181" t="s">
        <v>1363</v>
      </c>
      <c r="D96" s="179"/>
      <c r="E96" s="179"/>
      <c r="F96" s="189"/>
      <c r="G96" s="189"/>
      <c r="H96" s="189"/>
      <c r="I96" s="189"/>
      <c r="J96" s="189"/>
      <c r="K96" s="189"/>
      <c r="L96" s="189"/>
      <c r="M96" s="189"/>
      <c r="N96" s="189"/>
      <c r="O96" s="189"/>
      <c r="P96" s="189"/>
      <c r="Q96" s="189"/>
      <c r="R96" s="189"/>
      <c r="S96" s="908">
        <f>VLOOKUP('Part 1'!$L$16,Datasheet2!$B$5:$BI$331,54,FALSE)</f>
        <v>2727447</v>
      </c>
      <c r="T96" s="909"/>
      <c r="U96" s="199"/>
      <c r="V96" s="19"/>
    </row>
    <row r="97" spans="1:22" ht="15.75" thickBot="1" x14ac:dyDescent="0.25">
      <c r="A97" s="32"/>
      <c r="B97" s="195"/>
      <c r="C97" s="179"/>
      <c r="D97" s="179"/>
      <c r="E97" s="179"/>
      <c r="F97" s="189"/>
      <c r="G97" s="189"/>
      <c r="H97" s="189"/>
      <c r="I97" s="189"/>
      <c r="J97" s="189"/>
      <c r="K97" s="189"/>
      <c r="L97" s="189"/>
      <c r="M97" s="189"/>
      <c r="N97" s="189"/>
      <c r="O97" s="189"/>
      <c r="P97" s="189"/>
      <c r="Q97" s="189"/>
      <c r="R97" s="189"/>
      <c r="S97" s="183"/>
      <c r="T97" s="183"/>
      <c r="U97" s="199"/>
      <c r="V97" s="19"/>
    </row>
    <row r="98" spans="1:22" ht="16.5" thickBot="1" x14ac:dyDescent="0.25">
      <c r="A98" s="32"/>
      <c r="B98" s="195"/>
      <c r="C98" s="181" t="s">
        <v>1364</v>
      </c>
      <c r="D98" s="179"/>
      <c r="E98" s="179"/>
      <c r="F98" s="189"/>
      <c r="G98" s="189"/>
      <c r="H98" s="189"/>
      <c r="I98" s="189"/>
      <c r="J98" s="189"/>
      <c r="K98" s="189"/>
      <c r="L98" s="189"/>
      <c r="M98" s="189"/>
      <c r="N98" s="189"/>
      <c r="O98" s="189"/>
      <c r="P98" s="189"/>
      <c r="Q98" s="189"/>
      <c r="R98" s="189"/>
      <c r="S98" s="908">
        <f>VLOOKUP('Part 1'!$L$16,Datasheet2!$B$5:$BI$331,55,FALSE)</f>
        <v>-2276900</v>
      </c>
      <c r="T98" s="909"/>
      <c r="U98" s="199"/>
      <c r="V98" s="19"/>
    </row>
    <row r="99" spans="1:22" ht="15.75" thickBot="1" x14ac:dyDescent="0.25">
      <c r="A99" s="32"/>
      <c r="B99" s="200"/>
      <c r="C99" s="201"/>
      <c r="D99" s="201"/>
      <c r="E99" s="201"/>
      <c r="F99" s="201"/>
      <c r="G99" s="201"/>
      <c r="H99" s="201"/>
      <c r="I99" s="201"/>
      <c r="J99" s="201"/>
      <c r="K99" s="201"/>
      <c r="L99" s="201"/>
      <c r="M99" s="201"/>
      <c r="N99" s="201"/>
      <c r="O99" s="201"/>
      <c r="P99" s="201"/>
      <c r="Q99" s="201"/>
      <c r="R99" s="201"/>
      <c r="S99" s="201"/>
      <c r="T99" s="201"/>
      <c r="U99" s="202"/>
      <c r="V99" s="19"/>
    </row>
    <row r="100" spans="1:22" ht="15.75" thickBot="1" x14ac:dyDescent="0.25">
      <c r="A100" s="594"/>
      <c r="B100" s="70"/>
      <c r="C100" s="70"/>
      <c r="D100" s="70"/>
      <c r="E100" s="70"/>
      <c r="F100" s="70"/>
      <c r="G100" s="70"/>
      <c r="H100" s="70"/>
      <c r="I100" s="70"/>
      <c r="J100" s="70"/>
      <c r="K100" s="70"/>
      <c r="L100" s="70"/>
      <c r="M100" s="70"/>
      <c r="N100" s="70"/>
      <c r="O100" s="70"/>
      <c r="P100" s="70"/>
      <c r="Q100" s="70"/>
      <c r="R100" s="70"/>
      <c r="S100" s="70"/>
      <c r="T100" s="70"/>
      <c r="U100" s="70"/>
      <c r="V100" s="595"/>
    </row>
    <row r="102" spans="1:22" x14ac:dyDescent="0.2">
      <c r="G102" s="347"/>
    </row>
    <row r="103" spans="1:22" x14ac:dyDescent="0.2">
      <c r="G103" s="347"/>
    </row>
    <row r="104" spans="1:22" x14ac:dyDescent="0.2">
      <c r="G104" s="347"/>
    </row>
    <row r="105" spans="1:22" x14ac:dyDescent="0.2">
      <c r="E105" s="347"/>
      <c r="G105" s="347"/>
      <c r="I105" s="347"/>
    </row>
    <row r="106" spans="1:22" x14ac:dyDescent="0.2">
      <c r="G106" s="347"/>
    </row>
    <row r="107" spans="1:22" x14ac:dyDescent="0.2">
      <c r="G107" s="347"/>
    </row>
    <row r="108" spans="1:22" x14ac:dyDescent="0.2">
      <c r="G108" s="347"/>
    </row>
    <row r="109" spans="1:22" x14ac:dyDescent="0.2">
      <c r="C109" s="347"/>
      <c r="D109" s="347"/>
      <c r="E109" s="347"/>
      <c r="F109" s="347"/>
      <c r="G109" s="347"/>
      <c r="H109" s="347"/>
      <c r="I109" s="347"/>
      <c r="J109" s="347"/>
      <c r="K109" s="347"/>
      <c r="L109" s="347"/>
      <c r="M109" s="347"/>
      <c r="N109" s="347"/>
      <c r="O109" s="347"/>
      <c r="P109" s="347"/>
      <c r="Q109" s="347"/>
      <c r="R109" s="347"/>
      <c r="S109" s="347"/>
      <c r="T109" s="347"/>
      <c r="U109" s="347"/>
      <c r="V109" s="347"/>
    </row>
    <row r="110" spans="1:22" x14ac:dyDescent="0.2">
      <c r="G110" s="347"/>
    </row>
    <row r="111" spans="1:22" x14ac:dyDescent="0.2">
      <c r="G111" s="347"/>
    </row>
    <row r="112" spans="1:22" x14ac:dyDescent="0.2">
      <c r="G112" s="347"/>
    </row>
    <row r="113" spans="7:7" x14ac:dyDescent="0.2">
      <c r="G113" s="347"/>
    </row>
    <row r="114" spans="7:7" x14ac:dyDescent="0.2">
      <c r="G114" s="347"/>
    </row>
  </sheetData>
  <mergeCells count="102">
    <mergeCell ref="K46:L46"/>
    <mergeCell ref="K32:L32"/>
    <mergeCell ref="C29:G30"/>
    <mergeCell ref="G41:H41"/>
    <mergeCell ref="K41:L41"/>
    <mergeCell ref="G46:H46"/>
    <mergeCell ref="S37:T37"/>
    <mergeCell ref="S29:T29"/>
    <mergeCell ref="S46:T46"/>
    <mergeCell ref="O35:P35"/>
    <mergeCell ref="O46:P46"/>
    <mergeCell ref="O41:P41"/>
    <mergeCell ref="S41:T41"/>
    <mergeCell ref="O29:P29"/>
    <mergeCell ref="S27:T27"/>
    <mergeCell ref="B22:C22"/>
    <mergeCell ref="C23:E23"/>
    <mergeCell ref="O14:P15"/>
    <mergeCell ref="K13:L13"/>
    <mergeCell ref="K14:L15"/>
    <mergeCell ref="G16:H16"/>
    <mergeCell ref="C13:H13"/>
    <mergeCell ref="G37:H37"/>
    <mergeCell ref="K29:L29"/>
    <mergeCell ref="K35:L35"/>
    <mergeCell ref="K37:L37"/>
    <mergeCell ref="K16:L16"/>
    <mergeCell ref="O16:P16"/>
    <mergeCell ref="R16:U16"/>
    <mergeCell ref="G23:H23"/>
    <mergeCell ref="O17:P17"/>
    <mergeCell ref="K23:L23"/>
    <mergeCell ref="K17:L17"/>
    <mergeCell ref="O23:P23"/>
    <mergeCell ref="A2:V2"/>
    <mergeCell ref="A3:V3"/>
    <mergeCell ref="O18:P18"/>
    <mergeCell ref="O37:P37"/>
    <mergeCell ref="S17:T17"/>
    <mergeCell ref="C9:G9"/>
    <mergeCell ref="C18:E20"/>
    <mergeCell ref="S35:T35"/>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96:T96"/>
    <mergeCell ref="S98:T98"/>
    <mergeCell ref="O55:P55"/>
    <mergeCell ref="O63:P63"/>
    <mergeCell ref="O64:P64"/>
    <mergeCell ref="S64:T64"/>
    <mergeCell ref="S63:T63"/>
    <mergeCell ref="O57:P57"/>
    <mergeCell ref="O59:P59"/>
    <mergeCell ref="R62:U62"/>
    <mergeCell ref="S55:T55"/>
    <mergeCell ref="K69:L69"/>
    <mergeCell ref="O69:P69"/>
    <mergeCell ref="S69:T69"/>
    <mergeCell ref="K73:L73"/>
    <mergeCell ref="O73:P73"/>
    <mergeCell ref="S73:T73"/>
    <mergeCell ref="G55:H56"/>
    <mergeCell ref="S59:T59"/>
    <mergeCell ref="S47:T48"/>
    <mergeCell ref="S57:T57"/>
    <mergeCell ref="K50:L50"/>
    <mergeCell ref="O50:P50"/>
    <mergeCell ref="S50:T50"/>
    <mergeCell ref="O49:P49"/>
    <mergeCell ref="S53:T54"/>
    <mergeCell ref="S49:T49"/>
    <mergeCell ref="O47:P48"/>
    <mergeCell ref="K55:L55"/>
    <mergeCell ref="G53:H54"/>
    <mergeCell ref="K47:L48"/>
    <mergeCell ref="K49:L49"/>
    <mergeCell ref="K82:L82"/>
    <mergeCell ref="S82:T82"/>
    <mergeCell ref="K86:L86"/>
    <mergeCell ref="S86:T86"/>
    <mergeCell ref="K90:L90"/>
    <mergeCell ref="O90:P90"/>
    <mergeCell ref="S90:T90"/>
    <mergeCell ref="C77:F78"/>
    <mergeCell ref="K77:L77"/>
    <mergeCell ref="S77:T77"/>
    <mergeCell ref="K80:L80"/>
    <mergeCell ref="S80:T80"/>
  </mergeCells>
  <phoneticPr fontId="5" type="noConversion"/>
  <conditionalFormatting sqref="K86:L86 K90:M90">
    <cfRule type="expression" dxfId="24" priority="19">
      <formula>#REF!=0</formula>
    </cfRule>
  </conditionalFormatting>
  <conditionalFormatting sqref="K80:L80 K82:L82 K77:L77">
    <cfRule type="expression" dxfId="23" priority="21">
      <formula>#REF!=1</formula>
    </cfRule>
  </conditionalFormatting>
  <dataValidations count="3">
    <dataValidation type="whole" operator="greaterThanOrEqual" allowBlank="1" showInputMessage="1" showErrorMessage="1" error="Must be a positive number" sqref="S64:T64"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S37:T37 S41:T41" xr:uid="{00000000-0002-0000-0200-000002000000}">
      <formula1>+K18+O18</formula1>
    </dataValidation>
  </dataValidations>
  <printOptions horizontalCentered="1" verticalCentered="1"/>
  <pageMargins left="0.39370078740157483" right="0.39370078740157483" top="0.59055118110236227" bottom="0.59055118110236227" header="0.51181102362204722" footer="0.51181102362204722"/>
  <pageSetup paperSize="9" scale="5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94CD042-AA7D-48E9-8CBC-B0A4A03F1803}">
            <xm:f>'\\desktop21.dclg.gov.uk\DCLGDFS\LGF3Data\NNDR 1 - 3\NNDR3\2017-18\Form to LA\[NNDR3 2017-18 to LAs v1.1a.xlsx]Part 1'!#REF!=""</xm:f>
            <x14:dxf>
              <fill>
                <patternFill>
                  <bgColor theme="0" tint="-0.24994659260841701"/>
                </patternFill>
              </fill>
            </x14:dxf>
          </x14:cfRule>
          <xm:sqref>K67:N67 N69:Q69 K68:L68 N68 O67:Q68 M68:M69 K70:Q72 M73:Q73 K74:Q76 M77:P89 N90:P90 Q77:Q90 M91:Q91</xm:sqref>
        </x14:conditionalFormatting>
        <x14:conditionalFormatting xmlns:xm="http://schemas.microsoft.com/office/excel/2006/main">
          <x14:cfRule type="expression" priority="9" id="{7C96B781-6833-425E-91AE-D45A0EA9D73F}">
            <xm:f>'\\desktop21.dclg.gov.uk\DCLGDFS\LGF3Data\NNDR 1 - 3\NNDR3\2017-18\Form to LA\[NNDR3 2017-18 to LAs v1.1a.xlsx]Part 1'!#REF!=""</xm:f>
            <x14:dxf>
              <fill>
                <patternFill>
                  <bgColor theme="0" tint="-0.24994659260841701"/>
                </patternFill>
              </fill>
            </x14:dxf>
          </x14:cfRule>
          <xm:sqref>K70:L72</xm:sqref>
        </x14:conditionalFormatting>
        <x14:conditionalFormatting xmlns:xm="http://schemas.microsoft.com/office/excel/2006/main">
          <x14:cfRule type="expression" priority="8" id="{28597DE6-1AE5-4A15-A055-1A8E3D49D4AE}">
            <xm:f>'\\desktop21.dclg.gov.uk\DCLGDFS\LGF3Data\NNDR 1 - 3\NNDR3\2017-18\Form to LA\[NNDR3 2017-18 to LAs v1.1a.xlsx]Part 1'!#REF!=""</xm:f>
            <x14:dxf>
              <fill>
                <patternFill>
                  <bgColor theme="0" tint="-0.24994659260841701"/>
                </patternFill>
              </fill>
            </x14:dxf>
          </x14:cfRule>
          <xm:sqref>N69</xm:sqref>
        </x14:conditionalFormatting>
        <x14:conditionalFormatting xmlns:xm="http://schemas.microsoft.com/office/excel/2006/main">
          <x14:cfRule type="expression" priority="7" id="{559C3A05-A702-4817-B4C6-20EDBD016C0C}">
            <xm:f>'\\desktop21.dclg.gov.uk\DCLGDFS\LGF3Data\NNDR 1 - 3\NNDR3\2017-18\Form to LA\[NNDR3 2017-18 to LAs v1.1a.xlsx]Part 1'!#REF!=""</xm:f>
            <x14:dxf>
              <fill>
                <patternFill>
                  <bgColor theme="0" tint="-0.24994659260841701"/>
                </patternFill>
              </fill>
            </x14:dxf>
          </x14:cfRule>
          <xm:sqref>Q69</xm:sqref>
        </x14:conditionalFormatting>
        <x14:conditionalFormatting xmlns:xm="http://schemas.microsoft.com/office/excel/2006/main">
          <x14:cfRule type="expression" priority="6" id="{CE94FBC4-A2DB-4189-95E3-ED908C732599}">
            <xm:f>'\\desktop21.dclg.gov.uk\DCLGDFS\LGF3Data\NNDR 1 - 3\NNDR3\2017-18\Form to LA\[NNDR3 2017-18 to LAs v1.1a.xlsx]Part 1'!#REF!=""</xm:f>
            <x14:dxf>
              <fill>
                <patternFill>
                  <bgColor theme="0" tint="-0.24994659260841701"/>
                </patternFill>
              </fill>
            </x14:dxf>
          </x14:cfRule>
          <xm:sqref>N90</xm:sqref>
        </x14:conditionalFormatting>
        <x14:conditionalFormatting xmlns:xm="http://schemas.microsoft.com/office/excel/2006/main">
          <x14:cfRule type="expression" priority="5" id="{DCB299DB-9C3F-482C-88CF-AB6D85C0D540}">
            <xm:f>'\\desktop21.dclg.gov.uk\DCLGDFS\LGF3Data\NNDR 1 - 3\NNDR3\2017-18\Form to LA\[NNDR3 2017-18 to LAs v1.1a.xlsx]Part 1'!#REF!=""</xm:f>
            <x14:dxf>
              <fill>
                <patternFill>
                  <bgColor theme="0" tint="-0.24994659260841701"/>
                </patternFill>
              </fill>
            </x14:dxf>
          </x14:cfRule>
          <xm:sqref>N73</xm:sqref>
        </x14:conditionalFormatting>
        <x14:conditionalFormatting xmlns:xm="http://schemas.microsoft.com/office/excel/2006/main">
          <x14:cfRule type="expression" priority="3" id="{4D0C9A36-3594-4A6B-A4AB-BCEEA49F8814}">
            <xm:f>'\\desktop21.dclg.gov.uk\DCLGDFS\LGF3Data\NNDR 1 - 3\NNDR3\2017-18\Form to LA\[NNDR3 2017-18 to LAs v1.1a.xlsx]Part 1'!#REF!=""</xm:f>
            <x14:dxf>
              <fill>
                <patternFill>
                  <bgColor theme="0" tint="-0.24994659260841701"/>
                </patternFill>
              </fill>
            </x14:dxf>
          </x14:cfRule>
          <xm:sqref>Q73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59"/>
  <sheetViews>
    <sheetView topLeftCell="A11" zoomScaleNormal="100" workbookViewId="0">
      <selection activeCell="A13" sqref="A13"/>
    </sheetView>
  </sheetViews>
  <sheetFormatPr defaultColWidth="9.28515625" defaultRowHeight="15" x14ac:dyDescent="0.2"/>
  <cols>
    <col min="1" max="1" width="1.28515625" style="653" customWidth="1"/>
    <col min="2" max="2" width="28.28515625" style="653" hidden="1" customWidth="1"/>
    <col min="3" max="3" width="62.42578125" style="653" customWidth="1"/>
    <col min="4" max="4" width="1.42578125" style="653" customWidth="1"/>
    <col min="5" max="5" width="26.42578125" style="653" customWidth="1"/>
    <col min="6" max="6" width="1.140625" style="653" customWidth="1"/>
    <col min="7" max="7" width="1.42578125" style="637" customWidth="1"/>
    <col min="8" max="8" width="14.140625" style="653" customWidth="1"/>
    <col min="9" max="9" width="1.28515625" style="653" customWidth="1"/>
    <col min="10" max="10" width="14" style="653" customWidth="1"/>
    <col min="11" max="11" width="1.140625" style="653" customWidth="1"/>
    <col min="12" max="12" width="17.140625" style="653" customWidth="1"/>
    <col min="13" max="13" width="1.140625" style="653" customWidth="1"/>
    <col min="14" max="14" width="14.42578125" style="653" customWidth="1"/>
    <col min="15" max="15" width="1" style="653" customWidth="1"/>
    <col min="16" max="16" width="17.140625" style="653" customWidth="1"/>
    <col min="17" max="17" width="1.140625" style="653" customWidth="1"/>
    <col min="18" max="18" width="17.140625" style="653" customWidth="1"/>
    <col min="19" max="19" width="1" style="653" hidden="1" customWidth="1"/>
    <col min="20" max="20" width="9.5703125" style="677" customWidth="1"/>
    <col min="21" max="21" width="12.28515625" style="649" customWidth="1"/>
    <col min="22" max="22" width="11" style="650" bestFit="1" customWidth="1"/>
    <col min="23" max="23" width="32.28515625" style="651" bestFit="1" customWidth="1"/>
    <col min="24" max="50" width="9.28515625" style="652"/>
    <col min="51" max="16384" width="9.28515625" style="653"/>
  </cols>
  <sheetData>
    <row r="1" spans="1:50" s="637" customFormat="1" ht="18" x14ac:dyDescent="0.25">
      <c r="A1" s="944" t="s">
        <v>51</v>
      </c>
      <c r="B1" s="945"/>
      <c r="C1" s="945"/>
      <c r="D1" s="945"/>
      <c r="E1" s="945"/>
      <c r="F1" s="945"/>
      <c r="G1" s="945"/>
      <c r="H1" s="945"/>
      <c r="I1" s="945"/>
      <c r="J1" s="945"/>
      <c r="K1" s="945"/>
      <c r="L1" s="945"/>
      <c r="M1" s="945"/>
      <c r="N1" s="945"/>
      <c r="O1" s="945"/>
      <c r="P1" s="945"/>
      <c r="Q1" s="945"/>
      <c r="R1" s="945"/>
      <c r="S1" s="946"/>
      <c r="T1" s="632"/>
      <c r="U1" s="633"/>
      <c r="V1" s="634"/>
      <c r="W1" s="635"/>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row>
    <row r="2" spans="1:50" ht="15.75" customHeight="1" x14ac:dyDescent="0.2">
      <c r="A2" s="638"/>
      <c r="B2" s="639"/>
      <c r="C2" s="640"/>
      <c r="D2" s="640"/>
      <c r="E2" s="640"/>
      <c r="F2" s="640"/>
      <c r="G2" s="641"/>
      <c r="H2" s="640"/>
      <c r="I2" s="640"/>
      <c r="J2" s="642"/>
      <c r="K2" s="643"/>
      <c r="L2" s="644"/>
      <c r="M2" s="645"/>
      <c r="N2" s="646"/>
      <c r="O2" s="646"/>
      <c r="P2" s="640"/>
      <c r="Q2" s="640"/>
      <c r="R2" s="644"/>
      <c r="S2" s="647"/>
      <c r="T2" s="648"/>
    </row>
    <row r="3" spans="1:50" ht="18" customHeight="1" x14ac:dyDescent="0.25">
      <c r="A3" s="638"/>
      <c r="B3" s="639"/>
      <c r="C3" s="654" t="str">
        <f>IF(ISERROR(VLOOKUP($E3,DatasheetDA!$A$2:$C$154,3,FALSE)),'Part 1'!AC8,VLOOKUP($E3,DatasheetDA!$A$2:$C$154,3,FALSE))</f>
        <v>York</v>
      </c>
      <c r="D3" s="654"/>
      <c r="E3" s="644" t="str">
        <f>'Part 1'!AB8</f>
        <v>E2701</v>
      </c>
      <c r="F3" s="643"/>
      <c r="G3" s="654"/>
      <c r="H3" s="644"/>
      <c r="I3" s="643"/>
      <c r="J3" s="644"/>
      <c r="K3" s="645"/>
      <c r="L3" s="646"/>
      <c r="M3" s="646"/>
      <c r="N3" s="654"/>
      <c r="O3" s="654"/>
      <c r="P3" s="644"/>
      <c r="Q3" s="643"/>
      <c r="R3" s="646"/>
      <c r="S3" s="647"/>
      <c r="T3" s="650"/>
      <c r="U3" s="655"/>
      <c r="V3" s="652"/>
      <c r="W3" s="656"/>
    </row>
    <row r="4" spans="1:50" ht="18" customHeight="1" x14ac:dyDescent="0.25">
      <c r="A4" s="638"/>
      <c r="B4" s="654"/>
      <c r="C4" s="657"/>
      <c r="D4" s="654"/>
      <c r="E4" s="724" t="s">
        <v>1185</v>
      </c>
      <c r="F4" s="643"/>
      <c r="G4" s="641"/>
      <c r="H4" s="947" t="s">
        <v>1186</v>
      </c>
      <c r="I4" s="948"/>
      <c r="J4" s="948"/>
      <c r="K4" s="948"/>
      <c r="L4" s="948"/>
      <c r="M4" s="948"/>
      <c r="N4" s="949"/>
      <c r="O4" s="646"/>
      <c r="P4" s="947" t="s">
        <v>1187</v>
      </c>
      <c r="Q4" s="950"/>
      <c r="R4" s="951"/>
      <c r="S4" s="647"/>
      <c r="T4" s="632"/>
      <c r="W4" s="658"/>
    </row>
    <row r="5" spans="1:50" ht="14.25" customHeight="1" thickBot="1" x14ac:dyDescent="0.3">
      <c r="A5" s="638"/>
      <c r="B5" s="659"/>
      <c r="C5" s="659"/>
      <c r="D5" s="660"/>
      <c r="E5" s="661"/>
      <c r="F5" s="662"/>
      <c r="G5" s="641"/>
      <c r="H5" s="663"/>
      <c r="I5" s="662"/>
      <c r="J5" s="662"/>
      <c r="K5" s="662"/>
      <c r="L5" s="662"/>
      <c r="M5" s="662"/>
      <c r="N5" s="664"/>
      <c r="O5" s="665"/>
      <c r="P5" s="663"/>
      <c r="Q5" s="662"/>
      <c r="R5" s="666"/>
      <c r="S5" s="647"/>
      <c r="T5" s="632"/>
      <c r="W5" s="658"/>
    </row>
    <row r="6" spans="1:50" ht="17.25" customHeight="1" thickBot="1" x14ac:dyDescent="0.25">
      <c r="A6" s="638"/>
      <c r="B6" s="659"/>
      <c r="C6" s="639" t="s">
        <v>1188</v>
      </c>
      <c r="D6" s="660"/>
      <c r="E6" s="725">
        <f>SUM(E13:E53)</f>
        <v>835957</v>
      </c>
      <c r="F6" s="726"/>
      <c r="G6" s="727"/>
      <c r="H6" s="728">
        <f>SUM(H13:H53)</f>
        <v>0</v>
      </c>
      <c r="I6" s="726"/>
      <c r="J6" s="729">
        <f>SUM(J13:J53)</f>
        <v>433574</v>
      </c>
      <c r="K6" s="730"/>
      <c r="L6" s="729">
        <f>SUM(L13:L53)</f>
        <v>745853</v>
      </c>
      <c r="M6" s="730"/>
      <c r="N6" s="731">
        <f>SUM(N13:N53)</f>
        <v>523678</v>
      </c>
      <c r="O6" s="730"/>
      <c r="P6" s="728">
        <f>SUM(P13:P53)</f>
        <v>0</v>
      </c>
      <c r="Q6" s="726"/>
      <c r="R6" s="731">
        <f>SUM(R13:R53)</f>
        <v>0</v>
      </c>
      <c r="S6" s="647"/>
      <c r="T6" s="632"/>
      <c r="W6" s="655"/>
    </row>
    <row r="7" spans="1:50" s="679" customFormat="1" ht="15" customHeight="1" x14ac:dyDescent="0.25">
      <c r="A7" s="667"/>
      <c r="B7" s="659"/>
      <c r="C7" s="659"/>
      <c r="D7" s="640"/>
      <c r="E7" s="668"/>
      <c r="F7" s="640"/>
      <c r="G7" s="669"/>
      <c r="H7" s="670"/>
      <c r="I7" s="640"/>
      <c r="J7" s="659"/>
      <c r="K7" s="671"/>
      <c r="L7" s="671"/>
      <c r="M7" s="671"/>
      <c r="N7" s="672"/>
      <c r="O7" s="673"/>
      <c r="P7" s="674"/>
      <c r="Q7" s="640"/>
      <c r="R7" s="672"/>
      <c r="S7" s="675"/>
      <c r="T7" s="632"/>
      <c r="U7" s="676"/>
      <c r="V7" s="677"/>
      <c r="W7" s="65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row>
    <row r="8" spans="1:50" s="679" customFormat="1" ht="18.75" customHeight="1" x14ac:dyDescent="0.2">
      <c r="A8" s="667"/>
      <c r="B8" s="659"/>
      <c r="C8" s="659"/>
      <c r="D8" s="640"/>
      <c r="E8" s="680"/>
      <c r="F8" s="640"/>
      <c r="G8" s="671"/>
      <c r="H8" s="670"/>
      <c r="I8" s="640"/>
      <c r="J8" s="671"/>
      <c r="K8" s="671"/>
      <c r="L8" s="671"/>
      <c r="M8" s="671"/>
      <c r="N8" s="672"/>
      <c r="O8" s="671"/>
      <c r="P8" s="674"/>
      <c r="Q8" s="671"/>
      <c r="R8" s="672"/>
      <c r="S8" s="675"/>
      <c r="T8" s="632"/>
      <c r="U8" s="676"/>
      <c r="V8" s="677"/>
      <c r="W8" s="655"/>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row>
    <row r="9" spans="1:50" ht="43.5" customHeight="1" x14ac:dyDescent="0.2">
      <c r="A9" s="638"/>
      <c r="B9" s="659"/>
      <c r="C9" s="723" t="s">
        <v>1189</v>
      </c>
      <c r="D9" s="640"/>
      <c r="E9" s="681" t="s">
        <v>48</v>
      </c>
      <c r="F9" s="682"/>
      <c r="G9" s="683"/>
      <c r="H9" s="952" t="s">
        <v>1186</v>
      </c>
      <c r="I9" s="953"/>
      <c r="J9" s="953"/>
      <c r="K9" s="953"/>
      <c r="L9" s="953"/>
      <c r="M9" s="954"/>
      <c r="N9" s="955"/>
      <c r="O9" s="683"/>
      <c r="P9" s="956"/>
      <c r="Q9" s="953"/>
      <c r="R9" s="684"/>
      <c r="S9" s="647"/>
      <c r="T9" s="632"/>
      <c r="W9" s="655"/>
    </row>
    <row r="10" spans="1:50" ht="21" customHeight="1" x14ac:dyDescent="0.2">
      <c r="A10" s="638"/>
      <c r="B10" s="659"/>
      <c r="C10" s="659"/>
      <c r="D10" s="640"/>
      <c r="E10" s="681">
        <v>1</v>
      </c>
      <c r="F10" s="685"/>
      <c r="G10" s="686"/>
      <c r="H10" s="687">
        <v>2</v>
      </c>
      <c r="I10" s="685"/>
      <c r="J10" s="686">
        <v>3</v>
      </c>
      <c r="K10" s="686"/>
      <c r="L10" s="686">
        <v>4</v>
      </c>
      <c r="M10" s="686"/>
      <c r="N10" s="688">
        <v>5</v>
      </c>
      <c r="O10" s="686"/>
      <c r="P10" s="689" t="s">
        <v>1190</v>
      </c>
      <c r="Q10" s="686"/>
      <c r="R10" s="688" t="s">
        <v>1191</v>
      </c>
      <c r="S10" s="647"/>
      <c r="T10" s="632"/>
      <c r="W10" s="655"/>
    </row>
    <row r="11" spans="1:50" ht="120" customHeight="1" x14ac:dyDescent="0.2">
      <c r="A11" s="638"/>
      <c r="B11" s="640"/>
      <c r="C11" s="639" t="s">
        <v>932</v>
      </c>
      <c r="D11" s="640"/>
      <c r="E11" s="720" t="s">
        <v>1192</v>
      </c>
      <c r="F11" s="640"/>
      <c r="G11" s="641"/>
      <c r="H11" s="690" t="s">
        <v>1193</v>
      </c>
      <c r="I11" s="691"/>
      <c r="J11" s="691" t="s">
        <v>1194</v>
      </c>
      <c r="K11" s="691"/>
      <c r="L11" s="691" t="s">
        <v>1195</v>
      </c>
      <c r="M11" s="692"/>
      <c r="N11" s="693" t="s">
        <v>1077</v>
      </c>
      <c r="O11" s="665"/>
      <c r="P11" s="694" t="s">
        <v>1196</v>
      </c>
      <c r="Q11" s="695"/>
      <c r="R11" s="719" t="s">
        <v>1197</v>
      </c>
      <c r="S11" s="647"/>
      <c r="T11" s="632"/>
      <c r="W11" s="655"/>
    </row>
    <row r="12" spans="1:50" ht="49.5" customHeight="1" thickBot="1" x14ac:dyDescent="0.3">
      <c r="A12" s="638"/>
      <c r="B12" s="957"/>
      <c r="C12" s="958"/>
      <c r="D12" s="640"/>
      <c r="E12" s="696">
        <v>4</v>
      </c>
      <c r="F12" s="697"/>
      <c r="G12" s="698"/>
      <c r="H12" s="696">
        <v>5</v>
      </c>
      <c r="I12" s="697"/>
      <c r="J12" s="718">
        <v>6</v>
      </c>
      <c r="K12" s="699"/>
      <c r="L12" s="718">
        <v>7</v>
      </c>
      <c r="M12" s="700"/>
      <c r="N12" s="696">
        <v>8</v>
      </c>
      <c r="O12" s="696"/>
      <c r="P12" s="696">
        <v>9</v>
      </c>
      <c r="Q12" s="697"/>
      <c r="R12" s="696">
        <v>10</v>
      </c>
      <c r="S12" s="647"/>
      <c r="T12" s="632"/>
      <c r="W12" s="655"/>
    </row>
    <row r="13" spans="1:50" s="708" customFormat="1" ht="21" customHeight="1" thickBot="1" x14ac:dyDescent="0.25">
      <c r="A13" s="701">
        <v>1</v>
      </c>
      <c r="B13" s="659" t="str">
        <f>CONCATENATE($E$3,"EZ",A13)</f>
        <v>E2701EZ1</v>
      </c>
      <c r="C13" s="721" t="str">
        <f>IFERROR(VLOOKUP(B13,DatasheetDA!$B$2:$D$233,3,0),"")</f>
        <v>York Central site</v>
      </c>
      <c r="D13" s="702"/>
      <c r="E13" s="732">
        <f>IFERROR(VLOOKUP($B13,DatasheetDA!$B$2:$K$233,E$12,FALSE),"")</f>
        <v>835957</v>
      </c>
      <c r="F13" s="733"/>
      <c r="G13" s="734"/>
      <c r="H13" s="732">
        <f>IFERROR(VLOOKUP($B13,DatasheetDA!$B$2:$K$233,H$12,FALSE),"")</f>
        <v>0</v>
      </c>
      <c r="I13" s="733"/>
      <c r="J13" s="732">
        <f>IFERROR(VLOOKUP($B13,DatasheetDA!$B$2:$K$233,J$12,FALSE),"")</f>
        <v>433574</v>
      </c>
      <c r="K13" s="735"/>
      <c r="L13" s="732">
        <f>IFERROR(VLOOKUP($B13,DatasheetDA!$B$2:$K$233,L$12,FALSE),"")</f>
        <v>745853</v>
      </c>
      <c r="M13" s="735"/>
      <c r="N13" s="732">
        <f>IFERROR(VLOOKUP($B13,DatasheetDA!$B$2:$K$233,N$12,FALSE),"")</f>
        <v>523678</v>
      </c>
      <c r="O13" s="735"/>
      <c r="P13" s="732">
        <f>IFERROR(VLOOKUP($B13,DatasheetDA!$B$2:$K$233,P$12,FALSE),"")</f>
        <v>0</v>
      </c>
      <c r="Q13" s="733"/>
      <c r="R13" s="732">
        <f>IFERROR(VLOOKUP($B13,DatasheetDA!$B$2:$K$233,R$12,FALSE),"")</f>
        <v>0</v>
      </c>
      <c r="S13" s="703"/>
      <c r="T13" s="704"/>
      <c r="U13" s="705"/>
      <c r="V13" s="706"/>
      <c r="W13" s="655"/>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row>
    <row r="14" spans="1:50" s="708" customFormat="1" ht="19.5" customHeight="1" thickBot="1" x14ac:dyDescent="0.25">
      <c r="A14" s="701">
        <v>2</v>
      </c>
      <c r="B14" s="659" t="str">
        <f t="shared" ref="B14:B53" si="0">CONCATENATE($E$3,"EZ",A14)</f>
        <v>E2701EZ2</v>
      </c>
      <c r="C14" s="721" t="str">
        <f>IFERROR(VLOOKUP(B14,DatasheetDA!$B$2:$D$233,3,0),"")</f>
        <v/>
      </c>
      <c r="D14" s="702"/>
      <c r="E14" s="732" t="str">
        <f>IFERROR(VLOOKUP($B14,DatasheetDA!$B$2:$K$233,E$12,FALSE),"")</f>
        <v/>
      </c>
      <c r="F14" s="733"/>
      <c r="G14" s="734"/>
      <c r="H14" s="732" t="str">
        <f>IFERROR(VLOOKUP($B14,DatasheetDA!$B$2:$K$233,H$12,FALSE),"")</f>
        <v/>
      </c>
      <c r="I14" s="733"/>
      <c r="J14" s="732" t="str">
        <f>IFERROR(VLOOKUP($B14,DatasheetDA!$B$2:$K$233,J$12,FALSE),"")</f>
        <v/>
      </c>
      <c r="K14" s="735"/>
      <c r="L14" s="732" t="str">
        <f>IFERROR(VLOOKUP($B14,DatasheetDA!$B$2:$K$233,L$12,FALSE),"")</f>
        <v/>
      </c>
      <c r="M14" s="735"/>
      <c r="N14" s="732" t="str">
        <f>IFERROR(VLOOKUP($B14,DatasheetDA!$B$2:$K$233,N$12,FALSE),"")</f>
        <v/>
      </c>
      <c r="O14" s="735"/>
      <c r="P14" s="732" t="str">
        <f>IFERROR(VLOOKUP($B14,DatasheetDA!$B$2:$K$233,P$12,FALSE),"")</f>
        <v/>
      </c>
      <c r="Q14" s="733"/>
      <c r="R14" s="732" t="str">
        <f>IFERROR(VLOOKUP($B14,DatasheetDA!$B$2:$K$233,R$12,FALSE),"")</f>
        <v/>
      </c>
      <c r="S14" s="703"/>
      <c r="T14" s="704"/>
      <c r="U14" s="705"/>
      <c r="V14" s="706"/>
      <c r="W14" s="655"/>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row>
    <row r="15" spans="1:50" s="708" customFormat="1" ht="21" customHeight="1" thickBot="1" x14ac:dyDescent="0.25">
      <c r="A15" s="701">
        <v>3</v>
      </c>
      <c r="B15" s="659" t="str">
        <f t="shared" si="0"/>
        <v>E2701EZ3</v>
      </c>
      <c r="C15" s="721" t="str">
        <f>IFERROR(VLOOKUP(B15,DatasheetDA!$B$2:$D$233,3,0),"")</f>
        <v/>
      </c>
      <c r="D15" s="702"/>
      <c r="E15" s="732" t="str">
        <f>IFERROR(VLOOKUP($B15,DatasheetDA!$B$2:$K$233,E$12,FALSE),"")</f>
        <v/>
      </c>
      <c r="F15" s="733"/>
      <c r="G15" s="734"/>
      <c r="H15" s="732" t="str">
        <f>IFERROR(VLOOKUP($B15,DatasheetDA!$B$2:$K$233,H$12,FALSE),"")</f>
        <v/>
      </c>
      <c r="I15" s="733"/>
      <c r="J15" s="732" t="str">
        <f>IFERROR(VLOOKUP($B15,DatasheetDA!$B$2:$K$233,J$12,FALSE),"")</f>
        <v/>
      </c>
      <c r="K15" s="735"/>
      <c r="L15" s="732" t="str">
        <f>IFERROR(VLOOKUP($B15,DatasheetDA!$B$2:$K$233,L$12,FALSE),"")</f>
        <v/>
      </c>
      <c r="M15" s="735"/>
      <c r="N15" s="732" t="str">
        <f>IFERROR(VLOOKUP($B15,DatasheetDA!$B$2:$K$233,N$12,FALSE),"")</f>
        <v/>
      </c>
      <c r="O15" s="735"/>
      <c r="P15" s="732" t="str">
        <f>IFERROR(VLOOKUP($B15,DatasheetDA!$B$2:$K$233,P$12,FALSE),"")</f>
        <v/>
      </c>
      <c r="Q15" s="733"/>
      <c r="R15" s="732" t="str">
        <f>IFERROR(VLOOKUP($B15,DatasheetDA!$B$2:$K$233,R$12,FALSE),"")</f>
        <v/>
      </c>
      <c r="S15" s="703"/>
      <c r="T15" s="704"/>
      <c r="U15" s="705"/>
      <c r="V15" s="706"/>
      <c r="W15" s="655"/>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row>
    <row r="16" spans="1:50" s="708" customFormat="1" ht="21" customHeight="1" thickBot="1" x14ac:dyDescent="0.25">
      <c r="A16" s="701">
        <v>4</v>
      </c>
      <c r="B16" s="659" t="str">
        <f t="shared" si="0"/>
        <v>E2701EZ4</v>
      </c>
      <c r="C16" s="721" t="str">
        <f>IFERROR(VLOOKUP(B16,DatasheetDA!$B$2:$D$233,3,0),"")</f>
        <v/>
      </c>
      <c r="D16" s="702"/>
      <c r="E16" s="732" t="str">
        <f>IFERROR(VLOOKUP($B16,DatasheetDA!$B$2:$K$233,E$12,FALSE),"")</f>
        <v/>
      </c>
      <c r="F16" s="733"/>
      <c r="G16" s="734"/>
      <c r="H16" s="732" t="str">
        <f>IFERROR(VLOOKUP($B16,DatasheetDA!$B$2:$K$233,H$12,FALSE),"")</f>
        <v/>
      </c>
      <c r="I16" s="733"/>
      <c r="J16" s="732" t="str">
        <f>IFERROR(VLOOKUP($B16,DatasheetDA!$B$2:$K$233,J$12,FALSE),"")</f>
        <v/>
      </c>
      <c r="K16" s="735"/>
      <c r="L16" s="732" t="str">
        <f>IFERROR(VLOOKUP($B16,DatasheetDA!$B$2:$K$233,L$12,FALSE),"")</f>
        <v/>
      </c>
      <c r="M16" s="735"/>
      <c r="N16" s="732" t="str">
        <f>IFERROR(VLOOKUP($B16,DatasheetDA!$B$2:$K$233,N$12,FALSE),"")</f>
        <v/>
      </c>
      <c r="O16" s="735"/>
      <c r="P16" s="732" t="str">
        <f>IFERROR(VLOOKUP($B16,DatasheetDA!$B$2:$K$233,P$12,FALSE),"")</f>
        <v/>
      </c>
      <c r="Q16" s="733"/>
      <c r="R16" s="732" t="str">
        <f>IFERROR(VLOOKUP($B16,DatasheetDA!$B$2:$K$233,R$12,FALSE),"")</f>
        <v/>
      </c>
      <c r="S16" s="703"/>
      <c r="T16" s="704"/>
      <c r="U16" s="705"/>
      <c r="V16" s="706"/>
      <c r="W16" s="655"/>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row>
    <row r="17" spans="1:50" s="708" customFormat="1" ht="21" customHeight="1" thickBot="1" x14ac:dyDescent="0.25">
      <c r="A17" s="701">
        <v>5</v>
      </c>
      <c r="B17" s="659" t="str">
        <f t="shared" si="0"/>
        <v>E2701EZ5</v>
      </c>
      <c r="C17" s="721" t="str">
        <f>IFERROR(VLOOKUP(B17,DatasheetDA!$B$2:$D$233,3,0),"")</f>
        <v/>
      </c>
      <c r="D17" s="702"/>
      <c r="E17" s="732" t="str">
        <f>IFERROR(VLOOKUP($B17,DatasheetDA!$B$2:$K$233,E$12,FALSE),"")</f>
        <v/>
      </c>
      <c r="F17" s="733"/>
      <c r="G17" s="734"/>
      <c r="H17" s="732" t="str">
        <f>IFERROR(VLOOKUP($B17,DatasheetDA!$B$2:$K$233,H$12,FALSE),"")</f>
        <v/>
      </c>
      <c r="I17" s="733"/>
      <c r="J17" s="732" t="str">
        <f>IFERROR(VLOOKUP($B17,DatasheetDA!$B$2:$K$233,J$12,FALSE),"")</f>
        <v/>
      </c>
      <c r="K17" s="735"/>
      <c r="L17" s="732" t="str">
        <f>IFERROR(VLOOKUP($B17,DatasheetDA!$B$2:$K$233,L$12,FALSE),"")</f>
        <v/>
      </c>
      <c r="M17" s="735"/>
      <c r="N17" s="732" t="str">
        <f>IFERROR(VLOOKUP($B17,DatasheetDA!$B$2:$K$233,N$12,FALSE),"")</f>
        <v/>
      </c>
      <c r="O17" s="735"/>
      <c r="P17" s="732" t="str">
        <f>IFERROR(VLOOKUP($B17,DatasheetDA!$B$2:$K$233,P$12,FALSE),"")</f>
        <v/>
      </c>
      <c r="Q17" s="733"/>
      <c r="R17" s="732" t="str">
        <f>IFERROR(VLOOKUP($B17,DatasheetDA!$B$2:$K$233,R$12,FALSE),"")</f>
        <v/>
      </c>
      <c r="S17" s="703"/>
      <c r="T17" s="704"/>
      <c r="U17" s="705"/>
      <c r="V17" s="706"/>
      <c r="W17" s="655"/>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row>
    <row r="18" spans="1:50" s="708" customFormat="1" ht="21" customHeight="1" thickBot="1" x14ac:dyDescent="0.25">
      <c r="A18" s="701">
        <v>6</v>
      </c>
      <c r="B18" s="659" t="str">
        <f t="shared" si="0"/>
        <v>E2701EZ6</v>
      </c>
      <c r="C18" s="721" t="str">
        <f>IFERROR(VLOOKUP(B18,DatasheetDA!$B$2:$D$233,3,0),"")</f>
        <v/>
      </c>
      <c r="D18" s="702"/>
      <c r="E18" s="732" t="str">
        <f>IFERROR(VLOOKUP($B18,DatasheetDA!$B$2:$K$233,E$12,FALSE),"")</f>
        <v/>
      </c>
      <c r="F18" s="733"/>
      <c r="G18" s="734"/>
      <c r="H18" s="732" t="str">
        <f>IFERROR(VLOOKUP($B18,DatasheetDA!$B$2:$K$233,H$12,FALSE),"")</f>
        <v/>
      </c>
      <c r="I18" s="733"/>
      <c r="J18" s="732" t="str">
        <f>IFERROR(VLOOKUP($B18,DatasheetDA!$B$2:$K$233,J$12,FALSE),"")</f>
        <v/>
      </c>
      <c r="K18" s="735"/>
      <c r="L18" s="732" t="str">
        <f>IFERROR(VLOOKUP($B18,DatasheetDA!$B$2:$K$233,L$12,FALSE),"")</f>
        <v/>
      </c>
      <c r="M18" s="735"/>
      <c r="N18" s="732" t="str">
        <f>IFERROR(VLOOKUP($B18,DatasheetDA!$B$2:$K$233,N$12,FALSE),"")</f>
        <v/>
      </c>
      <c r="O18" s="735"/>
      <c r="P18" s="732" t="str">
        <f>IFERROR(VLOOKUP($B18,DatasheetDA!$B$2:$K$233,P$12,FALSE),"")</f>
        <v/>
      </c>
      <c r="Q18" s="733"/>
      <c r="R18" s="732" t="str">
        <f>IFERROR(VLOOKUP($B18,DatasheetDA!$B$2:$K$233,R$12,FALSE),"")</f>
        <v/>
      </c>
      <c r="S18" s="703"/>
      <c r="T18" s="704"/>
      <c r="U18" s="705"/>
      <c r="V18" s="706"/>
      <c r="W18" s="655"/>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row>
    <row r="19" spans="1:50" s="708" customFormat="1" ht="21" customHeight="1" thickBot="1" x14ac:dyDescent="0.25">
      <c r="A19" s="701">
        <v>7</v>
      </c>
      <c r="B19" s="659" t="str">
        <f t="shared" si="0"/>
        <v>E2701EZ7</v>
      </c>
      <c r="C19" s="721" t="str">
        <f>IFERROR(VLOOKUP(B19,DatasheetDA!$B$2:$D$233,3,0),"")</f>
        <v/>
      </c>
      <c r="D19" s="702"/>
      <c r="E19" s="732" t="str">
        <f>IFERROR(VLOOKUP($B19,DatasheetDA!$B$2:$K$233,E$12,FALSE),"")</f>
        <v/>
      </c>
      <c r="F19" s="733"/>
      <c r="G19" s="734"/>
      <c r="H19" s="732" t="str">
        <f>IFERROR(VLOOKUP($B19,DatasheetDA!$B$2:$K$233,H$12,FALSE),"")</f>
        <v/>
      </c>
      <c r="I19" s="733"/>
      <c r="J19" s="732" t="str">
        <f>IFERROR(VLOOKUP($B19,DatasheetDA!$B$2:$K$233,J$12,FALSE),"")</f>
        <v/>
      </c>
      <c r="K19" s="735"/>
      <c r="L19" s="732" t="str">
        <f>IFERROR(VLOOKUP($B19,DatasheetDA!$B$2:$K$233,L$12,FALSE),"")</f>
        <v/>
      </c>
      <c r="M19" s="735"/>
      <c r="N19" s="732" t="str">
        <f>IFERROR(VLOOKUP($B19,DatasheetDA!$B$2:$K$233,N$12,FALSE),"")</f>
        <v/>
      </c>
      <c r="O19" s="735"/>
      <c r="P19" s="732" t="str">
        <f>IFERROR(VLOOKUP($B19,DatasheetDA!$B$2:$K$233,P$12,FALSE),"")</f>
        <v/>
      </c>
      <c r="Q19" s="733"/>
      <c r="R19" s="732" t="str">
        <f>IFERROR(VLOOKUP($B19,DatasheetDA!$B$2:$K$233,R$12,FALSE),"")</f>
        <v/>
      </c>
      <c r="S19" s="703"/>
      <c r="T19" s="704"/>
      <c r="U19" s="705"/>
      <c r="V19" s="706"/>
      <c r="W19" s="655"/>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row>
    <row r="20" spans="1:50" s="708" customFormat="1" ht="21" customHeight="1" thickBot="1" x14ac:dyDescent="0.25">
      <c r="A20" s="701">
        <v>8</v>
      </c>
      <c r="B20" s="659" t="str">
        <f t="shared" si="0"/>
        <v>E2701EZ8</v>
      </c>
      <c r="C20" s="721" t="str">
        <f>IFERROR(VLOOKUP(B20,DatasheetDA!$B$2:$D$233,3,0),"")</f>
        <v/>
      </c>
      <c r="D20" s="702"/>
      <c r="E20" s="732" t="str">
        <f>IFERROR(VLOOKUP($B20,DatasheetDA!$B$2:$K$233,E$12,FALSE),"")</f>
        <v/>
      </c>
      <c r="F20" s="733"/>
      <c r="G20" s="734"/>
      <c r="H20" s="732" t="str">
        <f>IFERROR(VLOOKUP($B20,DatasheetDA!$B$2:$K$233,H$12,FALSE),"")</f>
        <v/>
      </c>
      <c r="I20" s="733"/>
      <c r="J20" s="732" t="str">
        <f>IFERROR(VLOOKUP($B20,DatasheetDA!$B$2:$K$233,J$12,FALSE),"")</f>
        <v/>
      </c>
      <c r="K20" s="735"/>
      <c r="L20" s="732" t="str">
        <f>IFERROR(VLOOKUP($B20,DatasheetDA!$B$2:$K$233,L$12,FALSE),"")</f>
        <v/>
      </c>
      <c r="M20" s="735"/>
      <c r="N20" s="732" t="str">
        <f>IFERROR(VLOOKUP($B20,DatasheetDA!$B$2:$K$233,N$12,FALSE),"")</f>
        <v/>
      </c>
      <c r="O20" s="735"/>
      <c r="P20" s="732" t="str">
        <f>IFERROR(VLOOKUP($B20,DatasheetDA!$B$2:$K$233,P$12,FALSE),"")</f>
        <v/>
      </c>
      <c r="Q20" s="733"/>
      <c r="R20" s="732" t="str">
        <f>IFERROR(VLOOKUP($B20,DatasheetDA!$B$2:$K$233,R$12,FALSE),"")</f>
        <v/>
      </c>
      <c r="S20" s="703"/>
      <c r="T20" s="704"/>
      <c r="U20" s="705"/>
      <c r="V20" s="706"/>
      <c r="W20" s="655"/>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row>
    <row r="21" spans="1:50" s="708" customFormat="1" ht="21" customHeight="1" thickBot="1" x14ac:dyDescent="0.25">
      <c r="A21" s="701">
        <v>9</v>
      </c>
      <c r="B21" s="659" t="str">
        <f t="shared" si="0"/>
        <v>E2701EZ9</v>
      </c>
      <c r="C21" s="721" t="str">
        <f>IFERROR(VLOOKUP(B21,DatasheetDA!$B$2:$D$233,3,0),"")</f>
        <v/>
      </c>
      <c r="D21" s="702"/>
      <c r="E21" s="732" t="str">
        <f>IFERROR(VLOOKUP($B21,DatasheetDA!$B$2:$K$233,E$12,FALSE),"")</f>
        <v/>
      </c>
      <c r="F21" s="733"/>
      <c r="G21" s="734"/>
      <c r="H21" s="732" t="str">
        <f>IFERROR(VLOOKUP($B21,DatasheetDA!$B$2:$K$233,H$12,FALSE),"")</f>
        <v/>
      </c>
      <c r="I21" s="733"/>
      <c r="J21" s="732" t="str">
        <f>IFERROR(VLOOKUP($B21,DatasheetDA!$B$2:$K$233,J$12,FALSE),"")</f>
        <v/>
      </c>
      <c r="K21" s="735"/>
      <c r="L21" s="732" t="str">
        <f>IFERROR(VLOOKUP($B21,DatasheetDA!$B$2:$K$233,L$12,FALSE),"")</f>
        <v/>
      </c>
      <c r="M21" s="735"/>
      <c r="N21" s="732" t="str">
        <f>IFERROR(VLOOKUP($B21,DatasheetDA!$B$2:$K$233,N$12,FALSE),"")</f>
        <v/>
      </c>
      <c r="O21" s="735"/>
      <c r="P21" s="732" t="str">
        <f>IFERROR(VLOOKUP($B21,DatasheetDA!$B$2:$K$233,P$12,FALSE),"")</f>
        <v/>
      </c>
      <c r="Q21" s="733"/>
      <c r="R21" s="732" t="str">
        <f>IFERROR(VLOOKUP($B21,DatasheetDA!$B$2:$K$233,R$12,FALSE),"")</f>
        <v/>
      </c>
      <c r="S21" s="703"/>
      <c r="T21" s="704"/>
      <c r="U21" s="705"/>
      <c r="V21" s="706"/>
      <c r="W21" s="655"/>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row>
    <row r="22" spans="1:50" s="708" customFormat="1" ht="21" customHeight="1" thickBot="1" x14ac:dyDescent="0.25">
      <c r="A22" s="701">
        <v>10</v>
      </c>
      <c r="B22" s="659" t="str">
        <f t="shared" si="0"/>
        <v>E2701EZ10</v>
      </c>
      <c r="C22" s="721" t="str">
        <f>IFERROR(VLOOKUP(B22,DatasheetDA!$B$2:$D$233,3,0),"")</f>
        <v/>
      </c>
      <c r="D22" s="702"/>
      <c r="E22" s="732" t="str">
        <f>IFERROR(VLOOKUP($B22,DatasheetDA!$B$2:$K$233,E$12,FALSE),"")</f>
        <v/>
      </c>
      <c r="F22" s="733"/>
      <c r="G22" s="734"/>
      <c r="H22" s="732" t="str">
        <f>IFERROR(VLOOKUP($B22,DatasheetDA!$B$2:$K$233,H$12,FALSE),"")</f>
        <v/>
      </c>
      <c r="I22" s="733"/>
      <c r="J22" s="732" t="str">
        <f>IFERROR(VLOOKUP($B22,DatasheetDA!$B$2:$K$233,J$12,FALSE),"")</f>
        <v/>
      </c>
      <c r="K22" s="735"/>
      <c r="L22" s="732" t="str">
        <f>IFERROR(VLOOKUP($B22,DatasheetDA!$B$2:$K$233,L$12,FALSE),"")</f>
        <v/>
      </c>
      <c r="M22" s="735"/>
      <c r="N22" s="732" t="str">
        <f>IFERROR(VLOOKUP($B22,DatasheetDA!$B$2:$K$233,N$12,FALSE),"")</f>
        <v/>
      </c>
      <c r="O22" s="735"/>
      <c r="P22" s="732" t="str">
        <f>IFERROR(VLOOKUP($B22,DatasheetDA!$B$2:$K$233,P$12,FALSE),"")</f>
        <v/>
      </c>
      <c r="Q22" s="733"/>
      <c r="R22" s="732" t="str">
        <f>IFERROR(VLOOKUP($B22,DatasheetDA!$B$2:$K$233,R$12,FALSE),"")</f>
        <v/>
      </c>
      <c r="S22" s="703"/>
      <c r="T22" s="704"/>
      <c r="U22" s="705"/>
      <c r="V22" s="706"/>
      <c r="W22" s="655"/>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row>
    <row r="23" spans="1:50" s="708" customFormat="1" ht="21" customHeight="1" thickBot="1" x14ac:dyDescent="0.25">
      <c r="A23" s="701">
        <v>11</v>
      </c>
      <c r="B23" s="659" t="str">
        <f t="shared" si="0"/>
        <v>E2701EZ11</v>
      </c>
      <c r="C23" s="721" t="str">
        <f>IFERROR(VLOOKUP(B23,DatasheetDA!$B$2:$D$233,3,0),"")</f>
        <v/>
      </c>
      <c r="D23" s="702"/>
      <c r="E23" s="732" t="str">
        <f>IFERROR(VLOOKUP($B23,DatasheetDA!$B$2:$K$233,E$12,FALSE),"")</f>
        <v/>
      </c>
      <c r="F23" s="733"/>
      <c r="G23" s="734"/>
      <c r="H23" s="732" t="str">
        <f>IFERROR(VLOOKUP($B23,DatasheetDA!$B$2:$K$233,H$12,FALSE),"")</f>
        <v/>
      </c>
      <c r="I23" s="733"/>
      <c r="J23" s="732" t="str">
        <f>IFERROR(VLOOKUP($B23,DatasheetDA!$B$2:$K$233,J$12,FALSE),"")</f>
        <v/>
      </c>
      <c r="K23" s="735"/>
      <c r="L23" s="732" t="str">
        <f>IFERROR(VLOOKUP($B23,DatasheetDA!$B$2:$K$233,L$12,FALSE),"")</f>
        <v/>
      </c>
      <c r="M23" s="735"/>
      <c r="N23" s="732" t="str">
        <f>IFERROR(VLOOKUP($B23,DatasheetDA!$B$2:$K$233,N$12,FALSE),"")</f>
        <v/>
      </c>
      <c r="O23" s="735"/>
      <c r="P23" s="732" t="str">
        <f>IFERROR(VLOOKUP($B23,DatasheetDA!$B$2:$K$233,P$12,FALSE),"")</f>
        <v/>
      </c>
      <c r="Q23" s="733"/>
      <c r="R23" s="732" t="str">
        <f>IFERROR(VLOOKUP($B23,DatasheetDA!$B$2:$K$233,R$12,FALSE),"")</f>
        <v/>
      </c>
      <c r="S23" s="703"/>
      <c r="T23" s="704"/>
      <c r="U23" s="705"/>
      <c r="V23" s="706"/>
      <c r="W23" s="655"/>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row>
    <row r="24" spans="1:50" s="708" customFormat="1" ht="21" customHeight="1" thickBot="1" x14ac:dyDescent="0.25">
      <c r="A24" s="701">
        <v>12</v>
      </c>
      <c r="B24" s="659" t="str">
        <f t="shared" si="0"/>
        <v>E2701EZ12</v>
      </c>
      <c r="C24" s="721" t="str">
        <f>IFERROR(VLOOKUP(B24,DatasheetDA!$B$2:$D$233,3,0),"")</f>
        <v/>
      </c>
      <c r="D24" s="702"/>
      <c r="E24" s="732" t="str">
        <f>IFERROR(VLOOKUP($B24,DatasheetDA!$B$2:$K$233,E$12,FALSE),"")</f>
        <v/>
      </c>
      <c r="F24" s="733"/>
      <c r="G24" s="734"/>
      <c r="H24" s="732" t="str">
        <f>IFERROR(VLOOKUP($B24,DatasheetDA!$B$2:$K$233,H$12,FALSE),"")</f>
        <v/>
      </c>
      <c r="I24" s="733"/>
      <c r="J24" s="732" t="str">
        <f>IFERROR(VLOOKUP($B24,DatasheetDA!$B$2:$K$233,J$12,FALSE),"")</f>
        <v/>
      </c>
      <c r="K24" s="735"/>
      <c r="L24" s="732" t="str">
        <f>IFERROR(VLOOKUP($B24,DatasheetDA!$B$2:$K$233,L$12,FALSE),"")</f>
        <v/>
      </c>
      <c r="M24" s="735"/>
      <c r="N24" s="732" t="str">
        <f>IFERROR(VLOOKUP($B24,DatasheetDA!$B$2:$K$233,N$12,FALSE),"")</f>
        <v/>
      </c>
      <c r="O24" s="735"/>
      <c r="P24" s="732" t="str">
        <f>IFERROR(VLOOKUP($B24,DatasheetDA!$B$2:$K$233,P$12,FALSE),"")</f>
        <v/>
      </c>
      <c r="Q24" s="733"/>
      <c r="R24" s="732" t="str">
        <f>IFERROR(VLOOKUP($B24,DatasheetDA!$B$2:$K$233,R$12,FALSE),"")</f>
        <v/>
      </c>
      <c r="S24" s="703"/>
      <c r="T24" s="704"/>
      <c r="U24" s="705"/>
      <c r="V24" s="706"/>
      <c r="W24" s="655"/>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row>
    <row r="25" spans="1:50" s="708" customFormat="1" ht="21" customHeight="1" thickBot="1" x14ac:dyDescent="0.25">
      <c r="A25" s="701">
        <v>13</v>
      </c>
      <c r="B25" s="659" t="str">
        <f t="shared" si="0"/>
        <v>E2701EZ13</v>
      </c>
      <c r="C25" s="721" t="str">
        <f>IFERROR(VLOOKUP(B25,DatasheetDA!$B$2:$D$233,3,0),"")</f>
        <v/>
      </c>
      <c r="D25" s="702"/>
      <c r="E25" s="732" t="str">
        <f>IFERROR(VLOOKUP($B25,DatasheetDA!$B$2:$K$233,E$12,FALSE),"")</f>
        <v/>
      </c>
      <c r="F25" s="733"/>
      <c r="G25" s="734"/>
      <c r="H25" s="732" t="str">
        <f>IFERROR(VLOOKUP($B25,DatasheetDA!$B$2:$K$233,H$12,FALSE),"")</f>
        <v/>
      </c>
      <c r="I25" s="733"/>
      <c r="J25" s="732" t="str">
        <f>IFERROR(VLOOKUP($B25,DatasheetDA!$B$2:$K$233,J$12,FALSE),"")</f>
        <v/>
      </c>
      <c r="K25" s="735"/>
      <c r="L25" s="732" t="str">
        <f>IFERROR(VLOOKUP($B25,DatasheetDA!$B$2:$K$233,L$12,FALSE),"")</f>
        <v/>
      </c>
      <c r="M25" s="735"/>
      <c r="N25" s="732" t="str">
        <f>IFERROR(VLOOKUP($B25,DatasheetDA!$B$2:$K$233,N$12,FALSE),"")</f>
        <v/>
      </c>
      <c r="O25" s="735"/>
      <c r="P25" s="732" t="str">
        <f>IFERROR(VLOOKUP($B25,DatasheetDA!$B$2:$K$233,P$12,FALSE),"")</f>
        <v/>
      </c>
      <c r="Q25" s="733"/>
      <c r="R25" s="732" t="str">
        <f>IFERROR(VLOOKUP($B25,DatasheetDA!$B$2:$K$233,R$12,FALSE),"")</f>
        <v/>
      </c>
      <c r="S25" s="703"/>
      <c r="T25" s="704"/>
      <c r="U25" s="705"/>
      <c r="V25" s="706"/>
      <c r="W25" s="655"/>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row>
    <row r="26" spans="1:50" s="708" customFormat="1" ht="21" customHeight="1" thickBot="1" x14ac:dyDescent="0.25">
      <c r="A26" s="701">
        <v>14</v>
      </c>
      <c r="B26" s="659" t="str">
        <f t="shared" si="0"/>
        <v>E2701EZ14</v>
      </c>
      <c r="C26" s="721" t="str">
        <f>IFERROR(VLOOKUP(B26,DatasheetDA!$B$2:$D$233,3,0),"")</f>
        <v/>
      </c>
      <c r="D26" s="702"/>
      <c r="E26" s="732" t="str">
        <f>IFERROR(VLOOKUP($B26,DatasheetDA!$B$2:$K$233,E$12,FALSE),"")</f>
        <v/>
      </c>
      <c r="F26" s="733"/>
      <c r="G26" s="734"/>
      <c r="H26" s="732" t="str">
        <f>IFERROR(VLOOKUP($B26,DatasheetDA!$B$2:$K$233,H$12,FALSE),"")</f>
        <v/>
      </c>
      <c r="I26" s="733"/>
      <c r="J26" s="732" t="str">
        <f>IFERROR(VLOOKUP($B26,DatasheetDA!$B$2:$K$233,J$12,FALSE),"")</f>
        <v/>
      </c>
      <c r="K26" s="735"/>
      <c r="L26" s="732" t="str">
        <f>IFERROR(VLOOKUP($B26,DatasheetDA!$B$2:$K$233,L$12,FALSE),"")</f>
        <v/>
      </c>
      <c r="M26" s="735"/>
      <c r="N26" s="732" t="str">
        <f>IFERROR(VLOOKUP($B26,DatasheetDA!$B$2:$K$233,N$12,FALSE),"")</f>
        <v/>
      </c>
      <c r="O26" s="735"/>
      <c r="P26" s="732" t="str">
        <f>IFERROR(VLOOKUP($B26,DatasheetDA!$B$2:$K$233,P$12,FALSE),"")</f>
        <v/>
      </c>
      <c r="Q26" s="733"/>
      <c r="R26" s="732" t="str">
        <f>IFERROR(VLOOKUP($B26,DatasheetDA!$B$2:$K$233,R$12,FALSE),"")</f>
        <v/>
      </c>
      <c r="S26" s="703"/>
      <c r="T26" s="704"/>
      <c r="U26" s="705"/>
      <c r="V26" s="706"/>
      <c r="W26" s="655"/>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row>
    <row r="27" spans="1:50" s="708" customFormat="1" ht="21" customHeight="1" thickBot="1" x14ac:dyDescent="0.25">
      <c r="A27" s="701">
        <v>15</v>
      </c>
      <c r="B27" s="659" t="str">
        <f t="shared" si="0"/>
        <v>E2701EZ15</v>
      </c>
      <c r="C27" s="721" t="str">
        <f>IFERROR(VLOOKUP(B27,DatasheetDA!$B$2:$D$233,3,0),"")</f>
        <v/>
      </c>
      <c r="D27" s="702"/>
      <c r="E27" s="732" t="str">
        <f>IFERROR(VLOOKUP($B27,DatasheetDA!$B$2:$K$233,E$12,FALSE),"")</f>
        <v/>
      </c>
      <c r="F27" s="733"/>
      <c r="G27" s="734"/>
      <c r="H27" s="732" t="str">
        <f>IFERROR(VLOOKUP($B27,DatasheetDA!$B$2:$K$233,H$12,FALSE),"")</f>
        <v/>
      </c>
      <c r="I27" s="733"/>
      <c r="J27" s="732" t="str">
        <f>IFERROR(VLOOKUP($B27,DatasheetDA!$B$2:$K$233,J$12,FALSE),"")</f>
        <v/>
      </c>
      <c r="K27" s="735"/>
      <c r="L27" s="732" t="str">
        <f>IFERROR(VLOOKUP($B27,DatasheetDA!$B$2:$K$233,L$12,FALSE),"")</f>
        <v/>
      </c>
      <c r="M27" s="735"/>
      <c r="N27" s="732" t="str">
        <f>IFERROR(VLOOKUP($B27,DatasheetDA!$B$2:$K$233,N$12,FALSE),"")</f>
        <v/>
      </c>
      <c r="O27" s="735"/>
      <c r="P27" s="732" t="str">
        <f>IFERROR(VLOOKUP($B27,DatasheetDA!$B$2:$K$233,P$12,FALSE),"")</f>
        <v/>
      </c>
      <c r="Q27" s="733"/>
      <c r="R27" s="732" t="str">
        <f>IFERROR(VLOOKUP($B27,DatasheetDA!$B$2:$K$233,R$12,FALSE),"")</f>
        <v/>
      </c>
      <c r="S27" s="703"/>
      <c r="T27" s="704"/>
      <c r="U27" s="705"/>
      <c r="V27" s="706"/>
      <c r="W27" s="655"/>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row>
    <row r="28" spans="1:50" s="708" customFormat="1" ht="21" customHeight="1" thickBot="1" x14ac:dyDescent="0.25">
      <c r="A28" s="701">
        <v>16</v>
      </c>
      <c r="B28" s="659" t="str">
        <f t="shared" si="0"/>
        <v>E2701EZ16</v>
      </c>
      <c r="C28" s="721" t="str">
        <f>IFERROR(VLOOKUP(B28,DatasheetDA!$B$2:$D$233,3,0),"")</f>
        <v/>
      </c>
      <c r="D28" s="702"/>
      <c r="E28" s="732" t="str">
        <f>IFERROR(VLOOKUP($B28,DatasheetDA!$B$2:$K$233,E$12,FALSE),"")</f>
        <v/>
      </c>
      <c r="F28" s="733"/>
      <c r="G28" s="734"/>
      <c r="H28" s="732" t="str">
        <f>IFERROR(VLOOKUP($B28,DatasheetDA!$B$2:$K$233,H$12,FALSE),"")</f>
        <v/>
      </c>
      <c r="I28" s="733"/>
      <c r="J28" s="732" t="str">
        <f>IFERROR(VLOOKUP($B28,DatasheetDA!$B$2:$K$233,J$12,FALSE),"")</f>
        <v/>
      </c>
      <c r="K28" s="735"/>
      <c r="L28" s="732" t="str">
        <f>IFERROR(VLOOKUP($B28,DatasheetDA!$B$2:$K$233,L$12,FALSE),"")</f>
        <v/>
      </c>
      <c r="M28" s="735"/>
      <c r="N28" s="732" t="str">
        <f>IFERROR(VLOOKUP($B28,DatasheetDA!$B$2:$K$233,N$12,FALSE),"")</f>
        <v/>
      </c>
      <c r="O28" s="735"/>
      <c r="P28" s="732" t="str">
        <f>IFERROR(VLOOKUP($B28,DatasheetDA!$B$2:$K$233,P$12,FALSE),"")</f>
        <v/>
      </c>
      <c r="Q28" s="733"/>
      <c r="R28" s="732" t="str">
        <f>IFERROR(VLOOKUP($B28,DatasheetDA!$B$2:$K$233,R$12,FALSE),"")</f>
        <v/>
      </c>
      <c r="S28" s="703"/>
      <c r="T28" s="704"/>
      <c r="U28" s="705"/>
      <c r="V28" s="706"/>
      <c r="W28" s="655"/>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row>
    <row r="29" spans="1:50" s="708" customFormat="1" ht="21" customHeight="1" thickBot="1" x14ac:dyDescent="0.25">
      <c r="A29" s="701">
        <v>17</v>
      </c>
      <c r="B29" s="659" t="str">
        <f t="shared" si="0"/>
        <v>E2701EZ17</v>
      </c>
      <c r="C29" s="721" t="str">
        <f>IFERROR(VLOOKUP(B29,DatasheetDA!$B$2:$D$233,3,0),"")</f>
        <v/>
      </c>
      <c r="D29" s="702"/>
      <c r="E29" s="732" t="str">
        <f>IFERROR(VLOOKUP($B29,DatasheetDA!$B$2:$K$233,E$12,FALSE),"")</f>
        <v/>
      </c>
      <c r="F29" s="733"/>
      <c r="G29" s="734"/>
      <c r="H29" s="732" t="str">
        <f>IFERROR(VLOOKUP($B29,DatasheetDA!$B$2:$K$233,H$12,FALSE),"")</f>
        <v/>
      </c>
      <c r="I29" s="733"/>
      <c r="J29" s="732" t="str">
        <f>IFERROR(VLOOKUP($B29,DatasheetDA!$B$2:$K$233,J$12,FALSE),"")</f>
        <v/>
      </c>
      <c r="K29" s="735"/>
      <c r="L29" s="732" t="str">
        <f>IFERROR(VLOOKUP($B29,DatasheetDA!$B$2:$K$233,L$12,FALSE),"")</f>
        <v/>
      </c>
      <c r="M29" s="735"/>
      <c r="N29" s="732" t="str">
        <f>IFERROR(VLOOKUP($B29,DatasheetDA!$B$2:$K$233,N$12,FALSE),"")</f>
        <v/>
      </c>
      <c r="O29" s="735"/>
      <c r="P29" s="732" t="str">
        <f>IFERROR(VLOOKUP($B29,DatasheetDA!$B$2:$K$233,P$12,FALSE),"")</f>
        <v/>
      </c>
      <c r="Q29" s="733"/>
      <c r="R29" s="732" t="str">
        <f>IFERROR(VLOOKUP($B29,DatasheetDA!$B$2:$K$233,R$12,FALSE),"")</f>
        <v/>
      </c>
      <c r="S29" s="703"/>
      <c r="T29" s="704"/>
      <c r="U29" s="705"/>
      <c r="V29" s="706"/>
      <c r="W29" s="655"/>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row>
    <row r="30" spans="1:50" s="708" customFormat="1" ht="21" customHeight="1" thickBot="1" x14ac:dyDescent="0.25">
      <c r="A30" s="701">
        <v>18</v>
      </c>
      <c r="B30" s="659" t="str">
        <f t="shared" si="0"/>
        <v>E2701EZ18</v>
      </c>
      <c r="C30" s="721" t="str">
        <f>IFERROR(VLOOKUP(B30,DatasheetDA!$B$2:$D$233,3,0),"")</f>
        <v/>
      </c>
      <c r="D30" s="702"/>
      <c r="E30" s="732" t="str">
        <f>IFERROR(VLOOKUP($B30,DatasheetDA!$B$2:$K$233,E$12,FALSE),"")</f>
        <v/>
      </c>
      <c r="F30" s="733"/>
      <c r="G30" s="734"/>
      <c r="H30" s="732" t="str">
        <f>IFERROR(VLOOKUP($B30,DatasheetDA!$B$2:$K$233,H$12,FALSE),"")</f>
        <v/>
      </c>
      <c r="I30" s="733"/>
      <c r="J30" s="732" t="str">
        <f>IFERROR(VLOOKUP($B30,DatasheetDA!$B$2:$K$233,J$12,FALSE),"")</f>
        <v/>
      </c>
      <c r="K30" s="735"/>
      <c r="L30" s="732" t="str">
        <f>IFERROR(VLOOKUP($B30,DatasheetDA!$B$2:$K$233,L$12,FALSE),"")</f>
        <v/>
      </c>
      <c r="M30" s="735"/>
      <c r="N30" s="732" t="str">
        <f>IFERROR(VLOOKUP($B30,DatasheetDA!$B$2:$K$233,N$12,FALSE),"")</f>
        <v/>
      </c>
      <c r="O30" s="735"/>
      <c r="P30" s="732" t="str">
        <f>IFERROR(VLOOKUP($B30,DatasheetDA!$B$2:$K$233,P$12,FALSE),"")</f>
        <v/>
      </c>
      <c r="Q30" s="733"/>
      <c r="R30" s="732" t="str">
        <f>IFERROR(VLOOKUP($B30,DatasheetDA!$B$2:$K$233,R$12,FALSE),"")</f>
        <v/>
      </c>
      <c r="S30" s="703"/>
      <c r="T30" s="704"/>
      <c r="U30" s="705"/>
      <c r="V30" s="706"/>
      <c r="W30" s="655"/>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row>
    <row r="31" spans="1:50" s="708" customFormat="1" ht="21" customHeight="1" thickBot="1" x14ac:dyDescent="0.25">
      <c r="A31" s="701">
        <v>19</v>
      </c>
      <c r="B31" s="659" t="str">
        <f t="shared" si="0"/>
        <v>E2701EZ19</v>
      </c>
      <c r="C31" s="721" t="str">
        <f>IFERROR(VLOOKUP(B31,DatasheetDA!$B$2:$D$233,3,0),"")</f>
        <v/>
      </c>
      <c r="D31" s="702"/>
      <c r="E31" s="732" t="str">
        <f>IFERROR(VLOOKUP($B31,DatasheetDA!$B$2:$K$233,E$12,FALSE),"")</f>
        <v/>
      </c>
      <c r="F31" s="733"/>
      <c r="G31" s="734"/>
      <c r="H31" s="732" t="str">
        <f>IFERROR(VLOOKUP($B31,DatasheetDA!$B$2:$K$233,H$12,FALSE),"")</f>
        <v/>
      </c>
      <c r="I31" s="733"/>
      <c r="J31" s="732" t="str">
        <f>IFERROR(VLOOKUP($B31,DatasheetDA!$B$2:$K$233,J$12,FALSE),"")</f>
        <v/>
      </c>
      <c r="K31" s="735"/>
      <c r="L31" s="732" t="str">
        <f>IFERROR(VLOOKUP($B31,DatasheetDA!$B$2:$K$233,L$12,FALSE),"")</f>
        <v/>
      </c>
      <c r="M31" s="735"/>
      <c r="N31" s="732" t="str">
        <f>IFERROR(VLOOKUP($B31,DatasheetDA!$B$2:$K$233,N$12,FALSE),"")</f>
        <v/>
      </c>
      <c r="O31" s="735"/>
      <c r="P31" s="732" t="str">
        <f>IFERROR(VLOOKUP($B31,DatasheetDA!$B$2:$K$233,P$12,FALSE),"")</f>
        <v/>
      </c>
      <c r="Q31" s="733"/>
      <c r="R31" s="732" t="str">
        <f>IFERROR(VLOOKUP($B31,DatasheetDA!$B$2:$K$233,R$12,FALSE),"")</f>
        <v/>
      </c>
      <c r="S31" s="703"/>
      <c r="T31" s="704"/>
      <c r="U31" s="705"/>
      <c r="V31" s="706"/>
      <c r="W31" s="655"/>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row>
    <row r="32" spans="1:50" s="708" customFormat="1" ht="21" customHeight="1" thickBot="1" x14ac:dyDescent="0.25">
      <c r="A32" s="701">
        <v>20</v>
      </c>
      <c r="B32" s="659" t="str">
        <f t="shared" si="0"/>
        <v>E2701EZ20</v>
      </c>
      <c r="C32" s="721" t="str">
        <f>IFERROR(VLOOKUP(B32,DatasheetDA!$B$2:$D$233,3,0),"")</f>
        <v/>
      </c>
      <c r="D32" s="702"/>
      <c r="E32" s="732" t="str">
        <f>IFERROR(VLOOKUP($B32,DatasheetDA!$B$2:$K$233,E$12,FALSE),"")</f>
        <v/>
      </c>
      <c r="F32" s="733"/>
      <c r="G32" s="734"/>
      <c r="H32" s="732" t="str">
        <f>IFERROR(VLOOKUP($B32,DatasheetDA!$B$2:$K$233,H$12,FALSE),"")</f>
        <v/>
      </c>
      <c r="I32" s="733"/>
      <c r="J32" s="732" t="str">
        <f>IFERROR(VLOOKUP($B32,DatasheetDA!$B$2:$K$233,J$12,FALSE),"")</f>
        <v/>
      </c>
      <c r="K32" s="735"/>
      <c r="L32" s="732" t="str">
        <f>IFERROR(VLOOKUP($B32,DatasheetDA!$B$2:$K$233,L$12,FALSE),"")</f>
        <v/>
      </c>
      <c r="M32" s="735"/>
      <c r="N32" s="732" t="str">
        <f>IFERROR(VLOOKUP($B32,DatasheetDA!$B$2:$K$233,N$12,FALSE),"")</f>
        <v/>
      </c>
      <c r="O32" s="735"/>
      <c r="P32" s="732" t="str">
        <f>IFERROR(VLOOKUP($B32,DatasheetDA!$B$2:$K$233,P$12,FALSE),"")</f>
        <v/>
      </c>
      <c r="Q32" s="733"/>
      <c r="R32" s="732" t="str">
        <f>IFERROR(VLOOKUP($B32,DatasheetDA!$B$2:$K$233,R$12,FALSE),"")</f>
        <v/>
      </c>
      <c r="S32" s="703"/>
      <c r="T32" s="704"/>
      <c r="U32" s="705"/>
      <c r="V32" s="706"/>
      <c r="W32" s="655"/>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row>
    <row r="33" spans="1:50" s="708" customFormat="1" ht="21" customHeight="1" thickBot="1" x14ac:dyDescent="0.25">
      <c r="A33" s="701">
        <v>21</v>
      </c>
      <c r="B33" s="659" t="str">
        <f t="shared" si="0"/>
        <v>E2701EZ21</v>
      </c>
      <c r="C33" s="721" t="str">
        <f>IFERROR(VLOOKUP(B33,DatasheetDA!$B$2:$D$233,3,0),"")</f>
        <v/>
      </c>
      <c r="D33" s="702"/>
      <c r="E33" s="732" t="str">
        <f>IFERROR(VLOOKUP($B33,DatasheetDA!$B$2:$K$233,E$12,FALSE),"")</f>
        <v/>
      </c>
      <c r="F33" s="733"/>
      <c r="G33" s="734"/>
      <c r="H33" s="732" t="str">
        <f>IFERROR(VLOOKUP($B33,DatasheetDA!$B$2:$K$233,H$12,FALSE),"")</f>
        <v/>
      </c>
      <c r="I33" s="733"/>
      <c r="J33" s="732" t="str">
        <f>IFERROR(VLOOKUP($B33,DatasheetDA!$B$2:$K$233,J$12,FALSE),"")</f>
        <v/>
      </c>
      <c r="K33" s="735"/>
      <c r="L33" s="732" t="str">
        <f>IFERROR(VLOOKUP($B33,DatasheetDA!$B$2:$K$233,L$12,FALSE),"")</f>
        <v/>
      </c>
      <c r="M33" s="735"/>
      <c r="N33" s="732" t="str">
        <f>IFERROR(VLOOKUP($B33,DatasheetDA!$B$2:$K$233,N$12,FALSE),"")</f>
        <v/>
      </c>
      <c r="O33" s="735"/>
      <c r="P33" s="732" t="str">
        <f>IFERROR(VLOOKUP($B33,DatasheetDA!$B$2:$K$233,P$12,FALSE),"")</f>
        <v/>
      </c>
      <c r="Q33" s="733"/>
      <c r="R33" s="732" t="str">
        <f>IFERROR(VLOOKUP($B33,DatasheetDA!$B$2:$K$233,R$12,FALSE),"")</f>
        <v/>
      </c>
      <c r="S33" s="703"/>
      <c r="T33" s="704"/>
      <c r="U33" s="705"/>
      <c r="V33" s="706"/>
      <c r="W33" s="655"/>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row>
    <row r="34" spans="1:50" s="708" customFormat="1" ht="21" customHeight="1" thickBot="1" x14ac:dyDescent="0.25">
      <c r="A34" s="701">
        <v>22</v>
      </c>
      <c r="B34" s="659" t="str">
        <f t="shared" si="0"/>
        <v>E2701EZ22</v>
      </c>
      <c r="C34" s="721" t="str">
        <f>IFERROR(VLOOKUP(B34,DatasheetDA!$B$2:$D$233,3,0),"")</f>
        <v/>
      </c>
      <c r="D34" s="702"/>
      <c r="E34" s="732" t="str">
        <f>IFERROR(VLOOKUP($B34,DatasheetDA!$B$2:$K$233,E$12,FALSE),"")</f>
        <v/>
      </c>
      <c r="F34" s="733"/>
      <c r="G34" s="734"/>
      <c r="H34" s="732" t="str">
        <f>IFERROR(VLOOKUP($B34,DatasheetDA!$B$2:$K$233,H$12,FALSE),"")</f>
        <v/>
      </c>
      <c r="I34" s="733"/>
      <c r="J34" s="732" t="str">
        <f>IFERROR(VLOOKUP($B34,DatasheetDA!$B$2:$K$233,J$12,FALSE),"")</f>
        <v/>
      </c>
      <c r="K34" s="735"/>
      <c r="L34" s="732" t="str">
        <f>IFERROR(VLOOKUP($B34,DatasheetDA!$B$2:$K$233,L$12,FALSE),"")</f>
        <v/>
      </c>
      <c r="M34" s="735"/>
      <c r="N34" s="732" t="str">
        <f>IFERROR(VLOOKUP($B34,DatasheetDA!$B$2:$K$233,N$12,FALSE),"")</f>
        <v/>
      </c>
      <c r="O34" s="735"/>
      <c r="P34" s="732" t="str">
        <f>IFERROR(VLOOKUP($B34,DatasheetDA!$B$2:$K$233,P$12,FALSE),"")</f>
        <v/>
      </c>
      <c r="Q34" s="733"/>
      <c r="R34" s="732" t="str">
        <f>IFERROR(VLOOKUP($B34,DatasheetDA!$B$2:$K$233,R$12,FALSE),"")</f>
        <v/>
      </c>
      <c r="S34" s="703"/>
      <c r="T34" s="704"/>
      <c r="U34" s="705"/>
      <c r="V34" s="706"/>
      <c r="W34" s="655"/>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row>
    <row r="35" spans="1:50" s="708" customFormat="1" ht="21" customHeight="1" thickBot="1" x14ac:dyDescent="0.25">
      <c r="A35" s="701">
        <v>23</v>
      </c>
      <c r="B35" s="659" t="str">
        <f t="shared" si="0"/>
        <v>E2701EZ23</v>
      </c>
      <c r="C35" s="721" t="str">
        <f>IFERROR(VLOOKUP(B35,DatasheetDA!$B$2:$D$233,3,0),"")</f>
        <v/>
      </c>
      <c r="D35" s="702"/>
      <c r="E35" s="732" t="str">
        <f>IFERROR(VLOOKUP($B35,DatasheetDA!$B$2:$K$233,E$12,FALSE),"")</f>
        <v/>
      </c>
      <c r="F35" s="733"/>
      <c r="G35" s="734"/>
      <c r="H35" s="732" t="str">
        <f>IFERROR(VLOOKUP($B35,DatasheetDA!$B$2:$K$233,H$12,FALSE),"")</f>
        <v/>
      </c>
      <c r="I35" s="733"/>
      <c r="J35" s="732" t="str">
        <f>IFERROR(VLOOKUP($B35,DatasheetDA!$B$2:$K$233,J$12,FALSE),"")</f>
        <v/>
      </c>
      <c r="K35" s="735"/>
      <c r="L35" s="732" t="str">
        <f>IFERROR(VLOOKUP($B35,DatasheetDA!$B$2:$K$233,L$12,FALSE),"")</f>
        <v/>
      </c>
      <c r="M35" s="735"/>
      <c r="N35" s="732" t="str">
        <f>IFERROR(VLOOKUP($B35,DatasheetDA!$B$2:$K$233,N$12,FALSE),"")</f>
        <v/>
      </c>
      <c r="O35" s="735"/>
      <c r="P35" s="732" t="str">
        <f>IFERROR(VLOOKUP($B35,DatasheetDA!$B$2:$K$233,P$12,FALSE),"")</f>
        <v/>
      </c>
      <c r="Q35" s="733"/>
      <c r="R35" s="732" t="str">
        <f>IFERROR(VLOOKUP($B35,DatasheetDA!$B$2:$K$233,R$12,FALSE),"")</f>
        <v/>
      </c>
      <c r="S35" s="703"/>
      <c r="T35" s="704"/>
      <c r="U35" s="705"/>
      <c r="V35" s="706"/>
      <c r="W35" s="655"/>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row>
    <row r="36" spans="1:50" s="708" customFormat="1" ht="21" customHeight="1" thickBot="1" x14ac:dyDescent="0.25">
      <c r="A36" s="701">
        <v>24</v>
      </c>
      <c r="B36" s="659" t="str">
        <f t="shared" si="0"/>
        <v>E2701EZ24</v>
      </c>
      <c r="C36" s="721" t="str">
        <f>IFERROR(VLOOKUP(B36,DatasheetDA!$B$2:$D$233,3,0),"")</f>
        <v/>
      </c>
      <c r="D36" s="702"/>
      <c r="E36" s="732" t="str">
        <f>IFERROR(VLOOKUP($B36,DatasheetDA!$B$2:$K$233,E$12,FALSE),"")</f>
        <v/>
      </c>
      <c r="F36" s="733"/>
      <c r="G36" s="734"/>
      <c r="H36" s="732" t="str">
        <f>IFERROR(VLOOKUP($B36,DatasheetDA!$B$2:$K$233,H$12,FALSE),"")</f>
        <v/>
      </c>
      <c r="I36" s="733"/>
      <c r="J36" s="732" t="str">
        <f>IFERROR(VLOOKUP($B36,DatasheetDA!$B$2:$K$233,J$12,FALSE),"")</f>
        <v/>
      </c>
      <c r="K36" s="735"/>
      <c r="L36" s="732" t="str">
        <f>IFERROR(VLOOKUP($B36,DatasheetDA!$B$2:$K$233,L$12,FALSE),"")</f>
        <v/>
      </c>
      <c r="M36" s="735"/>
      <c r="N36" s="732" t="str">
        <f>IFERROR(VLOOKUP($B36,DatasheetDA!$B$2:$K$233,N$12,FALSE),"")</f>
        <v/>
      </c>
      <c r="O36" s="735"/>
      <c r="P36" s="732" t="str">
        <f>IFERROR(VLOOKUP($B36,DatasheetDA!$B$2:$K$233,P$12,FALSE),"")</f>
        <v/>
      </c>
      <c r="Q36" s="733"/>
      <c r="R36" s="732" t="str">
        <f>IFERROR(VLOOKUP($B36,DatasheetDA!$B$2:$K$233,R$12,FALSE),"")</f>
        <v/>
      </c>
      <c r="S36" s="703"/>
      <c r="T36" s="704"/>
      <c r="U36" s="705"/>
      <c r="V36" s="709"/>
      <c r="W36" s="655"/>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row>
    <row r="37" spans="1:50" s="708" customFormat="1" ht="21" customHeight="1" thickBot="1" x14ac:dyDescent="0.25">
      <c r="A37" s="701">
        <v>25</v>
      </c>
      <c r="B37" s="659" t="str">
        <f t="shared" si="0"/>
        <v>E2701EZ25</v>
      </c>
      <c r="C37" s="721" t="str">
        <f>IFERROR(VLOOKUP(B37,DatasheetDA!$B$2:$D$233,3,0),"")</f>
        <v/>
      </c>
      <c r="D37" s="702"/>
      <c r="E37" s="732" t="str">
        <f>IFERROR(VLOOKUP($B37,DatasheetDA!$B$2:$K$233,E$12,FALSE),"")</f>
        <v/>
      </c>
      <c r="F37" s="733"/>
      <c r="G37" s="734"/>
      <c r="H37" s="732" t="str">
        <f>IFERROR(VLOOKUP($B37,DatasheetDA!$B$2:$K$233,H$12,FALSE),"")</f>
        <v/>
      </c>
      <c r="I37" s="733"/>
      <c r="J37" s="732" t="str">
        <f>IFERROR(VLOOKUP($B37,DatasheetDA!$B$2:$K$233,J$12,FALSE),"")</f>
        <v/>
      </c>
      <c r="K37" s="735"/>
      <c r="L37" s="732" t="str">
        <f>IFERROR(VLOOKUP($B37,DatasheetDA!$B$2:$K$233,L$12,FALSE),"")</f>
        <v/>
      </c>
      <c r="M37" s="735"/>
      <c r="N37" s="732" t="str">
        <f>IFERROR(VLOOKUP($B37,DatasheetDA!$B$2:$K$233,N$12,FALSE),"")</f>
        <v/>
      </c>
      <c r="O37" s="735"/>
      <c r="P37" s="732" t="str">
        <f>IFERROR(VLOOKUP($B37,DatasheetDA!$B$2:$K$233,P$12,FALSE),"")</f>
        <v/>
      </c>
      <c r="Q37" s="733"/>
      <c r="R37" s="732" t="str">
        <f>IFERROR(VLOOKUP($B37,DatasheetDA!$B$2:$K$233,R$12,FALSE),"")</f>
        <v/>
      </c>
      <c r="S37" s="703"/>
      <c r="T37" s="704"/>
      <c r="U37" s="705"/>
      <c r="V37" s="709"/>
      <c r="W37" s="655"/>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row>
    <row r="38" spans="1:50" s="708" customFormat="1" ht="21" customHeight="1" thickBot="1" x14ac:dyDescent="0.25">
      <c r="A38" s="701">
        <v>26</v>
      </c>
      <c r="B38" s="659" t="str">
        <f t="shared" si="0"/>
        <v>E2701EZ26</v>
      </c>
      <c r="C38" s="721" t="str">
        <f>IFERROR(VLOOKUP(B38,DatasheetDA!$B$2:$D$233,3,0),"")</f>
        <v/>
      </c>
      <c r="D38" s="702"/>
      <c r="E38" s="732" t="str">
        <f>IFERROR(VLOOKUP($B38,DatasheetDA!$B$2:$K$233,E$12,FALSE),"")</f>
        <v/>
      </c>
      <c r="F38" s="733"/>
      <c r="G38" s="734"/>
      <c r="H38" s="732" t="str">
        <f>IFERROR(VLOOKUP($B38,DatasheetDA!$B$2:$K$233,H$12,FALSE),"")</f>
        <v/>
      </c>
      <c r="I38" s="733"/>
      <c r="J38" s="732" t="str">
        <f>IFERROR(VLOOKUP($B38,DatasheetDA!$B$2:$K$233,J$12,FALSE),"")</f>
        <v/>
      </c>
      <c r="K38" s="735"/>
      <c r="L38" s="732" t="str">
        <f>IFERROR(VLOOKUP($B38,DatasheetDA!$B$2:$K$233,L$12,FALSE),"")</f>
        <v/>
      </c>
      <c r="M38" s="735"/>
      <c r="N38" s="732" t="str">
        <f>IFERROR(VLOOKUP($B38,DatasheetDA!$B$2:$K$233,N$12,FALSE),"")</f>
        <v/>
      </c>
      <c r="O38" s="735"/>
      <c r="P38" s="732" t="str">
        <f>IFERROR(VLOOKUP($B38,DatasheetDA!$B$2:$K$233,P$12,FALSE),"")</f>
        <v/>
      </c>
      <c r="Q38" s="733"/>
      <c r="R38" s="732" t="str">
        <f>IFERROR(VLOOKUP($B38,DatasheetDA!$B$2:$K$233,R$12,FALSE),"")</f>
        <v/>
      </c>
      <c r="S38" s="703"/>
      <c r="T38" s="704"/>
      <c r="U38" s="705"/>
      <c r="V38" s="709"/>
      <c r="W38" s="655"/>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row>
    <row r="39" spans="1:50" s="708" customFormat="1" ht="21" customHeight="1" thickBot="1" x14ac:dyDescent="0.25">
      <c r="A39" s="701">
        <v>27</v>
      </c>
      <c r="B39" s="659" t="str">
        <f t="shared" si="0"/>
        <v>E2701EZ27</v>
      </c>
      <c r="C39" s="721" t="str">
        <f>IFERROR(VLOOKUP(B39,DatasheetDA!$B$2:$D$233,3,0),"")</f>
        <v/>
      </c>
      <c r="D39" s="702"/>
      <c r="E39" s="732" t="str">
        <f>IFERROR(VLOOKUP($B39,DatasheetDA!$B$2:$K$233,E$12,FALSE),"")</f>
        <v/>
      </c>
      <c r="F39" s="733"/>
      <c r="G39" s="734"/>
      <c r="H39" s="732" t="str">
        <f>IFERROR(VLOOKUP($B39,DatasheetDA!$B$2:$K$233,H$12,FALSE),"")</f>
        <v/>
      </c>
      <c r="I39" s="733"/>
      <c r="J39" s="732" t="str">
        <f>IFERROR(VLOOKUP($B39,DatasheetDA!$B$2:$K$233,J$12,FALSE),"")</f>
        <v/>
      </c>
      <c r="K39" s="735"/>
      <c r="L39" s="732" t="str">
        <f>IFERROR(VLOOKUP($B39,DatasheetDA!$B$2:$K$233,L$12,FALSE),"")</f>
        <v/>
      </c>
      <c r="M39" s="735"/>
      <c r="N39" s="732" t="str">
        <f>IFERROR(VLOOKUP($B39,DatasheetDA!$B$2:$K$233,N$12,FALSE),"")</f>
        <v/>
      </c>
      <c r="O39" s="735"/>
      <c r="P39" s="732" t="str">
        <f>IFERROR(VLOOKUP($B39,DatasheetDA!$B$2:$K$233,P$12,FALSE),"")</f>
        <v/>
      </c>
      <c r="Q39" s="733"/>
      <c r="R39" s="732" t="str">
        <f>IFERROR(VLOOKUP($B39,DatasheetDA!$B$2:$K$233,R$12,FALSE),"")</f>
        <v/>
      </c>
      <c r="S39" s="703"/>
      <c r="T39" s="704"/>
      <c r="U39" s="705"/>
      <c r="V39" s="709"/>
      <c r="W39" s="655"/>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row>
    <row r="40" spans="1:50" s="708" customFormat="1" ht="21" customHeight="1" thickBot="1" x14ac:dyDescent="0.25">
      <c r="A40" s="701">
        <v>28</v>
      </c>
      <c r="B40" s="659" t="str">
        <f t="shared" si="0"/>
        <v>E2701EZ28</v>
      </c>
      <c r="C40" s="721" t="str">
        <f>IFERROR(VLOOKUP(B40,DatasheetDA!$B$2:$D$233,3,0),"")</f>
        <v/>
      </c>
      <c r="D40" s="702"/>
      <c r="E40" s="732" t="str">
        <f>IFERROR(VLOOKUP($B40,DatasheetDA!$B$2:$K$233,E$12,FALSE),"")</f>
        <v/>
      </c>
      <c r="F40" s="733"/>
      <c r="G40" s="734"/>
      <c r="H40" s="732" t="str">
        <f>IFERROR(VLOOKUP($B40,DatasheetDA!$B$2:$K$233,H$12,FALSE),"")</f>
        <v/>
      </c>
      <c r="I40" s="733"/>
      <c r="J40" s="732" t="str">
        <f>IFERROR(VLOOKUP($B40,DatasheetDA!$B$2:$K$233,J$12,FALSE),"")</f>
        <v/>
      </c>
      <c r="K40" s="735"/>
      <c r="L40" s="732" t="str">
        <f>IFERROR(VLOOKUP($B40,DatasheetDA!$B$2:$K$233,L$12,FALSE),"")</f>
        <v/>
      </c>
      <c r="M40" s="735"/>
      <c r="N40" s="732" t="str">
        <f>IFERROR(VLOOKUP($B40,DatasheetDA!$B$2:$K$233,N$12,FALSE),"")</f>
        <v/>
      </c>
      <c r="O40" s="735"/>
      <c r="P40" s="732" t="str">
        <f>IFERROR(VLOOKUP($B40,DatasheetDA!$B$2:$K$233,P$12,FALSE),"")</f>
        <v/>
      </c>
      <c r="Q40" s="733"/>
      <c r="R40" s="732" t="str">
        <f>IFERROR(VLOOKUP($B40,DatasheetDA!$B$2:$K$233,R$12,FALSE),"")</f>
        <v/>
      </c>
      <c r="S40" s="703"/>
      <c r="T40" s="704"/>
      <c r="U40" s="705"/>
      <c r="V40" s="709"/>
      <c r="W40" s="655"/>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row>
    <row r="41" spans="1:50" s="708" customFormat="1" ht="21" customHeight="1" thickBot="1" x14ac:dyDescent="0.25">
      <c r="A41" s="701">
        <v>29</v>
      </c>
      <c r="B41" s="659" t="str">
        <f t="shared" si="0"/>
        <v>E2701EZ29</v>
      </c>
      <c r="C41" s="721" t="str">
        <f>IFERROR(VLOOKUP(B41,DatasheetDA!$B$2:$D$233,3,0),"")</f>
        <v/>
      </c>
      <c r="D41" s="702"/>
      <c r="E41" s="732" t="str">
        <f>IFERROR(VLOOKUP($B41,DatasheetDA!$B$2:$K$233,E$12,FALSE),"")</f>
        <v/>
      </c>
      <c r="F41" s="733"/>
      <c r="G41" s="734"/>
      <c r="H41" s="732" t="str">
        <f>IFERROR(VLOOKUP($B41,DatasheetDA!$B$2:$K$233,H$12,FALSE),"")</f>
        <v/>
      </c>
      <c r="I41" s="733"/>
      <c r="J41" s="732" t="str">
        <f>IFERROR(VLOOKUP($B41,DatasheetDA!$B$2:$K$233,J$12,FALSE),"")</f>
        <v/>
      </c>
      <c r="K41" s="735"/>
      <c r="L41" s="732" t="str">
        <f>IFERROR(VLOOKUP($B41,DatasheetDA!$B$2:$K$233,L$12,FALSE),"")</f>
        <v/>
      </c>
      <c r="M41" s="735"/>
      <c r="N41" s="732" t="str">
        <f>IFERROR(VLOOKUP($B41,DatasheetDA!$B$2:$K$233,N$12,FALSE),"")</f>
        <v/>
      </c>
      <c r="O41" s="735"/>
      <c r="P41" s="732" t="str">
        <f>IFERROR(VLOOKUP($B41,DatasheetDA!$B$2:$K$233,P$12,FALSE),"")</f>
        <v/>
      </c>
      <c r="Q41" s="733"/>
      <c r="R41" s="732" t="str">
        <f>IFERROR(VLOOKUP($B41,DatasheetDA!$B$2:$K$233,R$12,FALSE),"")</f>
        <v/>
      </c>
      <c r="S41" s="703"/>
      <c r="T41" s="704"/>
      <c r="U41" s="705"/>
      <c r="V41" s="709"/>
      <c r="W41" s="655"/>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row>
    <row r="42" spans="1:50" s="708" customFormat="1" ht="21" customHeight="1" thickBot="1" x14ac:dyDescent="0.25">
      <c r="A42" s="701">
        <v>30</v>
      </c>
      <c r="B42" s="659" t="str">
        <f t="shared" si="0"/>
        <v>E2701EZ30</v>
      </c>
      <c r="C42" s="721" t="str">
        <f>IFERROR(VLOOKUP(B42,DatasheetDA!$B$2:$D$233,3,0),"")</f>
        <v/>
      </c>
      <c r="D42" s="702"/>
      <c r="E42" s="732" t="str">
        <f>IFERROR(VLOOKUP($B42,DatasheetDA!$B$2:$K$233,E$12,FALSE),"")</f>
        <v/>
      </c>
      <c r="F42" s="733"/>
      <c r="G42" s="734"/>
      <c r="H42" s="732" t="str">
        <f>IFERROR(VLOOKUP($B42,DatasheetDA!$B$2:$K$233,H$12,FALSE),"")</f>
        <v/>
      </c>
      <c r="I42" s="733"/>
      <c r="J42" s="732" t="str">
        <f>IFERROR(VLOOKUP($B42,DatasheetDA!$B$2:$K$233,J$12,FALSE),"")</f>
        <v/>
      </c>
      <c r="K42" s="735"/>
      <c r="L42" s="732" t="str">
        <f>IFERROR(VLOOKUP($B42,DatasheetDA!$B$2:$K$233,L$12,FALSE),"")</f>
        <v/>
      </c>
      <c r="M42" s="735"/>
      <c r="N42" s="732" t="str">
        <f>IFERROR(VLOOKUP($B42,DatasheetDA!$B$2:$K$233,N$12,FALSE),"")</f>
        <v/>
      </c>
      <c r="O42" s="735"/>
      <c r="P42" s="732" t="str">
        <f>IFERROR(VLOOKUP($B42,DatasheetDA!$B$2:$K$233,P$12,FALSE),"")</f>
        <v/>
      </c>
      <c r="Q42" s="733"/>
      <c r="R42" s="732" t="str">
        <f>IFERROR(VLOOKUP($B42,DatasheetDA!$B$2:$K$233,R$12,FALSE),"")</f>
        <v/>
      </c>
      <c r="S42" s="703"/>
      <c r="T42" s="704"/>
      <c r="U42" s="705"/>
      <c r="V42" s="709"/>
      <c r="W42" s="655"/>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row>
    <row r="43" spans="1:50" s="708" customFormat="1" ht="21" customHeight="1" thickBot="1" x14ac:dyDescent="0.25">
      <c r="A43" s="701">
        <v>31</v>
      </c>
      <c r="B43" s="659" t="str">
        <f t="shared" si="0"/>
        <v>E2701EZ31</v>
      </c>
      <c r="C43" s="721" t="str">
        <f>IFERROR(VLOOKUP(B43,DatasheetDA!$B$2:$D$233,3,0),"")</f>
        <v/>
      </c>
      <c r="D43" s="702"/>
      <c r="E43" s="732" t="str">
        <f>IFERROR(VLOOKUP($B43,DatasheetDA!$B$2:$K$233,E$12,FALSE),"")</f>
        <v/>
      </c>
      <c r="F43" s="733"/>
      <c r="G43" s="734"/>
      <c r="H43" s="732" t="str">
        <f>IFERROR(VLOOKUP($B43,DatasheetDA!$B$2:$K$233,H$12,FALSE),"")</f>
        <v/>
      </c>
      <c r="I43" s="733"/>
      <c r="J43" s="732" t="str">
        <f>IFERROR(VLOOKUP($B43,DatasheetDA!$B$2:$K$233,J$12,FALSE),"")</f>
        <v/>
      </c>
      <c r="K43" s="735"/>
      <c r="L43" s="732" t="str">
        <f>IFERROR(VLOOKUP($B43,DatasheetDA!$B$2:$K$233,L$12,FALSE),"")</f>
        <v/>
      </c>
      <c r="M43" s="735"/>
      <c r="N43" s="732" t="str">
        <f>IFERROR(VLOOKUP($B43,DatasheetDA!$B$2:$K$233,N$12,FALSE),"")</f>
        <v/>
      </c>
      <c r="O43" s="735"/>
      <c r="P43" s="732" t="str">
        <f>IFERROR(VLOOKUP($B43,DatasheetDA!$B$2:$K$233,P$12,FALSE),"")</f>
        <v/>
      </c>
      <c r="Q43" s="733"/>
      <c r="R43" s="732" t="str">
        <f>IFERROR(VLOOKUP($B43,DatasheetDA!$B$2:$K$233,R$12,FALSE),"")</f>
        <v/>
      </c>
      <c r="S43" s="703"/>
      <c r="T43" s="704"/>
      <c r="U43" s="705"/>
      <c r="V43" s="709"/>
      <c r="W43" s="655"/>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row>
    <row r="44" spans="1:50" s="708" customFormat="1" ht="21" customHeight="1" thickBot="1" x14ac:dyDescent="0.25">
      <c r="A44" s="701">
        <v>32</v>
      </c>
      <c r="B44" s="659" t="str">
        <f t="shared" si="0"/>
        <v>E2701EZ32</v>
      </c>
      <c r="C44" s="721" t="str">
        <f>IFERROR(VLOOKUP(B44,DatasheetDA!$B$2:$D$233,3,0),"")</f>
        <v/>
      </c>
      <c r="D44" s="702"/>
      <c r="E44" s="732" t="str">
        <f>IFERROR(VLOOKUP($B44,DatasheetDA!$B$2:$K$233,E$12,FALSE),"")</f>
        <v/>
      </c>
      <c r="F44" s="733"/>
      <c r="G44" s="734"/>
      <c r="H44" s="732" t="str">
        <f>IFERROR(VLOOKUP($B44,DatasheetDA!$B$2:$K$233,H$12,FALSE),"")</f>
        <v/>
      </c>
      <c r="I44" s="733"/>
      <c r="J44" s="732" t="str">
        <f>IFERROR(VLOOKUP($B44,DatasheetDA!$B$2:$K$233,J$12,FALSE),"")</f>
        <v/>
      </c>
      <c r="K44" s="735"/>
      <c r="L44" s="732" t="str">
        <f>IFERROR(VLOOKUP($B44,DatasheetDA!$B$2:$K$233,L$12,FALSE),"")</f>
        <v/>
      </c>
      <c r="M44" s="735"/>
      <c r="N44" s="732" t="str">
        <f>IFERROR(VLOOKUP($B44,DatasheetDA!$B$2:$K$233,N$12,FALSE),"")</f>
        <v/>
      </c>
      <c r="O44" s="735"/>
      <c r="P44" s="732" t="str">
        <f>IFERROR(VLOOKUP($B44,DatasheetDA!$B$2:$K$233,P$12,FALSE),"")</f>
        <v/>
      </c>
      <c r="Q44" s="733"/>
      <c r="R44" s="732" t="str">
        <f>IFERROR(VLOOKUP($B44,DatasheetDA!$B$2:$K$233,R$12,FALSE),"")</f>
        <v/>
      </c>
      <c r="S44" s="703"/>
      <c r="T44" s="704"/>
      <c r="U44" s="705"/>
      <c r="V44" s="709"/>
      <c r="W44" s="655"/>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row>
    <row r="45" spans="1:50" s="708" customFormat="1" ht="21" customHeight="1" thickBot="1" x14ac:dyDescent="0.25">
      <c r="A45" s="701">
        <v>33</v>
      </c>
      <c r="B45" s="659" t="str">
        <f t="shared" si="0"/>
        <v>E2701EZ33</v>
      </c>
      <c r="C45" s="721" t="str">
        <f>IFERROR(VLOOKUP(B45,DatasheetDA!$B$2:$D$233,3,0),"")</f>
        <v/>
      </c>
      <c r="D45" s="702"/>
      <c r="E45" s="732" t="str">
        <f>IFERROR(VLOOKUP($B45,DatasheetDA!$B$2:$K$233,E$12,FALSE),"")</f>
        <v/>
      </c>
      <c r="F45" s="733"/>
      <c r="G45" s="734"/>
      <c r="H45" s="732" t="str">
        <f>IFERROR(VLOOKUP($B45,DatasheetDA!$B$2:$K$233,H$12,FALSE),"")</f>
        <v/>
      </c>
      <c r="I45" s="733"/>
      <c r="J45" s="732" t="str">
        <f>IFERROR(VLOOKUP($B45,DatasheetDA!$B$2:$K$233,J$12,FALSE),"")</f>
        <v/>
      </c>
      <c r="K45" s="735"/>
      <c r="L45" s="732" t="str">
        <f>IFERROR(VLOOKUP($B45,DatasheetDA!$B$2:$K$233,L$12,FALSE),"")</f>
        <v/>
      </c>
      <c r="M45" s="735"/>
      <c r="N45" s="732" t="str">
        <f>IFERROR(VLOOKUP($B45,DatasheetDA!$B$2:$K$233,N$12,FALSE),"")</f>
        <v/>
      </c>
      <c r="O45" s="735"/>
      <c r="P45" s="732" t="str">
        <f>IFERROR(VLOOKUP($B45,DatasheetDA!$B$2:$K$233,P$12,FALSE),"")</f>
        <v/>
      </c>
      <c r="Q45" s="733"/>
      <c r="R45" s="732" t="str">
        <f>IFERROR(VLOOKUP($B45,DatasheetDA!$B$2:$K$233,R$12,FALSE),"")</f>
        <v/>
      </c>
      <c r="S45" s="703"/>
      <c r="T45" s="704"/>
      <c r="U45" s="705"/>
      <c r="V45" s="709"/>
      <c r="W45" s="655"/>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row>
    <row r="46" spans="1:50" s="708" customFormat="1" ht="21" customHeight="1" thickBot="1" x14ac:dyDescent="0.25">
      <c r="A46" s="701">
        <v>34</v>
      </c>
      <c r="B46" s="659" t="str">
        <f t="shared" si="0"/>
        <v>E2701EZ34</v>
      </c>
      <c r="C46" s="721" t="str">
        <f>IFERROR(VLOOKUP(B46,DatasheetDA!$B$2:$D$233,3,0),"")</f>
        <v/>
      </c>
      <c r="D46" s="702"/>
      <c r="E46" s="732" t="str">
        <f>IFERROR(VLOOKUP($B46,DatasheetDA!$B$2:$K$233,E$12,FALSE),"")</f>
        <v/>
      </c>
      <c r="F46" s="733"/>
      <c r="G46" s="734"/>
      <c r="H46" s="732" t="str">
        <f>IFERROR(VLOOKUP($B46,DatasheetDA!$B$2:$K$233,H$12,FALSE),"")</f>
        <v/>
      </c>
      <c r="I46" s="733"/>
      <c r="J46" s="732" t="str">
        <f>IFERROR(VLOOKUP($B46,DatasheetDA!$B$2:$K$233,J$12,FALSE),"")</f>
        <v/>
      </c>
      <c r="K46" s="735"/>
      <c r="L46" s="732" t="str">
        <f>IFERROR(VLOOKUP($B46,DatasheetDA!$B$2:$K$233,L$12,FALSE),"")</f>
        <v/>
      </c>
      <c r="M46" s="735"/>
      <c r="N46" s="732" t="str">
        <f>IFERROR(VLOOKUP($B46,DatasheetDA!$B$2:$K$233,N$12,FALSE),"")</f>
        <v/>
      </c>
      <c r="O46" s="735"/>
      <c r="P46" s="732" t="str">
        <f>IFERROR(VLOOKUP($B46,DatasheetDA!$B$2:$K$233,P$12,FALSE),"")</f>
        <v/>
      </c>
      <c r="Q46" s="733"/>
      <c r="R46" s="732" t="str">
        <f>IFERROR(VLOOKUP($B46,DatasheetDA!$B$2:$K$233,R$12,FALSE),"")</f>
        <v/>
      </c>
      <c r="S46" s="703"/>
      <c r="T46" s="704"/>
      <c r="U46" s="705"/>
      <c r="V46" s="709"/>
      <c r="W46" s="655"/>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row>
    <row r="47" spans="1:50" s="708" customFormat="1" ht="21" customHeight="1" thickBot="1" x14ac:dyDescent="0.25">
      <c r="A47" s="701">
        <v>35</v>
      </c>
      <c r="B47" s="659" t="str">
        <f t="shared" si="0"/>
        <v>E2701EZ35</v>
      </c>
      <c r="C47" s="721" t="str">
        <f>IFERROR(VLOOKUP(B47,DatasheetDA!$B$2:$D$233,3,0),"")</f>
        <v/>
      </c>
      <c r="D47" s="702"/>
      <c r="E47" s="732" t="str">
        <f>IFERROR(VLOOKUP($B47,DatasheetDA!$B$2:$K$233,E$12,FALSE),"")</f>
        <v/>
      </c>
      <c r="F47" s="733"/>
      <c r="G47" s="734"/>
      <c r="H47" s="732" t="str">
        <f>IFERROR(VLOOKUP($B47,DatasheetDA!$B$2:$K$233,H$12,FALSE),"")</f>
        <v/>
      </c>
      <c r="I47" s="733"/>
      <c r="J47" s="732" t="str">
        <f>IFERROR(VLOOKUP($B47,DatasheetDA!$B$2:$K$233,J$12,FALSE),"")</f>
        <v/>
      </c>
      <c r="K47" s="735"/>
      <c r="L47" s="732" t="str">
        <f>IFERROR(VLOOKUP($B47,DatasheetDA!$B$2:$K$233,L$12,FALSE),"")</f>
        <v/>
      </c>
      <c r="M47" s="735"/>
      <c r="N47" s="732" t="str">
        <f>IFERROR(VLOOKUP($B47,DatasheetDA!$B$2:$K$233,N$12,FALSE),"")</f>
        <v/>
      </c>
      <c r="O47" s="735"/>
      <c r="P47" s="732" t="str">
        <f>IFERROR(VLOOKUP($B47,DatasheetDA!$B$2:$K$233,P$12,FALSE),"")</f>
        <v/>
      </c>
      <c r="Q47" s="733"/>
      <c r="R47" s="732" t="str">
        <f>IFERROR(VLOOKUP($B47,DatasheetDA!$B$2:$K$233,R$12,FALSE),"")</f>
        <v/>
      </c>
      <c r="S47" s="703"/>
      <c r="T47" s="704"/>
      <c r="U47" s="705"/>
      <c r="V47" s="709"/>
      <c r="W47" s="655"/>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row>
    <row r="48" spans="1:50" s="708" customFormat="1" ht="21" customHeight="1" thickBot="1" x14ac:dyDescent="0.25">
      <c r="A48" s="701">
        <v>36</v>
      </c>
      <c r="B48" s="659" t="str">
        <f t="shared" si="0"/>
        <v>E2701EZ36</v>
      </c>
      <c r="C48" s="721" t="str">
        <f>IFERROR(VLOOKUP(B48,DatasheetDA!$B$2:$D$233,3,0),"")</f>
        <v/>
      </c>
      <c r="D48" s="702"/>
      <c r="E48" s="732" t="str">
        <f>IFERROR(VLOOKUP($B48,DatasheetDA!$B$2:$K$233,E$12,FALSE),"")</f>
        <v/>
      </c>
      <c r="F48" s="733"/>
      <c r="G48" s="734"/>
      <c r="H48" s="732" t="str">
        <f>IFERROR(VLOOKUP($B48,DatasheetDA!$B$2:$K$233,H$12,FALSE),"")</f>
        <v/>
      </c>
      <c r="I48" s="733"/>
      <c r="J48" s="732" t="str">
        <f>IFERROR(VLOOKUP($B48,DatasheetDA!$B$2:$K$233,J$12,FALSE),"")</f>
        <v/>
      </c>
      <c r="K48" s="735"/>
      <c r="L48" s="732" t="str">
        <f>IFERROR(VLOOKUP($B48,DatasheetDA!$B$2:$K$233,L$12,FALSE),"")</f>
        <v/>
      </c>
      <c r="M48" s="735"/>
      <c r="N48" s="732" t="str">
        <f>IFERROR(VLOOKUP($B48,DatasheetDA!$B$2:$K$233,N$12,FALSE),"")</f>
        <v/>
      </c>
      <c r="O48" s="735"/>
      <c r="P48" s="732" t="str">
        <f>IFERROR(VLOOKUP($B48,DatasheetDA!$B$2:$K$233,P$12,FALSE),"")</f>
        <v/>
      </c>
      <c r="Q48" s="733"/>
      <c r="R48" s="732" t="str">
        <f>IFERROR(VLOOKUP($B48,DatasheetDA!$B$2:$K$233,R$12,FALSE),"")</f>
        <v/>
      </c>
      <c r="S48" s="703"/>
      <c r="T48" s="704"/>
      <c r="U48" s="705"/>
      <c r="V48" s="709"/>
      <c r="W48" s="655"/>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row>
    <row r="49" spans="1:50" s="708" customFormat="1" ht="18.75" thickBot="1" x14ac:dyDescent="0.25">
      <c r="A49" s="701">
        <v>37</v>
      </c>
      <c r="B49" s="659" t="str">
        <f t="shared" si="0"/>
        <v>E2701EZ37</v>
      </c>
      <c r="C49" s="721" t="str">
        <f>IFERROR(VLOOKUP(B49,DatasheetDA!$B$2:$D$233,3,0),"")</f>
        <v/>
      </c>
      <c r="D49" s="702"/>
      <c r="E49" s="732" t="str">
        <f>IFERROR(VLOOKUP($B49,DatasheetDA!$B$2:$K$233,E$12,FALSE),"")</f>
        <v/>
      </c>
      <c r="F49" s="733"/>
      <c r="G49" s="734"/>
      <c r="H49" s="732" t="str">
        <f>IFERROR(VLOOKUP($B49,DatasheetDA!$B$2:$K$233,H$12,FALSE),"")</f>
        <v/>
      </c>
      <c r="I49" s="733"/>
      <c r="J49" s="732" t="str">
        <f>IFERROR(VLOOKUP($B49,DatasheetDA!$B$2:$K$233,J$12,FALSE),"")</f>
        <v/>
      </c>
      <c r="K49" s="735"/>
      <c r="L49" s="732" t="str">
        <f>IFERROR(VLOOKUP($B49,DatasheetDA!$B$2:$K$233,L$12,FALSE),"")</f>
        <v/>
      </c>
      <c r="M49" s="735"/>
      <c r="N49" s="732" t="str">
        <f>IFERROR(VLOOKUP($B49,DatasheetDA!$B$2:$K$233,N$12,FALSE),"")</f>
        <v/>
      </c>
      <c r="O49" s="735"/>
      <c r="P49" s="732" t="str">
        <f>IFERROR(VLOOKUP($B49,DatasheetDA!$B$2:$K$233,P$12,FALSE),"")</f>
        <v/>
      </c>
      <c r="Q49" s="733"/>
      <c r="R49" s="732" t="str">
        <f>IFERROR(VLOOKUP($B49,DatasheetDA!$B$2:$K$233,R$12,FALSE),"")</f>
        <v/>
      </c>
      <c r="S49" s="703"/>
      <c r="T49" s="704"/>
      <c r="U49" s="705"/>
      <c r="V49" s="709"/>
      <c r="W49" s="655"/>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row>
    <row r="50" spans="1:50" s="708" customFormat="1" ht="18.75" thickBot="1" x14ac:dyDescent="0.25">
      <c r="A50" s="701">
        <v>38</v>
      </c>
      <c r="B50" s="659" t="str">
        <f t="shared" si="0"/>
        <v>E2701EZ38</v>
      </c>
      <c r="C50" s="721" t="str">
        <f>IFERROR(VLOOKUP(B50,DatasheetDA!$B$2:$D$233,3,0),"")</f>
        <v/>
      </c>
      <c r="D50" s="702"/>
      <c r="E50" s="732" t="str">
        <f>IFERROR(VLOOKUP($B50,DatasheetDA!$B$2:$K$233,E$12,FALSE),"")</f>
        <v/>
      </c>
      <c r="F50" s="733"/>
      <c r="G50" s="734"/>
      <c r="H50" s="732" t="str">
        <f>IFERROR(VLOOKUP($B50,DatasheetDA!$B$2:$K$233,H$12,FALSE),"")</f>
        <v/>
      </c>
      <c r="I50" s="733"/>
      <c r="J50" s="732" t="str">
        <f>IFERROR(VLOOKUP($B50,DatasheetDA!$B$2:$K$233,J$12,FALSE),"")</f>
        <v/>
      </c>
      <c r="K50" s="735"/>
      <c r="L50" s="732" t="str">
        <f>IFERROR(VLOOKUP($B50,DatasheetDA!$B$2:$K$233,L$12,FALSE),"")</f>
        <v/>
      </c>
      <c r="M50" s="735"/>
      <c r="N50" s="732" t="str">
        <f>IFERROR(VLOOKUP($B50,DatasheetDA!$B$2:$K$233,N$12,FALSE),"")</f>
        <v/>
      </c>
      <c r="O50" s="735"/>
      <c r="P50" s="732" t="str">
        <f>IFERROR(VLOOKUP($B50,DatasheetDA!$B$2:$K$233,P$12,FALSE),"")</f>
        <v/>
      </c>
      <c r="Q50" s="733"/>
      <c r="R50" s="732" t="str">
        <f>IFERROR(VLOOKUP($B50,DatasheetDA!$B$2:$K$233,R$12,FALSE),"")</f>
        <v/>
      </c>
      <c r="S50" s="703"/>
      <c r="T50" s="704"/>
      <c r="U50" s="705"/>
      <c r="V50" s="709"/>
      <c r="W50" s="655"/>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row>
    <row r="51" spans="1:50" s="708" customFormat="1" ht="18.75" thickBot="1" x14ac:dyDescent="0.25">
      <c r="A51" s="701">
        <v>39</v>
      </c>
      <c r="B51" s="659" t="str">
        <f t="shared" si="0"/>
        <v>E2701EZ39</v>
      </c>
      <c r="C51" s="721" t="str">
        <f>IFERROR(VLOOKUP(B51,DatasheetDA!$B$2:$D$233,3,0),"")</f>
        <v/>
      </c>
      <c r="D51" s="702"/>
      <c r="E51" s="732" t="str">
        <f>IFERROR(VLOOKUP($B51,DatasheetDA!$B$2:$K$233,E$12,FALSE),"")</f>
        <v/>
      </c>
      <c r="F51" s="733"/>
      <c r="G51" s="734"/>
      <c r="H51" s="732" t="str">
        <f>IFERROR(VLOOKUP($B51,DatasheetDA!$B$2:$K$233,H$12,FALSE),"")</f>
        <v/>
      </c>
      <c r="I51" s="733"/>
      <c r="J51" s="732" t="str">
        <f>IFERROR(VLOOKUP($B51,DatasheetDA!$B$2:$K$233,J$12,FALSE),"")</f>
        <v/>
      </c>
      <c r="K51" s="735"/>
      <c r="L51" s="732" t="str">
        <f>IFERROR(VLOOKUP($B51,DatasheetDA!$B$2:$K$233,L$12,FALSE),"")</f>
        <v/>
      </c>
      <c r="M51" s="735"/>
      <c r="N51" s="732" t="str">
        <f>IFERROR(VLOOKUP($B51,DatasheetDA!$B$2:$K$233,N$12,FALSE),"")</f>
        <v/>
      </c>
      <c r="O51" s="735"/>
      <c r="P51" s="732" t="str">
        <f>IFERROR(VLOOKUP($B51,DatasheetDA!$B$2:$K$233,P$12,FALSE),"")</f>
        <v/>
      </c>
      <c r="Q51" s="733"/>
      <c r="R51" s="732" t="str">
        <f>IFERROR(VLOOKUP($B51,DatasheetDA!$B$2:$K$233,R$12,FALSE),"")</f>
        <v/>
      </c>
      <c r="S51" s="703"/>
      <c r="T51" s="704"/>
      <c r="U51" s="705"/>
      <c r="V51" s="709"/>
      <c r="W51" s="655"/>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row>
    <row r="52" spans="1:50" s="708" customFormat="1" ht="18.75" thickBot="1" x14ac:dyDescent="0.25">
      <c r="A52" s="701">
        <v>40</v>
      </c>
      <c r="B52" s="659" t="str">
        <f t="shared" si="0"/>
        <v>E2701EZ40</v>
      </c>
      <c r="C52" s="721" t="str">
        <f>IFERROR(VLOOKUP(B52,DatasheetDA!$B$2:$D$233,3,0),"")</f>
        <v/>
      </c>
      <c r="D52" s="702"/>
      <c r="E52" s="732" t="str">
        <f>IFERROR(VLOOKUP($B52,DatasheetDA!$B$2:$K$233,E$12,FALSE),"")</f>
        <v/>
      </c>
      <c r="F52" s="733"/>
      <c r="G52" s="734"/>
      <c r="H52" s="732" t="str">
        <f>IFERROR(VLOOKUP($B52,DatasheetDA!$B$2:$K$233,H$12,FALSE),"")</f>
        <v/>
      </c>
      <c r="I52" s="733"/>
      <c r="J52" s="732" t="str">
        <f>IFERROR(VLOOKUP($B52,DatasheetDA!$B$2:$K$233,J$12,FALSE),"")</f>
        <v/>
      </c>
      <c r="K52" s="735"/>
      <c r="L52" s="732" t="str">
        <f>IFERROR(VLOOKUP($B52,DatasheetDA!$B$2:$K$233,L$12,FALSE),"")</f>
        <v/>
      </c>
      <c r="M52" s="735"/>
      <c r="N52" s="732" t="str">
        <f>IFERROR(VLOOKUP($B52,DatasheetDA!$B$2:$K$233,N$12,FALSE),"")</f>
        <v/>
      </c>
      <c r="O52" s="735"/>
      <c r="P52" s="732" t="str">
        <f>IFERROR(VLOOKUP($B52,DatasheetDA!$B$2:$K$233,P$12,FALSE),"")</f>
        <v/>
      </c>
      <c r="Q52" s="733"/>
      <c r="R52" s="732" t="str">
        <f>IFERROR(VLOOKUP($B52,DatasheetDA!$B$2:$K$233,R$12,FALSE),"")</f>
        <v/>
      </c>
      <c r="S52" s="703"/>
      <c r="T52" s="704"/>
      <c r="U52" s="705"/>
      <c r="V52" s="709"/>
      <c r="W52" s="655"/>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row>
    <row r="53" spans="1:50" s="708" customFormat="1" ht="18.75" thickBot="1" x14ac:dyDescent="0.25">
      <c r="A53" s="701">
        <v>41</v>
      </c>
      <c r="B53" s="659" t="str">
        <f t="shared" si="0"/>
        <v>E2701EZ41</v>
      </c>
      <c r="C53" s="721" t="str">
        <f>IFERROR(VLOOKUP(B53,DatasheetDA!$B$2:$D$233,3,0),"")</f>
        <v/>
      </c>
      <c r="D53" s="702"/>
      <c r="E53" s="732" t="str">
        <f>IFERROR(VLOOKUP($B53,DatasheetDA!$B$2:$K$233,E$12,FALSE),"")</f>
        <v/>
      </c>
      <c r="F53" s="733"/>
      <c r="G53" s="734"/>
      <c r="H53" s="732" t="str">
        <f>IFERROR(VLOOKUP($B53,DatasheetDA!$B$2:$K$233,H$12,FALSE),"")</f>
        <v/>
      </c>
      <c r="I53" s="733"/>
      <c r="J53" s="732" t="str">
        <f>IFERROR(VLOOKUP($B53,DatasheetDA!$B$2:$K$233,J$12,FALSE),"")</f>
        <v/>
      </c>
      <c r="K53" s="735"/>
      <c r="L53" s="732" t="str">
        <f>IFERROR(VLOOKUP($B53,DatasheetDA!$B$2:$K$233,L$12,FALSE),"")</f>
        <v/>
      </c>
      <c r="M53" s="735"/>
      <c r="N53" s="732" t="str">
        <f>IFERROR(VLOOKUP($B53,DatasheetDA!$B$2:$K$233,N$12,FALSE),"")</f>
        <v/>
      </c>
      <c r="O53" s="735"/>
      <c r="P53" s="732" t="str">
        <f>IFERROR(VLOOKUP($B53,DatasheetDA!$B$2:$K$233,P$12,FALSE),"")</f>
        <v/>
      </c>
      <c r="Q53" s="733"/>
      <c r="R53" s="732" t="str">
        <f>IFERROR(VLOOKUP($B53,DatasheetDA!$B$2:$K$233,R$12,FALSE),"")</f>
        <v/>
      </c>
      <c r="S53" s="703"/>
      <c r="T53" s="704"/>
      <c r="U53" s="705"/>
      <c r="V53" s="709"/>
      <c r="W53" s="655"/>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row>
    <row r="54" spans="1:50" ht="18.75" thickBot="1" x14ac:dyDescent="0.25">
      <c r="A54" s="710"/>
      <c r="B54" s="711"/>
      <c r="C54" s="711"/>
      <c r="D54" s="711"/>
      <c r="E54" s="711"/>
      <c r="F54" s="711"/>
      <c r="G54" s="711"/>
      <c r="H54" s="711"/>
      <c r="I54" s="711"/>
      <c r="J54" s="711"/>
      <c r="K54" s="711"/>
      <c r="L54" s="711"/>
      <c r="M54" s="711"/>
      <c r="N54" s="711"/>
      <c r="O54" s="711"/>
      <c r="P54" s="711"/>
      <c r="Q54" s="711"/>
      <c r="R54" s="711"/>
      <c r="S54" s="712"/>
      <c r="T54" s="632"/>
    </row>
    <row r="55" spans="1:50" ht="18" x14ac:dyDescent="0.2">
      <c r="A55" s="659"/>
      <c r="B55" s="659"/>
      <c r="C55" s="659"/>
      <c r="D55" s="659"/>
      <c r="E55" s="659"/>
      <c r="F55" s="659"/>
      <c r="G55" s="659"/>
      <c r="H55" s="659"/>
      <c r="I55" s="659"/>
      <c r="J55" s="659"/>
      <c r="K55" s="659"/>
      <c r="L55" s="659"/>
      <c r="M55" s="659"/>
      <c r="N55" s="659"/>
      <c r="O55" s="659"/>
      <c r="P55" s="659"/>
      <c r="Q55" s="659"/>
      <c r="R55" s="659"/>
      <c r="S55" s="713"/>
      <c r="T55" s="632"/>
    </row>
    <row r="56" spans="1:50" x14ac:dyDescent="0.2">
      <c r="A56" s="659"/>
      <c r="B56" s="659"/>
      <c r="C56" s="659"/>
      <c r="D56" s="659"/>
      <c r="E56" s="659"/>
      <c r="F56" s="659"/>
      <c r="G56" s="659"/>
      <c r="H56" s="659"/>
      <c r="I56" s="659"/>
      <c r="J56" s="659"/>
      <c r="K56" s="659"/>
      <c r="L56" s="659"/>
      <c r="M56" s="659"/>
      <c r="N56" s="659"/>
      <c r="O56" s="659"/>
      <c r="P56" s="659"/>
      <c r="Q56" s="659"/>
      <c r="R56" s="659"/>
      <c r="S56" s="659"/>
      <c r="T56" s="632"/>
    </row>
    <row r="57" spans="1:50" x14ac:dyDescent="0.2">
      <c r="A57" s="637"/>
      <c r="B57" s="714"/>
      <c r="C57" s="715"/>
      <c r="D57" s="715"/>
      <c r="E57" s="715"/>
      <c r="F57" s="715"/>
      <c r="H57" s="715"/>
      <c r="I57" s="715"/>
      <c r="J57" s="715"/>
      <c r="K57" s="715"/>
      <c r="L57" s="716"/>
      <c r="P57" s="715"/>
      <c r="Q57" s="715"/>
      <c r="R57" s="716"/>
    </row>
    <row r="58" spans="1:50" x14ac:dyDescent="0.2">
      <c r="A58" s="637"/>
      <c r="B58" s="717"/>
      <c r="C58" s="717"/>
      <c r="D58" s="717"/>
      <c r="E58" s="717"/>
      <c r="F58" s="717"/>
      <c r="H58" s="717"/>
      <c r="I58" s="717"/>
      <c r="J58" s="717"/>
      <c r="K58" s="717"/>
      <c r="L58" s="717"/>
      <c r="P58" s="717"/>
      <c r="Q58" s="717"/>
      <c r="R58" s="717"/>
    </row>
    <row r="59" spans="1:50" x14ac:dyDescent="0.2">
      <c r="A59" s="637"/>
      <c r="B59" s="942"/>
      <c r="C59" s="943"/>
      <c r="D59" s="943"/>
      <c r="E59" s="943"/>
      <c r="F59" s="943"/>
      <c r="H59" s="637"/>
      <c r="I59" s="637"/>
      <c r="J59" s="637"/>
      <c r="K59" s="637"/>
      <c r="L59" s="637"/>
    </row>
  </sheetData>
  <mergeCells count="7">
    <mergeCell ref="B59:F59"/>
    <mergeCell ref="A1:S1"/>
    <mergeCell ref="H4:N4"/>
    <mergeCell ref="P4:R4"/>
    <mergeCell ref="H9:N9"/>
    <mergeCell ref="P9:Q9"/>
    <mergeCell ref="B12:C12"/>
  </mergeCells>
  <dataValidations count="1">
    <dataValidation type="custom" operator="equal" allowBlank="1" showInputMessage="1" showErrorMessage="1" error="The number setting their own council tax precept exceeds the sum of parishes and Charter Trustees" sqref="S13:S55" xr:uid="{00000000-0002-0000-0300-000000000000}">
      <formula1>#REF!=0</formula1>
    </dataValidation>
  </dataValidations>
  <pageMargins left="0.7" right="0.7" top="0.75" bottom="0.75" header="0.3" footer="0.3"/>
  <pageSetup paperSize="9" scale="38" orientation="portrait" r:id="rId1"/>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W229"/>
  <sheetViews>
    <sheetView showGridLines="0" topLeftCell="B182" zoomScaleNormal="100" zoomScaleSheetLayoutView="84" workbookViewId="0">
      <selection activeCell="B1" sqref="B1"/>
    </sheetView>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8.7109375" style="214" customWidth="1"/>
  </cols>
  <sheetData>
    <row r="1" spans="1:22" ht="15" x14ac:dyDescent="0.2">
      <c r="A1" s="407"/>
      <c r="B1" s="408"/>
      <c r="C1" s="408"/>
      <c r="D1" s="408"/>
      <c r="E1" s="408"/>
      <c r="F1" s="408"/>
      <c r="G1" s="408"/>
      <c r="H1" s="408"/>
      <c r="I1" s="408"/>
      <c r="J1" s="408"/>
      <c r="K1" s="408"/>
      <c r="L1" s="408"/>
      <c r="M1" s="408"/>
      <c r="N1" s="408"/>
      <c r="O1" s="408"/>
      <c r="P1" s="408"/>
      <c r="Q1" s="408"/>
      <c r="R1" s="408"/>
      <c r="S1" s="408"/>
      <c r="T1" s="408"/>
      <c r="U1" s="409"/>
      <c r="V1" s="376"/>
    </row>
    <row r="2" spans="1:22" ht="15.75" x14ac:dyDescent="0.25">
      <c r="A2" s="916" t="s">
        <v>40</v>
      </c>
      <c r="B2" s="917"/>
      <c r="C2" s="917"/>
      <c r="D2" s="917"/>
      <c r="E2" s="917"/>
      <c r="F2" s="917"/>
      <c r="G2" s="917"/>
      <c r="H2" s="917"/>
      <c r="I2" s="917"/>
      <c r="J2" s="917"/>
      <c r="K2" s="917"/>
      <c r="L2" s="917"/>
      <c r="M2" s="917"/>
      <c r="N2" s="917"/>
      <c r="O2" s="917"/>
      <c r="P2" s="917"/>
      <c r="Q2" s="917"/>
      <c r="R2" s="917"/>
      <c r="S2" s="917"/>
      <c r="T2" s="917"/>
      <c r="U2" s="918"/>
      <c r="V2" s="319"/>
    </row>
    <row r="3" spans="1:22" ht="15.75" x14ac:dyDescent="0.25">
      <c r="A3" s="868" t="s">
        <v>1365</v>
      </c>
      <c r="B3" s="917"/>
      <c r="C3" s="917"/>
      <c r="D3" s="917"/>
      <c r="E3" s="917"/>
      <c r="F3" s="917"/>
      <c r="G3" s="917"/>
      <c r="H3" s="917"/>
      <c r="I3" s="917"/>
      <c r="J3" s="917"/>
      <c r="K3" s="917"/>
      <c r="L3" s="917"/>
      <c r="M3" s="917"/>
      <c r="N3" s="917"/>
      <c r="O3" s="917"/>
      <c r="P3" s="917"/>
      <c r="Q3" s="917"/>
      <c r="R3" s="917"/>
      <c r="S3" s="917"/>
      <c r="T3" s="917"/>
      <c r="U3" s="918"/>
      <c r="V3" s="319"/>
    </row>
    <row r="4" spans="1:22" ht="15" x14ac:dyDescent="0.2">
      <c r="A4" s="871"/>
      <c r="B4" s="872"/>
      <c r="C4" s="872"/>
      <c r="D4" s="872"/>
      <c r="E4" s="872"/>
      <c r="F4" s="872"/>
      <c r="G4" s="872"/>
      <c r="H4" s="872"/>
      <c r="I4" s="872"/>
      <c r="J4" s="872"/>
      <c r="K4" s="872"/>
      <c r="L4" s="872"/>
      <c r="M4" s="872"/>
      <c r="N4" s="872"/>
      <c r="O4" s="872"/>
      <c r="P4" s="872"/>
      <c r="Q4" s="872"/>
      <c r="R4" s="872"/>
      <c r="S4" s="872"/>
      <c r="T4" s="872"/>
      <c r="U4" s="873"/>
      <c r="V4" s="316"/>
    </row>
    <row r="5" spans="1:22" ht="15" x14ac:dyDescent="0.2">
      <c r="A5" s="871"/>
      <c r="B5" s="872"/>
      <c r="C5" s="872"/>
      <c r="D5" s="872"/>
      <c r="E5" s="872"/>
      <c r="F5" s="872"/>
      <c r="G5" s="872"/>
      <c r="H5" s="872"/>
      <c r="I5" s="872"/>
      <c r="J5" s="872"/>
      <c r="K5" s="872"/>
      <c r="L5" s="872"/>
      <c r="M5" s="872"/>
      <c r="N5" s="872"/>
      <c r="O5" s="872"/>
      <c r="P5" s="872"/>
      <c r="Q5" s="872"/>
      <c r="R5" s="872"/>
      <c r="S5" s="872"/>
      <c r="T5" s="872"/>
      <c r="U5" s="873"/>
      <c r="V5" s="316"/>
    </row>
    <row r="6" spans="1:22" ht="15" x14ac:dyDescent="0.2">
      <c r="A6" s="871"/>
      <c r="B6" s="872"/>
      <c r="C6" s="872"/>
      <c r="D6" s="872"/>
      <c r="E6" s="872"/>
      <c r="F6" s="872"/>
      <c r="G6" s="872"/>
      <c r="H6" s="872"/>
      <c r="I6" s="872"/>
      <c r="J6" s="872"/>
      <c r="K6" s="872"/>
      <c r="L6" s="872"/>
      <c r="M6" s="872"/>
      <c r="N6" s="872"/>
      <c r="O6" s="872"/>
      <c r="P6" s="872"/>
      <c r="Q6" s="872"/>
      <c r="R6" s="872"/>
      <c r="S6" s="872"/>
      <c r="T6" s="872"/>
      <c r="U6" s="873"/>
      <c r="V6" s="316"/>
    </row>
    <row r="7" spans="1:22" ht="15" x14ac:dyDescent="0.2">
      <c r="A7" s="871"/>
      <c r="B7" s="872"/>
      <c r="C7" s="872"/>
      <c r="D7" s="872"/>
      <c r="E7" s="872"/>
      <c r="F7" s="872"/>
      <c r="G7" s="872"/>
      <c r="H7" s="872"/>
      <c r="I7" s="872"/>
      <c r="J7" s="872"/>
      <c r="K7" s="872"/>
      <c r="L7" s="872"/>
      <c r="M7" s="872"/>
      <c r="N7" s="872"/>
      <c r="O7" s="872"/>
      <c r="P7" s="872"/>
      <c r="Q7" s="872"/>
      <c r="R7" s="872"/>
      <c r="S7" s="872"/>
      <c r="T7" s="872"/>
      <c r="U7" s="873"/>
      <c r="V7" s="316"/>
    </row>
    <row r="8" spans="1:22" ht="15.75" thickBot="1" x14ac:dyDescent="0.25">
      <c r="A8" s="60"/>
      <c r="B8" s="61"/>
      <c r="C8" s="61"/>
      <c r="D8" s="61"/>
      <c r="E8" s="61"/>
      <c r="F8" s="61"/>
      <c r="G8" s="61"/>
      <c r="H8" s="61"/>
      <c r="I8" s="61"/>
      <c r="J8" s="61"/>
      <c r="K8" s="61"/>
      <c r="L8" s="61"/>
      <c r="M8" s="61"/>
      <c r="N8" s="61"/>
      <c r="O8" s="61"/>
      <c r="P8" s="61"/>
      <c r="Q8" s="61"/>
      <c r="R8" s="61"/>
      <c r="S8" s="85"/>
      <c r="T8" s="61"/>
      <c r="U8" s="62"/>
      <c r="V8" s="376"/>
    </row>
    <row r="9" spans="1:22" x14ac:dyDescent="0.2">
      <c r="A9" s="410"/>
      <c r="B9" s="411"/>
      <c r="C9" s="976"/>
      <c r="D9" s="976"/>
      <c r="E9" s="976"/>
      <c r="F9" s="976"/>
      <c r="G9" s="976"/>
      <c r="H9" s="976"/>
      <c r="I9" s="411"/>
      <c r="J9" s="411"/>
      <c r="K9" s="411"/>
      <c r="L9" s="411"/>
      <c r="M9" s="411"/>
      <c r="N9" s="411"/>
      <c r="O9" s="411"/>
      <c r="P9" s="512"/>
      <c r="Q9" s="411"/>
      <c r="R9" s="411"/>
      <c r="S9" s="411"/>
      <c r="T9" s="411"/>
      <c r="U9" s="412"/>
      <c r="V9" s="251"/>
    </row>
    <row r="10" spans="1:22" s="24" customFormat="1" ht="18" x14ac:dyDescent="0.25">
      <c r="A10" s="32"/>
      <c r="B10" s="18"/>
      <c r="C10" s="498" t="str">
        <f>+CONCATENATE("Local Authority : ",+'Part 1'!L15)</f>
        <v>Local Authority : York</v>
      </c>
      <c r="D10" s="63"/>
      <c r="E10" s="63"/>
      <c r="F10" s="500"/>
      <c r="G10" s="500"/>
      <c r="H10" s="500"/>
      <c r="I10" s="18"/>
      <c r="J10" s="18"/>
      <c r="K10" s="18"/>
      <c r="L10" s="18"/>
      <c r="M10" s="18"/>
      <c r="N10" s="18"/>
      <c r="O10" s="18"/>
      <c r="P10" s="507"/>
      <c r="Q10" s="18"/>
      <c r="R10" s="18"/>
      <c r="S10" s="18"/>
      <c r="T10" s="18"/>
      <c r="U10" s="19"/>
      <c r="V10" s="377"/>
    </row>
    <row r="11" spans="1:22" s="24" customFormat="1" ht="18" x14ac:dyDescent="0.25">
      <c r="A11" s="32"/>
      <c r="B11" s="18"/>
      <c r="C11" s="63"/>
      <c r="D11" s="63"/>
      <c r="E11" s="63"/>
      <c r="F11" s="500"/>
      <c r="G11" s="500"/>
      <c r="H11" s="500"/>
      <c r="I11" s="18"/>
      <c r="J11" s="18"/>
      <c r="K11" s="18"/>
      <c r="L11" s="18"/>
      <c r="M11" s="18"/>
      <c r="N11" s="18"/>
      <c r="O11" s="18"/>
      <c r="P11" s="507"/>
      <c r="Q11" s="18"/>
      <c r="R11" s="18"/>
      <c r="S11" s="18"/>
      <c r="T11" s="18"/>
      <c r="U11" s="19"/>
      <c r="V11" s="377"/>
    </row>
    <row r="12" spans="1:22" ht="15.75" x14ac:dyDescent="0.25">
      <c r="A12" s="14"/>
      <c r="B12" s="2"/>
      <c r="C12" s="984" t="s">
        <v>42</v>
      </c>
      <c r="D12" s="984"/>
      <c r="E12" s="984"/>
      <c r="F12" s="984"/>
      <c r="G12" s="984"/>
      <c r="H12" s="984"/>
      <c r="I12" s="18"/>
      <c r="J12" s="928" t="s">
        <v>23</v>
      </c>
      <c r="K12" s="928"/>
      <c r="L12" s="495"/>
      <c r="M12" s="495"/>
      <c r="N12" s="928" t="s">
        <v>24</v>
      </c>
      <c r="O12" s="928"/>
      <c r="P12" s="513"/>
      <c r="Q12" s="495"/>
      <c r="R12" s="927" t="s">
        <v>25</v>
      </c>
      <c r="S12" s="928"/>
      <c r="T12" s="1"/>
      <c r="U12" s="47"/>
      <c r="V12" s="251"/>
    </row>
    <row r="13" spans="1:22" ht="15.75" customHeight="1" x14ac:dyDescent="0.25">
      <c r="A13" s="14"/>
      <c r="B13" s="2"/>
      <c r="C13" s="933"/>
      <c r="D13" s="933"/>
      <c r="E13" s="933"/>
      <c r="F13" s="933"/>
      <c r="G13" s="933"/>
      <c r="H13" s="933"/>
      <c r="I13" s="18"/>
      <c r="J13" s="906" t="s">
        <v>52</v>
      </c>
      <c r="K13" s="929"/>
      <c r="L13" s="493"/>
      <c r="M13" s="493"/>
      <c r="N13" s="906" t="s">
        <v>51</v>
      </c>
      <c r="O13" s="906"/>
      <c r="P13" s="514"/>
      <c r="Q13" s="493"/>
      <c r="R13" s="906" t="s">
        <v>943</v>
      </c>
      <c r="S13" s="929"/>
      <c r="T13" s="3"/>
      <c r="U13" s="47"/>
      <c r="V13" s="251"/>
    </row>
    <row r="14" spans="1:22" ht="15.75" customHeight="1" x14ac:dyDescent="0.25">
      <c r="A14" s="14"/>
      <c r="B14" s="2"/>
      <c r="C14" s="18"/>
      <c r="D14" s="18"/>
      <c r="E14" s="18"/>
      <c r="F14" s="18"/>
      <c r="G14" s="18"/>
      <c r="H14" s="18"/>
      <c r="I14" s="18"/>
      <c r="J14" s="837"/>
      <c r="K14" s="837"/>
      <c r="L14" s="29"/>
      <c r="M14" s="550"/>
      <c r="N14" s="906"/>
      <c r="O14" s="906"/>
      <c r="P14" s="514"/>
      <c r="Q14" s="29"/>
      <c r="R14" s="929"/>
      <c r="S14" s="929"/>
      <c r="T14" s="2"/>
      <c r="U14" s="47"/>
      <c r="V14" s="251"/>
    </row>
    <row r="15" spans="1:22" ht="32.25" customHeight="1" x14ac:dyDescent="0.25">
      <c r="A15" s="14"/>
      <c r="B15" s="2"/>
      <c r="C15" s="565"/>
      <c r="D15" s="18"/>
      <c r="E15" s="18"/>
      <c r="F15" s="18"/>
      <c r="G15" s="18"/>
      <c r="H15" s="18"/>
      <c r="I15" s="18"/>
      <c r="J15" s="934"/>
      <c r="K15" s="934"/>
      <c r="L15" s="29"/>
      <c r="M15" s="29"/>
      <c r="N15" s="934"/>
      <c r="O15" s="934"/>
      <c r="P15" s="515"/>
      <c r="Q15" s="935"/>
      <c r="R15" s="935"/>
      <c r="S15" s="935"/>
      <c r="T15" s="935"/>
      <c r="U15" s="47"/>
      <c r="V15" s="251"/>
    </row>
    <row r="16" spans="1:22" ht="16.5" customHeight="1" thickBot="1" x14ac:dyDescent="0.25">
      <c r="A16" s="129"/>
      <c r="B16" s="127"/>
      <c r="C16" s="591" t="s">
        <v>1151</v>
      </c>
      <c r="D16" s="49"/>
      <c r="E16" s="49"/>
      <c r="F16" s="49"/>
      <c r="G16" s="49"/>
      <c r="H16" s="18"/>
      <c r="I16" s="18"/>
      <c r="J16" s="985" t="s">
        <v>20</v>
      </c>
      <c r="K16" s="986"/>
      <c r="L16" s="54"/>
      <c r="M16" s="54"/>
      <c r="N16" s="985" t="s">
        <v>20</v>
      </c>
      <c r="O16" s="986"/>
      <c r="P16" s="435"/>
      <c r="Q16" s="436"/>
      <c r="R16" s="988" t="s">
        <v>20</v>
      </c>
      <c r="S16" s="989"/>
      <c r="T16" s="323"/>
      <c r="U16" s="47"/>
      <c r="V16" s="251"/>
    </row>
    <row r="17" spans="1:22" ht="16.5" thickBot="1" x14ac:dyDescent="0.25">
      <c r="A17" s="129"/>
      <c r="B17" s="127"/>
      <c r="C17" s="74" t="s">
        <v>1438</v>
      </c>
      <c r="D17" s="49"/>
      <c r="E17" s="49"/>
      <c r="F17" s="49"/>
      <c r="G17" s="49"/>
      <c r="H17" s="18"/>
      <c r="I17" s="18"/>
      <c r="J17" s="902">
        <f>VLOOKUP(+'Part 1'!$L$16,Datasheet3!$B$5:$GL$331,3,FALSE)</f>
        <v>-3850020</v>
      </c>
      <c r="K17" s="903"/>
      <c r="L17" s="435"/>
      <c r="M17" s="435"/>
      <c r="N17" s="902">
        <f>VLOOKUP(+'Part 1'!$L$16,Datasheet3!$B$5:$GL$331,4,FALSE)</f>
        <v>-467953</v>
      </c>
      <c r="O17" s="903"/>
      <c r="P17" s="435"/>
      <c r="Q17" s="436"/>
      <c r="R17" s="974">
        <f>VLOOKUP(+'Part 1'!$L$16,Datasheet3!$B$5:$GL$331,5,FALSE)</f>
        <v>-4317973</v>
      </c>
      <c r="S17" s="975"/>
      <c r="T17" s="323"/>
      <c r="U17" s="47"/>
      <c r="V17" s="251"/>
    </row>
    <row r="18" spans="1:22" ht="15.75" customHeight="1" thickBot="1" x14ac:dyDescent="0.25">
      <c r="A18" s="129"/>
      <c r="B18" s="127"/>
      <c r="C18" s="49"/>
      <c r="D18" s="49"/>
      <c r="E18" s="49"/>
      <c r="F18" s="49"/>
      <c r="G18" s="49"/>
      <c r="H18" s="18"/>
      <c r="I18" s="18"/>
      <c r="J18" s="503"/>
      <c r="K18" s="503"/>
      <c r="L18" s="435"/>
      <c r="M18" s="435"/>
      <c r="N18" s="503"/>
      <c r="O18" s="503"/>
      <c r="P18" s="435"/>
      <c r="Q18" s="437"/>
      <c r="R18" s="506"/>
      <c r="S18" s="436"/>
      <c r="T18" s="323"/>
      <c r="U18" s="47"/>
      <c r="V18" s="251"/>
    </row>
    <row r="19" spans="1:22" ht="15.75" customHeight="1" thickBot="1" x14ac:dyDescent="0.25">
      <c r="A19" s="129"/>
      <c r="B19" s="127"/>
      <c r="C19" s="49" t="s">
        <v>967</v>
      </c>
      <c r="D19" s="49"/>
      <c r="E19" s="49"/>
      <c r="F19" s="49"/>
      <c r="G19" s="49"/>
      <c r="H19" s="18"/>
      <c r="I19" s="18"/>
      <c r="J19" s="902">
        <f>VLOOKUP(+'Part 1'!$L$16,Datasheet3!$B$5:$GL$331,6,FALSE)</f>
        <v>97239</v>
      </c>
      <c r="K19" s="903"/>
      <c r="L19" s="435"/>
      <c r="M19" s="435"/>
      <c r="N19" s="902">
        <f>VLOOKUP(+'Part 1'!$L$16,Datasheet3!$B$5:$GL$331,7,FALSE)</f>
        <v>0</v>
      </c>
      <c r="O19" s="903"/>
      <c r="P19" s="435"/>
      <c r="Q19" s="436"/>
      <c r="R19" s="974">
        <f>VLOOKUP(+'Part 1'!$L$16,Datasheet3!$B$5:$GL$331,8,FALSE)</f>
        <v>97239</v>
      </c>
      <c r="S19" s="975"/>
      <c r="T19" s="323"/>
      <c r="U19" s="47"/>
      <c r="V19" s="251"/>
    </row>
    <row r="20" spans="1:22" ht="15.75" customHeight="1" thickBot="1" x14ac:dyDescent="0.25">
      <c r="A20" s="129"/>
      <c r="B20" s="127"/>
      <c r="C20" s="49"/>
      <c r="D20" s="49"/>
      <c r="E20" s="49"/>
      <c r="F20" s="49"/>
      <c r="G20" s="49"/>
      <c r="H20" s="18"/>
      <c r="I20" s="18"/>
      <c r="J20" s="503"/>
      <c r="K20" s="503"/>
      <c r="L20" s="435"/>
      <c r="M20" s="435"/>
      <c r="N20" s="503"/>
      <c r="O20" s="503"/>
      <c r="P20" s="435"/>
      <c r="Q20" s="437"/>
      <c r="R20" s="506"/>
      <c r="S20" s="436"/>
      <c r="T20" s="323"/>
      <c r="U20" s="47"/>
      <c r="V20" s="251"/>
    </row>
    <row r="21" spans="1:22" ht="18.75" customHeight="1" thickBot="1" x14ac:dyDescent="0.25">
      <c r="A21" s="129"/>
      <c r="B21" s="127"/>
      <c r="C21" s="74" t="s">
        <v>1439</v>
      </c>
      <c r="D21" s="49"/>
      <c r="E21" s="49"/>
      <c r="F21" s="49"/>
      <c r="G21" s="49"/>
      <c r="H21" s="18"/>
      <c r="I21" s="18"/>
      <c r="J21" s="902">
        <f>VLOOKUP(+'Part 1'!$L$16,Datasheet3!$B$5:$GL$331,9,FALSE)</f>
        <v>6631888</v>
      </c>
      <c r="K21" s="903"/>
      <c r="L21" s="435"/>
      <c r="M21" s="435"/>
      <c r="N21" s="902">
        <f>VLOOKUP(+'Part 1'!$L$16,Datasheet3!$B$5:$GL$331,10,FALSE)</f>
        <v>34379</v>
      </c>
      <c r="O21" s="903"/>
      <c r="P21" s="435"/>
      <c r="Q21" s="436"/>
      <c r="R21" s="974">
        <f>VLOOKUP(+'Part 1'!$L$16,Datasheet3!$B$5:$GL$331,11,FALSE)</f>
        <v>6666267</v>
      </c>
      <c r="S21" s="975"/>
      <c r="T21" s="323"/>
      <c r="U21" s="47"/>
      <c r="V21" s="251"/>
    </row>
    <row r="22" spans="1:22" ht="15.75" customHeight="1" thickBot="1" x14ac:dyDescent="0.25">
      <c r="A22" s="129"/>
      <c r="B22" s="127"/>
      <c r="C22" s="49"/>
      <c r="D22" s="49"/>
      <c r="E22" s="49"/>
      <c r="F22" s="49"/>
      <c r="G22" s="49"/>
      <c r="H22" s="18"/>
      <c r="I22" s="18"/>
      <c r="J22" s="532"/>
      <c r="K22" s="532"/>
      <c r="L22" s="435"/>
      <c r="M22" s="435"/>
      <c r="N22" s="532"/>
      <c r="O22" s="532"/>
      <c r="P22" s="435"/>
      <c r="Q22" s="436"/>
      <c r="R22" s="436"/>
      <c r="S22" s="436"/>
      <c r="T22" s="323"/>
      <c r="U22" s="47"/>
      <c r="V22" s="251"/>
    </row>
    <row r="23" spans="1:22" ht="15.75" customHeight="1" thickBot="1" x14ac:dyDescent="0.25">
      <c r="A23" s="129"/>
      <c r="B23" s="127"/>
      <c r="C23" s="921" t="s">
        <v>968</v>
      </c>
      <c r="D23" s="921"/>
      <c r="E23" s="921"/>
      <c r="F23" s="921"/>
      <c r="G23" s="921"/>
      <c r="H23" s="18"/>
      <c r="I23" s="18"/>
      <c r="J23" s="902">
        <f>VLOOKUP(+'Part 1'!$L$16,Datasheet3!$B$5:$GL$331,12,FALSE)</f>
        <v>172406</v>
      </c>
      <c r="K23" s="903"/>
      <c r="L23" s="435"/>
      <c r="M23" s="435"/>
      <c r="N23" s="902">
        <f>VLOOKUP(+'Part 1'!$L$16,Datasheet3!$B$5:$GL$331,13,FALSE)</f>
        <v>0</v>
      </c>
      <c r="O23" s="903"/>
      <c r="P23" s="435"/>
      <c r="Q23" s="436"/>
      <c r="R23" s="974">
        <f>VLOOKUP(+'Part 1'!$L$16,Datasheet3!$B$5:$GL$331,14,FALSE)</f>
        <v>172406</v>
      </c>
      <c r="S23" s="975"/>
      <c r="T23" s="323"/>
      <c r="U23" s="47"/>
      <c r="V23" s="251"/>
    </row>
    <row r="24" spans="1:22" ht="15.75" customHeight="1" x14ac:dyDescent="0.2">
      <c r="A24" s="129"/>
      <c r="B24" s="127"/>
      <c r="C24" s="921"/>
      <c r="D24" s="921"/>
      <c r="E24" s="921"/>
      <c r="F24" s="921"/>
      <c r="G24" s="921"/>
      <c r="H24" s="18"/>
      <c r="I24" s="18"/>
      <c r="J24" s="64"/>
      <c r="K24" s="64"/>
      <c r="L24" s="435"/>
      <c r="M24" s="435"/>
      <c r="N24" s="64"/>
      <c r="O24" s="64"/>
      <c r="P24" s="435"/>
      <c r="Q24" s="436"/>
      <c r="R24" s="322"/>
      <c r="S24" s="322"/>
      <c r="T24" s="323"/>
      <c r="U24" s="47"/>
      <c r="V24" s="251"/>
    </row>
    <row r="25" spans="1:22" ht="15.75" customHeight="1" thickBot="1" x14ac:dyDescent="0.25">
      <c r="A25" s="129"/>
      <c r="B25" s="127"/>
      <c r="C25" s="499"/>
      <c r="D25" s="499"/>
      <c r="E25" s="499"/>
      <c r="F25" s="499"/>
      <c r="G25" s="499"/>
      <c r="H25" s="18"/>
      <c r="I25" s="18"/>
      <c r="J25" s="64"/>
      <c r="K25" s="64"/>
      <c r="L25" s="435"/>
      <c r="M25" s="435"/>
      <c r="N25" s="64"/>
      <c r="O25" s="64"/>
      <c r="P25" s="435"/>
      <c r="Q25" s="436"/>
      <c r="R25" s="322"/>
      <c r="S25" s="322"/>
      <c r="T25" s="323"/>
      <c r="U25" s="47"/>
      <c r="V25" s="251"/>
    </row>
    <row r="26" spans="1:22" ht="15.75" customHeight="1" thickBot="1" x14ac:dyDescent="0.25">
      <c r="A26" s="129"/>
      <c r="B26" s="150"/>
      <c r="C26" s="151"/>
      <c r="D26" s="151"/>
      <c r="E26" s="151"/>
      <c r="F26" s="151"/>
      <c r="G26" s="151"/>
      <c r="H26" s="152"/>
      <c r="I26" s="152"/>
      <c r="J26" s="153"/>
      <c r="K26" s="153"/>
      <c r="L26" s="510"/>
      <c r="M26" s="510"/>
      <c r="N26" s="153"/>
      <c r="O26" s="153"/>
      <c r="P26" s="510"/>
      <c r="Q26" s="511"/>
      <c r="R26" s="326"/>
      <c r="S26" s="326"/>
      <c r="T26" s="327"/>
      <c r="U26" s="47"/>
      <c r="V26" s="251"/>
    </row>
    <row r="27" spans="1:22" ht="15.75" customHeight="1" thickBot="1" x14ac:dyDescent="0.25">
      <c r="A27" s="129"/>
      <c r="B27" s="155"/>
      <c r="C27" s="887" t="s">
        <v>54</v>
      </c>
      <c r="D27" s="887"/>
      <c r="E27" s="887"/>
      <c r="F27" s="887"/>
      <c r="G27" s="887"/>
      <c r="H27" s="18"/>
      <c r="I27" s="18"/>
      <c r="J27" s="960">
        <f>VLOOKUP(+'Part 1'!$L$16,Datasheet3!$B$5:$GL$331,15,FALSE)</f>
        <v>3051513</v>
      </c>
      <c r="K27" s="979"/>
      <c r="L27" s="435"/>
      <c r="M27" s="435"/>
      <c r="N27" s="960">
        <f>VLOOKUP(+'Part 1'!$L$16,Datasheet3!$B$5:$GL$331,16,FALSE)</f>
        <v>-433574</v>
      </c>
      <c r="O27" s="979"/>
      <c r="P27" s="435"/>
      <c r="Q27" s="436"/>
      <c r="R27" s="974">
        <f>VLOOKUP(+'Part 1'!$L$16,Datasheet3!$B$5:$GL$331,17,FALSE)</f>
        <v>2617939</v>
      </c>
      <c r="S27" s="975"/>
      <c r="T27" s="328"/>
      <c r="U27" s="47"/>
      <c r="V27" s="251"/>
    </row>
    <row r="28" spans="1:22" ht="15.75" customHeight="1" thickBot="1" x14ac:dyDescent="0.25">
      <c r="A28" s="129"/>
      <c r="B28" s="156"/>
      <c r="C28" s="157"/>
      <c r="D28" s="157"/>
      <c r="E28" s="157"/>
      <c r="F28" s="157"/>
      <c r="G28" s="157"/>
      <c r="H28" s="158"/>
      <c r="I28" s="158"/>
      <c r="J28" s="158"/>
      <c r="K28" s="158"/>
      <c r="L28" s="516"/>
      <c r="M28" s="516"/>
      <c r="N28" s="158"/>
      <c r="O28" s="158"/>
      <c r="P28" s="516"/>
      <c r="Q28" s="527"/>
      <c r="R28" s="329"/>
      <c r="S28" s="329"/>
      <c r="T28" s="330"/>
      <c r="U28" s="47"/>
      <c r="V28" s="251"/>
    </row>
    <row r="29" spans="1:22" ht="15.75" customHeight="1" x14ac:dyDescent="0.2">
      <c r="A29" s="129"/>
      <c r="B29" s="127"/>
      <c r="C29" s="499"/>
      <c r="D29" s="499"/>
      <c r="E29" s="499"/>
      <c r="F29" s="499"/>
      <c r="G29" s="499"/>
      <c r="H29" s="18"/>
      <c r="I29" s="18"/>
      <c r="J29" s="64"/>
      <c r="K29" s="64"/>
      <c r="L29" s="435"/>
      <c r="M29" s="435"/>
      <c r="N29" s="64"/>
      <c r="O29" s="64"/>
      <c r="P29" s="435"/>
      <c r="Q29" s="436"/>
      <c r="R29" s="322"/>
      <c r="S29" s="322"/>
      <c r="T29" s="323"/>
      <c r="U29" s="47"/>
      <c r="V29" s="251"/>
    </row>
    <row r="30" spans="1:22" ht="15.75" x14ac:dyDescent="0.2">
      <c r="A30" s="130"/>
      <c r="B30" s="131"/>
      <c r="C30" s="591" t="s">
        <v>1152</v>
      </c>
      <c r="D30" s="49"/>
      <c r="E30" s="49"/>
      <c r="F30" s="49"/>
      <c r="G30" s="49"/>
      <c r="H30" s="18"/>
      <c r="I30" s="54"/>
      <c r="J30" s="64"/>
      <c r="K30" s="64"/>
      <c r="L30" s="435"/>
      <c r="M30" s="435"/>
      <c r="N30" s="64"/>
      <c r="O30" s="64"/>
      <c r="P30" s="435"/>
      <c r="Q30" s="436"/>
      <c r="R30" s="322"/>
      <c r="S30" s="322"/>
      <c r="T30" s="323"/>
      <c r="U30" s="47"/>
      <c r="V30" s="251"/>
    </row>
    <row r="31" spans="1:22" ht="16.5" thickBot="1" x14ac:dyDescent="0.25">
      <c r="A31" s="129"/>
      <c r="B31" s="127"/>
      <c r="C31" s="126" t="s">
        <v>27</v>
      </c>
      <c r="D31" s="49"/>
      <c r="E31" s="49"/>
      <c r="F31" s="49"/>
      <c r="G31" s="49"/>
      <c r="H31" s="18"/>
      <c r="I31" s="18"/>
      <c r="J31" s="64"/>
      <c r="K31" s="64"/>
      <c r="L31" s="435"/>
      <c r="M31" s="435"/>
      <c r="N31" s="64"/>
      <c r="O31" s="64"/>
      <c r="P31" s="435"/>
      <c r="Q31" s="436"/>
      <c r="R31" s="322"/>
      <c r="S31" s="322"/>
      <c r="T31" s="323"/>
      <c r="U31" s="47"/>
      <c r="V31" s="251"/>
    </row>
    <row r="32" spans="1:22" ht="16.5" thickBot="1" x14ac:dyDescent="0.25">
      <c r="A32" s="129"/>
      <c r="B32" s="127"/>
      <c r="C32" s="74" t="s">
        <v>1440</v>
      </c>
      <c r="D32" s="49"/>
      <c r="E32" s="49"/>
      <c r="F32" s="49"/>
      <c r="G32" s="49"/>
      <c r="H32" s="18"/>
      <c r="I32" s="18"/>
      <c r="J32" s="908">
        <f>VLOOKUP(+'Part 1'!$L$16,Datasheet3!$B$5:$GL$331,18,FALSE)</f>
        <v>-5145793</v>
      </c>
      <c r="K32" s="909"/>
      <c r="L32" s="435"/>
      <c r="M32" s="435"/>
      <c r="N32" s="908">
        <f>VLOOKUP(+'Part 1'!$L$16,Datasheet3!$B$5:$GL$331,19,FALSE)</f>
        <v>-5082</v>
      </c>
      <c r="O32" s="909"/>
      <c r="P32" s="435"/>
      <c r="Q32" s="436"/>
      <c r="R32" s="972">
        <f>VLOOKUP(+'Part 1'!$L$16,Datasheet3!$B$5:$GL$331,20,FALSE)</f>
        <v>-5150875</v>
      </c>
      <c r="S32" s="973"/>
      <c r="T32" s="323"/>
      <c r="U32" s="47"/>
      <c r="V32" s="251"/>
    </row>
    <row r="33" spans="1:22" ht="16.5" thickBot="1" x14ac:dyDescent="0.25">
      <c r="A33" s="129"/>
      <c r="B33" s="49"/>
      <c r="C33" s="74" t="s">
        <v>37</v>
      </c>
      <c r="D33" s="49"/>
      <c r="E33" s="49"/>
      <c r="F33" s="49"/>
      <c r="G33" s="49"/>
      <c r="H33" s="49"/>
      <c r="I33" s="49"/>
      <c r="J33" s="531"/>
      <c r="K33" s="531"/>
      <c r="L33" s="531"/>
      <c r="M33" s="435"/>
      <c r="N33" s="532"/>
      <c r="O33" s="532"/>
      <c r="P33" s="435"/>
      <c r="Q33" s="436"/>
      <c r="R33" s="506"/>
      <c r="S33" s="506"/>
      <c r="T33" s="323"/>
      <c r="U33" s="47"/>
      <c r="V33" s="251"/>
    </row>
    <row r="34" spans="1:22" ht="16.5" thickBot="1" x14ac:dyDescent="0.25">
      <c r="A34" s="129"/>
      <c r="B34" s="180"/>
      <c r="C34" s="184"/>
      <c r="D34" s="179" t="s">
        <v>1047</v>
      </c>
      <c r="E34" s="179"/>
      <c r="F34" s="179"/>
      <c r="G34" s="179"/>
      <c r="H34" s="182"/>
      <c r="I34" s="182"/>
      <c r="J34" s="908">
        <f>VLOOKUP(+'Part 1'!$L$16,Datasheet3!$B$5:$GL$331,21,FALSE)</f>
        <v>-29871</v>
      </c>
      <c r="K34" s="909"/>
      <c r="L34" s="517"/>
      <c r="M34" s="517"/>
      <c r="N34" s="908">
        <f>VLOOKUP(+'Part 1'!$L$16,Datasheet3!$B$5:$GL$331,22,FALSE)</f>
        <v>0</v>
      </c>
      <c r="O34" s="909"/>
      <c r="P34" s="517"/>
      <c r="Q34" s="436"/>
      <c r="R34" s="972">
        <f>VLOOKUP(+'Part 1'!$L$16,Datasheet3!$B$5:$GL$331,23,FALSE)</f>
        <v>-29871</v>
      </c>
      <c r="S34" s="973"/>
      <c r="T34" s="323"/>
      <c r="U34" s="47"/>
      <c r="V34" s="251"/>
    </row>
    <row r="35" spans="1:22" ht="15.75" x14ac:dyDescent="0.2">
      <c r="A35" s="129"/>
      <c r="B35" s="180"/>
      <c r="C35" s="184"/>
      <c r="D35" s="179" t="s">
        <v>78</v>
      </c>
      <c r="E35" s="179"/>
      <c r="F35" s="179"/>
      <c r="G35" s="179"/>
      <c r="H35" s="182"/>
      <c r="I35" s="182"/>
      <c r="J35" s="533"/>
      <c r="K35" s="533"/>
      <c r="L35" s="517"/>
      <c r="M35" s="517"/>
      <c r="N35" s="533"/>
      <c r="O35" s="533"/>
      <c r="P35" s="517"/>
      <c r="Q35" s="436"/>
      <c r="R35" s="506"/>
      <c r="S35" s="506"/>
      <c r="T35" s="323"/>
      <c r="U35" s="47"/>
      <c r="V35" s="251"/>
    </row>
    <row r="36" spans="1:22" ht="16.5" thickBot="1" x14ac:dyDescent="0.25">
      <c r="A36" s="129"/>
      <c r="B36" s="49"/>
      <c r="C36" s="345"/>
      <c r="D36" s="49"/>
      <c r="E36" s="49"/>
      <c r="F36" s="49"/>
      <c r="G36" s="49"/>
      <c r="H36" s="49"/>
      <c r="I36" s="49"/>
      <c r="J36" s="531"/>
      <c r="K36" s="534"/>
      <c r="L36" s="531"/>
      <c r="M36" s="435"/>
      <c r="N36" s="532"/>
      <c r="O36" s="532"/>
      <c r="P36" s="435"/>
      <c r="Q36" s="436"/>
      <c r="R36" s="506"/>
      <c r="S36" s="506"/>
      <c r="T36" s="323"/>
      <c r="U36" s="47"/>
      <c r="V36" s="251"/>
    </row>
    <row r="37" spans="1:22" ht="16.5" thickBot="1" x14ac:dyDescent="0.25">
      <c r="A37" s="129"/>
      <c r="B37" s="127"/>
      <c r="C37" s="74" t="s">
        <v>998</v>
      </c>
      <c r="D37" s="49"/>
      <c r="E37" s="49"/>
      <c r="F37" s="49"/>
      <c r="G37" s="49"/>
      <c r="H37" s="18"/>
      <c r="I37" s="18"/>
      <c r="J37" s="960">
        <f>VLOOKUP(+'Part 1'!$L$16,Datasheet3!$B$5:$GL$331,24,FALSE)</f>
        <v>-153904</v>
      </c>
      <c r="K37" s="979"/>
      <c r="L37" s="435"/>
      <c r="M37" s="435"/>
      <c r="N37" s="960">
        <f>VLOOKUP(+'Part 1'!$L$16,Datasheet3!$B$5:$GL$331,25,FALSE)</f>
        <v>0</v>
      </c>
      <c r="O37" s="979"/>
      <c r="P37" s="435"/>
      <c r="Q37" s="436"/>
      <c r="R37" s="972">
        <f>VLOOKUP(+'Part 1'!$L$16,Datasheet3!$B$5:$GL$331,26,FALSE)</f>
        <v>-153904</v>
      </c>
      <c r="S37" s="973"/>
      <c r="T37" s="323"/>
      <c r="U37" s="47"/>
      <c r="V37" s="251"/>
    </row>
    <row r="38" spans="1:22" ht="15.75" x14ac:dyDescent="0.2">
      <c r="A38" s="129"/>
      <c r="B38" s="127"/>
      <c r="C38" s="74" t="s">
        <v>37</v>
      </c>
      <c r="D38" s="49"/>
      <c r="E38" s="49"/>
      <c r="F38" s="49"/>
      <c r="G38" s="49"/>
      <c r="H38" s="18"/>
      <c r="I38" s="18"/>
      <c r="J38" s="535"/>
      <c r="K38" s="535"/>
      <c r="L38" s="505"/>
      <c r="M38" s="505"/>
      <c r="N38" s="535"/>
      <c r="O38" s="535"/>
      <c r="P38" s="505"/>
      <c r="Q38" s="436"/>
      <c r="R38" s="506"/>
      <c r="S38" s="506"/>
      <c r="T38" s="323"/>
      <c r="U38" s="47"/>
      <c r="V38" s="251"/>
    </row>
    <row r="39" spans="1:22" ht="16.5" thickBot="1" x14ac:dyDescent="0.25">
      <c r="A39" s="129"/>
      <c r="B39" s="49"/>
      <c r="C39" s="49"/>
      <c r="D39" s="49"/>
      <c r="E39" s="49"/>
      <c r="F39" s="49"/>
      <c r="G39" s="49"/>
      <c r="H39" s="49"/>
      <c r="I39" s="49"/>
      <c r="J39" s="531"/>
      <c r="K39" s="531"/>
      <c r="L39" s="531"/>
      <c r="M39" s="435"/>
      <c r="N39" s="532"/>
      <c r="O39" s="532"/>
      <c r="P39" s="435"/>
      <c r="Q39" s="436"/>
      <c r="R39" s="506"/>
      <c r="S39" s="506"/>
      <c r="T39" s="323"/>
      <c r="U39" s="47"/>
      <c r="V39" s="251"/>
    </row>
    <row r="40" spans="1:22" ht="16.5" thickBot="1" x14ac:dyDescent="0.25">
      <c r="A40" s="129"/>
      <c r="B40" s="180"/>
      <c r="C40" s="184"/>
      <c r="D40" s="631" t="s">
        <v>1441</v>
      </c>
      <c r="E40" s="179"/>
      <c r="F40" s="179"/>
      <c r="G40" s="179"/>
      <c r="H40" s="182"/>
      <c r="I40" s="182"/>
      <c r="J40" s="908">
        <f>VLOOKUP(+'Part 1'!$L$16,Datasheet3!$B$5:$GL$331,27,FALSE)</f>
        <v>-136977</v>
      </c>
      <c r="K40" s="909"/>
      <c r="L40" s="517"/>
      <c r="M40" s="517"/>
      <c r="N40" s="908">
        <f>VLOOKUP(+'Part 1'!$L$16,Datasheet3!$B$5:$GL$331,28,FALSE)</f>
        <v>0</v>
      </c>
      <c r="O40" s="909"/>
      <c r="P40" s="517"/>
      <c r="Q40" s="436"/>
      <c r="R40" s="972">
        <f>VLOOKUP(+'Part 1'!$L$16,Datasheet3!$B$5:$GL$331,29,FALSE)</f>
        <v>-136977</v>
      </c>
      <c r="S40" s="973"/>
      <c r="T40" s="323"/>
      <c r="U40" s="47"/>
      <c r="V40" s="251"/>
    </row>
    <row r="41" spans="1:22" ht="16.5" thickBot="1" x14ac:dyDescent="0.25">
      <c r="A41" s="129"/>
      <c r="B41" s="49"/>
      <c r="C41" s="345"/>
      <c r="D41" s="49"/>
      <c r="E41" s="49"/>
      <c r="F41" s="49"/>
      <c r="G41" s="49"/>
      <c r="H41" s="49"/>
      <c r="I41" s="49"/>
      <c r="J41" s="423"/>
      <c r="K41" s="534"/>
      <c r="L41" s="531"/>
      <c r="M41" s="435"/>
      <c r="N41" s="532"/>
      <c r="O41" s="532"/>
      <c r="P41" s="435"/>
      <c r="Q41" s="436"/>
      <c r="R41" s="506"/>
      <c r="S41" s="506"/>
      <c r="T41" s="323"/>
      <c r="U41" s="47"/>
      <c r="V41" s="251"/>
    </row>
    <row r="42" spans="1:22" ht="16.5" thickBot="1" x14ac:dyDescent="0.25">
      <c r="A42" s="129"/>
      <c r="B42" s="180"/>
      <c r="C42" s="184"/>
      <c r="D42" s="977" t="s">
        <v>977</v>
      </c>
      <c r="E42" s="978"/>
      <c r="F42" s="978"/>
      <c r="G42" s="978"/>
      <c r="H42" s="182"/>
      <c r="I42" s="182"/>
      <c r="J42" s="908">
        <f>VLOOKUP(+'Part 1'!$L$16,Datasheet3!$B$5:$GL$331,30,FALSE)</f>
        <v>4044</v>
      </c>
      <c r="K42" s="909"/>
      <c r="L42" s="517"/>
      <c r="M42" s="517"/>
      <c r="N42" s="908">
        <f>VLOOKUP(+'Part 1'!$L$16,Datasheet3!$B$5:$GL$331,31,FALSE)</f>
        <v>0</v>
      </c>
      <c r="O42" s="909"/>
      <c r="P42" s="517"/>
      <c r="Q42" s="436"/>
      <c r="R42" s="972">
        <f>VLOOKUP(+'Part 1'!$L$16,Datasheet3!$B$5:$GL$331,32,FALSE)</f>
        <v>4044</v>
      </c>
      <c r="S42" s="973"/>
      <c r="T42" s="323"/>
      <c r="U42" s="47"/>
      <c r="V42" s="251"/>
    </row>
    <row r="43" spans="1:22" ht="15.75" x14ac:dyDescent="0.2">
      <c r="A43" s="129"/>
      <c r="B43" s="49"/>
      <c r="C43" s="345"/>
      <c r="D43" s="978"/>
      <c r="E43" s="978"/>
      <c r="F43" s="978"/>
      <c r="G43" s="978"/>
      <c r="H43" s="49"/>
      <c r="I43" s="49"/>
      <c r="J43" s="423"/>
      <c r="K43" s="534"/>
      <c r="L43" s="531"/>
      <c r="M43" s="435"/>
      <c r="N43" s="532"/>
      <c r="O43" s="532"/>
      <c r="P43" s="435"/>
      <c r="Q43" s="436"/>
      <c r="R43" s="506"/>
      <c r="S43" s="506"/>
      <c r="T43" s="323"/>
      <c r="U43" s="47"/>
      <c r="V43" s="251"/>
    </row>
    <row r="44" spans="1:22" ht="16.5" thickBot="1" x14ac:dyDescent="0.25">
      <c r="A44" s="129"/>
      <c r="B44" s="49"/>
      <c r="C44" s="345"/>
      <c r="D44" s="49"/>
      <c r="E44" s="49"/>
      <c r="F44" s="49"/>
      <c r="G44" s="49"/>
      <c r="H44" s="49"/>
      <c r="I44" s="49"/>
      <c r="J44" s="423"/>
      <c r="K44" s="534"/>
      <c r="L44" s="531"/>
      <c r="M44" s="435"/>
      <c r="N44" s="532"/>
      <c r="O44" s="532"/>
      <c r="P44" s="435"/>
      <c r="Q44" s="436"/>
      <c r="R44" s="506"/>
      <c r="S44" s="506"/>
      <c r="T44" s="323"/>
      <c r="U44" s="47"/>
      <c r="V44" s="251"/>
    </row>
    <row r="45" spans="1:22" ht="16.5" thickBot="1" x14ac:dyDescent="0.25">
      <c r="A45" s="129"/>
      <c r="B45" s="127"/>
      <c r="C45" s="854" t="s">
        <v>1442</v>
      </c>
      <c r="D45" s="921"/>
      <c r="E45" s="921"/>
      <c r="F45" s="921"/>
      <c r="G45" s="921"/>
      <c r="H45" s="18"/>
      <c r="I45" s="18"/>
      <c r="J45" s="908">
        <f>VLOOKUP('Part 1'!L$16,Datasheet3!$B$5:$GL$331,33,FALSE)</f>
        <v>2530765</v>
      </c>
      <c r="K45" s="909"/>
      <c r="L45" s="435"/>
      <c r="M45" s="435"/>
      <c r="N45" s="908">
        <f>VLOOKUP('Part 1'!L$16,Datasheet3!$B$5:$GL$331,34,FALSE)</f>
        <v>0</v>
      </c>
      <c r="O45" s="909"/>
      <c r="P45" s="435"/>
      <c r="Q45" s="436"/>
      <c r="R45" s="972">
        <f>VLOOKUP(+'Part 1'!$L$16,Datasheet3!$B$5:$GL$331,35,FALSE)</f>
        <v>2530765</v>
      </c>
      <c r="S45" s="973"/>
      <c r="T45" s="323"/>
      <c r="U45" s="47"/>
      <c r="V45" s="251"/>
    </row>
    <row r="46" spans="1:22" ht="15.75" x14ac:dyDescent="0.2">
      <c r="A46" s="129"/>
      <c r="B46" s="127"/>
      <c r="C46" s="959"/>
      <c r="D46" s="959"/>
      <c r="E46" s="959"/>
      <c r="F46" s="959"/>
      <c r="G46" s="959"/>
      <c r="H46" s="18"/>
      <c r="I46" s="18"/>
      <c r="J46" s="536"/>
      <c r="K46" s="532"/>
      <c r="L46" s="435"/>
      <c r="M46" s="435"/>
      <c r="N46" s="536"/>
      <c r="O46" s="532"/>
      <c r="P46" s="435"/>
      <c r="Q46" s="436"/>
      <c r="R46" s="506"/>
      <c r="S46" s="436"/>
      <c r="T46" s="323"/>
      <c r="U46" s="47"/>
      <c r="V46" s="251"/>
    </row>
    <row r="47" spans="1:22" ht="16.5" thickBot="1" x14ac:dyDescent="0.25">
      <c r="A47" s="129"/>
      <c r="B47" s="127"/>
      <c r="C47" s="499"/>
      <c r="D47" s="499"/>
      <c r="E47" s="499"/>
      <c r="F47" s="499"/>
      <c r="G47" s="499"/>
      <c r="H47" s="18"/>
      <c r="I47" s="18"/>
      <c r="J47" s="536"/>
      <c r="K47" s="532"/>
      <c r="L47" s="435"/>
      <c r="M47" s="435"/>
      <c r="N47" s="536"/>
      <c r="O47" s="532"/>
      <c r="P47" s="435"/>
      <c r="Q47" s="436"/>
      <c r="R47" s="506"/>
      <c r="S47" s="436"/>
      <c r="T47" s="323"/>
      <c r="U47" s="47"/>
      <c r="V47" s="251"/>
    </row>
    <row r="48" spans="1:22" ht="16.5" thickBot="1" x14ac:dyDescent="0.25">
      <c r="A48" s="129"/>
      <c r="B48" s="127"/>
      <c r="C48" s="854" t="s">
        <v>978</v>
      </c>
      <c r="D48" s="921"/>
      <c r="E48" s="921"/>
      <c r="F48" s="921"/>
      <c r="G48" s="921"/>
      <c r="H48" s="18"/>
      <c r="I48" s="18"/>
      <c r="J48" s="960">
        <f>VLOOKUP('Part 1'!L$16,Datasheet3!$B$5:$GL$331,36,FALSE)</f>
        <v>-102661</v>
      </c>
      <c r="K48" s="979"/>
      <c r="L48" s="435"/>
      <c r="M48" s="435"/>
      <c r="N48" s="960">
        <f>VLOOKUP('Part 1'!L$16,Datasheet3!$B$5:$GL$331,37,FALSE)</f>
        <v>0</v>
      </c>
      <c r="O48" s="979"/>
      <c r="P48" s="435"/>
      <c r="Q48" s="436"/>
      <c r="R48" s="972">
        <f>VLOOKUP(+'Part 1'!$L$16,Datasheet3!$B$5:$GL$331,38,FALSE)</f>
        <v>-102661</v>
      </c>
      <c r="S48" s="973"/>
      <c r="T48" s="323"/>
      <c r="U48" s="47"/>
      <c r="V48" s="251"/>
    </row>
    <row r="49" spans="1:22" ht="15.75" x14ac:dyDescent="0.2">
      <c r="A49" s="129"/>
      <c r="B49" s="127"/>
      <c r="C49" s="959"/>
      <c r="D49" s="959"/>
      <c r="E49" s="959"/>
      <c r="F49" s="959"/>
      <c r="G49" s="959"/>
      <c r="H49" s="18"/>
      <c r="I49" s="18"/>
      <c r="J49" s="536"/>
      <c r="K49" s="532"/>
      <c r="L49" s="435"/>
      <c r="M49" s="435"/>
      <c r="N49" s="536"/>
      <c r="O49" s="532"/>
      <c r="P49" s="435"/>
      <c r="Q49" s="436"/>
      <c r="R49" s="506"/>
      <c r="S49" s="436"/>
      <c r="T49" s="323"/>
      <c r="U49" s="47"/>
      <c r="V49" s="251"/>
    </row>
    <row r="50" spans="1:22" ht="15" x14ac:dyDescent="0.2">
      <c r="A50" s="129"/>
      <c r="B50" s="127"/>
      <c r="C50" s="49"/>
      <c r="D50" s="49"/>
      <c r="E50" s="49"/>
      <c r="F50" s="49"/>
      <c r="G50" s="49"/>
      <c r="H50" s="18"/>
      <c r="I50" s="18"/>
      <c r="J50" s="532"/>
      <c r="K50" s="532"/>
      <c r="L50" s="435"/>
      <c r="M50" s="435"/>
      <c r="N50" s="532"/>
      <c r="O50" s="532"/>
      <c r="P50" s="435"/>
      <c r="Q50" s="436"/>
      <c r="R50" s="436"/>
      <c r="S50" s="436"/>
      <c r="T50" s="323"/>
      <c r="U50" s="47"/>
      <c r="V50" s="251"/>
    </row>
    <row r="51" spans="1:22" ht="16.5" thickBot="1" x14ac:dyDescent="0.25">
      <c r="A51" s="129"/>
      <c r="B51" s="127"/>
      <c r="C51" s="126" t="s">
        <v>33</v>
      </c>
      <c r="D51" s="49"/>
      <c r="E51" s="49"/>
      <c r="F51" s="49"/>
      <c r="G51" s="49"/>
      <c r="H51" s="18"/>
      <c r="I51" s="18"/>
      <c r="J51" s="532"/>
      <c r="K51" s="532"/>
      <c r="L51" s="435"/>
      <c r="M51" s="435"/>
      <c r="N51" s="532"/>
      <c r="O51" s="532"/>
      <c r="P51" s="435"/>
      <c r="Q51" s="436"/>
      <c r="R51" s="436"/>
      <c r="S51" s="436"/>
      <c r="T51" s="323"/>
      <c r="U51" s="47"/>
      <c r="V51" s="251"/>
    </row>
    <row r="52" spans="1:22" ht="16.5" thickBot="1" x14ac:dyDescent="0.25">
      <c r="A52" s="129"/>
      <c r="B52" s="127"/>
      <c r="C52" s="74" t="s">
        <v>1443</v>
      </c>
      <c r="D52" s="49"/>
      <c r="E52" s="49"/>
      <c r="F52" s="49"/>
      <c r="G52" s="49"/>
      <c r="H52" s="18"/>
      <c r="I52" s="18"/>
      <c r="J52" s="908">
        <f>VLOOKUP('Part 1'!L$16,Datasheet3!$B$5:$GL$331,39,FALSE)</f>
        <v>-9757395</v>
      </c>
      <c r="K52" s="909"/>
      <c r="L52" s="435"/>
      <c r="M52" s="435"/>
      <c r="N52" s="908">
        <f>VLOOKUP('Part 1'!L$16,Datasheet3!$B$5:$GL$331,40,FALSE)</f>
        <v>-430527</v>
      </c>
      <c r="O52" s="909"/>
      <c r="P52" s="435"/>
      <c r="Q52" s="436"/>
      <c r="R52" s="972">
        <f>VLOOKUP(+'Part 1'!$L$16,Datasheet3!$B$5:$GL$331,41,FALSE)</f>
        <v>-10187922</v>
      </c>
      <c r="S52" s="973"/>
      <c r="T52" s="323"/>
      <c r="U52" s="47"/>
      <c r="V52" s="251"/>
    </row>
    <row r="53" spans="1:22" ht="15.75" thickBot="1" x14ac:dyDescent="0.25">
      <c r="A53" s="129"/>
      <c r="B53" s="127"/>
      <c r="C53" s="49"/>
      <c r="D53" s="49"/>
      <c r="E53" s="49"/>
      <c r="F53" s="49"/>
      <c r="G53" s="49"/>
      <c r="H53" s="18"/>
      <c r="I53" s="18"/>
      <c r="J53" s="532"/>
      <c r="K53" s="532"/>
      <c r="L53" s="435"/>
      <c r="M53" s="435"/>
      <c r="N53" s="532"/>
      <c r="O53" s="532"/>
      <c r="P53" s="435"/>
      <c r="Q53" s="436"/>
      <c r="R53" s="436"/>
      <c r="S53" s="436"/>
      <c r="T53" s="323"/>
      <c r="U53" s="47"/>
      <c r="V53" s="251"/>
    </row>
    <row r="54" spans="1:22" ht="16.5" thickBot="1" x14ac:dyDescent="0.25">
      <c r="A54" s="129"/>
      <c r="B54" s="127"/>
      <c r="C54" s="854" t="s">
        <v>979</v>
      </c>
      <c r="D54" s="921"/>
      <c r="E54" s="921"/>
      <c r="F54" s="921"/>
      <c r="G54" s="921"/>
      <c r="H54" s="18"/>
      <c r="I54" s="18"/>
      <c r="J54" s="960">
        <f>VLOOKUP('Part 1'!L$16,Datasheet3!$B$5:$GL$331,42,FALSE)</f>
        <v>-219612</v>
      </c>
      <c r="K54" s="979"/>
      <c r="L54" s="435"/>
      <c r="M54" s="435"/>
      <c r="N54" s="960">
        <f>VLOOKUP('Part 1'!L$16,Datasheet3!$B$5:$GL$331,43,FALSE)</f>
        <v>7128</v>
      </c>
      <c r="O54" s="979"/>
      <c r="P54" s="435"/>
      <c r="Q54" s="436"/>
      <c r="R54" s="972">
        <f>VLOOKUP(+'Part 1'!$L$16,Datasheet3!$B$5:$GL$331,44,FALSE)</f>
        <v>-212484</v>
      </c>
      <c r="S54" s="973"/>
      <c r="T54" s="323"/>
      <c r="U54" s="47"/>
      <c r="V54" s="251"/>
    </row>
    <row r="55" spans="1:22" ht="15.75" x14ac:dyDescent="0.2">
      <c r="A55" s="129"/>
      <c r="B55" s="127"/>
      <c r="C55" s="959"/>
      <c r="D55" s="959"/>
      <c r="E55" s="959"/>
      <c r="F55" s="959"/>
      <c r="G55" s="959"/>
      <c r="H55" s="18"/>
      <c r="I55" s="18"/>
      <c r="J55" s="536"/>
      <c r="K55" s="532"/>
      <c r="L55" s="435"/>
      <c r="M55" s="435"/>
      <c r="N55" s="536"/>
      <c r="O55" s="532"/>
      <c r="P55" s="435"/>
      <c r="Q55" s="436"/>
      <c r="R55" s="506"/>
      <c r="S55" s="436"/>
      <c r="T55" s="323"/>
      <c r="U55" s="47"/>
      <c r="V55" s="251"/>
    </row>
    <row r="56" spans="1:22" ht="15" x14ac:dyDescent="0.2">
      <c r="A56" s="129"/>
      <c r="B56" s="127"/>
      <c r="C56" s="49"/>
      <c r="D56" s="49"/>
      <c r="E56" s="49"/>
      <c r="F56" s="49"/>
      <c r="G56" s="49"/>
      <c r="H56" s="18"/>
      <c r="I56" s="18"/>
      <c r="J56" s="532"/>
      <c r="K56" s="532"/>
      <c r="L56" s="435"/>
      <c r="M56" s="435"/>
      <c r="N56" s="532"/>
      <c r="O56" s="532"/>
      <c r="P56" s="435"/>
      <c r="Q56" s="436"/>
      <c r="R56" s="436"/>
      <c r="S56" s="436"/>
      <c r="T56" s="323"/>
      <c r="U56" s="47"/>
      <c r="V56" s="251"/>
    </row>
    <row r="57" spans="1:22" ht="16.5" thickBot="1" x14ac:dyDescent="0.25">
      <c r="A57" s="129"/>
      <c r="B57" s="127"/>
      <c r="C57" s="126" t="s">
        <v>28</v>
      </c>
      <c r="D57" s="49"/>
      <c r="E57" s="49"/>
      <c r="F57" s="49"/>
      <c r="G57" s="49"/>
      <c r="H57" s="18"/>
      <c r="I57" s="18"/>
      <c r="J57" s="532"/>
      <c r="K57" s="532"/>
      <c r="L57" s="435"/>
      <c r="M57" s="435"/>
      <c r="N57" s="532"/>
      <c r="O57" s="532"/>
      <c r="P57" s="435"/>
      <c r="Q57" s="436"/>
      <c r="R57" s="436"/>
      <c r="S57" s="436"/>
      <c r="T57" s="323"/>
      <c r="U57" s="47"/>
      <c r="V57" s="251"/>
    </row>
    <row r="58" spans="1:22" ht="16.5" thickBot="1" x14ac:dyDescent="0.25">
      <c r="A58" s="129"/>
      <c r="B58" s="127"/>
      <c r="C58" s="74" t="s">
        <v>1444</v>
      </c>
      <c r="D58" s="49"/>
      <c r="E58" s="49"/>
      <c r="F58" s="49"/>
      <c r="G58" s="49"/>
      <c r="H58" s="18"/>
      <c r="I58" s="18"/>
      <c r="J58" s="908">
        <f>VLOOKUP('Part 1'!L$16,Datasheet3!$B$5:$GL$331,45,FALSE)</f>
        <v>-80012</v>
      </c>
      <c r="K58" s="909"/>
      <c r="L58" s="435"/>
      <c r="M58" s="435"/>
      <c r="N58" s="908">
        <f>VLOOKUP('Part 1'!L$16,Datasheet3!$B$5:$GL$331,46,FALSE)</f>
        <v>0</v>
      </c>
      <c r="O58" s="909"/>
      <c r="P58" s="435"/>
      <c r="Q58" s="436"/>
      <c r="R58" s="972">
        <f>VLOOKUP(+'Part 1'!$L$16,Datasheet3!$B$5:$GL$331,47,FALSE)</f>
        <v>-80012</v>
      </c>
      <c r="S58" s="973"/>
      <c r="T58" s="323"/>
      <c r="U58" s="47"/>
      <c r="V58" s="251"/>
    </row>
    <row r="59" spans="1:22" ht="15.75" thickBot="1" x14ac:dyDescent="0.25">
      <c r="A59" s="129"/>
      <c r="B59" s="127"/>
      <c r="C59" s="49"/>
      <c r="D59" s="49"/>
      <c r="E59" s="49"/>
      <c r="F59" s="49"/>
      <c r="G59" s="49"/>
      <c r="H59" s="18"/>
      <c r="I59" s="18"/>
      <c r="J59" s="503"/>
      <c r="K59" s="503"/>
      <c r="L59" s="507"/>
      <c r="M59" s="507"/>
      <c r="N59" s="503"/>
      <c r="O59" s="503"/>
      <c r="P59" s="507"/>
      <c r="Q59" s="437"/>
      <c r="R59" s="437"/>
      <c r="S59" s="437"/>
      <c r="T59" s="323"/>
      <c r="U59" s="47"/>
      <c r="V59" s="251"/>
    </row>
    <row r="60" spans="1:22" ht="16.5" thickBot="1" x14ac:dyDescent="0.25">
      <c r="A60" s="129"/>
      <c r="B60" s="127"/>
      <c r="C60" s="854" t="s">
        <v>980</v>
      </c>
      <c r="D60" s="921"/>
      <c r="E60" s="921"/>
      <c r="F60" s="921"/>
      <c r="G60" s="921"/>
      <c r="H60" s="18"/>
      <c r="I60" s="18"/>
      <c r="J60" s="960">
        <f>VLOOKUP('Part 1'!L$16,Datasheet3!$B$5:$GL$331,48,FALSE)</f>
        <v>7500</v>
      </c>
      <c r="K60" s="979"/>
      <c r="L60" s="435"/>
      <c r="M60" s="435"/>
      <c r="N60" s="960">
        <f>VLOOKUP('Part 1'!L$16,Datasheet3!$B$5:$GL$331,49,FALSE)</f>
        <v>0</v>
      </c>
      <c r="O60" s="979"/>
      <c r="P60" s="435"/>
      <c r="Q60" s="436"/>
      <c r="R60" s="972">
        <f>VLOOKUP(+'Part 1'!$L$16,Datasheet3!$B$5:$GL$331,50,FALSE)</f>
        <v>7500</v>
      </c>
      <c r="S60" s="973"/>
      <c r="T60" s="323"/>
      <c r="U60" s="47"/>
      <c r="V60" s="251"/>
    </row>
    <row r="61" spans="1:22" ht="15.75" x14ac:dyDescent="0.2">
      <c r="A61" s="129"/>
      <c r="B61" s="127"/>
      <c r="C61" s="959"/>
      <c r="D61" s="959"/>
      <c r="E61" s="959"/>
      <c r="F61" s="959"/>
      <c r="G61" s="959"/>
      <c r="H61" s="18"/>
      <c r="I61" s="18"/>
      <c r="J61" s="536"/>
      <c r="K61" s="532"/>
      <c r="L61" s="435"/>
      <c r="M61" s="435"/>
      <c r="N61" s="536"/>
      <c r="O61" s="532"/>
      <c r="P61" s="435"/>
      <c r="Q61" s="436"/>
      <c r="R61" s="506"/>
      <c r="S61" s="436"/>
      <c r="T61" s="323"/>
      <c r="U61" s="47"/>
      <c r="V61" s="251"/>
    </row>
    <row r="62" spans="1:22" ht="15" x14ac:dyDescent="0.2">
      <c r="A62" s="129"/>
      <c r="B62" s="127"/>
      <c r="C62" s="49"/>
      <c r="D62" s="49"/>
      <c r="E62" s="49"/>
      <c r="F62" s="49"/>
      <c r="G62" s="49"/>
      <c r="H62" s="18"/>
      <c r="I62" s="18"/>
      <c r="J62" s="503"/>
      <c r="K62" s="503"/>
      <c r="L62" s="507"/>
      <c r="M62" s="507"/>
      <c r="N62" s="503"/>
      <c r="O62" s="503"/>
      <c r="P62" s="507"/>
      <c r="Q62" s="437"/>
      <c r="R62" s="437"/>
      <c r="S62" s="437"/>
      <c r="T62" s="324"/>
      <c r="U62" s="47"/>
      <c r="V62" s="251"/>
    </row>
    <row r="63" spans="1:22" ht="16.5" thickBot="1" x14ac:dyDescent="0.25">
      <c r="A63" s="129"/>
      <c r="B63" s="127"/>
      <c r="C63" s="126" t="s">
        <v>35</v>
      </c>
      <c r="D63" s="49"/>
      <c r="E63" s="49"/>
      <c r="F63" s="49"/>
      <c r="G63" s="49"/>
      <c r="H63" s="18"/>
      <c r="I63" s="18"/>
      <c r="J63" s="532"/>
      <c r="K63" s="532"/>
      <c r="L63" s="435"/>
      <c r="M63" s="435"/>
      <c r="N63" s="532"/>
      <c r="O63" s="532"/>
      <c r="P63" s="435"/>
      <c r="Q63" s="436"/>
      <c r="R63" s="436"/>
      <c r="S63" s="436"/>
      <c r="T63" s="323"/>
      <c r="U63" s="47"/>
      <c r="V63" s="251"/>
    </row>
    <row r="64" spans="1:22" ht="16.5" thickBot="1" x14ac:dyDescent="0.25">
      <c r="A64" s="129"/>
      <c r="B64" s="127"/>
      <c r="C64" s="74" t="s">
        <v>1445</v>
      </c>
      <c r="D64" s="49"/>
      <c r="E64" s="49"/>
      <c r="F64" s="49"/>
      <c r="G64" s="49"/>
      <c r="H64" s="18"/>
      <c r="I64" s="18"/>
      <c r="J64" s="908">
        <f>VLOOKUP('Part 1'!L$16,Datasheet3!$B$5:$GL$331,51,FALSE)</f>
        <v>-4136</v>
      </c>
      <c r="K64" s="909"/>
      <c r="L64" s="435"/>
      <c r="M64" s="435"/>
      <c r="N64" s="908">
        <f>VLOOKUP('Part 1'!L$16,Datasheet3!$B$5:$GL$331,52,FALSE)</f>
        <v>0</v>
      </c>
      <c r="O64" s="909"/>
      <c r="P64" s="435"/>
      <c r="Q64" s="436"/>
      <c r="R64" s="972">
        <f>VLOOKUP(+'Part 1'!$L$16,Datasheet3!$B$5:$GL$331,53,FALSE)</f>
        <v>-4136</v>
      </c>
      <c r="S64" s="973"/>
      <c r="T64" s="323"/>
      <c r="U64" s="47"/>
      <c r="V64" s="251"/>
    </row>
    <row r="65" spans="1:22" ht="15.75" thickBot="1" x14ac:dyDescent="0.25">
      <c r="A65" s="129"/>
      <c r="B65" s="127"/>
      <c r="C65" s="49"/>
      <c r="D65" s="49"/>
      <c r="E65" s="49"/>
      <c r="F65" s="49"/>
      <c r="G65" s="49"/>
      <c r="H65" s="18"/>
      <c r="I65" s="18"/>
      <c r="J65" s="503"/>
      <c r="K65" s="503"/>
      <c r="L65" s="507"/>
      <c r="M65" s="507"/>
      <c r="N65" s="503"/>
      <c r="O65" s="503"/>
      <c r="P65" s="507"/>
      <c r="Q65" s="437"/>
      <c r="R65" s="437"/>
      <c r="S65" s="437"/>
      <c r="T65" s="323"/>
      <c r="U65" s="47"/>
      <c r="V65" s="251"/>
    </row>
    <row r="66" spans="1:22" ht="16.5" thickBot="1" x14ac:dyDescent="0.25">
      <c r="A66" s="129"/>
      <c r="B66" s="127"/>
      <c r="C66" s="854" t="s">
        <v>981</v>
      </c>
      <c r="D66" s="921"/>
      <c r="E66" s="921"/>
      <c r="F66" s="921"/>
      <c r="G66" s="921"/>
      <c r="H66" s="18"/>
      <c r="I66" s="18"/>
      <c r="J66" s="960">
        <f>VLOOKUP('Part 1'!L$16,Datasheet3!$B$5:$GL$331,54,FALSE)</f>
        <v>0</v>
      </c>
      <c r="K66" s="979"/>
      <c r="L66" s="435"/>
      <c r="M66" s="435"/>
      <c r="N66" s="960">
        <f>VLOOKUP('Part 1'!L$16,Datasheet3!$B$5:$GL$331,55,FALSE)</f>
        <v>0</v>
      </c>
      <c r="O66" s="979"/>
      <c r="P66" s="435"/>
      <c r="Q66" s="436"/>
      <c r="R66" s="972">
        <f>VLOOKUP(+'Part 1'!$L$16,Datasheet3!$B$5:$GL$331,56,FALSE)</f>
        <v>0</v>
      </c>
      <c r="S66" s="973"/>
      <c r="T66" s="323"/>
      <c r="U66" s="47"/>
      <c r="V66" s="251"/>
    </row>
    <row r="67" spans="1:22" ht="15.75" x14ac:dyDescent="0.2">
      <c r="A67" s="129"/>
      <c r="B67" s="127"/>
      <c r="C67" s="959"/>
      <c r="D67" s="959"/>
      <c r="E67" s="959"/>
      <c r="F67" s="959"/>
      <c r="G67" s="959"/>
      <c r="H67" s="18"/>
      <c r="I67" s="18"/>
      <c r="J67" s="502"/>
      <c r="K67" s="64"/>
      <c r="L67" s="435"/>
      <c r="M67" s="435"/>
      <c r="N67" s="502"/>
      <c r="O67" s="64"/>
      <c r="P67" s="435"/>
      <c r="Q67" s="436"/>
      <c r="R67" s="325"/>
      <c r="S67" s="322"/>
      <c r="T67" s="323"/>
      <c r="U67" s="47"/>
      <c r="V67" s="251"/>
    </row>
    <row r="68" spans="1:22" ht="16.5" thickBot="1" x14ac:dyDescent="0.25">
      <c r="A68" s="129"/>
      <c r="B68" s="164"/>
      <c r="C68" s="135"/>
      <c r="D68" s="135"/>
      <c r="E68" s="135"/>
      <c r="F68" s="135"/>
      <c r="G68" s="135"/>
      <c r="H68" s="123"/>
      <c r="I68" s="18"/>
      <c r="J68" s="502"/>
      <c r="K68" s="64"/>
      <c r="L68" s="435"/>
      <c r="M68" s="435"/>
      <c r="N68" s="502"/>
      <c r="O68" s="64"/>
      <c r="P68" s="435"/>
      <c r="Q68" s="436"/>
      <c r="R68" s="325"/>
      <c r="S68" s="322"/>
      <c r="T68" s="323"/>
      <c r="U68" s="47"/>
      <c r="V68" s="251"/>
    </row>
    <row r="69" spans="1:22" ht="16.5" thickBot="1" x14ac:dyDescent="0.25">
      <c r="A69" s="129"/>
      <c r="B69" s="165"/>
      <c r="C69" s="166"/>
      <c r="D69" s="166"/>
      <c r="E69" s="166"/>
      <c r="F69" s="166"/>
      <c r="G69" s="166"/>
      <c r="H69" s="167"/>
      <c r="I69" s="152"/>
      <c r="J69" s="161"/>
      <c r="K69" s="153"/>
      <c r="L69" s="510"/>
      <c r="M69" s="510"/>
      <c r="N69" s="161"/>
      <c r="O69" s="153"/>
      <c r="P69" s="510"/>
      <c r="Q69" s="511"/>
      <c r="R69" s="331"/>
      <c r="S69" s="326"/>
      <c r="T69" s="327"/>
      <c r="U69" s="47"/>
      <c r="V69" s="251"/>
    </row>
    <row r="70" spans="1:22" ht="16.5" thickBot="1" x14ac:dyDescent="0.25">
      <c r="A70" s="129"/>
      <c r="B70" s="168"/>
      <c r="C70" s="964" t="s">
        <v>982</v>
      </c>
      <c r="D70" s="964"/>
      <c r="E70" s="964"/>
      <c r="F70" s="964"/>
      <c r="G70" s="135"/>
      <c r="H70" s="123"/>
      <c r="I70" s="18"/>
      <c r="J70" s="970">
        <f>VLOOKUP('Part 1'!L$16,Datasheet3!$B$5:$GL$331,57,FALSE)</f>
        <v>-12925248</v>
      </c>
      <c r="K70" s="971"/>
      <c r="L70" s="435"/>
      <c r="M70" s="435"/>
      <c r="N70" s="970">
        <f>VLOOKUP('Part 1'!L$16,Datasheet3!$B$5:$GL$331,58,FALSE)</f>
        <v>-428481</v>
      </c>
      <c r="O70" s="971"/>
      <c r="P70" s="435"/>
      <c r="Q70" s="436"/>
      <c r="R70" s="972">
        <f>VLOOKUP(+'Part 1'!$L$16,Datasheet3!$B$5:$GL$331,59,FALSE)</f>
        <v>-13353729</v>
      </c>
      <c r="S70" s="973"/>
      <c r="T70" s="328"/>
      <c r="U70" s="47"/>
      <c r="V70" s="251"/>
    </row>
    <row r="71" spans="1:22" ht="16.5" thickBot="1" x14ac:dyDescent="0.25">
      <c r="A71" s="129"/>
      <c r="B71" s="169"/>
      <c r="C71" s="170"/>
      <c r="D71" s="170"/>
      <c r="E71" s="170"/>
      <c r="F71" s="170"/>
      <c r="G71" s="170"/>
      <c r="H71" s="171"/>
      <c r="I71" s="158"/>
      <c r="J71" s="162"/>
      <c r="K71" s="163"/>
      <c r="L71" s="518"/>
      <c r="M71" s="518"/>
      <c r="N71" s="162"/>
      <c r="O71" s="163"/>
      <c r="P71" s="518"/>
      <c r="Q71" s="528"/>
      <c r="R71" s="333"/>
      <c r="S71" s="332"/>
      <c r="T71" s="330"/>
      <c r="U71" s="47"/>
      <c r="V71" s="251"/>
    </row>
    <row r="72" spans="1:22" ht="16.5" thickBot="1" x14ac:dyDescent="0.25">
      <c r="A72" s="132"/>
      <c r="B72" s="391"/>
      <c r="C72" s="392"/>
      <c r="D72" s="392"/>
      <c r="E72" s="392"/>
      <c r="F72" s="392"/>
      <c r="G72" s="392"/>
      <c r="H72" s="119"/>
      <c r="I72" s="70"/>
      <c r="J72" s="393"/>
      <c r="K72" s="394"/>
      <c r="L72" s="519"/>
      <c r="M72" s="519"/>
      <c r="N72" s="393"/>
      <c r="O72" s="394"/>
      <c r="P72" s="519"/>
      <c r="Q72" s="529"/>
      <c r="R72" s="335"/>
      <c r="S72" s="334"/>
      <c r="T72" s="336"/>
      <c r="U72" s="48"/>
      <c r="V72" s="251"/>
    </row>
    <row r="73" spans="1:22" ht="15.75" hidden="1" customHeight="1" x14ac:dyDescent="0.2">
      <c r="A73" s="129"/>
      <c r="B73" s="127"/>
      <c r="C73" s="49"/>
      <c r="D73" s="49"/>
      <c r="E73" s="49"/>
      <c r="F73" s="49"/>
      <c r="G73" s="49"/>
      <c r="H73" s="18"/>
      <c r="I73" s="18"/>
      <c r="J73" s="502"/>
      <c r="K73" s="64"/>
      <c r="L73" s="435"/>
      <c r="M73" s="435"/>
      <c r="N73" s="502"/>
      <c r="O73" s="64"/>
      <c r="P73" s="435"/>
      <c r="Q73" s="436"/>
      <c r="R73" s="325"/>
      <c r="S73" s="322"/>
      <c r="T73" s="323"/>
      <c r="U73" s="47"/>
      <c r="V73" s="251"/>
    </row>
    <row r="74" spans="1:22" ht="15.75" x14ac:dyDescent="0.2">
      <c r="A74" s="413"/>
      <c r="B74" s="414"/>
      <c r="C74" s="599" t="s">
        <v>1153</v>
      </c>
      <c r="D74" s="415"/>
      <c r="E74" s="415"/>
      <c r="F74" s="415"/>
      <c r="G74" s="415"/>
      <c r="H74" s="416"/>
      <c r="I74" s="416"/>
      <c r="J74" s="417"/>
      <c r="K74" s="417"/>
      <c r="L74" s="520"/>
      <c r="M74" s="520"/>
      <c r="N74" s="417"/>
      <c r="O74" s="417"/>
      <c r="P74" s="520"/>
      <c r="Q74" s="530"/>
      <c r="R74" s="418"/>
      <c r="S74" s="418"/>
      <c r="T74" s="419"/>
      <c r="U74" s="420"/>
      <c r="V74" s="251"/>
    </row>
    <row r="75" spans="1:22" ht="16.5" thickBot="1" x14ac:dyDescent="0.25">
      <c r="A75" s="129"/>
      <c r="B75" s="127"/>
      <c r="C75" s="126" t="s">
        <v>1</v>
      </c>
      <c r="D75" s="49"/>
      <c r="E75" s="49"/>
      <c r="F75" s="49"/>
      <c r="G75" s="49"/>
      <c r="H75" s="18"/>
      <c r="I75" s="18"/>
      <c r="J75" s="64"/>
      <c r="K75" s="64"/>
      <c r="L75" s="435"/>
      <c r="M75" s="435"/>
      <c r="N75" s="64"/>
      <c r="O75" s="64"/>
      <c r="P75" s="435"/>
      <c r="Q75" s="436"/>
      <c r="R75" s="322"/>
      <c r="S75" s="322"/>
      <c r="T75" s="323"/>
      <c r="U75" s="47"/>
      <c r="V75" s="251"/>
    </row>
    <row r="76" spans="1:22" ht="16.5" thickBot="1" x14ac:dyDescent="0.25">
      <c r="A76" s="129"/>
      <c r="B76" s="127"/>
      <c r="C76" s="74" t="s">
        <v>1446</v>
      </c>
      <c r="D76" s="49"/>
      <c r="E76" s="49"/>
      <c r="F76" s="49"/>
      <c r="G76" s="49"/>
      <c r="H76" s="18"/>
      <c r="I76" s="18"/>
      <c r="J76" s="970">
        <f>VLOOKUP('Part 1'!L$16,Datasheet3!$B$5:$GL$331,60,FALSE)</f>
        <v>-39748</v>
      </c>
      <c r="K76" s="971"/>
      <c r="L76" s="435"/>
      <c r="M76" s="435"/>
      <c r="N76" s="970">
        <f>VLOOKUP('Part 1'!L$16,Datasheet3!$B$5:$GL$331,61,FALSE)</f>
        <v>0</v>
      </c>
      <c r="O76" s="971"/>
      <c r="P76" s="435"/>
      <c r="Q76" s="436"/>
      <c r="R76" s="972">
        <f>VLOOKUP(+'Part 1'!$L$16,Datasheet3!$B$5:$GL$331,62,FALSE)</f>
        <v>-39748</v>
      </c>
      <c r="S76" s="973"/>
      <c r="T76" s="323"/>
      <c r="U76" s="47"/>
      <c r="V76" s="251"/>
    </row>
    <row r="77" spans="1:22" ht="15.75" thickBot="1" x14ac:dyDescent="0.25">
      <c r="A77" s="129"/>
      <c r="B77" s="127"/>
      <c r="C77" s="49"/>
      <c r="D77" s="49"/>
      <c r="E77" s="49"/>
      <c r="F77" s="49"/>
      <c r="G77" s="49"/>
      <c r="H77" s="18"/>
      <c r="I77" s="18"/>
      <c r="J77" s="503"/>
      <c r="K77" s="503"/>
      <c r="L77" s="507"/>
      <c r="M77" s="507"/>
      <c r="N77" s="503"/>
      <c r="O77" s="503"/>
      <c r="P77" s="507"/>
      <c r="Q77" s="437"/>
      <c r="R77" s="437"/>
      <c r="S77" s="437"/>
      <c r="T77" s="324"/>
      <c r="U77" s="47"/>
      <c r="V77" s="251"/>
    </row>
    <row r="78" spans="1:22" ht="16.5" thickBot="1" x14ac:dyDescent="0.25">
      <c r="A78" s="129"/>
      <c r="B78" s="127"/>
      <c r="C78" s="854" t="s">
        <v>983</v>
      </c>
      <c r="D78" s="921"/>
      <c r="E78" s="921"/>
      <c r="F78" s="921"/>
      <c r="G78" s="921"/>
      <c r="H78" s="18"/>
      <c r="I78" s="18"/>
      <c r="J78" s="970">
        <f>VLOOKUP('Part 1'!L$16,Datasheet3!$B$5:$GL$331,63,FALSE)</f>
        <v>12230</v>
      </c>
      <c r="K78" s="971"/>
      <c r="L78" s="435"/>
      <c r="M78" s="435"/>
      <c r="N78" s="970">
        <f>VLOOKUP('Part 1'!L$16,Datasheet3!$B$5:$GL$331,64,FALSE)</f>
        <v>0</v>
      </c>
      <c r="O78" s="971"/>
      <c r="P78" s="435"/>
      <c r="Q78" s="436"/>
      <c r="R78" s="972">
        <f>VLOOKUP(+'Part 1'!$L$16,Datasheet3!$B$5:$GL$331,65,FALSE)</f>
        <v>12230</v>
      </c>
      <c r="S78" s="973"/>
      <c r="T78" s="323"/>
      <c r="U78" s="47"/>
      <c r="V78" s="251"/>
    </row>
    <row r="79" spans="1:22" ht="15.75" x14ac:dyDescent="0.2">
      <c r="A79" s="129"/>
      <c r="B79" s="127"/>
      <c r="C79" s="959"/>
      <c r="D79" s="959"/>
      <c r="E79" s="959"/>
      <c r="F79" s="959"/>
      <c r="G79" s="959"/>
      <c r="H79" s="18"/>
      <c r="I79" s="18"/>
      <c r="J79" s="536"/>
      <c r="K79" s="532"/>
      <c r="L79" s="435"/>
      <c r="M79" s="435"/>
      <c r="N79" s="536"/>
      <c r="O79" s="532"/>
      <c r="P79" s="435"/>
      <c r="Q79" s="436"/>
      <c r="R79" s="506"/>
      <c r="S79" s="436"/>
      <c r="T79" s="323"/>
      <c r="U79" s="47"/>
      <c r="V79" s="251"/>
    </row>
    <row r="80" spans="1:22" ht="15" x14ac:dyDescent="0.2">
      <c r="A80" s="129"/>
      <c r="B80" s="127"/>
      <c r="C80" s="49"/>
      <c r="D80" s="49"/>
      <c r="E80" s="49"/>
      <c r="F80" s="49"/>
      <c r="G80" s="49"/>
      <c r="H80" s="18"/>
      <c r="I80" s="18"/>
      <c r="J80" s="503"/>
      <c r="K80" s="503"/>
      <c r="L80" s="507"/>
      <c r="M80" s="507"/>
      <c r="N80" s="503"/>
      <c r="O80" s="503"/>
      <c r="P80" s="507"/>
      <c r="Q80" s="437"/>
      <c r="R80" s="437"/>
      <c r="S80" s="437"/>
      <c r="T80" s="323"/>
      <c r="U80" s="47"/>
      <c r="V80" s="251"/>
    </row>
    <row r="81" spans="1:22" ht="16.5" thickBot="1" x14ac:dyDescent="0.25">
      <c r="A81" s="129"/>
      <c r="B81" s="127"/>
      <c r="C81" s="126" t="s">
        <v>2</v>
      </c>
      <c r="D81" s="49"/>
      <c r="E81" s="49"/>
      <c r="F81" s="49"/>
      <c r="G81" s="49"/>
      <c r="H81" s="18"/>
      <c r="I81" s="18"/>
      <c r="J81" s="532"/>
      <c r="K81" s="532"/>
      <c r="L81" s="435"/>
      <c r="M81" s="435"/>
      <c r="N81" s="532"/>
      <c r="O81" s="532"/>
      <c r="P81" s="435"/>
      <c r="Q81" s="436"/>
      <c r="R81" s="436"/>
      <c r="S81" s="436"/>
      <c r="T81" s="323"/>
      <c r="U81" s="47"/>
      <c r="V81" s="251"/>
    </row>
    <row r="82" spans="1:22" ht="16.5" customHeight="1" thickBot="1" x14ac:dyDescent="0.25">
      <c r="A82" s="129"/>
      <c r="B82" s="127"/>
      <c r="C82" s="74" t="s">
        <v>1447</v>
      </c>
      <c r="D82" s="49"/>
      <c r="E82" s="49"/>
      <c r="F82" s="49"/>
      <c r="G82" s="49"/>
      <c r="H82" s="18"/>
      <c r="I82" s="18"/>
      <c r="J82" s="970">
        <f>VLOOKUP('Part 1'!L$16,Datasheet3!$B$5:$GL$331,66,FALSE)</f>
        <v>-2760767</v>
      </c>
      <c r="K82" s="971"/>
      <c r="L82" s="435"/>
      <c r="M82" s="435"/>
      <c r="N82" s="970">
        <f>VLOOKUP('Part 1'!L$16,Datasheet3!$B$5:$GL$331,67,FALSE)</f>
        <v>-2520</v>
      </c>
      <c r="O82" s="971"/>
      <c r="P82" s="435"/>
      <c r="Q82" s="436"/>
      <c r="R82" s="972">
        <f>VLOOKUP(+'Part 1'!$L$16,Datasheet3!$B$5:$GL$331,68,FALSE)</f>
        <v>-2763287</v>
      </c>
      <c r="S82" s="973"/>
      <c r="T82" s="323"/>
      <c r="U82" s="47"/>
      <c r="V82" s="251"/>
    </row>
    <row r="83" spans="1:22" ht="16.5" customHeight="1" thickBot="1" x14ac:dyDescent="0.25">
      <c r="A83" s="129"/>
      <c r="B83" s="127"/>
      <c r="C83" s="49"/>
      <c r="D83" s="49"/>
      <c r="E83" s="49"/>
      <c r="F83" s="49"/>
      <c r="G83" s="49"/>
      <c r="H83" s="18"/>
      <c r="I83" s="18"/>
      <c r="J83" s="503"/>
      <c r="K83" s="503"/>
      <c r="L83" s="507"/>
      <c r="M83" s="507"/>
      <c r="N83" s="503"/>
      <c r="O83" s="503"/>
      <c r="P83" s="507"/>
      <c r="Q83" s="437"/>
      <c r="R83" s="437"/>
      <c r="S83" s="437"/>
      <c r="T83" s="324"/>
      <c r="U83" s="47"/>
      <c r="V83" s="251"/>
    </row>
    <row r="84" spans="1:22" ht="16.5" customHeight="1" thickBot="1" x14ac:dyDescent="0.25">
      <c r="A84" s="129"/>
      <c r="B84" s="127"/>
      <c r="C84" s="854" t="s">
        <v>984</v>
      </c>
      <c r="D84" s="921"/>
      <c r="E84" s="921"/>
      <c r="F84" s="921"/>
      <c r="G84" s="921"/>
      <c r="H84" s="18"/>
      <c r="I84" s="18"/>
      <c r="J84" s="970">
        <f>VLOOKUP('Part 1'!L$16,Datasheet3!$B$5:$GL$331,69,FALSE)</f>
        <v>83888</v>
      </c>
      <c r="K84" s="971"/>
      <c r="L84" s="435"/>
      <c r="M84" s="435"/>
      <c r="N84" s="970">
        <f>VLOOKUP('Part 1'!L$16,Datasheet3!$B$5:$GL$331,70,FALSE)</f>
        <v>0</v>
      </c>
      <c r="O84" s="971"/>
      <c r="P84" s="435"/>
      <c r="Q84" s="436"/>
      <c r="R84" s="972">
        <f>VLOOKUP(+'Part 1'!$L$16,Datasheet3!$B$5:$GL$331,71,FALSE)</f>
        <v>83888</v>
      </c>
      <c r="S84" s="973"/>
      <c r="T84" s="323"/>
      <c r="U84" s="47"/>
      <c r="V84" s="251"/>
    </row>
    <row r="85" spans="1:22" ht="16.5" customHeight="1" x14ac:dyDescent="0.2">
      <c r="A85" s="129"/>
      <c r="B85" s="127"/>
      <c r="C85" s="959"/>
      <c r="D85" s="959"/>
      <c r="E85" s="959"/>
      <c r="F85" s="959"/>
      <c r="G85" s="959"/>
      <c r="H85" s="18"/>
      <c r="I85" s="18"/>
      <c r="J85" s="502"/>
      <c r="K85" s="64"/>
      <c r="L85" s="435"/>
      <c r="M85" s="435"/>
      <c r="N85" s="502"/>
      <c r="O85" s="64"/>
      <c r="P85" s="435"/>
      <c r="Q85" s="436"/>
      <c r="R85" s="325"/>
      <c r="S85" s="322"/>
      <c r="T85" s="323"/>
      <c r="U85" s="47"/>
      <c r="V85" s="251"/>
    </row>
    <row r="86" spans="1:22" ht="16.5" customHeight="1" thickBot="1" x14ac:dyDescent="0.25">
      <c r="A86" s="129"/>
      <c r="B86" s="127"/>
      <c r="C86" s="135"/>
      <c r="D86" s="135"/>
      <c r="E86" s="135"/>
      <c r="F86" s="135"/>
      <c r="G86" s="135"/>
      <c r="H86" s="18"/>
      <c r="I86" s="18"/>
      <c r="J86" s="502"/>
      <c r="K86" s="64"/>
      <c r="L86" s="435"/>
      <c r="M86" s="435"/>
      <c r="N86" s="502"/>
      <c r="O86" s="64"/>
      <c r="P86" s="435"/>
      <c r="Q86" s="436"/>
      <c r="R86" s="325"/>
      <c r="S86" s="322"/>
      <c r="T86" s="323"/>
      <c r="U86" s="47"/>
      <c r="V86" s="251"/>
    </row>
    <row r="87" spans="1:22" ht="16.5" customHeight="1" thickBot="1" x14ac:dyDescent="0.25">
      <c r="A87" s="129"/>
      <c r="B87" s="150"/>
      <c r="C87" s="166"/>
      <c r="D87" s="166"/>
      <c r="E87" s="166"/>
      <c r="F87" s="166"/>
      <c r="G87" s="166"/>
      <c r="H87" s="152"/>
      <c r="I87" s="152"/>
      <c r="J87" s="161"/>
      <c r="K87" s="153"/>
      <c r="L87" s="510"/>
      <c r="M87" s="510"/>
      <c r="N87" s="161"/>
      <c r="O87" s="153"/>
      <c r="P87" s="510"/>
      <c r="Q87" s="511"/>
      <c r="R87" s="331"/>
      <c r="S87" s="326"/>
      <c r="T87" s="327"/>
      <c r="U87" s="47"/>
      <c r="V87" s="251"/>
    </row>
    <row r="88" spans="1:22" ht="16.5" customHeight="1" thickBot="1" x14ac:dyDescent="0.25">
      <c r="A88" s="129"/>
      <c r="B88" s="155"/>
      <c r="C88" s="964" t="s">
        <v>985</v>
      </c>
      <c r="D88" s="964"/>
      <c r="E88" s="964"/>
      <c r="F88" s="964"/>
      <c r="G88" s="964"/>
      <c r="H88" s="18"/>
      <c r="I88" s="18"/>
      <c r="J88" s="970">
        <f>VLOOKUP('Part 1'!L$16,Datasheet3!$B$5:$GL$331,72,FALSE)</f>
        <v>-2704397</v>
      </c>
      <c r="K88" s="971"/>
      <c r="L88" s="435"/>
      <c r="M88" s="435"/>
      <c r="N88" s="970">
        <f>VLOOKUP('Part 1'!L$16,Datasheet3!$B$5:$GL$331,73,FALSE)</f>
        <v>-2520</v>
      </c>
      <c r="O88" s="971"/>
      <c r="P88" s="435"/>
      <c r="Q88" s="436"/>
      <c r="R88" s="972">
        <f>VLOOKUP(+'Part 1'!$L$16,Datasheet3!$B$5:$GL$331,74,FALSE)</f>
        <v>-2706917</v>
      </c>
      <c r="S88" s="973"/>
      <c r="T88" s="328"/>
      <c r="U88" s="47"/>
      <c r="V88" s="251"/>
    </row>
    <row r="89" spans="1:22" ht="16.5" customHeight="1" thickBot="1" x14ac:dyDescent="0.25">
      <c r="A89" s="129"/>
      <c r="B89" s="156"/>
      <c r="C89" s="170"/>
      <c r="D89" s="170"/>
      <c r="E89" s="170"/>
      <c r="F89" s="170"/>
      <c r="G89" s="170"/>
      <c r="H89" s="158"/>
      <c r="I89" s="158"/>
      <c r="J89" s="162"/>
      <c r="K89" s="163"/>
      <c r="L89" s="518"/>
      <c r="M89" s="518"/>
      <c r="N89" s="162"/>
      <c r="O89" s="163"/>
      <c r="P89" s="518"/>
      <c r="Q89" s="528"/>
      <c r="R89" s="333"/>
      <c r="S89" s="332"/>
      <c r="T89" s="330"/>
      <c r="U89" s="47"/>
      <c r="V89" s="251"/>
    </row>
    <row r="90" spans="1:22" ht="15" x14ac:dyDescent="0.2">
      <c r="A90" s="129"/>
      <c r="B90" s="127"/>
      <c r="C90" s="49"/>
      <c r="D90" s="49"/>
      <c r="E90" s="49"/>
      <c r="F90" s="49"/>
      <c r="G90" s="49"/>
      <c r="H90" s="18"/>
      <c r="I90" s="18"/>
      <c r="J90" s="64"/>
      <c r="K90" s="64"/>
      <c r="L90" s="435"/>
      <c r="M90" s="435"/>
      <c r="N90" s="64"/>
      <c r="O90" s="64"/>
      <c r="P90" s="435"/>
      <c r="Q90" s="436"/>
      <c r="R90" s="322"/>
      <c r="S90" s="322"/>
      <c r="T90" s="323"/>
      <c r="U90" s="47"/>
      <c r="V90" s="251"/>
    </row>
    <row r="91" spans="1:22" ht="15.75" x14ac:dyDescent="0.2">
      <c r="A91" s="129"/>
      <c r="B91" s="127"/>
      <c r="C91" s="491" t="s">
        <v>1154</v>
      </c>
      <c r="D91" s="49"/>
      <c r="E91" s="49"/>
      <c r="F91" s="49"/>
      <c r="G91" s="49"/>
      <c r="H91" s="18"/>
      <c r="I91" s="18"/>
      <c r="J91" s="64"/>
      <c r="K91" s="64"/>
      <c r="L91" s="435"/>
      <c r="M91" s="435"/>
      <c r="N91" s="64"/>
      <c r="O91" s="64"/>
      <c r="P91" s="435"/>
      <c r="Q91" s="436"/>
      <c r="R91" s="322"/>
      <c r="S91" s="322"/>
      <c r="T91" s="323"/>
      <c r="U91" s="47"/>
      <c r="V91" s="251"/>
    </row>
    <row r="92" spans="1:22" ht="16.5" thickBot="1" x14ac:dyDescent="0.25">
      <c r="A92" s="129"/>
      <c r="B92" s="127"/>
      <c r="C92" s="126" t="s">
        <v>33</v>
      </c>
      <c r="D92" s="49"/>
      <c r="E92" s="49"/>
      <c r="F92" s="49"/>
      <c r="G92" s="49"/>
      <c r="H92" s="18"/>
      <c r="I92" s="18"/>
      <c r="J92" s="64"/>
      <c r="K92" s="64"/>
      <c r="L92" s="435"/>
      <c r="M92" s="435"/>
      <c r="N92" s="64"/>
      <c r="O92" s="64"/>
      <c r="P92" s="435"/>
      <c r="Q92" s="436"/>
      <c r="R92" s="322"/>
      <c r="S92" s="322"/>
      <c r="T92" s="323"/>
      <c r="U92" s="47"/>
      <c r="V92" s="251"/>
    </row>
    <row r="93" spans="1:22" ht="16.5" thickBot="1" x14ac:dyDescent="0.25">
      <c r="A93" s="129"/>
      <c r="B93" s="127"/>
      <c r="C93" s="74" t="s">
        <v>1448</v>
      </c>
      <c r="D93" s="49"/>
      <c r="E93" s="49"/>
      <c r="F93" s="49"/>
      <c r="G93" s="49"/>
      <c r="H93" s="18"/>
      <c r="I93" s="18"/>
      <c r="J93" s="970">
        <f>VLOOKUP('Part 1'!L$16,Datasheet3!$B$5:$GL$331,75,FALSE)</f>
        <v>-50036</v>
      </c>
      <c r="K93" s="971"/>
      <c r="L93" s="435"/>
      <c r="M93" s="435"/>
      <c r="N93" s="970">
        <f>VLOOKUP('Part 1'!L$16,Datasheet3!$B$5:$GL$331,76,FALSE)</f>
        <v>-4979</v>
      </c>
      <c r="O93" s="971"/>
      <c r="P93" s="435"/>
      <c r="Q93" s="436"/>
      <c r="R93" s="972">
        <f>VLOOKUP(+'Part 1'!$L$16,Datasheet3!$B$5:$GL$331,77,FALSE)</f>
        <v>-55015</v>
      </c>
      <c r="S93" s="973"/>
      <c r="T93" s="323"/>
      <c r="U93" s="47"/>
      <c r="V93" s="251"/>
    </row>
    <row r="94" spans="1:22" ht="15.75" thickBot="1" x14ac:dyDescent="0.25">
      <c r="A94" s="129"/>
      <c r="B94" s="127"/>
      <c r="C94" s="49"/>
      <c r="D94" s="49"/>
      <c r="E94" s="49"/>
      <c r="F94" s="49"/>
      <c r="G94" s="49"/>
      <c r="H94" s="18"/>
      <c r="I94" s="18"/>
      <c r="J94" s="503"/>
      <c r="K94" s="503"/>
      <c r="L94" s="507"/>
      <c r="M94" s="507"/>
      <c r="N94" s="503"/>
      <c r="O94" s="503"/>
      <c r="P94" s="507"/>
      <c r="Q94" s="437"/>
      <c r="R94" s="437"/>
      <c r="S94" s="437"/>
      <c r="T94" s="324"/>
      <c r="U94" s="47"/>
      <c r="V94" s="251"/>
    </row>
    <row r="95" spans="1:22" ht="16.5" thickBot="1" x14ac:dyDescent="0.25">
      <c r="A95" s="129"/>
      <c r="B95" s="127"/>
      <c r="C95" s="854" t="s">
        <v>986</v>
      </c>
      <c r="D95" s="921"/>
      <c r="E95" s="921"/>
      <c r="F95" s="921"/>
      <c r="G95" s="921"/>
      <c r="H95" s="18"/>
      <c r="I95" s="18"/>
      <c r="J95" s="970">
        <f>VLOOKUP('Part 1'!L$16,Datasheet3!$B$5:$GL$331,78,FALSE)</f>
        <v>-3491</v>
      </c>
      <c r="K95" s="971"/>
      <c r="L95" s="435"/>
      <c r="M95" s="435"/>
      <c r="N95" s="970">
        <f>VLOOKUP('Part 1'!L$16,Datasheet3!$B$5:$GL$331,79,FALSE)</f>
        <v>602</v>
      </c>
      <c r="O95" s="971"/>
      <c r="P95" s="435"/>
      <c r="Q95" s="436"/>
      <c r="R95" s="972">
        <f>VLOOKUP(+'Part 1'!$L$16,Datasheet3!$B$5:$GL$331,80,FALSE)</f>
        <v>-2889</v>
      </c>
      <c r="S95" s="973"/>
      <c r="T95" s="323"/>
      <c r="U95" s="47"/>
      <c r="V95" s="251"/>
    </row>
    <row r="96" spans="1:22" ht="15.75" x14ac:dyDescent="0.2">
      <c r="A96" s="129"/>
      <c r="B96" s="127"/>
      <c r="C96" s="959"/>
      <c r="D96" s="959"/>
      <c r="E96" s="959"/>
      <c r="F96" s="959"/>
      <c r="G96" s="959"/>
      <c r="H96" s="18"/>
      <c r="I96" s="18"/>
      <c r="J96" s="536"/>
      <c r="K96" s="532"/>
      <c r="L96" s="435"/>
      <c r="M96" s="435"/>
      <c r="N96" s="536"/>
      <c r="O96" s="532"/>
      <c r="P96" s="435"/>
      <c r="Q96" s="436"/>
      <c r="R96" s="506"/>
      <c r="S96" s="436"/>
      <c r="T96" s="323"/>
      <c r="U96" s="47"/>
      <c r="V96" s="251"/>
    </row>
    <row r="97" spans="1:22" ht="15.75" x14ac:dyDescent="0.2">
      <c r="A97" s="129"/>
      <c r="B97" s="127"/>
      <c r="C97" s="126"/>
      <c r="D97" s="49"/>
      <c r="E97" s="49"/>
      <c r="F97" s="49"/>
      <c r="G97" s="49"/>
      <c r="H97" s="18"/>
      <c r="I97" s="18"/>
      <c r="J97" s="532"/>
      <c r="K97" s="532"/>
      <c r="L97" s="435"/>
      <c r="M97" s="435"/>
      <c r="N97" s="532"/>
      <c r="O97" s="532"/>
      <c r="P97" s="435"/>
      <c r="Q97" s="436"/>
      <c r="R97" s="436"/>
      <c r="S97" s="436"/>
      <c r="T97" s="323"/>
      <c r="U97" s="47"/>
      <c r="V97" s="251"/>
    </row>
    <row r="98" spans="1:22" ht="16.5" thickBot="1" x14ac:dyDescent="0.25">
      <c r="A98" s="129"/>
      <c r="B98" s="127"/>
      <c r="C98" s="126" t="s">
        <v>29</v>
      </c>
      <c r="D98" s="49"/>
      <c r="E98" s="49"/>
      <c r="F98" s="49"/>
      <c r="G98" s="49"/>
      <c r="H98" s="18"/>
      <c r="I98" s="18"/>
      <c r="J98" s="532"/>
      <c r="K98" s="532"/>
      <c r="L98" s="435"/>
      <c r="M98" s="435"/>
      <c r="N98" s="532"/>
      <c r="O98" s="532"/>
      <c r="P98" s="435"/>
      <c r="Q98" s="436"/>
      <c r="R98" s="436"/>
      <c r="S98" s="436"/>
      <c r="T98" s="323"/>
      <c r="U98" s="47"/>
      <c r="V98" s="251"/>
    </row>
    <row r="99" spans="1:22" ht="16.5" thickBot="1" x14ac:dyDescent="0.25">
      <c r="A99" s="129"/>
      <c r="B99" s="127"/>
      <c r="C99" s="74" t="s">
        <v>1449</v>
      </c>
      <c r="D99" s="49"/>
      <c r="E99" s="49"/>
      <c r="F99" s="49"/>
      <c r="G99" s="49"/>
      <c r="H99" s="18"/>
      <c r="I99" s="18"/>
      <c r="J99" s="970">
        <f>VLOOKUP('Part 1'!L$16,Datasheet3!$B$5:$GL$331,81,FALSE)</f>
        <v>-13870</v>
      </c>
      <c r="K99" s="971"/>
      <c r="L99" s="435"/>
      <c r="M99" s="435"/>
      <c r="N99" s="970">
        <f>VLOOKUP('Part 1'!L$16,Datasheet3!$B$5:$GL$331,82,FALSE)</f>
        <v>0</v>
      </c>
      <c r="O99" s="971"/>
      <c r="P99" s="435"/>
      <c r="Q99" s="436"/>
      <c r="R99" s="972">
        <f>VLOOKUP(+'Part 1'!$L$16,Datasheet3!$B$5:$GL$331,83,FALSE)</f>
        <v>-13870</v>
      </c>
      <c r="S99" s="973"/>
      <c r="T99" s="323"/>
      <c r="U99" s="47"/>
      <c r="V99" s="251"/>
    </row>
    <row r="100" spans="1:22" ht="15.75" thickBot="1" x14ac:dyDescent="0.25">
      <c r="A100" s="129"/>
      <c r="B100" s="127"/>
      <c r="C100" s="49"/>
      <c r="D100" s="49"/>
      <c r="E100" s="49"/>
      <c r="F100" s="49"/>
      <c r="G100" s="49"/>
      <c r="H100" s="18"/>
      <c r="I100" s="18"/>
      <c r="J100" s="503"/>
      <c r="K100" s="503"/>
      <c r="L100" s="507"/>
      <c r="M100" s="507"/>
      <c r="N100" s="503"/>
      <c r="O100" s="503"/>
      <c r="P100" s="507"/>
      <c r="Q100" s="437"/>
      <c r="R100" s="437"/>
      <c r="S100" s="437"/>
      <c r="T100" s="323"/>
      <c r="U100" s="47"/>
      <c r="V100" s="251"/>
    </row>
    <row r="101" spans="1:22" ht="16.5" thickBot="1" x14ac:dyDescent="0.25">
      <c r="A101" s="129"/>
      <c r="B101" s="127"/>
      <c r="C101" s="854" t="s">
        <v>987</v>
      </c>
      <c r="D101" s="921"/>
      <c r="E101" s="921"/>
      <c r="F101" s="921"/>
      <c r="G101" s="921"/>
      <c r="H101" s="18"/>
      <c r="I101" s="18"/>
      <c r="J101" s="970">
        <f>VLOOKUP('Part 1'!L$16,Datasheet3!$B$5:$GL$331,84,FALSE)</f>
        <v>0</v>
      </c>
      <c r="K101" s="971"/>
      <c r="L101" s="435"/>
      <c r="M101" s="435"/>
      <c r="N101" s="970">
        <f>VLOOKUP('Part 1'!L$16,Datasheet3!$B$5:$GL$331,85,FALSE)</f>
        <v>0</v>
      </c>
      <c r="O101" s="971"/>
      <c r="P101" s="435"/>
      <c r="Q101" s="436"/>
      <c r="R101" s="972">
        <f>VLOOKUP(+'Part 1'!$L$16,Datasheet3!$B$5:$GL$331,86,FALSE)</f>
        <v>0</v>
      </c>
      <c r="S101" s="973"/>
      <c r="T101" s="323"/>
      <c r="U101" s="47"/>
      <c r="V101" s="251"/>
    </row>
    <row r="102" spans="1:22" ht="15.75" x14ac:dyDescent="0.2">
      <c r="A102" s="129"/>
      <c r="B102" s="127"/>
      <c r="C102" s="959"/>
      <c r="D102" s="959"/>
      <c r="E102" s="959"/>
      <c r="F102" s="959"/>
      <c r="G102" s="959"/>
      <c r="H102" s="18"/>
      <c r="I102" s="18"/>
      <c r="J102" s="536"/>
      <c r="K102" s="532"/>
      <c r="L102" s="435"/>
      <c r="M102" s="435"/>
      <c r="N102" s="536"/>
      <c r="O102" s="532"/>
      <c r="P102" s="435"/>
      <c r="Q102" s="436"/>
      <c r="R102" s="506"/>
      <c r="S102" s="436"/>
      <c r="T102" s="323"/>
      <c r="U102" s="47"/>
      <c r="V102" s="251"/>
    </row>
    <row r="103" spans="1:22" ht="15.75" x14ac:dyDescent="0.2">
      <c r="A103" s="129"/>
      <c r="B103" s="127"/>
      <c r="C103" s="499"/>
      <c r="D103" s="499"/>
      <c r="E103" s="499"/>
      <c r="F103" s="499"/>
      <c r="G103" s="499"/>
      <c r="H103" s="18"/>
      <c r="I103" s="18"/>
      <c r="J103" s="536"/>
      <c r="K103" s="532"/>
      <c r="L103" s="435"/>
      <c r="M103" s="435"/>
      <c r="N103" s="536"/>
      <c r="O103" s="532"/>
      <c r="P103" s="435"/>
      <c r="Q103" s="436"/>
      <c r="R103" s="506"/>
      <c r="S103" s="436"/>
      <c r="T103" s="323"/>
      <c r="U103" s="47"/>
      <c r="V103" s="251"/>
    </row>
    <row r="104" spans="1:22" ht="16.5" thickBot="1" x14ac:dyDescent="0.25">
      <c r="A104" s="129"/>
      <c r="B104" s="127"/>
      <c r="C104" s="126" t="s">
        <v>28</v>
      </c>
      <c r="D104" s="49"/>
      <c r="E104" s="49"/>
      <c r="F104" s="49"/>
      <c r="G104" s="49"/>
      <c r="H104" s="18"/>
      <c r="I104" s="18"/>
      <c r="J104" s="532"/>
      <c r="K104" s="532"/>
      <c r="L104" s="435"/>
      <c r="M104" s="435"/>
      <c r="N104" s="532"/>
      <c r="O104" s="532"/>
      <c r="P104" s="435"/>
      <c r="Q104" s="436"/>
      <c r="R104" s="436"/>
      <c r="S104" s="436"/>
      <c r="T104" s="323"/>
      <c r="U104" s="47"/>
      <c r="V104" s="251"/>
    </row>
    <row r="105" spans="1:22" ht="16.5" thickBot="1" x14ac:dyDescent="0.25">
      <c r="A105" s="129"/>
      <c r="B105" s="127"/>
      <c r="C105" s="74" t="s">
        <v>1450</v>
      </c>
      <c r="D105" s="49"/>
      <c r="E105" s="49"/>
      <c r="F105" s="49"/>
      <c r="G105" s="49"/>
      <c r="H105" s="18"/>
      <c r="I105" s="18"/>
      <c r="J105" s="970">
        <f>VLOOKUP('Part 1'!L$16,Datasheet3!$B$5:$GL$331,87,FALSE)</f>
        <v>-7871</v>
      </c>
      <c r="K105" s="971"/>
      <c r="L105" s="435"/>
      <c r="M105" s="435"/>
      <c r="N105" s="970">
        <f>VLOOKUP('Part 1'!L$16,Datasheet3!$B$5:$GL$331,88,FALSE)</f>
        <v>0</v>
      </c>
      <c r="O105" s="971"/>
      <c r="P105" s="435"/>
      <c r="Q105" s="436"/>
      <c r="R105" s="972">
        <f>VLOOKUP(+'Part 1'!$L$16,Datasheet3!$B$5:$GL$331,89,FALSE)</f>
        <v>-7871</v>
      </c>
      <c r="S105" s="973"/>
      <c r="T105" s="323"/>
      <c r="U105" s="47"/>
      <c r="V105" s="251"/>
    </row>
    <row r="106" spans="1:22" ht="15.75" thickBot="1" x14ac:dyDescent="0.25">
      <c r="A106" s="129"/>
      <c r="B106" s="127"/>
      <c r="C106" s="49"/>
      <c r="D106" s="49"/>
      <c r="E106" s="49"/>
      <c r="F106" s="49"/>
      <c r="G106" s="49"/>
      <c r="H106" s="18"/>
      <c r="I106" s="18"/>
      <c r="J106" s="503"/>
      <c r="K106" s="503"/>
      <c r="L106" s="507"/>
      <c r="M106" s="507"/>
      <c r="N106" s="503"/>
      <c r="O106" s="503"/>
      <c r="P106" s="507"/>
      <c r="Q106" s="437"/>
      <c r="R106" s="437"/>
      <c r="S106" s="437"/>
      <c r="T106" s="323"/>
      <c r="U106" s="47"/>
      <c r="V106" s="251"/>
    </row>
    <row r="107" spans="1:22" ht="16.5" thickBot="1" x14ac:dyDescent="0.25">
      <c r="A107" s="129"/>
      <c r="B107" s="127"/>
      <c r="C107" s="854" t="s">
        <v>988</v>
      </c>
      <c r="D107" s="921"/>
      <c r="E107" s="921"/>
      <c r="F107" s="921"/>
      <c r="G107" s="921"/>
      <c r="H107" s="18"/>
      <c r="I107" s="18"/>
      <c r="J107" s="970">
        <f>VLOOKUP('Part 1'!L$16,Datasheet3!$B$5:$GL$331,90,FALSE)</f>
        <v>1260</v>
      </c>
      <c r="K107" s="971"/>
      <c r="L107" s="435"/>
      <c r="M107" s="435"/>
      <c r="N107" s="970">
        <f>VLOOKUP('Part 1'!L$16,Datasheet3!$B$5:$GL$331,91,FALSE)</f>
        <v>0</v>
      </c>
      <c r="O107" s="971"/>
      <c r="P107" s="435"/>
      <c r="Q107" s="436"/>
      <c r="R107" s="972">
        <f>VLOOKUP(+'Part 1'!$L$16,Datasheet3!$B$5:$GL$331,92,FALSE)</f>
        <v>1260</v>
      </c>
      <c r="S107" s="973"/>
      <c r="T107" s="323"/>
      <c r="U107" s="47"/>
      <c r="V107" s="251"/>
    </row>
    <row r="108" spans="1:22" ht="15.75" x14ac:dyDescent="0.2">
      <c r="A108" s="129"/>
      <c r="B108" s="127"/>
      <c r="C108" s="959"/>
      <c r="D108" s="959"/>
      <c r="E108" s="959"/>
      <c r="F108" s="959"/>
      <c r="G108" s="959"/>
      <c r="H108" s="18"/>
      <c r="I108" s="18"/>
      <c r="J108" s="536"/>
      <c r="K108" s="532"/>
      <c r="L108" s="435"/>
      <c r="M108" s="435"/>
      <c r="N108" s="536"/>
      <c r="O108" s="532"/>
      <c r="P108" s="435"/>
      <c r="Q108" s="436"/>
      <c r="R108" s="506"/>
      <c r="S108" s="436"/>
      <c r="T108" s="323"/>
      <c r="U108" s="47"/>
      <c r="V108" s="251"/>
    </row>
    <row r="109" spans="1:22" ht="15" x14ac:dyDescent="0.2">
      <c r="A109" s="129"/>
      <c r="B109" s="127"/>
      <c r="C109" s="49"/>
      <c r="D109" s="49"/>
      <c r="E109" s="49"/>
      <c r="F109" s="49"/>
      <c r="G109" s="49"/>
      <c r="H109" s="18"/>
      <c r="I109" s="18"/>
      <c r="J109" s="503"/>
      <c r="K109" s="503"/>
      <c r="L109" s="507"/>
      <c r="M109" s="507"/>
      <c r="N109" s="503"/>
      <c r="O109" s="503"/>
      <c r="P109" s="507"/>
      <c r="Q109" s="437"/>
      <c r="R109" s="437"/>
      <c r="S109" s="437"/>
      <c r="T109" s="323"/>
      <c r="U109" s="47"/>
      <c r="V109" s="251"/>
    </row>
    <row r="110" spans="1:22" ht="16.5" thickBot="1" x14ac:dyDescent="0.25">
      <c r="A110" s="129"/>
      <c r="B110" s="127"/>
      <c r="C110" s="126" t="s">
        <v>34</v>
      </c>
      <c r="D110" s="49"/>
      <c r="E110" s="49"/>
      <c r="F110" s="49"/>
      <c r="G110" s="49"/>
      <c r="H110" s="18"/>
      <c r="I110" s="18"/>
      <c r="J110" s="532"/>
      <c r="K110" s="532"/>
      <c r="L110" s="435"/>
      <c r="M110" s="435"/>
      <c r="N110" s="532"/>
      <c r="O110" s="532"/>
      <c r="P110" s="435"/>
      <c r="Q110" s="436"/>
      <c r="R110" s="436"/>
      <c r="S110" s="436"/>
      <c r="T110" s="323"/>
      <c r="U110" s="47"/>
      <c r="V110" s="251"/>
    </row>
    <row r="111" spans="1:22" ht="16.5" thickBot="1" x14ac:dyDescent="0.25">
      <c r="A111" s="129"/>
      <c r="B111" s="127"/>
      <c r="C111" s="74" t="s">
        <v>1451</v>
      </c>
      <c r="D111" s="49"/>
      <c r="E111" s="49"/>
      <c r="F111" s="49"/>
      <c r="G111" s="49"/>
      <c r="H111" s="18"/>
      <c r="I111" s="18"/>
      <c r="J111" s="970">
        <f>VLOOKUP('Part 1'!L$16,Datasheet3!$B$5:$GL$331,93,FALSE)</f>
        <v>0</v>
      </c>
      <c r="K111" s="971"/>
      <c r="L111" s="435"/>
      <c r="M111" s="435"/>
      <c r="N111" s="970">
        <f>VLOOKUP('Part 1'!L$16,Datasheet3!$B$5:$GL$331,94,FALSE)</f>
        <v>0</v>
      </c>
      <c r="O111" s="971"/>
      <c r="P111" s="435"/>
      <c r="Q111" s="436"/>
      <c r="R111" s="972">
        <f>VLOOKUP(+'Part 1'!$L$16,Datasheet3!$B$5:$GL$331,95,FALSE)</f>
        <v>0</v>
      </c>
      <c r="S111" s="973"/>
      <c r="T111" s="323"/>
      <c r="U111" s="47"/>
      <c r="V111" s="251"/>
    </row>
    <row r="112" spans="1:22" ht="15.75" thickBot="1" x14ac:dyDescent="0.25">
      <c r="A112" s="129"/>
      <c r="B112" s="127"/>
      <c r="C112" s="49"/>
      <c r="D112" s="49"/>
      <c r="E112" s="49"/>
      <c r="F112" s="49"/>
      <c r="G112" s="49"/>
      <c r="H112" s="18"/>
      <c r="I112" s="18"/>
      <c r="J112" s="503"/>
      <c r="K112" s="503"/>
      <c r="L112" s="507"/>
      <c r="M112" s="507"/>
      <c r="N112" s="503"/>
      <c r="O112" s="503"/>
      <c r="P112" s="507"/>
      <c r="Q112" s="437"/>
      <c r="R112" s="437"/>
      <c r="S112" s="437"/>
      <c r="T112" s="324"/>
      <c r="U112" s="47"/>
      <c r="V112" s="251"/>
    </row>
    <row r="113" spans="1:22" ht="16.5" thickBot="1" x14ac:dyDescent="0.25">
      <c r="A113" s="129"/>
      <c r="B113" s="127"/>
      <c r="C113" s="854" t="s">
        <v>989</v>
      </c>
      <c r="D113" s="921"/>
      <c r="E113" s="921"/>
      <c r="F113" s="921"/>
      <c r="G113" s="921"/>
      <c r="H113" s="18"/>
      <c r="I113" s="18"/>
      <c r="J113" s="970">
        <f>VLOOKUP('Part 1'!L$16,Datasheet3!$B$5:$GL$331,96,FALSE)</f>
        <v>0</v>
      </c>
      <c r="K113" s="971"/>
      <c r="L113" s="435"/>
      <c r="M113" s="435"/>
      <c r="N113" s="970">
        <f>VLOOKUP('Part 1'!L$16,Datasheet3!$B$5:$GL$331,97,FALSE)</f>
        <v>0</v>
      </c>
      <c r="O113" s="971"/>
      <c r="P113" s="435"/>
      <c r="Q113" s="436"/>
      <c r="R113" s="972">
        <f>VLOOKUP(+'Part 1'!$L$16,Datasheet3!$B$5:$GL$331,98,FALSE)</f>
        <v>0</v>
      </c>
      <c r="S113" s="973"/>
      <c r="T113" s="323"/>
      <c r="U113" s="47"/>
      <c r="V113" s="251"/>
    </row>
    <row r="114" spans="1:22" ht="15.75" x14ac:dyDescent="0.2">
      <c r="A114" s="129"/>
      <c r="B114" s="127"/>
      <c r="C114" s="959"/>
      <c r="D114" s="959"/>
      <c r="E114" s="959"/>
      <c r="F114" s="959"/>
      <c r="G114" s="959"/>
      <c r="H114" s="18"/>
      <c r="I114" s="18"/>
      <c r="J114" s="537"/>
      <c r="K114" s="435"/>
      <c r="L114" s="435"/>
      <c r="M114" s="435"/>
      <c r="N114" s="537"/>
      <c r="O114" s="435"/>
      <c r="P114" s="435"/>
      <c r="Q114" s="436"/>
      <c r="R114" s="506"/>
      <c r="S114" s="436"/>
      <c r="T114" s="323"/>
      <c r="U114" s="47"/>
      <c r="V114" s="251"/>
    </row>
    <row r="115" spans="1:22" ht="16.5" thickBot="1" x14ac:dyDescent="0.25">
      <c r="A115" s="132"/>
      <c r="B115" s="133"/>
      <c r="C115" s="134"/>
      <c r="D115" s="134"/>
      <c r="E115" s="134"/>
      <c r="F115" s="134"/>
      <c r="G115" s="134"/>
      <c r="H115" s="119"/>
      <c r="I115" s="119"/>
      <c r="J115" s="538"/>
      <c r="K115" s="521"/>
      <c r="L115" s="521"/>
      <c r="M115" s="521"/>
      <c r="N115" s="538"/>
      <c r="O115" s="521"/>
      <c r="P115" s="521"/>
      <c r="Q115" s="529"/>
      <c r="R115" s="539"/>
      <c r="S115" s="529"/>
      <c r="T115" s="336"/>
      <c r="U115" s="122"/>
      <c r="V115" s="251"/>
    </row>
    <row r="116" spans="1:22" ht="16.5" thickBot="1" x14ac:dyDescent="0.25">
      <c r="A116" s="129"/>
      <c r="B116" s="127"/>
      <c r="C116" s="126" t="s">
        <v>30</v>
      </c>
      <c r="D116" s="49"/>
      <c r="E116" s="49"/>
      <c r="F116" s="49"/>
      <c r="G116" s="49"/>
      <c r="H116" s="18"/>
      <c r="I116" s="18"/>
      <c r="J116" s="435"/>
      <c r="K116" s="435"/>
      <c r="L116" s="435"/>
      <c r="M116" s="435"/>
      <c r="N116" s="435"/>
      <c r="O116" s="435"/>
      <c r="P116" s="435"/>
      <c r="Q116" s="436"/>
      <c r="R116" s="436"/>
      <c r="S116" s="436"/>
      <c r="T116" s="323"/>
      <c r="U116" s="47"/>
      <c r="V116" s="251"/>
    </row>
    <row r="117" spans="1:22" ht="16.5" thickBot="1" x14ac:dyDescent="0.25">
      <c r="A117" s="129"/>
      <c r="B117" s="127"/>
      <c r="C117" s="74" t="s">
        <v>1452</v>
      </c>
      <c r="D117" s="49"/>
      <c r="E117" s="49"/>
      <c r="F117" s="49"/>
      <c r="G117" s="49"/>
      <c r="H117" s="18"/>
      <c r="I117" s="18"/>
      <c r="J117" s="970">
        <f>VLOOKUP('Part 1'!L$16,Datasheet3!$B$5:$GL$331,99,FALSE)</f>
        <v>-35000</v>
      </c>
      <c r="K117" s="971"/>
      <c r="L117" s="435"/>
      <c r="M117" s="435"/>
      <c r="N117" s="970">
        <f>VLOOKUP('Part 1'!L$16,Datasheet3!$B$5:$GL$331,100,FALSE)</f>
        <v>0</v>
      </c>
      <c r="O117" s="971"/>
      <c r="P117" s="435"/>
      <c r="Q117" s="436"/>
      <c r="R117" s="972">
        <f>VLOOKUP(+'Part 1'!$L$16,Datasheet3!$B$5:$GL$331,101,FALSE)</f>
        <v>-35000</v>
      </c>
      <c r="S117" s="973"/>
      <c r="T117" s="323"/>
      <c r="U117" s="47"/>
      <c r="V117" s="251"/>
    </row>
    <row r="118" spans="1:22" ht="15.75" thickBot="1" x14ac:dyDescent="0.25">
      <c r="A118" s="129"/>
      <c r="B118" s="127"/>
      <c r="C118" s="49"/>
      <c r="D118" s="49"/>
      <c r="E118" s="49"/>
      <c r="F118" s="49"/>
      <c r="G118" s="49"/>
      <c r="H118" s="18"/>
      <c r="I118" s="18"/>
      <c r="J118" s="503"/>
      <c r="K118" s="503"/>
      <c r="L118" s="507"/>
      <c r="M118" s="507"/>
      <c r="N118" s="503"/>
      <c r="O118" s="503"/>
      <c r="P118" s="507"/>
      <c r="Q118" s="437"/>
      <c r="R118" s="437"/>
      <c r="S118" s="437"/>
      <c r="T118" s="323"/>
      <c r="U118" s="47"/>
      <c r="V118" s="251"/>
    </row>
    <row r="119" spans="1:22" ht="16.5" thickBot="1" x14ac:dyDescent="0.25">
      <c r="A119" s="129"/>
      <c r="B119" s="127"/>
      <c r="C119" s="854" t="s">
        <v>990</v>
      </c>
      <c r="D119" s="921"/>
      <c r="E119" s="921"/>
      <c r="F119" s="921"/>
      <c r="G119" s="921"/>
      <c r="H119" s="18"/>
      <c r="I119" s="18"/>
      <c r="J119" s="970">
        <f>VLOOKUP('Part 1'!L$16,Datasheet3!$B$5:$GL$331,102,FALSE)</f>
        <v>0</v>
      </c>
      <c r="K119" s="971"/>
      <c r="L119" s="435"/>
      <c r="M119" s="435"/>
      <c r="N119" s="970">
        <f>VLOOKUP('Part 1'!L$16,Datasheet3!$B$5:$GL$331,103,FALSE)</f>
        <v>0</v>
      </c>
      <c r="O119" s="971"/>
      <c r="P119" s="435"/>
      <c r="Q119" s="436"/>
      <c r="R119" s="972">
        <f>VLOOKUP(+'Part 1'!$L$16,Datasheet3!$B$5:$GL$331,104,FALSE)</f>
        <v>0</v>
      </c>
      <c r="S119" s="973"/>
      <c r="T119" s="323"/>
      <c r="U119" s="47"/>
      <c r="V119" s="251"/>
    </row>
    <row r="120" spans="1:22" ht="15.75" x14ac:dyDescent="0.2">
      <c r="A120" s="129"/>
      <c r="B120" s="127"/>
      <c r="C120" s="959"/>
      <c r="D120" s="959"/>
      <c r="E120" s="959"/>
      <c r="F120" s="959"/>
      <c r="G120" s="959"/>
      <c r="H120" s="18"/>
      <c r="I120" s="18"/>
      <c r="J120" s="537"/>
      <c r="K120" s="435"/>
      <c r="L120" s="435"/>
      <c r="M120" s="435"/>
      <c r="N120" s="537"/>
      <c r="O120" s="435"/>
      <c r="P120" s="435"/>
      <c r="Q120" s="436"/>
      <c r="R120" s="506"/>
      <c r="S120" s="436"/>
      <c r="T120" s="323"/>
      <c r="U120" s="47"/>
      <c r="V120" s="251"/>
    </row>
    <row r="121" spans="1:22" ht="15" x14ac:dyDescent="0.2">
      <c r="A121" s="129"/>
      <c r="B121" s="127"/>
      <c r="C121" s="49"/>
      <c r="D121" s="49"/>
      <c r="E121" s="49"/>
      <c r="F121" s="49"/>
      <c r="G121" s="49"/>
      <c r="H121" s="18"/>
      <c r="I121" s="18"/>
      <c r="J121" s="435"/>
      <c r="K121" s="435"/>
      <c r="L121" s="435"/>
      <c r="M121" s="435"/>
      <c r="N121" s="435"/>
      <c r="O121" s="435"/>
      <c r="P121" s="435"/>
      <c r="Q121" s="436"/>
      <c r="R121" s="436"/>
      <c r="S121" s="436"/>
      <c r="T121" s="323"/>
      <c r="U121" s="47"/>
      <c r="V121" s="251"/>
    </row>
    <row r="122" spans="1:22" ht="16.5" thickBot="1" x14ac:dyDescent="0.25">
      <c r="A122" s="129"/>
      <c r="B122" s="127"/>
      <c r="C122" s="126" t="s">
        <v>36</v>
      </c>
      <c r="D122" s="49"/>
      <c r="E122" s="49"/>
      <c r="F122" s="49"/>
      <c r="G122" s="49"/>
      <c r="H122" s="18"/>
      <c r="I122" s="18"/>
      <c r="J122" s="435"/>
      <c r="K122" s="435"/>
      <c r="L122" s="435"/>
      <c r="M122" s="435"/>
      <c r="N122" s="435"/>
      <c r="O122" s="435"/>
      <c r="P122" s="435"/>
      <c r="Q122" s="436"/>
      <c r="R122" s="436"/>
      <c r="S122" s="436"/>
      <c r="T122" s="323"/>
      <c r="U122" s="47"/>
      <c r="V122" s="251"/>
    </row>
    <row r="123" spans="1:22" ht="16.5" thickBot="1" x14ac:dyDescent="0.25">
      <c r="A123" s="129"/>
      <c r="B123" s="127"/>
      <c r="C123" s="74" t="s">
        <v>1453</v>
      </c>
      <c r="D123" s="49"/>
      <c r="E123" s="49"/>
      <c r="F123" s="49"/>
      <c r="G123" s="49"/>
      <c r="H123" s="18"/>
      <c r="I123" s="18"/>
      <c r="J123" s="970">
        <f>VLOOKUP('Part 1'!L$16,Datasheet3!$B$5:$GL$331,105,FALSE)</f>
        <v>-758</v>
      </c>
      <c r="K123" s="971"/>
      <c r="L123" s="435"/>
      <c r="M123" s="435"/>
      <c r="N123" s="970">
        <f>VLOOKUP('Part 1'!L$16,Datasheet3!$B$5:$GL$331,106,FALSE)</f>
        <v>0</v>
      </c>
      <c r="O123" s="971"/>
      <c r="P123" s="435"/>
      <c r="Q123" s="436"/>
      <c r="R123" s="972">
        <f>VLOOKUP(+'Part 1'!$L$16,Datasheet3!$B$5:$GL$331,107,FALSE)</f>
        <v>-758</v>
      </c>
      <c r="S123" s="973"/>
      <c r="T123" s="323"/>
      <c r="U123" s="47"/>
      <c r="V123" s="251"/>
    </row>
    <row r="124" spans="1:22" ht="15.75" thickBot="1" x14ac:dyDescent="0.25">
      <c r="A124" s="129"/>
      <c r="B124" s="127"/>
      <c r="C124" s="49"/>
      <c r="D124" s="49"/>
      <c r="E124" s="49"/>
      <c r="F124" s="49"/>
      <c r="G124" s="49"/>
      <c r="H124" s="18"/>
      <c r="I124" s="18"/>
      <c r="J124" s="503"/>
      <c r="K124" s="503"/>
      <c r="L124" s="507"/>
      <c r="M124" s="507"/>
      <c r="N124" s="503"/>
      <c r="O124" s="503"/>
      <c r="P124" s="507"/>
      <c r="Q124" s="437"/>
      <c r="R124" s="437"/>
      <c r="S124" s="437"/>
      <c r="T124" s="324"/>
      <c r="U124" s="47"/>
      <c r="V124" s="251"/>
    </row>
    <row r="125" spans="1:22" ht="16.5" thickBot="1" x14ac:dyDescent="0.25">
      <c r="A125" s="129"/>
      <c r="B125" s="127"/>
      <c r="C125" s="854" t="s">
        <v>991</v>
      </c>
      <c r="D125" s="921"/>
      <c r="E125" s="921"/>
      <c r="F125" s="921"/>
      <c r="G125" s="921"/>
      <c r="H125" s="18"/>
      <c r="I125" s="18"/>
      <c r="J125" s="970">
        <f>VLOOKUP('Part 1'!L$16,Datasheet3!$B$5:$GL$331,108,FALSE)</f>
        <v>-5106</v>
      </c>
      <c r="K125" s="971"/>
      <c r="L125" s="435"/>
      <c r="M125" s="435"/>
      <c r="N125" s="970">
        <f>VLOOKUP('Part 1'!L$16,Datasheet3!$B$5:$GL$331,109,FALSE)</f>
        <v>0</v>
      </c>
      <c r="O125" s="971"/>
      <c r="P125" s="435"/>
      <c r="Q125" s="436"/>
      <c r="R125" s="972">
        <f>VLOOKUP(+'Part 1'!$L$16,Datasheet3!$B$5:$GL$331,110,FALSE)</f>
        <v>-5106</v>
      </c>
      <c r="S125" s="973"/>
      <c r="T125" s="323"/>
      <c r="U125" s="47"/>
      <c r="V125" s="251"/>
    </row>
    <row r="126" spans="1:22" ht="15.75" x14ac:dyDescent="0.2">
      <c r="A126" s="129"/>
      <c r="B126" s="127"/>
      <c r="C126" s="959"/>
      <c r="D126" s="959"/>
      <c r="E126" s="959"/>
      <c r="F126" s="959"/>
      <c r="G126" s="959"/>
      <c r="H126" s="18"/>
      <c r="I126" s="18"/>
      <c r="J126" s="537"/>
      <c r="K126" s="435"/>
      <c r="L126" s="435"/>
      <c r="M126" s="435"/>
      <c r="N126" s="537"/>
      <c r="O126" s="435"/>
      <c r="P126" s="435"/>
      <c r="Q126" s="436"/>
      <c r="R126" s="506"/>
      <c r="S126" s="436"/>
      <c r="T126" s="323"/>
      <c r="U126" s="47"/>
      <c r="V126" s="251"/>
    </row>
    <row r="127" spans="1:22" ht="16.5" thickBot="1" x14ac:dyDescent="0.3">
      <c r="A127" s="129"/>
      <c r="B127" s="127"/>
      <c r="C127" s="126"/>
      <c r="D127" s="126"/>
      <c r="E127" s="126"/>
      <c r="F127" s="126"/>
      <c r="G127" s="126"/>
      <c r="H127" s="17"/>
      <c r="I127" s="18"/>
      <c r="J127" s="435" t="s">
        <v>37</v>
      </c>
      <c r="K127" s="435"/>
      <c r="L127" s="435"/>
      <c r="M127" s="435"/>
      <c r="N127" s="435"/>
      <c r="O127" s="435"/>
      <c r="P127" s="435"/>
      <c r="Q127" s="436"/>
      <c r="R127" s="506"/>
      <c r="S127" s="436"/>
      <c r="T127" s="323"/>
      <c r="U127" s="47"/>
      <c r="V127" s="251"/>
    </row>
    <row r="128" spans="1:22" ht="16.5" thickBot="1" x14ac:dyDescent="0.25">
      <c r="A128" s="129"/>
      <c r="B128" s="127"/>
      <c r="C128" s="125" t="s">
        <v>992</v>
      </c>
      <c r="D128" s="49"/>
      <c r="E128" s="49"/>
      <c r="F128" s="49"/>
      <c r="G128" s="49"/>
      <c r="H128" s="18"/>
      <c r="I128" s="18"/>
      <c r="J128" s="73"/>
      <c r="K128" s="73"/>
      <c r="L128" s="435"/>
      <c r="M128" s="435"/>
      <c r="N128" s="908">
        <f>VLOOKUP(+'Part 1'!$L$16,Datasheet3!$B$5:$GL$331,111,FALSE)</f>
        <v>0</v>
      </c>
      <c r="O128" s="909"/>
      <c r="P128" s="435"/>
      <c r="Q128" s="436"/>
      <c r="R128" s="322"/>
      <c r="S128" s="322"/>
      <c r="T128" s="323"/>
      <c r="U128" s="47"/>
      <c r="V128" s="251"/>
    </row>
    <row r="129" spans="1:22" ht="15.75" thickBot="1" x14ac:dyDescent="0.25">
      <c r="A129" s="129"/>
      <c r="B129" s="127"/>
      <c r="C129" s="49"/>
      <c r="D129" s="49"/>
      <c r="E129" s="49"/>
      <c r="F129" s="49"/>
      <c r="G129" s="49"/>
      <c r="H129" s="54"/>
      <c r="I129" s="54"/>
      <c r="J129" s="435"/>
      <c r="K129" s="435"/>
      <c r="L129" s="435"/>
      <c r="M129" s="435"/>
      <c r="N129" s="435"/>
      <c r="O129" s="435"/>
      <c r="P129" s="435"/>
      <c r="Q129" s="436"/>
      <c r="R129" s="436"/>
      <c r="S129" s="436"/>
      <c r="T129" s="323"/>
      <c r="U129" s="47"/>
      <c r="V129" s="251"/>
    </row>
    <row r="130" spans="1:22" ht="16.5" thickBot="1" x14ac:dyDescent="0.25">
      <c r="A130" s="129"/>
      <c r="B130" s="127"/>
      <c r="C130" s="125" t="s">
        <v>993</v>
      </c>
      <c r="D130" s="49"/>
      <c r="E130" s="49"/>
      <c r="F130" s="49"/>
      <c r="G130" s="49"/>
      <c r="H130" s="18"/>
      <c r="I130" s="18"/>
      <c r="J130" s="908">
        <f>VLOOKUP(+'Part 1'!$L$16,Datasheet3!$B$5:$GL$331,112,FALSE)</f>
        <v>0</v>
      </c>
      <c r="K130" s="909"/>
      <c r="L130" s="435"/>
      <c r="M130" s="435"/>
      <c r="N130" s="73"/>
      <c r="O130" s="73"/>
      <c r="P130" s="435"/>
      <c r="Q130" s="436"/>
      <c r="R130" s="322"/>
      <c r="S130" s="322"/>
      <c r="T130" s="323"/>
      <c r="U130" s="47"/>
      <c r="V130" s="251"/>
    </row>
    <row r="131" spans="1:22" ht="15.75" thickBot="1" x14ac:dyDescent="0.25">
      <c r="A131" s="129"/>
      <c r="B131" s="127"/>
      <c r="C131" s="49"/>
      <c r="D131" s="49"/>
      <c r="E131" s="49"/>
      <c r="F131" s="49"/>
      <c r="G131" s="49"/>
      <c r="H131" s="18"/>
      <c r="I131" s="18"/>
      <c r="J131" s="54"/>
      <c r="K131" s="54"/>
      <c r="L131" s="435"/>
      <c r="M131" s="435"/>
      <c r="N131" s="54"/>
      <c r="O131" s="54"/>
      <c r="P131" s="435"/>
      <c r="Q131" s="436"/>
      <c r="R131" s="322"/>
      <c r="S131" s="322"/>
      <c r="T131" s="323"/>
      <c r="U131" s="47"/>
      <c r="V131" s="251"/>
    </row>
    <row r="132" spans="1:22" ht="15.75" thickBot="1" x14ac:dyDescent="0.25">
      <c r="A132" s="129"/>
      <c r="B132" s="150"/>
      <c r="C132" s="172"/>
      <c r="D132" s="172"/>
      <c r="E132" s="172"/>
      <c r="F132" s="172"/>
      <c r="G132" s="172"/>
      <c r="H132" s="152"/>
      <c r="I132" s="152"/>
      <c r="J132" s="154"/>
      <c r="K132" s="154"/>
      <c r="L132" s="510"/>
      <c r="M132" s="510"/>
      <c r="N132" s="154"/>
      <c r="O132" s="154"/>
      <c r="P132" s="510"/>
      <c r="Q132" s="511"/>
      <c r="R132" s="326"/>
      <c r="S132" s="326"/>
      <c r="T132" s="327"/>
      <c r="U132" s="47"/>
      <c r="V132" s="251"/>
    </row>
    <row r="133" spans="1:22" ht="16.5" thickBot="1" x14ac:dyDescent="0.25">
      <c r="A133" s="129"/>
      <c r="B133" s="155"/>
      <c r="C133" s="865" t="s">
        <v>994</v>
      </c>
      <c r="D133" s="865"/>
      <c r="E133" s="865"/>
      <c r="F133" s="865"/>
      <c r="G133" s="865"/>
      <c r="H133" s="18"/>
      <c r="I133" s="18"/>
      <c r="J133" s="970">
        <f>VLOOKUP('Part 1'!L$16,Datasheet3!$B$5:$GL$331,113,FALSE)</f>
        <v>-114872</v>
      </c>
      <c r="K133" s="971"/>
      <c r="L133" s="435"/>
      <c r="M133" s="435"/>
      <c r="N133" s="970">
        <f>VLOOKUP('Part 1'!L$16,Datasheet3!$B$5:$GL$331,114,FALSE)</f>
        <v>-4377</v>
      </c>
      <c r="O133" s="971"/>
      <c r="P133" s="435"/>
      <c r="Q133" s="436"/>
      <c r="R133" s="972">
        <f>VLOOKUP(+'Part 1'!$L$16,Datasheet3!$B$5:$GL$331,115,FALSE)</f>
        <v>-119249</v>
      </c>
      <c r="S133" s="973"/>
      <c r="T133" s="328"/>
      <c r="U133" s="47"/>
      <c r="V133" s="251"/>
    </row>
    <row r="134" spans="1:22" ht="15.75" thickBot="1" x14ac:dyDescent="0.25">
      <c r="A134" s="129"/>
      <c r="B134" s="156"/>
      <c r="C134" s="173"/>
      <c r="D134" s="173"/>
      <c r="E134" s="173"/>
      <c r="F134" s="173"/>
      <c r="G134" s="173"/>
      <c r="H134" s="158"/>
      <c r="I134" s="158"/>
      <c r="J134" s="159"/>
      <c r="K134" s="159"/>
      <c r="L134" s="518"/>
      <c r="M134" s="518"/>
      <c r="N134" s="159"/>
      <c r="O134" s="159"/>
      <c r="P134" s="518"/>
      <c r="Q134" s="528"/>
      <c r="R134" s="332"/>
      <c r="S134" s="332"/>
      <c r="T134" s="330"/>
      <c r="U134" s="47"/>
      <c r="V134" s="251"/>
    </row>
    <row r="135" spans="1:22" ht="15.75" thickBot="1" x14ac:dyDescent="0.25">
      <c r="A135" s="132"/>
      <c r="B135" s="133"/>
      <c r="C135" s="128"/>
      <c r="D135" s="128"/>
      <c r="E135" s="128"/>
      <c r="F135" s="128"/>
      <c r="G135" s="128"/>
      <c r="H135" s="70"/>
      <c r="I135" s="70"/>
      <c r="J135" s="390"/>
      <c r="K135" s="390"/>
      <c r="L135" s="519"/>
      <c r="M135" s="519"/>
      <c r="N135" s="390"/>
      <c r="O135" s="390"/>
      <c r="P135" s="519"/>
      <c r="Q135" s="529"/>
      <c r="R135" s="334"/>
      <c r="S135" s="334"/>
      <c r="T135" s="336"/>
      <c r="U135" s="48"/>
      <c r="V135" s="251"/>
    </row>
    <row r="136" spans="1:22" ht="15.75" x14ac:dyDescent="0.2">
      <c r="A136" s="129"/>
      <c r="B136" s="127"/>
      <c r="C136" s="591" t="s">
        <v>1155</v>
      </c>
      <c r="D136" s="49"/>
      <c r="E136" s="49"/>
      <c r="F136" s="49"/>
      <c r="G136" s="49"/>
      <c r="H136" s="18"/>
      <c r="I136" s="18"/>
      <c r="J136" s="54"/>
      <c r="K136" s="54"/>
      <c r="L136" s="435"/>
      <c r="M136" s="435"/>
      <c r="N136" s="54"/>
      <c r="O136" s="54"/>
      <c r="P136" s="435"/>
      <c r="Q136" s="436"/>
      <c r="R136" s="322"/>
      <c r="S136" s="322"/>
      <c r="T136" s="323"/>
      <c r="U136" s="47"/>
      <c r="V136" s="251"/>
    </row>
    <row r="137" spans="1:22" ht="16.5" thickBot="1" x14ac:dyDescent="0.25">
      <c r="A137" s="129"/>
      <c r="B137" s="127"/>
      <c r="C137" s="126" t="s">
        <v>3</v>
      </c>
      <c r="D137" s="49"/>
      <c r="E137" s="49"/>
      <c r="F137" s="49"/>
      <c r="G137" s="49"/>
      <c r="H137" s="18"/>
      <c r="I137" s="18"/>
      <c r="J137" s="54"/>
      <c r="K137" s="54"/>
      <c r="L137" s="435"/>
      <c r="M137" s="435"/>
      <c r="N137" s="54"/>
      <c r="O137" s="54"/>
      <c r="P137" s="435"/>
      <c r="Q137" s="436"/>
      <c r="R137" s="322"/>
      <c r="S137" s="322"/>
      <c r="T137" s="323"/>
      <c r="U137" s="47"/>
      <c r="V137" s="251"/>
    </row>
    <row r="138" spans="1:22" ht="16.5" thickBot="1" x14ac:dyDescent="0.25">
      <c r="A138" s="129"/>
      <c r="B138" s="127"/>
      <c r="C138" s="74" t="s">
        <v>1454</v>
      </c>
      <c r="D138" s="49"/>
      <c r="E138" s="49"/>
      <c r="F138" s="49"/>
      <c r="G138" s="49"/>
      <c r="H138" s="18"/>
      <c r="I138" s="18"/>
      <c r="J138" s="970">
        <f>VLOOKUP('Part 1'!L$16,Datasheet3!$B$5:$GL$331,116,FALSE)</f>
        <v>-2695</v>
      </c>
      <c r="K138" s="971"/>
      <c r="L138" s="435"/>
      <c r="M138" s="435"/>
      <c r="N138" s="970">
        <f>VLOOKUP('Part 1'!L$16,Datasheet3!$B$5:$GL$331,117,FALSE)</f>
        <v>0</v>
      </c>
      <c r="O138" s="971"/>
      <c r="P138" s="435"/>
      <c r="Q138" s="436"/>
      <c r="R138" s="972">
        <f>VLOOKUP(+'Part 1'!$L$16,Datasheet3!$B$5:$GL$331,118,FALSE)</f>
        <v>-2695</v>
      </c>
      <c r="S138" s="973"/>
      <c r="T138" s="323"/>
      <c r="U138" s="47"/>
      <c r="V138" s="251"/>
    </row>
    <row r="139" spans="1:22" ht="16.5" thickBot="1" x14ac:dyDescent="0.25">
      <c r="A139" s="129"/>
      <c r="B139" s="127"/>
      <c r="C139" s="74"/>
      <c r="D139" s="49"/>
      <c r="E139" s="49"/>
      <c r="F139" s="49"/>
      <c r="G139" s="49"/>
      <c r="H139" s="18"/>
      <c r="I139" s="18"/>
      <c r="J139" s="503"/>
      <c r="K139" s="503"/>
      <c r="L139" s="505"/>
      <c r="M139" s="505"/>
      <c r="N139" s="503"/>
      <c r="O139" s="503"/>
      <c r="P139" s="505"/>
      <c r="Q139" s="436"/>
      <c r="R139" s="506"/>
      <c r="S139" s="436"/>
      <c r="T139" s="323"/>
      <c r="U139" s="47"/>
      <c r="V139" s="251"/>
    </row>
    <row r="140" spans="1:22" ht="16.5" thickBot="1" x14ac:dyDescent="0.25">
      <c r="A140" s="129"/>
      <c r="B140" s="127"/>
      <c r="C140" s="74" t="s">
        <v>995</v>
      </c>
      <c r="D140" s="49"/>
      <c r="E140" s="49"/>
      <c r="F140" s="49"/>
      <c r="G140" s="49"/>
      <c r="H140" s="18"/>
      <c r="I140" s="18"/>
      <c r="J140" s="970">
        <f>VLOOKUP('Part 1'!L$16,Datasheet3!$B$5:$GL$331,119,FALSE)</f>
        <v>2826</v>
      </c>
      <c r="K140" s="971"/>
      <c r="L140" s="435"/>
      <c r="M140" s="435"/>
      <c r="N140" s="970">
        <f>VLOOKUP('Part 1'!L$16,Datasheet3!$B$5:$GL$331,120,FALSE)</f>
        <v>0</v>
      </c>
      <c r="O140" s="971"/>
      <c r="P140" s="435"/>
      <c r="Q140" s="436"/>
      <c r="R140" s="972">
        <f>VLOOKUP(+'Part 1'!$L$16,Datasheet3!$B$5:$GL$331,121,FALSE)</f>
        <v>2826</v>
      </c>
      <c r="S140" s="973"/>
      <c r="T140" s="323"/>
      <c r="U140" s="47"/>
      <c r="V140" s="251"/>
    </row>
    <row r="141" spans="1:22" ht="15.75" x14ac:dyDescent="0.2">
      <c r="A141" s="129"/>
      <c r="B141" s="127"/>
      <c r="C141" s="74" t="s">
        <v>70</v>
      </c>
      <c r="D141" s="49"/>
      <c r="E141" s="49"/>
      <c r="F141" s="49"/>
      <c r="G141" s="49"/>
      <c r="H141" s="18"/>
      <c r="I141" s="18"/>
      <c r="J141" s="504"/>
      <c r="K141" s="504"/>
      <c r="L141" s="505"/>
      <c r="M141" s="505"/>
      <c r="N141" s="504"/>
      <c r="O141" s="504"/>
      <c r="P141" s="505"/>
      <c r="Q141" s="436"/>
      <c r="R141" s="506"/>
      <c r="S141" s="436"/>
      <c r="T141" s="323"/>
      <c r="U141" s="47"/>
      <c r="V141" s="251"/>
    </row>
    <row r="142" spans="1:22" ht="15.75" x14ac:dyDescent="0.2">
      <c r="A142" s="129"/>
      <c r="B142" s="127"/>
      <c r="C142" s="74"/>
      <c r="D142" s="49"/>
      <c r="E142" s="49"/>
      <c r="F142" s="49"/>
      <c r="G142" s="49"/>
      <c r="H142" s="18"/>
      <c r="I142" s="18"/>
      <c r="J142" s="504"/>
      <c r="K142" s="504"/>
      <c r="L142" s="505"/>
      <c r="M142" s="505"/>
      <c r="N142" s="504"/>
      <c r="O142" s="504"/>
      <c r="P142" s="505"/>
      <c r="Q142" s="436"/>
      <c r="R142" s="506"/>
      <c r="S142" s="436"/>
      <c r="T142" s="323"/>
      <c r="U142" s="47"/>
      <c r="V142" s="251"/>
    </row>
    <row r="143" spans="1:22" ht="16.5" thickBot="1" x14ac:dyDescent="0.25">
      <c r="A143" s="129"/>
      <c r="B143" s="127"/>
      <c r="C143" s="491" t="s">
        <v>71</v>
      </c>
      <c r="D143" s="49"/>
      <c r="E143" s="49"/>
      <c r="F143" s="49"/>
      <c r="G143" s="49"/>
      <c r="H143" s="18"/>
      <c r="I143" s="18"/>
      <c r="J143" s="504"/>
      <c r="K143" s="504"/>
      <c r="L143" s="505"/>
      <c r="M143" s="505"/>
      <c r="N143" s="504"/>
      <c r="O143" s="504"/>
      <c r="P143" s="505"/>
      <c r="Q143" s="436"/>
      <c r="R143" s="506"/>
      <c r="S143" s="436"/>
      <c r="T143" s="323"/>
      <c r="U143" s="47"/>
      <c r="V143" s="251"/>
    </row>
    <row r="144" spans="1:22" ht="16.5" thickBot="1" x14ac:dyDescent="0.25">
      <c r="A144" s="129"/>
      <c r="B144" s="127"/>
      <c r="C144" s="74" t="s">
        <v>1455</v>
      </c>
      <c r="D144" s="49"/>
      <c r="E144" s="49"/>
      <c r="F144" s="49"/>
      <c r="G144" s="49"/>
      <c r="H144" s="18"/>
      <c r="I144" s="18"/>
      <c r="J144" s="970">
        <f>VLOOKUP('Part 1'!L$16,Datasheet3!$B$5:$GL$331,122,FALSE)</f>
        <v>-6881</v>
      </c>
      <c r="K144" s="971"/>
      <c r="L144" s="435"/>
      <c r="M144" s="435"/>
      <c r="N144" s="970">
        <f>VLOOKUP('Part 1'!L$16,Datasheet3!$B$5:$GL$331,123,FALSE)</f>
        <v>0</v>
      </c>
      <c r="O144" s="971"/>
      <c r="P144" s="435"/>
      <c r="Q144" s="436"/>
      <c r="R144" s="972">
        <f>VLOOKUP(+'Part 1'!$L$16,Datasheet3!$B$5:$GL$331,124,FALSE)</f>
        <v>-6881</v>
      </c>
      <c r="S144" s="973"/>
      <c r="T144" s="323"/>
      <c r="U144" s="47"/>
      <c r="V144" s="251"/>
    </row>
    <row r="145" spans="1:22" ht="16.5" thickBot="1" x14ac:dyDescent="0.25">
      <c r="A145" s="129"/>
      <c r="B145" s="127"/>
      <c r="C145" s="74"/>
      <c r="D145" s="49"/>
      <c r="E145" s="49"/>
      <c r="F145" s="49"/>
      <c r="G145" s="49"/>
      <c r="H145" s="18"/>
      <c r="I145" s="18"/>
      <c r="J145" s="504"/>
      <c r="K145" s="504"/>
      <c r="L145" s="505"/>
      <c r="M145" s="505"/>
      <c r="N145" s="504"/>
      <c r="O145" s="504"/>
      <c r="P145" s="505"/>
      <c r="Q145" s="436"/>
      <c r="R145" s="506"/>
      <c r="S145" s="436"/>
      <c r="T145" s="323"/>
      <c r="U145" s="47"/>
      <c r="V145" s="251"/>
    </row>
    <row r="146" spans="1:22" ht="16.5" thickBot="1" x14ac:dyDescent="0.25">
      <c r="A146" s="129"/>
      <c r="B146" s="127"/>
      <c r="C146" s="74" t="s">
        <v>996</v>
      </c>
      <c r="D146" s="49"/>
      <c r="E146" s="49"/>
      <c r="F146" s="49"/>
      <c r="G146" s="49"/>
      <c r="H146" s="18"/>
      <c r="I146" s="18"/>
      <c r="J146" s="970">
        <f>VLOOKUP('Part 1'!L$16,Datasheet3!$B$5:$GL$331,125,FALSE)</f>
        <v>-17890</v>
      </c>
      <c r="K146" s="971"/>
      <c r="L146" s="435"/>
      <c r="M146" s="435"/>
      <c r="N146" s="970">
        <f>VLOOKUP('Part 1'!L$16,Datasheet3!$B$5:$GL$331,126,FALSE)</f>
        <v>0</v>
      </c>
      <c r="O146" s="971"/>
      <c r="P146" s="435"/>
      <c r="Q146" s="436"/>
      <c r="R146" s="972">
        <f>VLOOKUP(+'Part 1'!$L$16,Datasheet3!$B$5:$GL$331,127,FALSE)</f>
        <v>-17890</v>
      </c>
      <c r="S146" s="973"/>
      <c r="T146" s="323"/>
      <c r="U146" s="47"/>
      <c r="V146" s="251"/>
    </row>
    <row r="147" spans="1:22" ht="15.75" x14ac:dyDescent="0.2">
      <c r="A147" s="129"/>
      <c r="B147" s="127"/>
      <c r="C147" s="74" t="s">
        <v>70</v>
      </c>
      <c r="D147" s="49"/>
      <c r="E147" s="49"/>
      <c r="F147" s="49"/>
      <c r="G147" s="49"/>
      <c r="H147" s="18"/>
      <c r="I147" s="18"/>
      <c r="J147" s="504"/>
      <c r="K147" s="504"/>
      <c r="L147" s="505"/>
      <c r="M147" s="505"/>
      <c r="N147" s="504"/>
      <c r="O147" s="504"/>
      <c r="P147" s="505"/>
      <c r="Q147" s="436"/>
      <c r="R147" s="506"/>
      <c r="S147" s="436"/>
      <c r="T147" s="323"/>
      <c r="U147" s="47"/>
      <c r="V147" s="251"/>
    </row>
    <row r="148" spans="1:22" ht="15.75" x14ac:dyDescent="0.2">
      <c r="A148" s="129"/>
      <c r="B148" s="127"/>
      <c r="C148" s="74"/>
      <c r="D148" s="49"/>
      <c r="E148" s="49"/>
      <c r="F148" s="49"/>
      <c r="G148" s="49"/>
      <c r="H148" s="18"/>
      <c r="I148" s="18"/>
      <c r="J148" s="504"/>
      <c r="K148" s="504"/>
      <c r="L148" s="505"/>
      <c r="M148" s="505"/>
      <c r="N148" s="504"/>
      <c r="O148" s="504"/>
      <c r="P148" s="505"/>
      <c r="Q148" s="436"/>
      <c r="R148" s="506"/>
      <c r="S148" s="436"/>
      <c r="T148" s="323"/>
      <c r="U148" s="47"/>
      <c r="V148" s="251"/>
    </row>
    <row r="149" spans="1:22" ht="16.5" thickBot="1" x14ac:dyDescent="0.25">
      <c r="A149" s="129"/>
      <c r="B149" s="127"/>
      <c r="C149" s="491" t="s">
        <v>72</v>
      </c>
      <c r="D149" s="49"/>
      <c r="E149" s="49"/>
      <c r="F149" s="49"/>
      <c r="G149" s="49"/>
      <c r="H149" s="18"/>
      <c r="I149" s="18"/>
      <c r="J149" s="507"/>
      <c r="K149" s="507"/>
      <c r="L149" s="507"/>
      <c r="M149" s="507"/>
      <c r="N149" s="507"/>
      <c r="O149" s="507"/>
      <c r="P149" s="507"/>
      <c r="Q149" s="437"/>
      <c r="R149" s="437"/>
      <c r="S149" s="437"/>
      <c r="T149" s="323"/>
      <c r="U149" s="47"/>
      <c r="V149" s="251"/>
    </row>
    <row r="150" spans="1:22" ht="16.5" hidden="1" thickBot="1" x14ac:dyDescent="0.25">
      <c r="A150" s="129"/>
      <c r="B150" s="127"/>
      <c r="C150" s="74" t="s">
        <v>997</v>
      </c>
      <c r="D150" s="49"/>
      <c r="E150" s="49"/>
      <c r="F150" s="49"/>
      <c r="G150" s="49"/>
      <c r="H150" s="18"/>
      <c r="I150" s="18"/>
      <c r="J150" s="970">
        <f>VLOOKUP('Part 1'!L$16,Datasheet3!$B$5:$GL$331,128,FALSE)</f>
        <v>1310</v>
      </c>
      <c r="K150" s="971"/>
      <c r="L150" s="435"/>
      <c r="M150" s="435"/>
      <c r="N150" s="970">
        <f>VLOOKUP('Part 1'!L$16,Datasheet3!$B$5:$GL$331,129,FALSE)</f>
        <v>0</v>
      </c>
      <c r="O150" s="971"/>
      <c r="P150" s="435"/>
      <c r="Q150" s="436"/>
      <c r="R150" s="972">
        <f>VLOOKUP(+'Part 1'!$L$16,Datasheet3!$B$5:$GL$331,130,FALSE)</f>
        <v>1310</v>
      </c>
      <c r="S150" s="973"/>
      <c r="T150" s="323"/>
      <c r="U150" s="47"/>
      <c r="V150" s="251"/>
    </row>
    <row r="151" spans="1:22" ht="16.5" hidden="1" customHeight="1" thickBot="1" x14ac:dyDescent="0.25">
      <c r="A151" s="129"/>
      <c r="B151" s="127"/>
      <c r="C151" s="74"/>
      <c r="D151" s="49"/>
      <c r="E151" s="49"/>
      <c r="F151" s="49"/>
      <c r="G151" s="49"/>
      <c r="H151" s="18"/>
      <c r="I151" s="18"/>
      <c r="J151" s="507"/>
      <c r="K151" s="507"/>
      <c r="L151" s="507"/>
      <c r="M151" s="507"/>
      <c r="N151" s="507"/>
      <c r="O151" s="507"/>
      <c r="P151" s="507"/>
      <c r="Q151" s="437"/>
      <c r="R151" s="437"/>
      <c r="S151" s="437"/>
      <c r="T151" s="323"/>
      <c r="U151" s="47"/>
      <c r="V151" s="251"/>
    </row>
    <row r="152" spans="1:22" ht="16.5" thickBot="1" x14ac:dyDescent="0.25">
      <c r="A152" s="129"/>
      <c r="B152" s="127"/>
      <c r="C152" s="74" t="s">
        <v>1181</v>
      </c>
      <c r="D152" s="49"/>
      <c r="E152" s="49"/>
      <c r="F152" s="49"/>
      <c r="G152" s="49"/>
      <c r="H152" s="18"/>
      <c r="I152" s="18"/>
      <c r="J152" s="970">
        <f>VLOOKUP('Part 1'!L$16,Datasheet3!$B$5:$GL$331,128,FALSE)</f>
        <v>1310</v>
      </c>
      <c r="K152" s="971"/>
      <c r="L152" s="435"/>
      <c r="M152" s="435"/>
      <c r="N152" s="970">
        <f>VLOOKUP('Part 1'!L$16,Datasheet3!$B$5:$GL$331,129,FALSE)</f>
        <v>0</v>
      </c>
      <c r="O152" s="971"/>
      <c r="P152" s="435"/>
      <c r="Q152" s="436"/>
      <c r="R152" s="972">
        <f>VLOOKUP(+'Part 1'!$L$16,Datasheet3!$B$5:$GL$331,130,FALSE)</f>
        <v>1310</v>
      </c>
      <c r="S152" s="973"/>
      <c r="T152" s="323"/>
      <c r="U152" s="47"/>
      <c r="V152" s="251"/>
    </row>
    <row r="153" spans="1:22" ht="15" x14ac:dyDescent="0.2">
      <c r="A153" s="129"/>
      <c r="B153" s="127"/>
      <c r="C153" s="74" t="s">
        <v>70</v>
      </c>
      <c r="D153" s="49"/>
      <c r="E153" s="49"/>
      <c r="F153" s="49"/>
      <c r="G153" s="49"/>
      <c r="H153" s="18"/>
      <c r="I153" s="18"/>
      <c r="J153" s="507"/>
      <c r="K153" s="507"/>
      <c r="L153" s="507"/>
      <c r="M153" s="507"/>
      <c r="N153" s="507"/>
      <c r="O153" s="507"/>
      <c r="P153" s="507"/>
      <c r="Q153" s="437"/>
      <c r="R153" s="437"/>
      <c r="S153" s="437"/>
      <c r="T153" s="323"/>
      <c r="U153" s="47"/>
      <c r="V153" s="251"/>
    </row>
    <row r="154" spans="1:22" ht="15" x14ac:dyDescent="0.2">
      <c r="A154" s="129"/>
      <c r="B154" s="127"/>
      <c r="C154" s="74"/>
      <c r="D154" s="49"/>
      <c r="E154" s="49"/>
      <c r="F154" s="49"/>
      <c r="G154" s="49"/>
      <c r="H154" s="18"/>
      <c r="I154" s="18"/>
      <c r="J154" s="507"/>
      <c r="K154" s="507"/>
      <c r="L154" s="507"/>
      <c r="M154" s="507"/>
      <c r="N154" s="507"/>
      <c r="O154" s="507"/>
      <c r="P154" s="507"/>
      <c r="Q154" s="437"/>
      <c r="R154" s="437"/>
      <c r="S154" s="437"/>
      <c r="T154" s="323"/>
      <c r="U154" s="47"/>
      <c r="V154" s="251"/>
    </row>
    <row r="155" spans="1:22" ht="16.5" thickBot="1" x14ac:dyDescent="0.25">
      <c r="A155" s="129"/>
      <c r="B155" s="127"/>
      <c r="C155" s="126" t="s">
        <v>47</v>
      </c>
      <c r="D155" s="49"/>
      <c r="E155" s="49"/>
      <c r="F155" s="49"/>
      <c r="G155" s="49"/>
      <c r="H155" s="18"/>
      <c r="I155" s="18"/>
      <c r="J155" s="435"/>
      <c r="K155" s="435"/>
      <c r="L155" s="435"/>
      <c r="M155" s="435"/>
      <c r="N155" s="435"/>
      <c r="O155" s="435"/>
      <c r="P155" s="435"/>
      <c r="Q155" s="436"/>
      <c r="R155" s="436"/>
      <c r="S155" s="436"/>
      <c r="T155" s="323"/>
      <c r="U155" s="47"/>
      <c r="V155" s="251"/>
    </row>
    <row r="156" spans="1:22" ht="16.5" thickBot="1" x14ac:dyDescent="0.25">
      <c r="A156" s="129"/>
      <c r="B156" s="127"/>
      <c r="C156" s="74" t="s">
        <v>1456</v>
      </c>
      <c r="D156" s="49"/>
      <c r="E156" s="49"/>
      <c r="F156" s="49"/>
      <c r="G156" s="49"/>
      <c r="H156" s="18"/>
      <c r="I156" s="18"/>
      <c r="J156" s="970">
        <f>VLOOKUP('Part 1'!L$16,Datasheet3!$B$5:$GL$331,131,FALSE)</f>
        <v>-19142</v>
      </c>
      <c r="K156" s="971"/>
      <c r="L156" s="435"/>
      <c r="M156" s="435"/>
      <c r="N156" s="970">
        <f>VLOOKUP('Part 1'!L$16,Datasheet3!$B$5:$GL$331,132,FALSE)</f>
        <v>0</v>
      </c>
      <c r="O156" s="971"/>
      <c r="P156" s="435"/>
      <c r="Q156" s="436"/>
      <c r="R156" s="972">
        <f>VLOOKUP(+'Part 1'!$L$16,Datasheet3!$B$5:$GL$331,133,FALSE)</f>
        <v>-19142</v>
      </c>
      <c r="S156" s="973"/>
      <c r="T156" s="323"/>
      <c r="U156" s="47"/>
      <c r="V156" s="251"/>
    </row>
    <row r="157" spans="1:22" ht="15.75" customHeight="1" thickBot="1" x14ac:dyDescent="0.25">
      <c r="A157" s="129"/>
      <c r="B157" s="127"/>
      <c r="C157" s="74"/>
      <c r="D157" s="49"/>
      <c r="E157" s="49"/>
      <c r="F157" s="49"/>
      <c r="G157" s="49"/>
      <c r="H157" s="18"/>
      <c r="I157" s="18"/>
      <c r="J157" s="504"/>
      <c r="K157" s="504"/>
      <c r="L157" s="505"/>
      <c r="M157" s="505"/>
      <c r="N157" s="504"/>
      <c r="O157" s="504"/>
      <c r="P157" s="505"/>
      <c r="Q157" s="436"/>
      <c r="R157" s="506"/>
      <c r="S157" s="436"/>
      <c r="T157" s="323"/>
      <c r="U157" s="47"/>
      <c r="V157" s="251"/>
    </row>
    <row r="158" spans="1:22" ht="16.5" thickBot="1" x14ac:dyDescent="0.25">
      <c r="A158" s="129"/>
      <c r="B158" s="127"/>
      <c r="C158" s="74" t="s">
        <v>1182</v>
      </c>
      <c r="D158" s="49"/>
      <c r="E158" s="49"/>
      <c r="F158" s="49"/>
      <c r="G158" s="49"/>
      <c r="H158" s="18"/>
      <c r="I158" s="18"/>
      <c r="J158" s="970">
        <f>VLOOKUP('Part 1'!L$16,Datasheet3!$B$5:$GL$331,134,FALSE)</f>
        <v>4998</v>
      </c>
      <c r="K158" s="971"/>
      <c r="L158" s="435"/>
      <c r="M158" s="435"/>
      <c r="N158" s="970">
        <f>VLOOKUP('Part 1'!L$16,Datasheet3!$B$5:$GL$331,135,FALSE)</f>
        <v>0</v>
      </c>
      <c r="O158" s="971"/>
      <c r="P158" s="435"/>
      <c r="Q158" s="436"/>
      <c r="R158" s="972">
        <f>VLOOKUP(+'Part 1'!$L$16,Datasheet3!$B$5:$GL$331,136,FALSE)</f>
        <v>4998</v>
      </c>
      <c r="S158" s="973"/>
      <c r="T158" s="323"/>
      <c r="U158" s="47"/>
      <c r="V158" s="251"/>
    </row>
    <row r="159" spans="1:22" ht="15" x14ac:dyDescent="0.2">
      <c r="A159" s="129"/>
      <c r="B159" s="127"/>
      <c r="C159" s="74" t="s">
        <v>70</v>
      </c>
      <c r="D159" s="49"/>
      <c r="E159" s="49"/>
      <c r="F159" s="49"/>
      <c r="G159" s="49"/>
      <c r="H159" s="18"/>
      <c r="I159" s="18"/>
      <c r="J159" s="18"/>
      <c r="K159" s="18"/>
      <c r="L159" s="507"/>
      <c r="M159" s="507"/>
      <c r="N159" s="18"/>
      <c r="O159" s="18"/>
      <c r="P159" s="507"/>
      <c r="Q159" s="437"/>
      <c r="R159" s="324"/>
      <c r="S159" s="324"/>
      <c r="T159" s="323"/>
      <c r="U159" s="47"/>
      <c r="V159" s="251"/>
    </row>
    <row r="160" spans="1:22" ht="15" x14ac:dyDescent="0.2">
      <c r="A160" s="129"/>
      <c r="B160" s="127"/>
      <c r="C160" s="74"/>
      <c r="D160" s="49"/>
      <c r="E160" s="49"/>
      <c r="F160" s="49"/>
      <c r="G160" s="49"/>
      <c r="H160" s="18"/>
      <c r="I160" s="18"/>
      <c r="J160" s="18"/>
      <c r="K160" s="18"/>
      <c r="L160" s="507"/>
      <c r="M160" s="507"/>
      <c r="N160" s="18"/>
      <c r="O160" s="18"/>
      <c r="P160" s="507"/>
      <c r="Q160" s="437"/>
      <c r="R160" s="324"/>
      <c r="S160" s="324"/>
      <c r="T160" s="323"/>
      <c r="U160" s="47"/>
      <c r="V160" s="251"/>
    </row>
    <row r="161" spans="1:22" ht="16.5" thickBot="1" x14ac:dyDescent="0.25">
      <c r="A161" s="129"/>
      <c r="B161" s="127"/>
      <c r="C161" s="491" t="s">
        <v>971</v>
      </c>
      <c r="D161" s="49"/>
      <c r="E161" s="49"/>
      <c r="F161" s="49"/>
      <c r="G161" s="49"/>
      <c r="H161" s="18"/>
      <c r="I161" s="18"/>
      <c r="J161" s="18"/>
      <c r="K161" s="18"/>
      <c r="L161" s="507"/>
      <c r="M161" s="507"/>
      <c r="N161" s="18"/>
      <c r="O161" s="18"/>
      <c r="P161" s="507"/>
      <c r="Q161" s="437"/>
      <c r="R161" s="324"/>
      <c r="S161" s="324"/>
      <c r="T161" s="323"/>
      <c r="U161" s="47"/>
      <c r="V161" s="251"/>
    </row>
    <row r="162" spans="1:22" ht="16.5" thickBot="1" x14ac:dyDescent="0.25">
      <c r="A162" s="129"/>
      <c r="B162" s="127"/>
      <c r="C162" s="74" t="s">
        <v>1366</v>
      </c>
      <c r="D162" s="49"/>
      <c r="E162" s="49"/>
      <c r="F162" s="49"/>
      <c r="G162" s="49"/>
      <c r="H162" s="18"/>
      <c r="I162" s="18"/>
      <c r="J162" s="970">
        <f>VLOOKUP('Part 1'!L$16,Datasheet3!$B$5:$GL$331,137,FALSE)</f>
        <v>0</v>
      </c>
      <c r="K162" s="971"/>
      <c r="L162" s="435"/>
      <c r="M162" s="435"/>
      <c r="N162" s="970">
        <f>VLOOKUP('Part 1'!L$16,Datasheet3!$B$5:$GL$331,138,FALSE)</f>
        <v>0</v>
      </c>
      <c r="O162" s="971"/>
      <c r="P162" s="435"/>
      <c r="Q162" s="436"/>
      <c r="R162" s="972">
        <f>VLOOKUP(+'Part 1'!$L$16,Datasheet3!$B$5:$GL$331,139,FALSE)</f>
        <v>0</v>
      </c>
      <c r="S162" s="973"/>
      <c r="T162" s="323"/>
      <c r="U162" s="47"/>
      <c r="V162" s="251"/>
    </row>
    <row r="163" spans="1:22" ht="15" x14ac:dyDescent="0.2">
      <c r="A163" s="129"/>
      <c r="B163" s="127"/>
      <c r="C163" s="74" t="s">
        <v>70</v>
      </c>
      <c r="D163" s="49"/>
      <c r="E163" s="49"/>
      <c r="F163" s="49"/>
      <c r="G163" s="49"/>
      <c r="H163" s="18"/>
      <c r="I163" s="18"/>
      <c r="J163" s="18"/>
      <c r="K163" s="18"/>
      <c r="L163" s="507"/>
      <c r="M163" s="507"/>
      <c r="N163" s="18"/>
      <c r="O163" s="18"/>
      <c r="P163" s="507"/>
      <c r="Q163" s="437"/>
      <c r="R163" s="324"/>
      <c r="S163" s="324"/>
      <c r="T163" s="323"/>
      <c r="U163" s="47"/>
      <c r="V163" s="251"/>
    </row>
    <row r="164" spans="1:22" ht="15" x14ac:dyDescent="0.2">
      <c r="A164" s="129"/>
      <c r="B164" s="127"/>
      <c r="C164" s="74"/>
      <c r="D164" s="49"/>
      <c r="E164" s="49"/>
      <c r="F164" s="49"/>
      <c r="G164" s="49"/>
      <c r="H164" s="18"/>
      <c r="I164" s="18"/>
      <c r="J164" s="18"/>
      <c r="K164" s="18"/>
      <c r="L164" s="507"/>
      <c r="M164" s="507"/>
      <c r="N164" s="18"/>
      <c r="O164" s="18"/>
      <c r="P164" s="507"/>
      <c r="Q164" s="437"/>
      <c r="R164" s="324"/>
      <c r="S164" s="324"/>
      <c r="T164" s="323"/>
      <c r="U164" s="47"/>
      <c r="V164" s="251"/>
    </row>
    <row r="165" spans="1:22" ht="16.5" thickBot="1" x14ac:dyDescent="0.25">
      <c r="A165" s="129"/>
      <c r="B165" s="127"/>
      <c r="C165" s="737" t="s">
        <v>35</v>
      </c>
      <c r="D165" s="74"/>
      <c r="E165" s="74"/>
      <c r="F165" s="74"/>
      <c r="G165" s="74"/>
      <c r="H165" s="6"/>
      <c r="I165" s="6"/>
      <c r="J165" s="6"/>
      <c r="K165" s="6"/>
      <c r="L165" s="503"/>
      <c r="M165" s="503"/>
      <c r="N165" s="6"/>
      <c r="O165" s="6"/>
      <c r="P165" s="503"/>
      <c r="Q165" s="752"/>
      <c r="R165" s="781"/>
      <c r="S165" s="781"/>
      <c r="T165" s="323"/>
      <c r="U165" s="47"/>
      <c r="V165" s="251"/>
    </row>
    <row r="166" spans="1:22" ht="16.5" thickBot="1" x14ac:dyDescent="0.25">
      <c r="A166" s="129"/>
      <c r="B166" s="127"/>
      <c r="C166" s="74" t="s">
        <v>1367</v>
      </c>
      <c r="D166" s="74"/>
      <c r="E166" s="74"/>
      <c r="F166" s="74"/>
      <c r="G166" s="74"/>
      <c r="H166" s="6"/>
      <c r="I166" s="6"/>
      <c r="J166" s="970">
        <f>VLOOKUP(+'Part 1'!$L$16,Datasheet3!$B$5:$GL$331,140,FALSE)</f>
        <v>-4135</v>
      </c>
      <c r="K166" s="971"/>
      <c r="L166" s="532"/>
      <c r="M166" s="532"/>
      <c r="N166" s="969">
        <f>VLOOKUP(+'Part 1'!$L$16,Datasheet3!$B$5:$GL$331,141,FALSE)</f>
        <v>0</v>
      </c>
      <c r="O166" s="966"/>
      <c r="P166" s="532"/>
      <c r="Q166" s="750"/>
      <c r="R166" s="962">
        <f>VLOOKUP(+'Part 1'!$L$16,Datasheet3!$B$5:$GL$331,142,FALSE)</f>
        <v>-4135</v>
      </c>
      <c r="S166" s="963"/>
      <c r="T166" s="323"/>
      <c r="U166" s="47"/>
      <c r="V166" s="251"/>
    </row>
    <row r="167" spans="1:22" ht="15.75" x14ac:dyDescent="0.2">
      <c r="A167" s="129"/>
      <c r="B167" s="127"/>
      <c r="C167" s="74"/>
      <c r="D167" s="74"/>
      <c r="E167" s="74"/>
      <c r="F167" s="74"/>
      <c r="G167" s="74"/>
      <c r="H167" s="6"/>
      <c r="I167" s="6"/>
      <c r="J167" s="6"/>
      <c r="K167" s="6"/>
      <c r="L167" s="6"/>
      <c r="M167" s="6"/>
      <c r="N167" s="6"/>
      <c r="O167" s="6"/>
      <c r="P167" s="532"/>
      <c r="Q167" s="750"/>
      <c r="R167" s="782"/>
      <c r="S167" s="783"/>
      <c r="T167" s="323"/>
      <c r="U167" s="47"/>
      <c r="V167" s="251"/>
    </row>
    <row r="168" spans="1:22" ht="16.5" thickBot="1" x14ac:dyDescent="0.25">
      <c r="A168" s="129"/>
      <c r="B168" s="127"/>
      <c r="C168" s="737" t="s">
        <v>1368</v>
      </c>
      <c r="D168" s="74"/>
      <c r="E168" s="74"/>
      <c r="F168" s="74"/>
      <c r="G168" s="74"/>
      <c r="H168" s="6"/>
      <c r="I168" s="6"/>
      <c r="J168" s="6"/>
      <c r="K168" s="6"/>
      <c r="L168" s="6"/>
      <c r="M168" s="6"/>
      <c r="N168" s="6"/>
      <c r="O168" s="6"/>
      <c r="P168" s="532"/>
      <c r="Q168" s="750"/>
      <c r="R168" s="782"/>
      <c r="S168" s="783"/>
      <c r="T168" s="323"/>
      <c r="U168" s="47"/>
      <c r="V168" s="251"/>
    </row>
    <row r="169" spans="1:22" ht="16.5" thickBot="1" x14ac:dyDescent="0.25">
      <c r="A169" s="129"/>
      <c r="B169" s="127"/>
      <c r="C169" s="74" t="s">
        <v>1369</v>
      </c>
      <c r="D169" s="74"/>
      <c r="E169" s="74"/>
      <c r="F169" s="74"/>
      <c r="G169" s="74"/>
      <c r="H169" s="6"/>
      <c r="I169" s="6"/>
      <c r="J169" s="969">
        <f>VLOOKUP(+'Part 1'!$L$16,Datasheet3!$B$5:$GL$331,143,FALSE)</f>
        <v>-1500</v>
      </c>
      <c r="K169" s="966"/>
      <c r="L169" s="532"/>
      <c r="M169" s="532"/>
      <c r="N169" s="969">
        <f>VLOOKUP(+'Part 1'!$L$16,Datasheet3!$B$5:$GL$331,144,FALSE)</f>
        <v>0</v>
      </c>
      <c r="O169" s="966"/>
      <c r="P169" s="532"/>
      <c r="Q169" s="750"/>
      <c r="R169" s="962">
        <f>VLOOKUP(+'Part 1'!$L$16,Datasheet3!$B$5:$GL$331,145,FALSE)</f>
        <v>-1500</v>
      </c>
      <c r="S169" s="963"/>
      <c r="T169" s="323"/>
      <c r="U169" s="47"/>
      <c r="V169" s="251"/>
    </row>
    <row r="170" spans="1:22" ht="15.75" x14ac:dyDescent="0.2">
      <c r="A170" s="129"/>
      <c r="B170" s="127"/>
      <c r="C170" s="74"/>
      <c r="D170" s="74"/>
      <c r="E170" s="74"/>
      <c r="F170" s="74"/>
      <c r="G170" s="74"/>
      <c r="H170" s="6"/>
      <c r="I170" s="6"/>
      <c r="J170" s="6"/>
      <c r="K170" s="6"/>
      <c r="L170" s="6"/>
      <c r="M170" s="6"/>
      <c r="N170" s="6"/>
      <c r="O170" s="6"/>
      <c r="P170" s="532"/>
      <c r="Q170" s="750"/>
      <c r="R170" s="782"/>
      <c r="S170" s="783"/>
      <c r="T170" s="323"/>
      <c r="U170" s="47"/>
      <c r="V170" s="251"/>
    </row>
    <row r="171" spans="1:22" ht="16.5" thickBot="1" x14ac:dyDescent="0.25">
      <c r="A171" s="129"/>
      <c r="B171" s="127"/>
      <c r="C171" s="737" t="s">
        <v>1370</v>
      </c>
      <c r="D171" s="74"/>
      <c r="E171" s="74"/>
      <c r="F171" s="74"/>
      <c r="G171" s="74"/>
      <c r="H171" s="6"/>
      <c r="I171" s="6"/>
      <c r="J171" s="6"/>
      <c r="K171" s="6"/>
      <c r="L171" s="6"/>
      <c r="M171" s="6"/>
      <c r="N171" s="6"/>
      <c r="O171" s="6"/>
      <c r="P171" s="532"/>
      <c r="Q171" s="750"/>
      <c r="R171" s="782"/>
      <c r="S171" s="783"/>
      <c r="T171" s="323"/>
      <c r="U171" s="47"/>
      <c r="V171" s="251"/>
    </row>
    <row r="172" spans="1:22" ht="16.5" thickBot="1" x14ac:dyDescent="0.25">
      <c r="A172" s="129"/>
      <c r="B172" s="127"/>
      <c r="C172" s="74" t="s">
        <v>1371</v>
      </c>
      <c r="D172" s="74"/>
      <c r="E172" s="74"/>
      <c r="F172" s="74"/>
      <c r="G172" s="74"/>
      <c r="H172" s="6"/>
      <c r="I172" s="6"/>
      <c r="J172" s="965">
        <f>VLOOKUP(+'Part 1'!$L$16,Datasheet3!$B$5:$GL$331,146,FALSE)</f>
        <v>-53414</v>
      </c>
      <c r="K172" s="966"/>
      <c r="L172" s="532"/>
      <c r="M172" s="532"/>
      <c r="N172" s="965">
        <f>VLOOKUP(+'Part 1'!$L$16,Datasheet3!$B$5:$GL$331,147,FALSE)</f>
        <v>-316</v>
      </c>
      <c r="O172" s="966"/>
      <c r="P172" s="532"/>
      <c r="Q172" s="750"/>
      <c r="R172" s="962">
        <f>VLOOKUP(+'Part 1'!$L$16,Datasheet3!$B$5:$GL$331,148,FALSE)</f>
        <v>-53730</v>
      </c>
      <c r="S172" s="963"/>
      <c r="T172" s="323"/>
      <c r="U172" s="47"/>
      <c r="V172" s="251"/>
    </row>
    <row r="173" spans="1:22" ht="15.75" x14ac:dyDescent="0.2">
      <c r="A173" s="129"/>
      <c r="B173" s="127"/>
      <c r="C173" s="74"/>
      <c r="D173" s="74"/>
      <c r="E173" s="74"/>
      <c r="F173" s="74"/>
      <c r="G173" s="74"/>
      <c r="H173" s="6"/>
      <c r="I173" s="6"/>
      <c r="J173" s="6"/>
      <c r="K173" s="6"/>
      <c r="L173" s="6"/>
      <c r="M173" s="6"/>
      <c r="N173" s="6"/>
      <c r="O173" s="6"/>
      <c r="P173" s="532"/>
      <c r="Q173" s="750"/>
      <c r="R173" s="782"/>
      <c r="S173" s="783"/>
      <c r="T173" s="323"/>
      <c r="U173" s="47"/>
      <c r="V173" s="251"/>
    </row>
    <row r="174" spans="1:22" ht="16.5" thickBot="1" x14ac:dyDescent="0.25">
      <c r="A174" s="129"/>
      <c r="B174" s="127"/>
      <c r="C174" s="737" t="s">
        <v>1372</v>
      </c>
      <c r="D174" s="74"/>
      <c r="E174" s="74"/>
      <c r="F174" s="74"/>
      <c r="G174" s="74"/>
      <c r="H174" s="6"/>
      <c r="I174" s="6"/>
      <c r="J174" s="990" t="e">
        <f>IF(R175*-1&gt;#REF!,ROUND(#REF!*J175/R175,0),J175)*-1</f>
        <v>#REF!</v>
      </c>
      <c r="K174" s="991"/>
      <c r="L174" s="6"/>
      <c r="M174" s="6"/>
      <c r="N174" s="990" t="e">
        <f>IF(R175*-1&gt;#REF!,ROUND(#REF!*N175/R175,0),N175)*-1</f>
        <v>#REF!</v>
      </c>
      <c r="O174" s="991"/>
      <c r="P174" s="532"/>
      <c r="Q174" s="750"/>
      <c r="R174" s="782"/>
      <c r="S174" s="783"/>
      <c r="T174" s="323"/>
      <c r="U174" s="47"/>
      <c r="V174" s="251"/>
    </row>
    <row r="175" spans="1:22" ht="16.5" thickBot="1" x14ac:dyDescent="0.25">
      <c r="A175" s="129"/>
      <c r="B175" s="127"/>
      <c r="C175" s="74" t="s">
        <v>1373</v>
      </c>
      <c r="D175" s="74"/>
      <c r="E175" s="74"/>
      <c r="F175" s="74"/>
      <c r="G175" s="74"/>
      <c r="H175" s="6"/>
      <c r="I175" s="6"/>
      <c r="J175" s="965">
        <f>VLOOKUP(+'Part 1'!$L$16,Datasheet3!$B$5:$GL$331,149,FALSE)</f>
        <v>-776878</v>
      </c>
      <c r="K175" s="966"/>
      <c r="L175" s="532"/>
      <c r="M175" s="532"/>
      <c r="N175" s="965">
        <f>VLOOKUP(+'Part 1'!$L$16,Datasheet3!$B$5:$GL$331,150,FALSE)</f>
        <v>-7958</v>
      </c>
      <c r="O175" s="966"/>
      <c r="P175" s="532"/>
      <c r="Q175" s="750"/>
      <c r="R175" s="962">
        <f>VLOOKUP(+'Part 1'!$L$16,Datasheet3!$B$5:$GL$331,151,FALSE)</f>
        <v>-784836</v>
      </c>
      <c r="S175" s="963"/>
      <c r="T175" s="323"/>
      <c r="U175" s="47"/>
      <c r="V175" s="784" t="s">
        <v>1374</v>
      </c>
    </row>
    <row r="176" spans="1:22" ht="15.75" x14ac:dyDescent="0.25">
      <c r="A176" s="129"/>
      <c r="B176" s="127"/>
      <c r="C176" s="74"/>
      <c r="D176" s="74"/>
      <c r="E176" s="74"/>
      <c r="F176" s="74"/>
      <c r="G176" s="74"/>
      <c r="H176" s="6"/>
      <c r="I176" s="6"/>
      <c r="J176" s="6"/>
      <c r="K176" s="6"/>
      <c r="L176" s="6"/>
      <c r="M176" s="6"/>
      <c r="N176" s="6"/>
      <c r="O176" s="6"/>
      <c r="P176" s="532"/>
      <c r="Q176" s="750"/>
      <c r="R176" s="785"/>
      <c r="S176" s="786"/>
      <c r="T176" s="323"/>
      <c r="U176" s="47"/>
      <c r="V176" s="251"/>
    </row>
    <row r="177" spans="1:23" ht="16.5" thickBot="1" x14ac:dyDescent="0.25">
      <c r="A177" s="129"/>
      <c r="B177" s="127"/>
      <c r="C177" s="737" t="s">
        <v>1375</v>
      </c>
      <c r="D177" s="74"/>
      <c r="E177" s="74"/>
      <c r="F177" s="74"/>
      <c r="G177" s="74"/>
      <c r="H177" s="6"/>
      <c r="I177" s="6"/>
      <c r="J177" s="6"/>
      <c r="K177" s="6"/>
      <c r="L177" s="6"/>
      <c r="M177" s="6"/>
      <c r="N177" s="6"/>
      <c r="O177" s="6"/>
      <c r="P177" s="532"/>
      <c r="Q177" s="750"/>
      <c r="R177" s="782"/>
      <c r="S177" s="783"/>
      <c r="T177" s="323"/>
      <c r="U177" s="47"/>
      <c r="V177" s="251"/>
    </row>
    <row r="178" spans="1:23" ht="16.5" thickBot="1" x14ac:dyDescent="0.25">
      <c r="A178" s="129"/>
      <c r="B178" s="127"/>
      <c r="C178" s="74" t="s">
        <v>1376</v>
      </c>
      <c r="D178" s="74"/>
      <c r="E178" s="74"/>
      <c r="F178" s="74"/>
      <c r="G178" s="74"/>
      <c r="H178" s="6"/>
      <c r="I178" s="6"/>
      <c r="J178" s="965">
        <f>VLOOKUP(+'Part 1'!$L$16,Datasheet3!$B$5:$GL$331,152,FALSE)</f>
        <v>-110986</v>
      </c>
      <c r="K178" s="966"/>
      <c r="L178" s="532"/>
      <c r="M178" s="532"/>
      <c r="N178" s="965">
        <f>VLOOKUP(+'Part 1'!$L$16,Datasheet3!$B$5:$GL$331,153,FALSE)</f>
        <v>-1000</v>
      </c>
      <c r="O178" s="966"/>
      <c r="P178" s="532"/>
      <c r="Q178" s="750"/>
      <c r="R178" s="962">
        <f>VLOOKUP(+'Part 1'!$L$16,Datasheet3!$B$5:$GL$331,154,FALSE)</f>
        <v>-111986</v>
      </c>
      <c r="S178" s="963"/>
      <c r="T178" s="323"/>
      <c r="U178" s="47"/>
      <c r="V178" s="251"/>
    </row>
    <row r="179" spans="1:23" ht="15.75" thickBot="1" x14ac:dyDescent="0.25">
      <c r="A179" s="129"/>
      <c r="B179" s="127"/>
      <c r="C179" s="74"/>
      <c r="D179" s="74"/>
      <c r="E179" s="74"/>
      <c r="F179" s="74"/>
      <c r="G179" s="74"/>
      <c r="H179" s="6"/>
      <c r="I179" s="6"/>
      <c r="J179" s="6"/>
      <c r="K179" s="6"/>
      <c r="L179" s="503"/>
      <c r="M179" s="503"/>
      <c r="N179" s="6"/>
      <c r="O179" s="6"/>
      <c r="P179" s="503"/>
      <c r="Q179" s="752"/>
      <c r="R179" s="781"/>
      <c r="S179" s="781"/>
      <c r="T179" s="323"/>
      <c r="U179" s="47"/>
      <c r="V179" s="251"/>
      <c r="W179" s="214"/>
    </row>
    <row r="180" spans="1:23" ht="15.75" thickBot="1" x14ac:dyDescent="0.25">
      <c r="A180" s="129"/>
      <c r="B180" s="150"/>
      <c r="C180" s="174"/>
      <c r="D180" s="174"/>
      <c r="E180" s="174"/>
      <c r="F180" s="174"/>
      <c r="G180" s="174"/>
      <c r="H180" s="787"/>
      <c r="I180" s="787"/>
      <c r="J180" s="787"/>
      <c r="K180" s="787"/>
      <c r="L180" s="788"/>
      <c r="M180" s="788"/>
      <c r="N180" s="787"/>
      <c r="O180" s="787"/>
      <c r="P180" s="788"/>
      <c r="Q180" s="789"/>
      <c r="R180" s="790"/>
      <c r="S180" s="790"/>
      <c r="T180" s="327"/>
      <c r="U180" s="47"/>
      <c r="V180" s="251"/>
      <c r="W180" s="214"/>
    </row>
    <row r="181" spans="1:23" ht="16.5" thickBot="1" x14ac:dyDescent="0.25">
      <c r="A181" s="129"/>
      <c r="B181" s="155"/>
      <c r="C181" s="737" t="s">
        <v>1377</v>
      </c>
      <c r="D181" s="74"/>
      <c r="E181" s="74"/>
      <c r="F181" s="74"/>
      <c r="G181" s="74"/>
      <c r="H181" s="6"/>
      <c r="I181" s="6"/>
      <c r="J181" s="967">
        <f>VLOOKUP(+'Part 1'!$L$16,Datasheet3!$B$5:$GL$331,155,FALSE)</f>
        <v>-984387</v>
      </c>
      <c r="K181" s="968"/>
      <c r="L181" s="503"/>
      <c r="M181" s="503"/>
      <c r="N181" s="877">
        <f>VLOOKUP(+'Part 1'!$L$16,Datasheet3!$B$5:$GL$331,156,FALSE)</f>
        <v>-9274</v>
      </c>
      <c r="O181" s="878"/>
      <c r="P181" s="503"/>
      <c r="Q181" s="752"/>
      <c r="R181" s="962">
        <f>VLOOKUP(+'Part 1'!$L$16,Datasheet3!$B$5:$GL$331,157,FALSE)</f>
        <v>-993661</v>
      </c>
      <c r="S181" s="963"/>
      <c r="T181" s="328"/>
      <c r="U181" s="47"/>
      <c r="V181" s="251"/>
      <c r="W181" s="214"/>
    </row>
    <row r="182" spans="1:23" ht="15.75" thickBot="1" x14ac:dyDescent="0.25">
      <c r="A182" s="129"/>
      <c r="B182" s="156"/>
      <c r="C182" s="175"/>
      <c r="D182" s="175"/>
      <c r="E182" s="175"/>
      <c r="F182" s="175"/>
      <c r="G182" s="175"/>
      <c r="H182" s="791"/>
      <c r="I182" s="791"/>
      <c r="J182" s="791"/>
      <c r="K182" s="791"/>
      <c r="L182" s="792"/>
      <c r="M182" s="792"/>
      <c r="N182" s="791"/>
      <c r="O182" s="791"/>
      <c r="P182" s="792"/>
      <c r="Q182" s="793"/>
      <c r="R182" s="794"/>
      <c r="S182" s="794"/>
      <c r="T182" s="330"/>
      <c r="U182" s="47"/>
      <c r="V182" s="251"/>
      <c r="W182" s="214"/>
    </row>
    <row r="183" spans="1:23" ht="15.75" x14ac:dyDescent="0.2">
      <c r="A183" s="129"/>
      <c r="B183" s="127"/>
      <c r="C183" s="737"/>
      <c r="D183" s="74"/>
      <c r="E183" s="74"/>
      <c r="F183" s="74"/>
      <c r="G183" s="74"/>
      <c r="H183" s="6"/>
      <c r="I183" s="6"/>
      <c r="J183" s="64"/>
      <c r="K183" s="64"/>
      <c r="L183" s="532"/>
      <c r="M183" s="532"/>
      <c r="N183" s="64"/>
      <c r="O183" s="64"/>
      <c r="P183" s="532"/>
      <c r="Q183" s="750"/>
      <c r="R183" s="783"/>
      <c r="S183" s="783"/>
      <c r="T183" s="323"/>
      <c r="U183" s="47"/>
      <c r="V183" s="251"/>
      <c r="W183" s="214"/>
    </row>
    <row r="184" spans="1:23" ht="16.5" thickBot="1" x14ac:dyDescent="0.25">
      <c r="A184" s="129"/>
      <c r="B184" s="127"/>
      <c r="C184" s="737" t="s">
        <v>45</v>
      </c>
      <c r="D184" s="74"/>
      <c r="E184" s="74"/>
      <c r="F184" s="74"/>
      <c r="G184" s="74"/>
      <c r="H184" s="6"/>
      <c r="I184" s="6"/>
      <c r="J184" s="64"/>
      <c r="K184" s="64"/>
      <c r="L184" s="532"/>
      <c r="M184" s="532"/>
      <c r="N184" s="64"/>
      <c r="O184" s="64"/>
      <c r="P184" s="532"/>
      <c r="Q184" s="750"/>
      <c r="R184" s="783"/>
      <c r="S184" s="783"/>
      <c r="T184" s="323"/>
      <c r="U184" s="47"/>
      <c r="V184" s="251"/>
      <c r="W184" s="214"/>
    </row>
    <row r="185" spans="1:23" ht="18.75" customHeight="1" thickBot="1" x14ac:dyDescent="0.25">
      <c r="A185" s="129"/>
      <c r="B185" s="127"/>
      <c r="C185" s="74" t="s">
        <v>1378</v>
      </c>
      <c r="D185" s="74"/>
      <c r="E185" s="74"/>
      <c r="F185" s="74"/>
      <c r="G185" s="74"/>
      <c r="H185" s="6"/>
      <c r="I185" s="6"/>
      <c r="J185" s="965">
        <f>VLOOKUP(+'Part 1'!$L$16,Datasheet3!$B$5:$GL$331,158,FALSE)</f>
        <v>0</v>
      </c>
      <c r="K185" s="966"/>
      <c r="L185" s="532"/>
      <c r="M185" s="532"/>
      <c r="N185" s="965">
        <f>VLOOKUP(+'Part 1'!$L$16,Datasheet3!$B$5:$GL$331,159,FALSE)</f>
        <v>0</v>
      </c>
      <c r="O185" s="966"/>
      <c r="P185" s="532"/>
      <c r="Q185" s="750"/>
      <c r="R185" s="962">
        <f>VLOOKUP(+'Part 1'!$L$16,Datasheet3!$B$5:$GL$331,160,FALSE)</f>
        <v>0</v>
      </c>
      <c r="S185" s="963"/>
      <c r="T185" s="323"/>
      <c r="U185" s="47"/>
      <c r="V185" s="251"/>
      <c r="W185" s="214"/>
    </row>
    <row r="186" spans="1:23" ht="16.5" thickBot="1" x14ac:dyDescent="0.25">
      <c r="A186" s="129"/>
      <c r="B186" s="127"/>
      <c r="C186" s="74"/>
      <c r="D186" s="74"/>
      <c r="E186" s="74"/>
      <c r="F186" s="74"/>
      <c r="G186" s="74"/>
      <c r="H186" s="6"/>
      <c r="I186" s="6"/>
      <c r="J186" s="535"/>
      <c r="K186" s="535"/>
      <c r="L186" s="503"/>
      <c r="M186" s="503"/>
      <c r="N186" s="535"/>
      <c r="O186" s="535"/>
      <c r="P186" s="503"/>
      <c r="Q186" s="752"/>
      <c r="R186" s="752"/>
      <c r="S186" s="752"/>
      <c r="T186" s="781"/>
      <c r="U186" s="47"/>
      <c r="V186" s="251"/>
      <c r="W186" s="214"/>
    </row>
    <row r="187" spans="1:23" ht="16.5" thickBot="1" x14ac:dyDescent="0.25">
      <c r="A187" s="129"/>
      <c r="B187" s="127"/>
      <c r="C187" s="854" t="s">
        <v>1379</v>
      </c>
      <c r="D187" s="854"/>
      <c r="E187" s="854"/>
      <c r="F187" s="854"/>
      <c r="G187" s="854"/>
      <c r="H187" s="6"/>
      <c r="I187" s="6"/>
      <c r="J187" s="960">
        <f>VLOOKUP(+'Part 1'!$L$16,Datasheet3!$B$5:$GL$331,161,FALSE)</f>
        <v>0</v>
      </c>
      <c r="K187" s="961"/>
      <c r="L187" s="532"/>
      <c r="M187" s="532"/>
      <c r="N187" s="960">
        <f>VLOOKUP(+'Part 1'!$L$16,Datasheet3!$B$5:$GL$331,162,FALSE)</f>
        <v>0</v>
      </c>
      <c r="O187" s="961"/>
      <c r="P187" s="532"/>
      <c r="Q187" s="750"/>
      <c r="R187" s="962">
        <f>VLOOKUP(+'Part 1'!$L$16,Datasheet3!$B$5:$GL$331,163,FALSE)</f>
        <v>0</v>
      </c>
      <c r="S187" s="963"/>
      <c r="T187" s="323"/>
      <c r="U187" s="47"/>
      <c r="V187" s="251"/>
      <c r="W187" s="214"/>
    </row>
    <row r="188" spans="1:23" ht="15.75" x14ac:dyDescent="0.2">
      <c r="A188" s="129"/>
      <c r="B188" s="127"/>
      <c r="C188" s="959"/>
      <c r="D188" s="959"/>
      <c r="E188" s="959"/>
      <c r="F188" s="959"/>
      <c r="G188" s="959"/>
      <c r="H188" s="6"/>
      <c r="I188" s="6"/>
      <c r="J188" s="536"/>
      <c r="K188" s="532"/>
      <c r="L188" s="532"/>
      <c r="M188" s="532"/>
      <c r="N188" s="536"/>
      <c r="O188" s="532"/>
      <c r="P188" s="532"/>
      <c r="Q188" s="750"/>
      <c r="R188" s="751"/>
      <c r="S188" s="750"/>
      <c r="T188" s="323"/>
      <c r="U188" s="47"/>
      <c r="V188" s="251"/>
      <c r="W188" s="214"/>
    </row>
    <row r="189" spans="1:23" ht="18.75" customHeight="1" thickBot="1" x14ac:dyDescent="0.25">
      <c r="A189" s="129"/>
      <c r="B189" s="127"/>
      <c r="C189" s="135"/>
      <c r="D189" s="135"/>
      <c r="E189" s="135"/>
      <c r="F189" s="135"/>
      <c r="G189" s="135"/>
      <c r="H189" s="6"/>
      <c r="I189" s="6"/>
      <c r="J189" s="536"/>
      <c r="K189" s="532"/>
      <c r="L189" s="532"/>
      <c r="M189" s="532"/>
      <c r="N189" s="536"/>
      <c r="O189" s="532"/>
      <c r="P189" s="532"/>
      <c r="Q189" s="750"/>
      <c r="R189" s="751"/>
      <c r="S189" s="750"/>
      <c r="T189" s="323"/>
      <c r="U189" s="47"/>
      <c r="V189" s="251"/>
      <c r="W189" s="214"/>
    </row>
    <row r="190" spans="1:23" ht="16.5" thickBot="1" x14ac:dyDescent="0.25">
      <c r="A190" s="129"/>
      <c r="B190" s="150"/>
      <c r="C190" s="166"/>
      <c r="D190" s="166"/>
      <c r="E190" s="166"/>
      <c r="F190" s="166"/>
      <c r="G190" s="166"/>
      <c r="H190" s="787"/>
      <c r="I190" s="787"/>
      <c r="J190" s="795"/>
      <c r="K190" s="796"/>
      <c r="L190" s="796"/>
      <c r="M190" s="796"/>
      <c r="N190" s="795"/>
      <c r="O190" s="796"/>
      <c r="P190" s="796"/>
      <c r="Q190" s="797"/>
      <c r="R190" s="798"/>
      <c r="S190" s="797"/>
      <c r="T190" s="327"/>
      <c r="U190" s="47"/>
      <c r="V190" s="251"/>
      <c r="W190" s="214"/>
    </row>
    <row r="191" spans="1:23" ht="16.5" thickBot="1" x14ac:dyDescent="0.25">
      <c r="A191" s="129"/>
      <c r="B191" s="155"/>
      <c r="C191" s="964" t="s">
        <v>1380</v>
      </c>
      <c r="D191" s="964"/>
      <c r="E191" s="964"/>
      <c r="F191" s="964"/>
      <c r="G191" s="964"/>
      <c r="H191" s="6"/>
      <c r="I191" s="6"/>
      <c r="J191" s="877">
        <f>VLOOKUP(+'Part 1'!$L$16,Datasheet3!$B$5:$GL$331,164,FALSE)</f>
        <v>0</v>
      </c>
      <c r="K191" s="878"/>
      <c r="L191" s="532"/>
      <c r="M191" s="532"/>
      <c r="N191" s="877">
        <f>VLOOKUP(+'Part 1'!$L$16,Datasheet3!$B$5:$GL$331,165,FALSE)</f>
        <v>0</v>
      </c>
      <c r="O191" s="878"/>
      <c r="P191" s="532"/>
      <c r="Q191" s="750"/>
      <c r="R191" s="962">
        <f>VLOOKUP(+'Part 1'!$L$16,Datasheet3!$B$5:$GL$331,166,FALSE)</f>
        <v>0</v>
      </c>
      <c r="S191" s="963"/>
      <c r="T191" s="328"/>
      <c r="U191" s="47"/>
      <c r="V191" s="251"/>
      <c r="W191" s="214"/>
    </row>
    <row r="192" spans="1:23" ht="13.5" thickBot="1" x14ac:dyDescent="0.25">
      <c r="A192" s="14"/>
      <c r="B192" s="176"/>
      <c r="C192" s="160"/>
      <c r="D192" s="160"/>
      <c r="E192" s="160"/>
      <c r="F192" s="160"/>
      <c r="G192" s="160"/>
      <c r="H192" s="160"/>
      <c r="I192" s="160"/>
      <c r="J192" s="508"/>
      <c r="K192" s="508"/>
      <c r="L192" s="508"/>
      <c r="M192" s="508"/>
      <c r="N192" s="508"/>
      <c r="O192" s="508"/>
      <c r="P192" s="508"/>
      <c r="Q192" s="509"/>
      <c r="R192" s="509"/>
      <c r="S192" s="509"/>
      <c r="T192" s="330"/>
      <c r="U192" s="47"/>
      <c r="V192" s="251"/>
      <c r="W192" s="214"/>
    </row>
    <row r="193" spans="1:22" x14ac:dyDescent="0.2">
      <c r="A193" s="14"/>
      <c r="B193" s="2"/>
      <c r="C193" s="2"/>
      <c r="D193" s="2"/>
      <c r="E193" s="2"/>
      <c r="F193" s="2"/>
      <c r="G193" s="2"/>
      <c r="H193" s="2"/>
      <c r="I193" s="2"/>
      <c r="J193" s="522"/>
      <c r="K193" s="522"/>
      <c r="L193" s="522"/>
      <c r="M193" s="522"/>
      <c r="N193" s="522"/>
      <c r="O193" s="522"/>
      <c r="P193" s="522"/>
      <c r="Q193" s="522"/>
      <c r="R193" s="522"/>
      <c r="S193" s="522"/>
      <c r="T193" s="2"/>
      <c r="U193" s="47"/>
      <c r="V193" s="251"/>
    </row>
    <row r="194" spans="1:22" ht="13.5" thickBot="1" x14ac:dyDescent="0.25">
      <c r="A194" s="14"/>
      <c r="B194" s="2"/>
      <c r="C194" s="2"/>
      <c r="D194" s="2"/>
      <c r="E194" s="2"/>
      <c r="F194" s="2"/>
      <c r="G194" s="2"/>
      <c r="H194" s="2"/>
      <c r="I194" s="2"/>
      <c r="J194" s="522"/>
      <c r="K194" s="522"/>
      <c r="L194" s="522"/>
      <c r="M194" s="522"/>
      <c r="N194" s="522"/>
      <c r="O194" s="522"/>
      <c r="P194" s="522"/>
      <c r="Q194" s="522"/>
      <c r="R194" s="522"/>
      <c r="S194" s="522"/>
      <c r="T194" s="2"/>
      <c r="U194" s="47"/>
      <c r="V194" s="251"/>
    </row>
    <row r="195" spans="1:22" x14ac:dyDescent="0.2">
      <c r="A195" s="14"/>
      <c r="B195" s="383"/>
      <c r="C195" s="382"/>
      <c r="D195" s="382"/>
      <c r="E195" s="382"/>
      <c r="F195" s="382"/>
      <c r="G195" s="382"/>
      <c r="H195" s="382"/>
      <c r="I195" s="382"/>
      <c r="J195" s="424"/>
      <c r="K195" s="424"/>
      <c r="L195" s="523"/>
      <c r="M195" s="523"/>
      <c r="N195" s="424"/>
      <c r="O195" s="424"/>
      <c r="P195" s="523"/>
      <c r="Q195" s="523"/>
      <c r="R195" s="382"/>
      <c r="S195" s="382"/>
      <c r="T195" s="421"/>
      <c r="U195" s="47"/>
      <c r="V195" s="251"/>
    </row>
    <row r="196" spans="1:22" ht="16.5" customHeight="1" x14ac:dyDescent="0.25">
      <c r="A196" s="14"/>
      <c r="B196" s="384"/>
      <c r="C196" s="186" t="s">
        <v>55</v>
      </c>
      <c r="D196" s="185"/>
      <c r="E196" s="185"/>
      <c r="F196" s="185"/>
      <c r="G196" s="185"/>
      <c r="H196" s="185"/>
      <c r="I196" s="185"/>
      <c r="J196" s="425"/>
      <c r="K196" s="425"/>
      <c r="L196" s="524"/>
      <c r="M196" s="524"/>
      <c r="N196" s="425"/>
      <c r="O196" s="425"/>
      <c r="P196" s="524"/>
      <c r="Q196" s="524"/>
      <c r="R196" s="185"/>
      <c r="S196" s="185"/>
      <c r="T196" s="379"/>
      <c r="U196" s="47"/>
      <c r="V196" s="251"/>
    </row>
    <row r="197" spans="1:22" ht="16.5" customHeight="1" thickBot="1" x14ac:dyDescent="0.25">
      <c r="A197" s="14"/>
      <c r="B197" s="384"/>
      <c r="C197" s="185"/>
      <c r="D197" s="185"/>
      <c r="E197" s="185"/>
      <c r="F197" s="185"/>
      <c r="G197" s="185"/>
      <c r="H197" s="185"/>
      <c r="I197" s="185"/>
      <c r="J197" s="425"/>
      <c r="K197" s="425"/>
      <c r="L197" s="524"/>
      <c r="M197" s="524"/>
      <c r="N197" s="425"/>
      <c r="O197" s="425"/>
      <c r="P197" s="524"/>
      <c r="Q197" s="524"/>
      <c r="R197" s="185"/>
      <c r="S197" s="185"/>
      <c r="T197" s="379"/>
      <c r="U197" s="47"/>
      <c r="V197" s="251"/>
    </row>
    <row r="198" spans="1:22" ht="16.5" customHeight="1" thickBot="1" x14ac:dyDescent="0.3">
      <c r="A198" s="14"/>
      <c r="B198" s="32"/>
      <c r="C198" s="18"/>
      <c r="D198" s="109" t="s">
        <v>60</v>
      </c>
      <c r="E198" s="109"/>
      <c r="F198" s="109"/>
      <c r="G198" s="109"/>
      <c r="H198" s="109"/>
      <c r="I198" s="109"/>
      <c r="J198" s="908">
        <f>VLOOKUP(+'Part 1'!$L$16,Datasheet3!$B$5:$GL$331,167,FALSE)</f>
        <v>111848252</v>
      </c>
      <c r="K198" s="909"/>
      <c r="L198" s="524"/>
      <c r="M198" s="524"/>
      <c r="N198" s="908">
        <f>VLOOKUP(+'Part 1'!$L$16,Datasheet3!$B$5:$GL$331,168,FALSE)</f>
        <v>1714183</v>
      </c>
      <c r="O198" s="909"/>
      <c r="P198" s="525"/>
      <c r="Q198" s="525"/>
      <c r="R198" s="982">
        <f>VLOOKUP(+'Part 1'!$L$16,Datasheet3!$B$5:$GL$331,169,FALSE)</f>
        <v>113562435</v>
      </c>
      <c r="S198" s="983"/>
      <c r="T198" s="379"/>
      <c r="U198" s="47"/>
      <c r="V198" s="251"/>
    </row>
    <row r="199" spans="1:22" ht="16.5" customHeight="1" thickBot="1" x14ac:dyDescent="0.25">
      <c r="A199" s="14"/>
      <c r="B199" s="384"/>
      <c r="C199" s="187" t="s">
        <v>56</v>
      </c>
      <c r="D199" s="185"/>
      <c r="E199" s="185"/>
      <c r="F199" s="185"/>
      <c r="G199" s="185"/>
      <c r="H199" s="185"/>
      <c r="I199" s="185"/>
      <c r="J199" s="406"/>
      <c r="K199" s="406"/>
      <c r="L199" s="526"/>
      <c r="M199" s="526"/>
      <c r="N199" s="406"/>
      <c r="O199" s="406"/>
      <c r="P199" s="526"/>
      <c r="Q199" s="526"/>
      <c r="R199" s="406"/>
      <c r="S199" s="406"/>
      <c r="T199" s="379"/>
      <c r="U199" s="47"/>
      <c r="V199" s="251"/>
    </row>
    <row r="200" spans="1:22" ht="16.5" customHeight="1" thickBot="1" x14ac:dyDescent="0.25">
      <c r="A200" s="14"/>
      <c r="B200" s="384"/>
      <c r="C200" s="185"/>
      <c r="D200" s="358" t="s">
        <v>57</v>
      </c>
      <c r="E200" s="185"/>
      <c r="F200" s="185"/>
      <c r="G200" s="185"/>
      <c r="H200" s="185"/>
      <c r="I200" s="185"/>
      <c r="J200" s="980">
        <f>VLOOKUP(+'Part 1'!$L$16,Datasheet3!$B$5:$GL$331,170,FALSE)</f>
        <v>3051513</v>
      </c>
      <c r="K200" s="981"/>
      <c r="L200" s="526"/>
      <c r="M200" s="526"/>
      <c r="N200" s="980">
        <f>VLOOKUP('Part 1'!L$16,Datasheet3!$B$5:$GL$331,171,FALSE)</f>
        <v>-433574</v>
      </c>
      <c r="O200" s="981"/>
      <c r="P200" s="526"/>
      <c r="Q200" s="526"/>
      <c r="R200" s="980">
        <f>VLOOKUP(+'Part 1'!$L$16,Datasheet3!$B$5:$GL$331,172,FALSE)</f>
        <v>2617939</v>
      </c>
      <c r="S200" s="981"/>
      <c r="T200" s="379"/>
      <c r="U200" s="47"/>
      <c r="V200" s="251"/>
    </row>
    <row r="201" spans="1:22" ht="16.5" customHeight="1" thickBot="1" x14ac:dyDescent="0.25">
      <c r="A201" s="14"/>
      <c r="B201" s="384"/>
      <c r="C201" s="185"/>
      <c r="D201" s="358"/>
      <c r="E201" s="185"/>
      <c r="F201" s="185"/>
      <c r="G201" s="185"/>
      <c r="H201" s="185"/>
      <c r="I201" s="185"/>
      <c r="J201" s="406"/>
      <c r="K201" s="406"/>
      <c r="L201" s="526"/>
      <c r="M201" s="526"/>
      <c r="N201" s="406"/>
      <c r="O201" s="406"/>
      <c r="P201" s="526"/>
      <c r="Q201" s="526"/>
      <c r="R201" s="406"/>
      <c r="S201" s="406"/>
      <c r="T201" s="379"/>
      <c r="U201" s="47"/>
      <c r="V201" s="251"/>
    </row>
    <row r="202" spans="1:22" ht="16.5" customHeight="1" thickBot="1" x14ac:dyDescent="0.25">
      <c r="A202" s="14"/>
      <c r="B202" s="384"/>
      <c r="C202" s="185"/>
      <c r="D202" s="358" t="s">
        <v>58</v>
      </c>
      <c r="E202" s="185"/>
      <c r="F202" s="185"/>
      <c r="G202" s="185"/>
      <c r="H202" s="185"/>
      <c r="I202" s="185"/>
      <c r="J202" s="980">
        <f>VLOOKUP(+'Part 1'!$L$16,Datasheet3!$B$5:$GL$331,173,FALSE)</f>
        <v>-12925248</v>
      </c>
      <c r="K202" s="981"/>
      <c r="L202" s="526"/>
      <c r="M202" s="526"/>
      <c r="N202" s="980">
        <f>VLOOKUP('Part 1'!L$16,Datasheet3!$B$5:$GL$331,174,FALSE)</f>
        <v>-428481</v>
      </c>
      <c r="O202" s="981"/>
      <c r="P202" s="526"/>
      <c r="Q202" s="526"/>
      <c r="R202" s="980">
        <f>VLOOKUP(+'Part 1'!$L$16,Datasheet3!$B$5:$GL$331,175,FALSE)</f>
        <v>-13353729</v>
      </c>
      <c r="S202" s="981"/>
      <c r="T202" s="379"/>
      <c r="U202" s="47"/>
      <c r="V202" s="251"/>
    </row>
    <row r="203" spans="1:22" ht="16.5" customHeight="1" thickBot="1" x14ac:dyDescent="0.25">
      <c r="A203" s="14"/>
      <c r="B203" s="384"/>
      <c r="C203" s="185"/>
      <c r="D203" s="358"/>
      <c r="E203" s="185"/>
      <c r="F203" s="185"/>
      <c r="G203" s="185"/>
      <c r="H203" s="185"/>
      <c r="I203" s="185"/>
      <c r="J203" s="406"/>
      <c r="K203" s="406"/>
      <c r="L203" s="526"/>
      <c r="M203" s="526"/>
      <c r="N203" s="406"/>
      <c r="O203" s="406"/>
      <c r="P203" s="526"/>
      <c r="Q203" s="526"/>
      <c r="R203" s="406"/>
      <c r="S203" s="406"/>
      <c r="T203" s="379"/>
      <c r="U203" s="47"/>
      <c r="V203" s="251"/>
    </row>
    <row r="204" spans="1:22" ht="16.5" customHeight="1" thickBot="1" x14ac:dyDescent="0.25">
      <c r="A204" s="14"/>
      <c r="B204" s="384"/>
      <c r="C204" s="185"/>
      <c r="D204" s="358" t="s">
        <v>86</v>
      </c>
      <c r="E204" s="185"/>
      <c r="F204" s="185"/>
      <c r="G204" s="185"/>
      <c r="H204" s="185"/>
      <c r="I204" s="185"/>
      <c r="J204" s="980">
        <f>VLOOKUP('Part 1'!L$16,Datasheet3!$B$5:$GL$331,176,FALSE)</f>
        <v>-2704397</v>
      </c>
      <c r="K204" s="981"/>
      <c r="L204" s="526"/>
      <c r="M204" s="526"/>
      <c r="N204" s="980">
        <f>VLOOKUP('Part 1'!L$16,Datasheet3!$B$5:$GL$331,177,FALSE)</f>
        <v>-2520</v>
      </c>
      <c r="O204" s="981"/>
      <c r="P204" s="526"/>
      <c r="Q204" s="526"/>
      <c r="R204" s="980">
        <f>VLOOKUP(+'Part 1'!$L$16,Datasheet3!$B$5:$GL$331,178,FALSE)</f>
        <v>-2706917</v>
      </c>
      <c r="S204" s="981"/>
      <c r="T204" s="379"/>
      <c r="U204" s="47"/>
      <c r="V204" s="251"/>
    </row>
    <row r="205" spans="1:22" ht="16.5" customHeight="1" thickBot="1" x14ac:dyDescent="0.25">
      <c r="A205" s="14"/>
      <c r="B205" s="384"/>
      <c r="C205" s="185"/>
      <c r="D205" s="358"/>
      <c r="E205" s="185"/>
      <c r="F205" s="185"/>
      <c r="G205" s="185"/>
      <c r="H205" s="185"/>
      <c r="I205" s="185"/>
      <c r="J205" s="406"/>
      <c r="K205" s="406"/>
      <c r="L205" s="526"/>
      <c r="M205" s="526"/>
      <c r="N205" s="406"/>
      <c r="O205" s="406"/>
      <c r="P205" s="526"/>
      <c r="Q205" s="526"/>
      <c r="R205" s="406"/>
      <c r="S205" s="406"/>
      <c r="T205" s="379"/>
      <c r="U205" s="47"/>
      <c r="V205" s="251"/>
    </row>
    <row r="206" spans="1:22" ht="16.5" customHeight="1" thickBot="1" x14ac:dyDescent="0.25">
      <c r="A206" s="14"/>
      <c r="B206" s="384"/>
      <c r="C206" s="185"/>
      <c r="D206" s="358" t="s">
        <v>73</v>
      </c>
      <c r="E206" s="185"/>
      <c r="F206" s="185"/>
      <c r="G206" s="185"/>
      <c r="H206" s="185"/>
      <c r="I206" s="185"/>
      <c r="J206" s="980">
        <f>VLOOKUP('Part 1'!L$16,Datasheet3!$B$5:$GL$331,179,FALSE)</f>
        <v>-114872</v>
      </c>
      <c r="K206" s="981"/>
      <c r="L206" s="526"/>
      <c r="M206" s="526"/>
      <c r="N206" s="980">
        <f>VLOOKUP('Part 1'!L$16,Datasheet3!$B$5:$GL$331,180,FALSE)</f>
        <v>-4377</v>
      </c>
      <c r="O206" s="981"/>
      <c r="P206" s="526"/>
      <c r="Q206" s="526"/>
      <c r="R206" s="980">
        <f>VLOOKUP(+'Part 1'!$L$16,Datasheet3!$B$5:$GL$331,181,FALSE)</f>
        <v>-119249</v>
      </c>
      <c r="S206" s="981"/>
      <c r="T206" s="379"/>
      <c r="U206" s="47"/>
      <c r="V206" s="251"/>
    </row>
    <row r="207" spans="1:22" ht="16.5" customHeight="1" thickBot="1" x14ac:dyDescent="0.25">
      <c r="A207" s="14"/>
      <c r="B207" s="384"/>
      <c r="C207" s="185"/>
      <c r="D207" s="358"/>
      <c r="E207" s="185"/>
      <c r="F207" s="185"/>
      <c r="G207" s="185"/>
      <c r="H207" s="185"/>
      <c r="I207" s="185"/>
      <c r="J207" s="406"/>
      <c r="K207" s="406"/>
      <c r="L207" s="526"/>
      <c r="M207" s="526"/>
      <c r="N207" s="406"/>
      <c r="O207" s="406"/>
      <c r="P207" s="526"/>
      <c r="Q207" s="526"/>
      <c r="R207" s="406"/>
      <c r="S207" s="406"/>
      <c r="T207" s="379"/>
      <c r="U207" s="47"/>
      <c r="V207" s="251"/>
    </row>
    <row r="208" spans="1:22" ht="16.5" customHeight="1" thickBot="1" x14ac:dyDescent="0.25">
      <c r="A208" s="14"/>
      <c r="B208" s="384"/>
      <c r="C208" s="185"/>
      <c r="D208" s="358" t="s">
        <v>74</v>
      </c>
      <c r="E208" s="185"/>
      <c r="F208" s="185"/>
      <c r="G208" s="185"/>
      <c r="H208" s="185"/>
      <c r="I208" s="185"/>
      <c r="J208" s="980">
        <f>VLOOKUP('Part 1'!L$16,Datasheet3!$B$5:$GL$331,182,FALSE)</f>
        <v>-984387</v>
      </c>
      <c r="K208" s="981"/>
      <c r="L208" s="526"/>
      <c r="M208" s="526"/>
      <c r="N208" s="980">
        <f>VLOOKUP('Part 1'!L$16,Datasheet3!$B$5:$GL$331,183,FALSE)</f>
        <v>-9274</v>
      </c>
      <c r="O208" s="981"/>
      <c r="P208" s="526"/>
      <c r="Q208" s="526"/>
      <c r="R208" s="980">
        <f>VLOOKUP(+'Part 1'!$L$16,Datasheet3!$B$5:$GL$331,184,FALSE)</f>
        <v>-993661</v>
      </c>
      <c r="S208" s="981"/>
      <c r="T208" s="379"/>
      <c r="U208" s="47"/>
      <c r="V208" s="251"/>
    </row>
    <row r="209" spans="1:22" ht="16.5" customHeight="1" thickBot="1" x14ac:dyDescent="0.25">
      <c r="A209" s="14"/>
      <c r="B209" s="384"/>
      <c r="C209" s="185"/>
      <c r="D209" s="358"/>
      <c r="E209" s="185"/>
      <c r="F209" s="185"/>
      <c r="G209" s="185"/>
      <c r="H209" s="185"/>
      <c r="I209" s="185"/>
      <c r="J209" s="406"/>
      <c r="K209" s="406"/>
      <c r="L209" s="526"/>
      <c r="M209" s="526"/>
      <c r="N209" s="406"/>
      <c r="O209" s="406"/>
      <c r="P209" s="526"/>
      <c r="Q209" s="526"/>
      <c r="R209" s="406"/>
      <c r="S209" s="406"/>
      <c r="T209" s="379"/>
      <c r="U209" s="47"/>
      <c r="V209" s="251"/>
    </row>
    <row r="210" spans="1:22" ht="16.5" customHeight="1" thickBot="1" x14ac:dyDescent="0.25">
      <c r="A210" s="14"/>
      <c r="B210" s="384"/>
      <c r="C210" s="185"/>
      <c r="D210" s="358" t="s">
        <v>59</v>
      </c>
      <c r="E210" s="185"/>
      <c r="F210" s="185"/>
      <c r="G210" s="185"/>
      <c r="H210" s="185"/>
      <c r="I210" s="185"/>
      <c r="J210" s="980">
        <f>VLOOKUP('Part 1'!L$16,Datasheet3!$B$5:$GL$331,185,FALSE)</f>
        <v>0</v>
      </c>
      <c r="K210" s="981"/>
      <c r="L210" s="526"/>
      <c r="M210" s="526"/>
      <c r="N210" s="980">
        <f>VLOOKUP('Part 1'!L$16,Datasheet3!$B$5:$GL$331,186,FALSE)</f>
        <v>0</v>
      </c>
      <c r="O210" s="981"/>
      <c r="P210" s="526"/>
      <c r="Q210" s="526"/>
      <c r="R210" s="980">
        <f>VLOOKUP(+'Part 1'!$L$16,Datasheet3!$B$5:$GL$331,187,FALSE)</f>
        <v>0</v>
      </c>
      <c r="S210" s="981"/>
      <c r="T210" s="379"/>
      <c r="U210" s="47"/>
      <c r="V210" s="251"/>
    </row>
    <row r="211" spans="1:22" ht="15" thickBot="1" x14ac:dyDescent="0.25">
      <c r="A211" s="14"/>
      <c r="B211" s="384"/>
      <c r="C211" s="185"/>
      <c r="D211" s="188"/>
      <c r="E211" s="185"/>
      <c r="F211" s="185"/>
      <c r="G211" s="185"/>
      <c r="H211" s="185"/>
      <c r="I211" s="185"/>
      <c r="J211" s="406"/>
      <c r="K211" s="406"/>
      <c r="L211" s="526"/>
      <c r="M211" s="526"/>
      <c r="N211" s="406"/>
      <c r="O211" s="406"/>
      <c r="P211" s="526"/>
      <c r="Q211" s="526"/>
      <c r="R211" s="406"/>
      <c r="S211" s="406"/>
      <c r="T211" s="379"/>
      <c r="U211" s="47"/>
      <c r="V211" s="251"/>
    </row>
    <row r="212" spans="1:22" ht="16.5" thickBot="1" x14ac:dyDescent="0.3">
      <c r="A212" s="14"/>
      <c r="B212" s="384"/>
      <c r="C212" s="185"/>
      <c r="D212" s="362" t="s">
        <v>944</v>
      </c>
      <c r="E212" s="185"/>
      <c r="F212" s="185"/>
      <c r="G212" s="185"/>
      <c r="H212" s="185"/>
      <c r="I212" s="185"/>
      <c r="J212" s="980">
        <f>VLOOKUP('Part 1'!L$16,Datasheet3!$B$5:$GL$331,188,FALSE)</f>
        <v>-13677391</v>
      </c>
      <c r="K212" s="981"/>
      <c r="L212" s="526"/>
      <c r="M212" s="526"/>
      <c r="N212" s="980">
        <f>VLOOKUP('Part 1'!L$16,Datasheet3!$B$5:$GL$331,189,FALSE)</f>
        <v>-878226</v>
      </c>
      <c r="O212" s="981"/>
      <c r="P212" s="526"/>
      <c r="Q212" s="526"/>
      <c r="R212" s="980">
        <f>VLOOKUP(+'Part 1'!$L$16,Datasheet3!$B$5:$GL$331,190,FALSE)</f>
        <v>-14555617</v>
      </c>
      <c r="S212" s="981"/>
      <c r="T212" s="379"/>
      <c r="U212" s="47"/>
      <c r="V212" s="251"/>
    </row>
    <row r="213" spans="1:22" ht="15" thickBot="1" x14ac:dyDescent="0.25">
      <c r="A213" s="14"/>
      <c r="B213" s="384"/>
      <c r="C213" s="185"/>
      <c r="D213" s="188"/>
      <c r="E213" s="185"/>
      <c r="F213" s="185"/>
      <c r="G213" s="185"/>
      <c r="H213" s="185"/>
      <c r="I213" s="185"/>
      <c r="J213" s="406"/>
      <c r="K213" s="406"/>
      <c r="L213" s="526"/>
      <c r="M213" s="526"/>
      <c r="N213" s="406"/>
      <c r="O213" s="406"/>
      <c r="P213" s="526"/>
      <c r="Q213" s="526"/>
      <c r="R213" s="406"/>
      <c r="S213" s="406"/>
      <c r="T213" s="379"/>
      <c r="U213" s="47"/>
      <c r="V213" s="251"/>
    </row>
    <row r="214" spans="1:22" ht="16.5" thickBot="1" x14ac:dyDescent="0.3">
      <c r="A214" s="14"/>
      <c r="B214" s="384"/>
      <c r="C214" s="185"/>
      <c r="D214" s="186" t="s">
        <v>61</v>
      </c>
      <c r="E214" s="185"/>
      <c r="F214" s="185"/>
      <c r="G214" s="185"/>
      <c r="H214" s="185"/>
      <c r="I214" s="185"/>
      <c r="J214" s="980">
        <f>VLOOKUP('Part 1'!L$16,Datasheet3!$B$5:$GL$331,191,FALSE)</f>
        <v>98170861</v>
      </c>
      <c r="K214" s="981"/>
      <c r="L214" s="526"/>
      <c r="M214" s="526"/>
      <c r="N214" s="980">
        <f>VLOOKUP('Part 1'!L$16,Datasheet3!$B$5:$GL$331,192,FALSE)</f>
        <v>835957</v>
      </c>
      <c r="O214" s="981"/>
      <c r="P214" s="526"/>
      <c r="Q214" s="526"/>
      <c r="R214" s="980">
        <f>VLOOKUP(+'Part 1'!$L$16,Datasheet3!$B$5:$GL$331,193,FALSE)</f>
        <v>99006818</v>
      </c>
      <c r="S214" s="981"/>
      <c r="T214" s="379"/>
      <c r="U214" s="47"/>
      <c r="V214" s="251"/>
    </row>
    <row r="215" spans="1:22" ht="15.75" x14ac:dyDescent="0.25">
      <c r="A215" s="14"/>
      <c r="B215" s="384"/>
      <c r="C215" s="185"/>
      <c r="D215" s="186"/>
      <c r="E215" s="185"/>
      <c r="F215" s="185"/>
      <c r="G215" s="185"/>
      <c r="H215" s="185"/>
      <c r="I215" s="185"/>
      <c r="J215" s="356"/>
      <c r="K215" s="357"/>
      <c r="L215" s="185"/>
      <c r="M215" s="185"/>
      <c r="N215" s="987"/>
      <c r="O215" s="987"/>
      <c r="P215" s="185"/>
      <c r="Q215" s="185"/>
      <c r="R215" s="356"/>
      <c r="S215" s="357"/>
      <c r="T215" s="379"/>
      <c r="U215" s="47"/>
      <c r="V215" s="251"/>
    </row>
    <row r="216" spans="1:22" ht="13.5" thickBot="1" x14ac:dyDescent="0.25">
      <c r="A216" s="14"/>
      <c r="B216" s="385"/>
      <c r="C216" s="380"/>
      <c r="D216" s="380"/>
      <c r="E216" s="380"/>
      <c r="F216" s="380"/>
      <c r="G216" s="380"/>
      <c r="H216" s="380"/>
      <c r="I216" s="380"/>
      <c r="J216" s="380"/>
      <c r="K216" s="380"/>
      <c r="L216" s="380"/>
      <c r="M216" s="380"/>
      <c r="N216" s="380"/>
      <c r="O216" s="380"/>
      <c r="P216" s="380"/>
      <c r="Q216" s="380"/>
      <c r="R216" s="380"/>
      <c r="S216" s="380"/>
      <c r="T216" s="381"/>
      <c r="U216" s="47"/>
      <c r="V216" s="251"/>
    </row>
    <row r="217" spans="1:22" x14ac:dyDescent="0.2">
      <c r="A217" s="14"/>
      <c r="B217" s="2"/>
      <c r="C217" s="2"/>
      <c r="D217" s="2"/>
      <c r="E217" s="2"/>
      <c r="F217" s="2"/>
      <c r="G217" s="2"/>
      <c r="H217" s="2"/>
      <c r="I217" s="2"/>
      <c r="J217" s="2"/>
      <c r="K217" s="2"/>
      <c r="L217" s="2"/>
      <c r="M217" s="2"/>
      <c r="N217" s="2"/>
      <c r="O217" s="2"/>
      <c r="P217" s="2"/>
      <c r="Q217" s="2"/>
      <c r="R217" s="2"/>
      <c r="S217" s="2"/>
      <c r="T217" s="2"/>
      <c r="U217" s="47"/>
      <c r="V217" s="251"/>
    </row>
    <row r="218" spans="1:22" ht="13.5" thickBot="1" x14ac:dyDescent="0.25">
      <c r="A218" s="15"/>
      <c r="B218" s="16"/>
      <c r="C218" s="16"/>
      <c r="D218" s="16"/>
      <c r="E218" s="16"/>
      <c r="F218" s="16"/>
      <c r="G218" s="16"/>
      <c r="H218" s="16"/>
      <c r="I218" s="16"/>
      <c r="J218" s="16"/>
      <c r="K218" s="16"/>
      <c r="L218" s="16"/>
      <c r="M218" s="16"/>
      <c r="N218" s="16"/>
      <c r="O218" s="16"/>
      <c r="P218" s="16"/>
      <c r="Q218" s="16"/>
      <c r="R218" s="16"/>
      <c r="S218" s="16"/>
      <c r="T218" s="16"/>
      <c r="U218" s="48"/>
    </row>
    <row r="220" spans="1:22" ht="15" x14ac:dyDescent="0.25">
      <c r="C220" s="482"/>
      <c r="D220" s="482"/>
      <c r="E220" s="482"/>
      <c r="F220" s="482"/>
      <c r="G220" s="482"/>
      <c r="H220" s="482"/>
      <c r="I220" s="482"/>
      <c r="J220" s="482"/>
      <c r="K220" s="482"/>
      <c r="L220" s="482"/>
      <c r="M220" s="482"/>
      <c r="N220" s="482"/>
      <c r="O220" s="482"/>
      <c r="P220" s="482"/>
      <c r="Q220" s="482"/>
      <c r="R220" s="482"/>
      <c r="S220" s="482"/>
      <c r="T220" s="482"/>
      <c r="U220" s="482"/>
      <c r="V220" s="482"/>
    </row>
    <row r="221" spans="1:22" ht="15" x14ac:dyDescent="0.25">
      <c r="C221" s="482"/>
      <c r="D221" s="482"/>
      <c r="E221" s="483"/>
      <c r="F221" s="483"/>
      <c r="G221" s="484"/>
      <c r="H221" s="484"/>
      <c r="I221" s="484"/>
      <c r="J221" s="484"/>
      <c r="K221" s="484"/>
      <c r="L221" s="484"/>
      <c r="M221" s="484"/>
      <c r="N221" s="484"/>
      <c r="O221" s="484"/>
      <c r="P221" s="484"/>
      <c r="Q221" s="484"/>
      <c r="R221" s="484"/>
      <c r="S221" s="484"/>
      <c r="T221" s="483"/>
      <c r="U221" s="483"/>
      <c r="V221" s="483"/>
    </row>
    <row r="222" spans="1:22" ht="15" x14ac:dyDescent="0.25">
      <c r="B222" s="486"/>
      <c r="C222" s="487"/>
      <c r="D222" s="487"/>
      <c r="E222" s="488"/>
      <c r="F222" s="488"/>
      <c r="G222" s="488"/>
      <c r="H222" s="489"/>
      <c r="I222" s="488"/>
      <c r="J222" s="490"/>
      <c r="K222" s="488"/>
      <c r="L222" s="488"/>
      <c r="M222" s="488"/>
      <c r="N222" s="490"/>
      <c r="O222" s="488"/>
      <c r="P222" s="488"/>
      <c r="Q222" s="488"/>
      <c r="R222" s="488"/>
      <c r="S222" s="488"/>
      <c r="T222" s="483"/>
      <c r="U222" s="483"/>
      <c r="V222" s="483"/>
    </row>
    <row r="223" spans="1:22" ht="15" x14ac:dyDescent="0.25">
      <c r="C223" s="482"/>
      <c r="D223" s="482"/>
      <c r="E223" s="483"/>
      <c r="F223" s="483"/>
      <c r="G223" s="483"/>
      <c r="H223" s="483"/>
      <c r="I223" s="483"/>
      <c r="J223" s="483"/>
      <c r="K223" s="483"/>
      <c r="L223" s="483"/>
      <c r="M223" s="483"/>
      <c r="N223" s="483"/>
      <c r="O223" s="483"/>
      <c r="P223" s="483"/>
      <c r="Q223" s="483"/>
      <c r="R223" s="483"/>
      <c r="S223" s="483"/>
      <c r="T223" s="483"/>
      <c r="U223" s="483"/>
      <c r="V223" s="483"/>
    </row>
    <row r="224" spans="1:22" ht="15" x14ac:dyDescent="0.25">
      <c r="C224" s="482"/>
      <c r="D224" s="482"/>
      <c r="E224" s="483"/>
      <c r="F224" s="483"/>
      <c r="G224" s="483"/>
      <c r="H224" s="483"/>
      <c r="I224" s="483"/>
      <c r="J224" s="483"/>
      <c r="K224" s="483"/>
      <c r="L224" s="483"/>
      <c r="M224" s="483"/>
      <c r="N224" s="483"/>
      <c r="O224" s="483"/>
      <c r="P224" s="483"/>
      <c r="Q224" s="483"/>
      <c r="R224" s="483"/>
      <c r="S224" s="483"/>
      <c r="T224" s="483"/>
      <c r="U224" s="483"/>
      <c r="V224" s="483"/>
    </row>
    <row r="225" spans="3:22" ht="15" x14ac:dyDescent="0.25">
      <c r="C225" s="482"/>
      <c r="D225" s="482"/>
      <c r="E225" s="482"/>
      <c r="F225" s="482"/>
      <c r="G225" s="482"/>
      <c r="H225" s="482"/>
      <c r="I225" s="482"/>
      <c r="J225" s="485"/>
      <c r="K225" s="485"/>
      <c r="L225" s="482"/>
      <c r="M225" s="482"/>
      <c r="N225" s="482"/>
      <c r="O225" s="482"/>
      <c r="P225" s="482"/>
      <c r="Q225" s="482"/>
      <c r="R225" s="482"/>
      <c r="S225" s="482"/>
      <c r="T225" s="482"/>
      <c r="U225" s="482"/>
      <c r="V225" s="482"/>
    </row>
    <row r="226" spans="3:22" x14ac:dyDescent="0.2">
      <c r="J226" s="361"/>
      <c r="K226" s="359"/>
    </row>
    <row r="227" spans="3:22" x14ac:dyDescent="0.2">
      <c r="J227" s="361"/>
      <c r="K227" s="359"/>
    </row>
    <row r="228" spans="3:22" x14ac:dyDescent="0.2">
      <c r="J228" s="360"/>
    </row>
    <row r="229" spans="3:22" ht="15.75" customHeight="1" x14ac:dyDescent="0.2">
      <c r="J229" s="361"/>
      <c r="K229" s="359"/>
    </row>
  </sheetData>
  <dataConsolidate/>
  <mergeCells count="239">
    <mergeCell ref="R210:S210"/>
    <mergeCell ref="R214:S214"/>
    <mergeCell ref="R202:S202"/>
    <mergeCell ref="J206:K206"/>
    <mergeCell ref="J208:K208"/>
    <mergeCell ref="J210:K210"/>
    <mergeCell ref="J214:K214"/>
    <mergeCell ref="N214:O214"/>
    <mergeCell ref="N210:O210"/>
    <mergeCell ref="N208:O208"/>
    <mergeCell ref="N206:O206"/>
    <mergeCell ref="R206:S206"/>
    <mergeCell ref="J204:K204"/>
    <mergeCell ref="N204:O204"/>
    <mergeCell ref="R204:S204"/>
    <mergeCell ref="J202:K202"/>
    <mergeCell ref="N202:O202"/>
    <mergeCell ref="R208:S208"/>
    <mergeCell ref="J212:K212"/>
    <mergeCell ref="N212:O212"/>
    <mergeCell ref="R212:S212"/>
    <mergeCell ref="C133:G133"/>
    <mergeCell ref="J133:K133"/>
    <mergeCell ref="N133:O133"/>
    <mergeCell ref="R133:S133"/>
    <mergeCell ref="N174:O174"/>
    <mergeCell ref="R156:S156"/>
    <mergeCell ref="N140:O140"/>
    <mergeCell ref="R140:S140"/>
    <mergeCell ref="J140:K140"/>
    <mergeCell ref="R138:S138"/>
    <mergeCell ref="N138:O138"/>
    <mergeCell ref="N158:O158"/>
    <mergeCell ref="R158:S158"/>
    <mergeCell ref="J174:K174"/>
    <mergeCell ref="J146:K146"/>
    <mergeCell ref="N146:O146"/>
    <mergeCell ref="R146:S146"/>
    <mergeCell ref="R152:S152"/>
    <mergeCell ref="J162:K162"/>
    <mergeCell ref="N162:O162"/>
    <mergeCell ref="R144:S144"/>
    <mergeCell ref="R150:S150"/>
    <mergeCell ref="N156:O156"/>
    <mergeCell ref="J158:K158"/>
    <mergeCell ref="N215:O215"/>
    <mergeCell ref="R16:S16"/>
    <mergeCell ref="J105:K105"/>
    <mergeCell ref="R66:S66"/>
    <mergeCell ref="N70:O70"/>
    <mergeCell ref="R70:S70"/>
    <mergeCell ref="N40:O40"/>
    <mergeCell ref="R40:S40"/>
    <mergeCell ref="R111:S111"/>
    <mergeCell ref="J70:K70"/>
    <mergeCell ref="R101:S101"/>
    <mergeCell ref="R105:S105"/>
    <mergeCell ref="J88:K88"/>
    <mergeCell ref="N88:O88"/>
    <mergeCell ref="R88:S88"/>
    <mergeCell ref="R82:S82"/>
    <mergeCell ref="R84:S84"/>
    <mergeCell ref="J32:K32"/>
    <mergeCell ref="R52:S52"/>
    <mergeCell ref="J58:K58"/>
    <mergeCell ref="J52:K52"/>
    <mergeCell ref="J60:K60"/>
    <mergeCell ref="N60:O60"/>
    <mergeCell ref="R107:S107"/>
    <mergeCell ref="A6:U6"/>
    <mergeCell ref="N23:O23"/>
    <mergeCell ref="N17:O17"/>
    <mergeCell ref="J27:K27"/>
    <mergeCell ref="N27:O27"/>
    <mergeCell ref="N54:O54"/>
    <mergeCell ref="C27:G27"/>
    <mergeCell ref="R27:S27"/>
    <mergeCell ref="N48:O48"/>
    <mergeCell ref="R48:S48"/>
    <mergeCell ref="N52:O52"/>
    <mergeCell ref="J34:K34"/>
    <mergeCell ref="N34:O34"/>
    <mergeCell ref="R34:S34"/>
    <mergeCell ref="J40:K40"/>
    <mergeCell ref="R12:S12"/>
    <mergeCell ref="R13:S14"/>
    <mergeCell ref="R54:S54"/>
    <mergeCell ref="N13:O14"/>
    <mergeCell ref="C12:H12"/>
    <mergeCell ref="Q15:T15"/>
    <mergeCell ref="R23:S23"/>
    <mergeCell ref="J16:K16"/>
    <mergeCell ref="N16:O16"/>
    <mergeCell ref="A5:U5"/>
    <mergeCell ref="C54:G55"/>
    <mergeCell ref="J54:K54"/>
    <mergeCell ref="C48:G49"/>
    <mergeCell ref="J48:K48"/>
    <mergeCell ref="C95:G96"/>
    <mergeCell ref="J95:K95"/>
    <mergeCell ref="R60:S60"/>
    <mergeCell ref="R58:S58"/>
    <mergeCell ref="R78:S78"/>
    <mergeCell ref="R76:S76"/>
    <mergeCell ref="R64:S64"/>
    <mergeCell ref="N78:O78"/>
    <mergeCell ref="R95:S95"/>
    <mergeCell ref="R93:S93"/>
    <mergeCell ref="J64:K64"/>
    <mergeCell ref="N64:O64"/>
    <mergeCell ref="N95:O95"/>
    <mergeCell ref="N93:O93"/>
    <mergeCell ref="C60:G61"/>
    <mergeCell ref="C23:G24"/>
    <mergeCell ref="J23:K23"/>
    <mergeCell ref="J37:K37"/>
    <mergeCell ref="N58:O58"/>
    <mergeCell ref="C66:G67"/>
    <mergeCell ref="J66:K66"/>
    <mergeCell ref="N66:O66"/>
    <mergeCell ref="J76:K76"/>
    <mergeCell ref="C78:G79"/>
    <mergeCell ref="C84:G85"/>
    <mergeCell ref="N82:O82"/>
    <mergeCell ref="N76:O76"/>
    <mergeCell ref="C70:F70"/>
    <mergeCell ref="J78:K78"/>
    <mergeCell ref="J84:K84"/>
    <mergeCell ref="N84:O84"/>
    <mergeCell ref="J82:K82"/>
    <mergeCell ref="R17:S17"/>
    <mergeCell ref="R37:S37"/>
    <mergeCell ref="R45:S45"/>
    <mergeCell ref="R19:S19"/>
    <mergeCell ref="N37:O37"/>
    <mergeCell ref="J138:K138"/>
    <mergeCell ref="J200:K200"/>
    <mergeCell ref="N200:O200"/>
    <mergeCell ref="J99:K99"/>
    <mergeCell ref="N105:O105"/>
    <mergeCell ref="J93:K93"/>
    <mergeCell ref="N152:O152"/>
    <mergeCell ref="N128:O128"/>
    <mergeCell ref="N117:O117"/>
    <mergeCell ref="J113:K113"/>
    <mergeCell ref="N113:O113"/>
    <mergeCell ref="J111:K111"/>
    <mergeCell ref="R200:S200"/>
    <mergeCell ref="J156:K156"/>
    <mergeCell ref="R198:S198"/>
    <mergeCell ref="J144:K144"/>
    <mergeCell ref="N144:O144"/>
    <mergeCell ref="J150:K150"/>
    <mergeCell ref="N150:O150"/>
    <mergeCell ref="A2:U2"/>
    <mergeCell ref="A3:U3"/>
    <mergeCell ref="C45:G46"/>
    <mergeCell ref="N32:O32"/>
    <mergeCell ref="N45:O45"/>
    <mergeCell ref="J21:K21"/>
    <mergeCell ref="N21:O21"/>
    <mergeCell ref="J17:K17"/>
    <mergeCell ref="R21:S21"/>
    <mergeCell ref="R32:S32"/>
    <mergeCell ref="J12:K12"/>
    <mergeCell ref="N12:O12"/>
    <mergeCell ref="N19:O19"/>
    <mergeCell ref="A4:U4"/>
    <mergeCell ref="A7:U7"/>
    <mergeCell ref="J13:K14"/>
    <mergeCell ref="J19:K19"/>
    <mergeCell ref="C9:H9"/>
    <mergeCell ref="J45:K45"/>
    <mergeCell ref="N42:O42"/>
    <mergeCell ref="R42:S42"/>
    <mergeCell ref="N15:O15"/>
    <mergeCell ref="D42:G43"/>
    <mergeCell ref="C13:H13"/>
    <mergeCell ref="R162:S162"/>
    <mergeCell ref="J152:K152"/>
    <mergeCell ref="R99:S99"/>
    <mergeCell ref="J130:K130"/>
    <mergeCell ref="R119:S119"/>
    <mergeCell ref="R117:S117"/>
    <mergeCell ref="R123:S123"/>
    <mergeCell ref="R125:S125"/>
    <mergeCell ref="R113:S113"/>
    <mergeCell ref="J123:K123"/>
    <mergeCell ref="J198:K198"/>
    <mergeCell ref="N198:O198"/>
    <mergeCell ref="C119:G120"/>
    <mergeCell ref="J119:K119"/>
    <mergeCell ref="N119:O119"/>
    <mergeCell ref="J15:K15"/>
    <mergeCell ref="C107:G108"/>
    <mergeCell ref="C113:G114"/>
    <mergeCell ref="C88:G88"/>
    <mergeCell ref="N99:O99"/>
    <mergeCell ref="J101:K101"/>
    <mergeCell ref="N101:O101"/>
    <mergeCell ref="N111:O111"/>
    <mergeCell ref="C125:G126"/>
    <mergeCell ref="J125:K125"/>
    <mergeCell ref="N125:O125"/>
    <mergeCell ref="C101:G102"/>
    <mergeCell ref="N123:O123"/>
    <mergeCell ref="J117:K117"/>
    <mergeCell ref="J107:K107"/>
    <mergeCell ref="N107:O107"/>
    <mergeCell ref="J42:K42"/>
    <mergeCell ref="J166:K166"/>
    <mergeCell ref="N166:O166"/>
    <mergeCell ref="R166:S166"/>
    <mergeCell ref="J169:K169"/>
    <mergeCell ref="N169:O169"/>
    <mergeCell ref="R169:S169"/>
    <mergeCell ref="J172:K172"/>
    <mergeCell ref="N172:O172"/>
    <mergeCell ref="R172:S172"/>
    <mergeCell ref="J175:K175"/>
    <mergeCell ref="N175:O175"/>
    <mergeCell ref="R175:S175"/>
    <mergeCell ref="C187:G188"/>
    <mergeCell ref="J187:K187"/>
    <mergeCell ref="N187:O187"/>
    <mergeCell ref="R187:S187"/>
    <mergeCell ref="C191:G191"/>
    <mergeCell ref="J191:K191"/>
    <mergeCell ref="N191:O191"/>
    <mergeCell ref="R191:S191"/>
    <mergeCell ref="J178:K178"/>
    <mergeCell ref="N178:O178"/>
    <mergeCell ref="R178:S178"/>
    <mergeCell ref="J181:K181"/>
    <mergeCell ref="N181:O181"/>
    <mergeCell ref="R181:S181"/>
    <mergeCell ref="J185:K185"/>
    <mergeCell ref="N185:O185"/>
    <mergeCell ref="R185:S185"/>
  </mergeCells>
  <phoneticPr fontId="5" type="noConversion"/>
  <dataValidations count="8">
    <dataValidation type="whole" operator="greaterThanOrEqual" allowBlank="1" showInputMessage="1" showErrorMessage="1" error="Must be a positive number" sqref="O222 J45:K45 N45:O45" xr:uid="{00000000-0002-0000-0400-000000000000}">
      <formula1>0</formula1>
    </dataValidation>
    <dataValidation type="whole" operator="lessThanOrEqual" allowBlank="1" showInputMessage="1" showErrorMessage="1" error="Must be a negative number" sqref="J58:K58 N64:O64 N32:O32 J64:K64 J52:K52 N52:O52 J32:K32 N58:O58 K167:K173 N166:N178 N185:O185 O175:O178 O166:O173 K175:K178 J185:K185 J167:J178" xr:uid="{00000000-0002-0000-0400-000001000000}">
      <formula1>0</formula1>
    </dataValidation>
    <dataValidation type="whole" operator="equal" allowBlank="1" showInputMessage="1" showErrorMessage="1" errorTitle="Don't overwrite this cell" error="Does not equal col1 + col2" sqref="R42:S42 R60:S60 R64:S64 R215:S215 R66:S66 R32:S32 R34:S34 R37:S37 R40:S40 R45:S45 R48:S48 R52:S52 R54:S54 R58:S58 R165:S175 R177:R178 S176:S178 R191:S191 R185:S185 R187:S187" xr:uid="{00000000-0002-0000-0400-000002000000}">
      <formula1>J32+N32</formula1>
    </dataValidation>
    <dataValidation operator="greaterThanOrEqual" allowBlank="1" showInputMessage="1" showErrorMessage="1" error="Must be equal to or less than line 6" sqref="N42:O42 N40:O40 N34:O34" xr:uid="{00000000-0002-0000-0400-000003000000}"/>
    <dataValidation operator="lessThanOrEqual" allowBlank="1" showInputMessage="1" showErrorMessage="1" error="Must be a negative number" sqref="J27:K27 N19:O19 N23:O23 J17:K17 N17:O17 J19:K19 N27:O27 J21:K21 N21:O21 J23:K23" xr:uid="{00000000-0002-0000-0400-000004000000}"/>
    <dataValidation operator="equal" allowBlank="1" showInputMessage="1" showErrorMessage="1" errorTitle="Don't overwrite this cell" error="Does not equal col1 + col2" sqref="R176" xr:uid="{00000000-0002-0000-0400-000005000000}"/>
    <dataValidation type="whole" operator="equal" allowBlank="1" showInputMessage="1" showErrorMessage="1" error="Must equal the sum of lines 40 to 45" sqref="J181:K181 N181:O181 R181:S181" xr:uid="{00000000-0002-0000-0400-000006000000}">
      <formula1>J140+J142+J146+J148+J152+J156+J158+J162+J166+J169+J172+J175+J178</formula1>
    </dataValidation>
    <dataValidation type="whole" operator="equal" allowBlank="1" showInputMessage="1" showErrorMessage="1" error="Must equal the sum of lines 47 &amp; 48" sqref="J191:K191 N191:O191" xr:uid="{00000000-0002-0000-0400-000007000000}">
      <formula1>J185+J187</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2" max="16383" man="1"/>
    <brk id="135" max="16383" man="1"/>
  </rowBreaks>
  <extLst>
    <ext xmlns:x14="http://schemas.microsoft.com/office/spreadsheetml/2009/9/main" uri="{78C0D931-6437-407d-A8EE-F0AAD7539E65}">
      <x14:conditionalFormattings>
        <x14:conditionalFormatting xmlns:xm="http://schemas.microsoft.com/office/excel/2006/main">
          <x14:cfRule type="expression" priority="31" id="{AC11580B-E091-40EE-AD46-B8B9DEED1B0D}">
            <xm:f>AND('Part 1'!#REF!=0)=TRUE</xm:f>
            <x14:dxf>
              <fill>
                <patternFill>
                  <bgColor theme="0" tint="-0.24994659260841701"/>
                </patternFill>
              </fill>
            </x14:dxf>
          </x14:cfRule>
          <xm:sqref>M250:P250 M253:P253 M256:P256 M258:P258</xm:sqref>
        </x14:conditionalFormatting>
        <x14:conditionalFormatting xmlns:xm="http://schemas.microsoft.com/office/excel/2006/main">
          <x14:cfRule type="expression" priority="13" id="{CCBD7405-0DE7-4C84-83CA-7E2D4FBC6968}">
            <xm:f>'\\desktop21.dclg.gov.uk\DCLGDFS\LGF3Data\NNDR 1 - 3\NNDR3\2017-18\Form to LA\[NNDR3 2017-18 to LAs v1.1a.xlsx]Part 1'!#REF!=""</xm:f>
            <x14:dxf>
              <fill>
                <patternFill>
                  <bgColor theme="0" tint="-0.24994659260841701"/>
                </patternFill>
              </fill>
            </x14:dxf>
          </x14:cfRule>
          <xm:sqref>M165:P178</xm:sqref>
        </x14:conditionalFormatting>
        <x14:conditionalFormatting xmlns:xm="http://schemas.microsoft.com/office/excel/2006/main">
          <x14:cfRule type="expression" priority="12" id="{12D1F190-A109-4748-9C08-9D2236B6575A}">
            <xm:f>'\\desktop21.dclg.gov.uk\DCLGDFS\LGF3Data\NNDR 1 - 3\NNDR3\2017-18\Form to LA\[NNDR3 2017-18 to LAs v1.1a.xlsx]Part 1'!#REF!=""</xm:f>
            <x14:dxf>
              <fill>
                <patternFill>
                  <bgColor theme="0" tint="-0.24994659260841701"/>
                </patternFill>
              </fill>
            </x14:dxf>
          </x14:cfRule>
          <xm:sqref>M165:P165</xm:sqref>
        </x14:conditionalFormatting>
        <x14:conditionalFormatting xmlns:xm="http://schemas.microsoft.com/office/excel/2006/main">
          <x14:cfRule type="expression" priority="11" id="{68D4392A-5B7B-484B-B5AB-F0E40F7FDFDD}">
            <xm:f>'\\desktop21.dclg.gov.uk\DCLGDFS\LGF3Data\NNDR 1 - 3\NNDR3\2017-18\Form to LA\[NNDR3 2017-18 to LAs v1.1a.xlsx]Part 1'!#REF!=""</xm:f>
            <x14:dxf>
              <fill>
                <patternFill>
                  <bgColor theme="0" tint="-0.24994659260841701"/>
                </patternFill>
              </fill>
            </x14:dxf>
          </x14:cfRule>
          <xm:sqref>M166:P166 P167:P168</xm:sqref>
        </x14:conditionalFormatting>
        <x14:conditionalFormatting xmlns:xm="http://schemas.microsoft.com/office/excel/2006/main">
          <x14:cfRule type="expression" priority="10" id="{FC44BE20-1E3C-42AC-B136-D502AA42AC5F}">
            <xm:f>'\\desktop21.dclg.gov.uk\DCLGDFS\LGF3Data\NNDR 1 - 3\NNDR3\2017-18\Form to LA\[NNDR3 2017-18 to LAs v1.1a.xlsx]Part 1'!#REF!=""</xm:f>
            <x14:dxf>
              <fill>
                <patternFill>
                  <bgColor theme="0" tint="-0.24994659260841701"/>
                </patternFill>
              </fill>
            </x14:dxf>
          </x14:cfRule>
          <xm:sqref>M166:P166 P167:P168</xm:sqref>
        </x14:conditionalFormatting>
        <x14:conditionalFormatting xmlns:xm="http://schemas.microsoft.com/office/excel/2006/main">
          <x14:cfRule type="expression" priority="9" id="{F5344E6C-A6BE-490B-A674-8DFB6E611E4A}">
            <xm:f>'\\desktop21.dclg.gov.uk\DCLGDFS\LGF3Data\NNDR 1 - 3\NNDR3\2017-18\Form to LA\[NNDR3 2017-18 to LAs v1.1a.xlsx]Part 1'!#REF!=""</xm:f>
            <x14:dxf>
              <fill>
                <patternFill>
                  <bgColor theme="0" tint="-0.24994659260841701"/>
                </patternFill>
              </fill>
            </x14:dxf>
          </x14:cfRule>
          <xm:sqref>M169:P169 P176:P177 P170:P171 P173:P174</xm:sqref>
        </x14:conditionalFormatting>
        <x14:conditionalFormatting xmlns:xm="http://schemas.microsoft.com/office/excel/2006/main">
          <x14:cfRule type="expression" priority="8" id="{FC2A956F-33B2-43DC-9612-BE6EBC1D748A}">
            <xm:f>'\\desktop21.dclg.gov.uk\DCLGDFS\LGF3Data\NNDR 1 - 3\NNDR3\2017-18\Form to LA\[NNDR3 2017-18 to LAs v1.1a.xlsx]Part 1'!#REF!=""</xm:f>
            <x14:dxf>
              <fill>
                <patternFill>
                  <bgColor theme="0" tint="-0.24994659260841701"/>
                </patternFill>
              </fill>
            </x14:dxf>
          </x14:cfRule>
          <xm:sqref>M169:P169 P176:P177 P170:P171 P173:P174</xm:sqref>
        </x14:conditionalFormatting>
        <x14:conditionalFormatting xmlns:xm="http://schemas.microsoft.com/office/excel/2006/main">
          <x14:cfRule type="expression" priority="7" id="{8538E1AD-5DD6-4AB6-821E-A66FB04116EB}">
            <xm:f>'\\desktop21.dclg.gov.uk\DCLGDFS\LGF3Data\NNDR 1 - 3\NNDR3\2017-18\Form to LA\[NNDR3 2017-18 to LAs v1.1a.xlsx]Part 1'!#REF!=""</xm:f>
            <x14:dxf>
              <fill>
                <patternFill>
                  <bgColor theme="0" tint="-0.24994659260841701"/>
                </patternFill>
              </fill>
            </x14:dxf>
          </x14:cfRule>
          <xm:sqref>M172:P172</xm:sqref>
        </x14:conditionalFormatting>
        <x14:conditionalFormatting xmlns:xm="http://schemas.microsoft.com/office/excel/2006/main">
          <x14:cfRule type="expression" priority="6" id="{4F860BAD-67C1-48FB-8970-6839D83CF7A2}">
            <xm:f>'\\desktop21.dclg.gov.uk\DCLGDFS\LGF3Data\NNDR 1 - 3\NNDR3\2017-18\Form to LA\[NNDR3 2017-18 to LAs v1.1a.xlsx]Part 1'!#REF!=""</xm:f>
            <x14:dxf>
              <fill>
                <patternFill>
                  <bgColor theme="0" tint="-0.24994659260841701"/>
                </patternFill>
              </fill>
            </x14:dxf>
          </x14:cfRule>
          <xm:sqref>M172:P172</xm:sqref>
        </x14:conditionalFormatting>
        <x14:conditionalFormatting xmlns:xm="http://schemas.microsoft.com/office/excel/2006/main">
          <x14:cfRule type="expression" priority="5" id="{253F70CF-A58F-44FE-952A-B5ED791E06DF}">
            <xm:f>'\\desktop21.dclg.gov.uk\DCLGDFS\LGF3Data\NNDR 1 - 3\NNDR3\2017-18\Form to LA\[NNDR3 2017-18 to LAs v1.1a.xlsx]Part 1'!#REF!=""</xm:f>
            <x14:dxf>
              <fill>
                <patternFill>
                  <bgColor theme="0" tint="-0.24994659260841701"/>
                </patternFill>
              </fill>
            </x14:dxf>
          </x14:cfRule>
          <xm:sqref>M175:P175</xm:sqref>
        </x14:conditionalFormatting>
        <x14:conditionalFormatting xmlns:xm="http://schemas.microsoft.com/office/excel/2006/main">
          <x14:cfRule type="expression" priority="4" id="{FCAE9697-3C9B-4931-B3F8-B6B8033EE706}">
            <xm:f>'\\desktop21.dclg.gov.uk\DCLGDFS\LGF3Data\NNDR 1 - 3\NNDR3\2017-18\Form to LA\[NNDR3 2017-18 to LAs v1.1a.xlsx]Part 1'!#REF!=""</xm:f>
            <x14:dxf>
              <fill>
                <patternFill>
                  <bgColor theme="0" tint="-0.24994659260841701"/>
                </patternFill>
              </fill>
            </x14:dxf>
          </x14:cfRule>
          <xm:sqref>M175:P175</xm:sqref>
        </x14:conditionalFormatting>
        <x14:conditionalFormatting xmlns:xm="http://schemas.microsoft.com/office/excel/2006/main">
          <x14:cfRule type="expression" priority="3" id="{0EF4800A-A574-47A2-8C50-99A025072C70}">
            <xm:f>'\\desktop21.dclg.gov.uk\DCLGDFS\LGF3Data\NNDR 1 - 3\NNDR3\2017-18\Form to LA\[NNDR3 2017-18 to LAs v1.1a.xlsx]Part 1'!#REF!=""</xm:f>
            <x14:dxf>
              <fill>
                <patternFill>
                  <bgColor theme="0" tint="-0.24994659260841701"/>
                </patternFill>
              </fill>
            </x14:dxf>
          </x14:cfRule>
          <xm:sqref>M178:P178</xm:sqref>
        </x14:conditionalFormatting>
        <x14:conditionalFormatting xmlns:xm="http://schemas.microsoft.com/office/excel/2006/main">
          <x14:cfRule type="expression" priority="2" id="{83801792-4912-4E5D-999E-54CC1B4A43D1}">
            <xm:f>'\\desktop21.dclg.gov.uk\DCLGDFS\LGF3Data\NNDR 1 - 3\NNDR3\2017-18\Form to LA\[NNDR3 2017-18 to LAs v1.1a.xlsx]Part 1'!#REF!=""</xm:f>
            <x14:dxf>
              <fill>
                <patternFill>
                  <bgColor theme="0" tint="-0.24994659260841701"/>
                </patternFill>
              </fill>
            </x14:dxf>
          </x14:cfRule>
          <xm:sqref>M178:P178</xm:sqref>
        </x14:conditionalFormatting>
        <x14:conditionalFormatting xmlns:xm="http://schemas.microsoft.com/office/excel/2006/main">
          <x14:cfRule type="expression" priority="1" id="{29E9E4A7-D929-4EC5-8FE4-2A5E120FD995}">
            <xm:f>'\\desktop21.dclg.gov.uk\DCLGDFS\LGF3Data\NNDR 1 - 3\NNDR3\2017-18\Form to LA\[NNDR3 2017-18 to LAs v1.1a.xlsx]Part 1'!#REF!=""</xm:f>
            <x14:dxf>
              <fill>
                <patternFill>
                  <bgColor theme="0" tint="-0.24994659260841701"/>
                </patternFill>
              </fill>
            </x14:dxf>
          </x14:cfRule>
          <xm:sqref>M179:P193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83"/>
  <sheetViews>
    <sheetView showGridLines="0" topLeftCell="A64" zoomScaleNormal="100" zoomScaleSheetLayoutView="100" workbookViewId="0">
      <selection activeCell="X81" sqref="X81"/>
    </sheetView>
  </sheetViews>
  <sheetFormatPr defaultRowHeight="12.75" x14ac:dyDescent="0.2"/>
  <cols>
    <col min="1" max="2" width="1.7109375" customWidth="1"/>
    <col min="5" max="5" width="38.285156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212" customWidth="1"/>
    <col min="23" max="27" width="9.140625" style="486" customWidth="1"/>
    <col min="28" max="28" width="9.140625" style="212"/>
  </cols>
  <sheetData>
    <row r="1" spans="1:28" ht="15" x14ac:dyDescent="0.2">
      <c r="A1" s="57"/>
      <c r="B1" s="58"/>
      <c r="C1" s="58"/>
      <c r="D1" s="58"/>
      <c r="E1" s="58"/>
      <c r="F1" s="58"/>
      <c r="G1" s="105">
        <f>+'Part 1'!F1</f>
        <v>326</v>
      </c>
      <c r="H1" s="58"/>
      <c r="I1" s="58"/>
      <c r="J1" s="58"/>
      <c r="K1" s="58"/>
      <c r="L1" s="58"/>
      <c r="M1" s="58"/>
      <c r="N1" s="58"/>
      <c r="O1" s="58"/>
      <c r="P1" s="58"/>
      <c r="Q1" s="58"/>
      <c r="R1" s="58"/>
      <c r="S1" s="58"/>
      <c r="T1" s="58"/>
      <c r="U1" s="58"/>
      <c r="V1" s="59"/>
    </row>
    <row r="2" spans="1:28" ht="15.75" x14ac:dyDescent="0.25">
      <c r="A2" s="916" t="s">
        <v>40</v>
      </c>
      <c r="B2" s="917"/>
      <c r="C2" s="917"/>
      <c r="D2" s="917"/>
      <c r="E2" s="917"/>
      <c r="F2" s="917"/>
      <c r="G2" s="917"/>
      <c r="H2" s="917"/>
      <c r="I2" s="917"/>
      <c r="J2" s="917"/>
      <c r="K2" s="917"/>
      <c r="L2" s="917"/>
      <c r="M2" s="917"/>
      <c r="N2" s="917"/>
      <c r="O2" s="917"/>
      <c r="P2" s="917"/>
      <c r="Q2" s="917"/>
      <c r="R2" s="917"/>
      <c r="S2" s="917"/>
      <c r="T2" s="917"/>
      <c r="U2" s="917"/>
      <c r="V2" s="918"/>
    </row>
    <row r="3" spans="1:28" ht="15.75" x14ac:dyDescent="0.25">
      <c r="A3" s="868" t="s">
        <v>1365</v>
      </c>
      <c r="B3" s="917"/>
      <c r="C3" s="917"/>
      <c r="D3" s="917"/>
      <c r="E3" s="917"/>
      <c r="F3" s="917"/>
      <c r="G3" s="917"/>
      <c r="H3" s="917"/>
      <c r="I3" s="917"/>
      <c r="J3" s="917"/>
      <c r="K3" s="917"/>
      <c r="L3" s="917"/>
      <c r="M3" s="917"/>
      <c r="N3" s="917"/>
      <c r="O3" s="917"/>
      <c r="P3" s="917"/>
      <c r="Q3" s="917"/>
      <c r="R3" s="917"/>
      <c r="S3" s="917"/>
      <c r="T3" s="917"/>
      <c r="U3" s="917"/>
      <c r="V3" s="918"/>
    </row>
    <row r="4" spans="1:28" ht="15" x14ac:dyDescent="0.2">
      <c r="A4" s="871"/>
      <c r="B4" s="872"/>
      <c r="C4" s="872"/>
      <c r="D4" s="872"/>
      <c r="E4" s="872"/>
      <c r="F4" s="872"/>
      <c r="G4" s="872"/>
      <c r="H4" s="872"/>
      <c r="I4" s="872"/>
      <c r="J4" s="872"/>
      <c r="K4" s="872"/>
      <c r="L4" s="872"/>
      <c r="M4" s="872"/>
      <c r="N4" s="872"/>
      <c r="O4" s="872"/>
      <c r="P4" s="872"/>
      <c r="Q4" s="872"/>
      <c r="R4" s="872"/>
      <c r="S4" s="872"/>
      <c r="T4" s="872"/>
      <c r="U4" s="872"/>
      <c r="V4" s="873"/>
    </row>
    <row r="5" spans="1:28" ht="15" x14ac:dyDescent="0.2">
      <c r="A5" s="871"/>
      <c r="B5" s="872"/>
      <c r="C5" s="872"/>
      <c r="D5" s="872"/>
      <c r="E5" s="872"/>
      <c r="F5" s="872"/>
      <c r="G5" s="872"/>
      <c r="H5" s="872"/>
      <c r="I5" s="872"/>
      <c r="J5" s="872"/>
      <c r="K5" s="872"/>
      <c r="L5" s="872"/>
      <c r="M5" s="872"/>
      <c r="N5" s="872"/>
      <c r="O5" s="872"/>
      <c r="P5" s="872"/>
      <c r="Q5" s="872"/>
      <c r="R5" s="872"/>
      <c r="S5" s="872"/>
      <c r="T5" s="872"/>
      <c r="U5" s="872"/>
      <c r="V5" s="873"/>
    </row>
    <row r="6" spans="1:28" ht="15.75" thickBot="1" x14ac:dyDescent="0.25">
      <c r="A6" s="60"/>
      <c r="B6" s="61"/>
      <c r="C6" s="61"/>
      <c r="D6" s="61"/>
      <c r="E6" s="61"/>
      <c r="F6" s="61"/>
      <c r="G6" s="61"/>
      <c r="H6" s="61"/>
      <c r="I6" s="61"/>
      <c r="J6" s="61"/>
      <c r="K6" s="61"/>
      <c r="L6" s="61"/>
      <c r="M6" s="61"/>
      <c r="N6" s="61"/>
      <c r="O6" s="61"/>
      <c r="P6" s="61"/>
      <c r="Q6" s="61"/>
      <c r="R6" s="61"/>
      <c r="S6" s="61"/>
      <c r="T6" s="85"/>
      <c r="U6" s="61"/>
      <c r="V6" s="62"/>
    </row>
    <row r="7" spans="1:28" x14ac:dyDescent="0.2">
      <c r="A7" s="45"/>
      <c r="B7" s="46"/>
      <c r="C7" s="1002"/>
      <c r="D7" s="1002"/>
      <c r="E7" s="1002"/>
      <c r="F7" s="1002"/>
      <c r="G7" s="1002"/>
      <c r="H7" s="1002"/>
      <c r="I7" s="1002"/>
      <c r="J7" s="46"/>
      <c r="K7" s="46"/>
      <c r="L7" s="46"/>
      <c r="M7" s="46"/>
      <c r="N7" s="46"/>
      <c r="O7" s="46"/>
      <c r="P7" s="46"/>
      <c r="Q7" s="46"/>
      <c r="R7" s="46"/>
      <c r="S7" s="46"/>
      <c r="T7" s="46"/>
      <c r="U7" s="46"/>
      <c r="V7" s="596"/>
    </row>
    <row r="8" spans="1:28" s="24" customFormat="1" ht="18" customHeight="1" x14ac:dyDescent="0.25">
      <c r="A8" s="32"/>
      <c r="B8" s="18"/>
      <c r="C8" s="397" t="str">
        <f>+CONCATENATE("Local Authority : ",+'Part 1'!L15)</f>
        <v>Local Authority : York</v>
      </c>
      <c r="D8" s="63"/>
      <c r="E8" s="63"/>
      <c r="F8" s="63"/>
      <c r="G8" s="355"/>
      <c r="H8" s="355"/>
      <c r="I8" s="355"/>
      <c r="J8" s="18"/>
      <c r="K8" s="18"/>
      <c r="L8" s="18"/>
      <c r="M8" s="18"/>
      <c r="N8" s="18"/>
      <c r="O8" s="18"/>
      <c r="P8" s="18"/>
      <c r="Q8" s="18"/>
      <c r="R8" s="18"/>
      <c r="S8" s="18"/>
      <c r="T8" s="18"/>
      <c r="U8" s="18"/>
      <c r="V8" s="8"/>
      <c r="W8" s="832"/>
      <c r="X8" s="832"/>
      <c r="Y8" s="832"/>
      <c r="Z8" s="832"/>
      <c r="AA8" s="832"/>
      <c r="AB8" s="5"/>
    </row>
    <row r="9" spans="1:28" ht="15.75" x14ac:dyDescent="0.25">
      <c r="A9" s="14"/>
      <c r="B9" s="2"/>
      <c r="C9" s="355"/>
      <c r="D9" s="355"/>
      <c r="E9" s="355"/>
      <c r="F9" s="355"/>
      <c r="G9" s="355"/>
      <c r="H9" s="355"/>
      <c r="I9" s="355"/>
      <c r="J9" s="18"/>
      <c r="K9" s="928" t="s">
        <v>23</v>
      </c>
      <c r="L9" s="928"/>
      <c r="M9" s="352"/>
      <c r="N9" s="352"/>
      <c r="O9" s="928" t="s">
        <v>24</v>
      </c>
      <c r="P9" s="928"/>
      <c r="Q9" s="352"/>
      <c r="R9" s="352"/>
      <c r="S9" s="927" t="s">
        <v>25</v>
      </c>
      <c r="T9" s="928"/>
      <c r="U9" s="1"/>
      <c r="V9" s="597"/>
    </row>
    <row r="10" spans="1:28" ht="15.75" x14ac:dyDescent="0.25">
      <c r="A10" s="14"/>
      <c r="B10" s="2"/>
      <c r="C10" s="178" t="s">
        <v>947</v>
      </c>
      <c r="D10" s="18"/>
      <c r="E10" s="18"/>
      <c r="F10" s="18"/>
      <c r="G10" s="18"/>
      <c r="H10" s="18"/>
      <c r="I10" s="18"/>
      <c r="J10" s="906" t="s">
        <v>53</v>
      </c>
      <c r="K10" s="906"/>
      <c r="L10" s="906"/>
      <c r="M10" s="906"/>
      <c r="N10" s="866" t="s">
        <v>51</v>
      </c>
      <c r="O10" s="866"/>
      <c r="P10" s="866"/>
      <c r="Q10" s="866"/>
      <c r="R10" s="351"/>
      <c r="S10" s="906" t="s">
        <v>943</v>
      </c>
      <c r="T10" s="929"/>
      <c r="U10" s="3"/>
      <c r="V10" s="597"/>
    </row>
    <row r="11" spans="1:28" ht="15" x14ac:dyDescent="0.2">
      <c r="A11" s="14"/>
      <c r="B11" s="2"/>
      <c r="C11" s="18"/>
      <c r="D11" s="18"/>
      <c r="E11" s="18"/>
      <c r="F11" s="18"/>
      <c r="G11" s="18"/>
      <c r="H11" s="18"/>
      <c r="I11" s="18"/>
      <c r="J11" s="906"/>
      <c r="K11" s="906"/>
      <c r="L11" s="906"/>
      <c r="M11" s="906"/>
      <c r="N11" s="866"/>
      <c r="O11" s="866"/>
      <c r="P11" s="866"/>
      <c r="Q11" s="866"/>
      <c r="R11" s="18"/>
      <c r="S11" s="929"/>
      <c r="T11" s="929"/>
      <c r="U11" s="2"/>
      <c r="V11" s="597"/>
    </row>
    <row r="12" spans="1:28" ht="30.75" customHeight="1" x14ac:dyDescent="0.25">
      <c r="A12" s="14"/>
      <c r="B12" s="2"/>
      <c r="C12" s="178"/>
      <c r="D12" s="18"/>
      <c r="E12" s="18"/>
      <c r="F12" s="18"/>
      <c r="G12" s="18"/>
      <c r="H12" s="18"/>
      <c r="I12" s="18"/>
      <c r="J12" s="353"/>
      <c r="K12" s="934"/>
      <c r="L12" s="934"/>
      <c r="M12" s="29"/>
      <c r="N12" s="934"/>
      <c r="O12" s="934"/>
      <c r="P12" s="934"/>
      <c r="Q12" s="934"/>
      <c r="R12" s="344"/>
      <c r="S12" s="935"/>
      <c r="T12" s="935"/>
      <c r="U12" s="344"/>
      <c r="V12" s="597"/>
    </row>
    <row r="13" spans="1:28" ht="18" customHeight="1" thickBot="1" x14ac:dyDescent="0.25">
      <c r="A13" s="14"/>
      <c r="B13" s="2"/>
      <c r="C13" s="49"/>
      <c r="D13" s="49"/>
      <c r="E13" s="49"/>
      <c r="F13" s="49"/>
      <c r="G13" s="49"/>
      <c r="H13" s="49"/>
      <c r="I13" s="49"/>
      <c r="J13" s="18"/>
      <c r="K13" s="985" t="s">
        <v>20</v>
      </c>
      <c r="L13" s="986"/>
      <c r="M13" s="54"/>
      <c r="N13" s="54"/>
      <c r="O13" s="985" t="s">
        <v>20</v>
      </c>
      <c r="P13" s="986"/>
      <c r="Q13" s="54"/>
      <c r="R13" s="322"/>
      <c r="S13" s="988" t="s">
        <v>20</v>
      </c>
      <c r="T13" s="989"/>
      <c r="U13" s="323"/>
      <c r="V13" s="597"/>
    </row>
    <row r="14" spans="1:28" ht="18" customHeight="1" thickBot="1" x14ac:dyDescent="0.25">
      <c r="A14" s="14"/>
      <c r="B14" s="2"/>
      <c r="C14" s="1015" t="s">
        <v>1436</v>
      </c>
      <c r="D14" s="1015"/>
      <c r="E14" s="1015"/>
      <c r="F14" s="1015"/>
      <c r="G14" s="1015"/>
      <c r="H14" s="1015"/>
      <c r="I14" s="135"/>
      <c r="J14" s="18"/>
      <c r="K14" s="992">
        <f>VLOOKUP('Part 1'!$L$16,Datasheet4!$B$5:$GB$332,X14,FALSE)</f>
        <v>-3051513</v>
      </c>
      <c r="L14" s="993"/>
      <c r="M14" s="102"/>
      <c r="N14" s="103"/>
      <c r="O14" s="992">
        <f>VLOOKUP('Part 1'!$L$16,Datasheet4!$B$5:$GB$332,Y14,FALSE)</f>
        <v>433574</v>
      </c>
      <c r="P14" s="993"/>
      <c r="Q14" s="102"/>
      <c r="R14" s="343"/>
      <c r="S14" s="972">
        <f>VLOOKUP('Part 1'!$L$16,Datasheet4!$B$5:$GB$332,Z14,FALSE)</f>
        <v>-2617939</v>
      </c>
      <c r="T14" s="1011"/>
      <c r="U14" s="323"/>
      <c r="V14" s="597"/>
      <c r="X14" s="486">
        <v>3</v>
      </c>
      <c r="Y14" s="486">
        <v>4</v>
      </c>
      <c r="Z14" s="486">
        <v>5</v>
      </c>
    </row>
    <row r="15" spans="1:28" ht="18" customHeight="1" thickBot="1" x14ac:dyDescent="0.25">
      <c r="A15" s="14"/>
      <c r="B15" s="2"/>
      <c r="C15" s="127"/>
      <c r="D15" s="127"/>
      <c r="E15" s="127"/>
      <c r="F15" s="127"/>
      <c r="G15" s="127"/>
      <c r="H15" s="127"/>
      <c r="I15" s="127"/>
      <c r="J15" s="2"/>
      <c r="K15" s="2"/>
      <c r="L15" s="2"/>
      <c r="M15" s="2"/>
      <c r="N15" s="2"/>
      <c r="O15" s="2"/>
      <c r="P15" s="2"/>
      <c r="Q15" s="2"/>
      <c r="R15" s="323"/>
      <c r="S15" s="323"/>
      <c r="T15" s="323"/>
      <c r="U15" s="323"/>
      <c r="V15" s="597"/>
    </row>
    <row r="16" spans="1:28" ht="18" customHeight="1" thickBot="1" x14ac:dyDescent="0.25">
      <c r="A16" s="14"/>
      <c r="B16" s="2"/>
      <c r="C16" s="854" t="s">
        <v>1437</v>
      </c>
      <c r="D16" s="854"/>
      <c r="E16" s="921"/>
      <c r="F16" s="921"/>
      <c r="G16" s="921"/>
      <c r="H16" s="921"/>
      <c r="I16" s="49"/>
      <c r="J16" s="18"/>
      <c r="K16" s="1016">
        <f>VLOOKUP('Part 1'!$L$16,Datasheet4!$B$5:$GB$332,X16,FALSE)</f>
        <v>-2698161</v>
      </c>
      <c r="L16" s="1017"/>
      <c r="M16" s="54"/>
      <c r="N16" s="54"/>
      <c r="O16" s="1016">
        <f>VLOOKUP('Part 1'!$L$16,Datasheet4!$B$5:$GB$332,Y16,FALSE)</f>
        <v>432696</v>
      </c>
      <c r="P16" s="1017"/>
      <c r="Q16" s="54"/>
      <c r="R16" s="322"/>
      <c r="S16" s="1005">
        <f>VLOOKUP('Part 1'!$L$16,Datasheet4!$B$5:$GB$332,Z16,FALSE)</f>
        <v>-2265465</v>
      </c>
      <c r="T16" s="1006"/>
      <c r="U16" s="323"/>
      <c r="V16" s="597"/>
      <c r="X16" s="486">
        <v>6</v>
      </c>
      <c r="Y16" s="486">
        <v>7</v>
      </c>
      <c r="Z16" s="486">
        <v>8</v>
      </c>
    </row>
    <row r="17" spans="1:26" ht="18" customHeight="1" x14ac:dyDescent="0.2">
      <c r="A17" s="14"/>
      <c r="B17" s="2"/>
      <c r="C17" s="959"/>
      <c r="D17" s="959"/>
      <c r="E17" s="959"/>
      <c r="F17" s="959"/>
      <c r="G17" s="959"/>
      <c r="H17" s="959"/>
      <c r="I17" s="49"/>
      <c r="J17" s="18"/>
      <c r="K17" s="55"/>
      <c r="L17" s="54"/>
      <c r="M17" s="54"/>
      <c r="N17" s="54"/>
      <c r="O17" s="55"/>
      <c r="P17" s="54"/>
      <c r="Q17" s="54"/>
      <c r="R17" s="322"/>
      <c r="S17" s="325"/>
      <c r="T17" s="322"/>
      <c r="U17" s="323"/>
      <c r="V17" s="597"/>
    </row>
    <row r="18" spans="1:26" ht="18" customHeight="1" thickBot="1" x14ac:dyDescent="0.25">
      <c r="A18" s="14"/>
      <c r="B18" s="2"/>
      <c r="C18" s="354"/>
      <c r="D18" s="354"/>
      <c r="E18" s="354"/>
      <c r="F18" s="354"/>
      <c r="G18" s="354"/>
      <c r="H18" s="354"/>
      <c r="I18" s="49"/>
      <c r="J18" s="18"/>
      <c r="K18" s="55"/>
      <c r="L18" s="54"/>
      <c r="M18" s="54"/>
      <c r="N18" s="54"/>
      <c r="O18" s="55"/>
      <c r="P18" s="54"/>
      <c r="Q18" s="54"/>
      <c r="R18" s="322"/>
      <c r="S18" s="325"/>
      <c r="T18" s="322"/>
      <c r="U18" s="323"/>
      <c r="V18" s="597"/>
    </row>
    <row r="19" spans="1:26" ht="18" customHeight="1" thickBot="1" x14ac:dyDescent="0.25">
      <c r="A19" s="14"/>
      <c r="B19" s="2"/>
      <c r="C19" s="74" t="s">
        <v>950</v>
      </c>
      <c r="D19" s="74"/>
      <c r="E19" s="49"/>
      <c r="F19" s="49"/>
      <c r="G19" s="49"/>
      <c r="H19" s="49"/>
      <c r="I19" s="49"/>
      <c r="J19" s="18"/>
      <c r="K19" s="992">
        <f>VLOOKUP('Part 1'!$L$16,Datasheet4!$B$5:$GB$332,X19,FALSE)</f>
        <v>-353352</v>
      </c>
      <c r="L19" s="993"/>
      <c r="M19" s="54"/>
      <c r="N19" s="54"/>
      <c r="O19" s="992">
        <f>VLOOKUP('Part 1'!$L$16,Datasheet4!$B$5:$GB$332,Y19,FALSE)</f>
        <v>878</v>
      </c>
      <c r="P19" s="993"/>
      <c r="Q19" s="54"/>
      <c r="R19" s="322"/>
      <c r="S19" s="1005">
        <f>VLOOKUP('Part 1'!$L$16,Datasheet4!$B$5:$GB$332,Z19,FALSE)</f>
        <v>-352474</v>
      </c>
      <c r="T19" s="1006"/>
      <c r="U19" s="323"/>
      <c r="V19" s="597"/>
      <c r="X19" s="486">
        <v>9</v>
      </c>
      <c r="Y19" s="486">
        <v>10</v>
      </c>
      <c r="Z19" s="486">
        <v>11</v>
      </c>
    </row>
    <row r="20" spans="1:26" ht="18" customHeight="1" thickBot="1" x14ac:dyDescent="0.25">
      <c r="A20" s="15"/>
      <c r="B20" s="16"/>
      <c r="C20" s="177"/>
      <c r="D20" s="177"/>
      <c r="E20" s="128"/>
      <c r="F20" s="128"/>
      <c r="G20" s="128"/>
      <c r="H20" s="128"/>
      <c r="I20" s="128"/>
      <c r="J20" s="70"/>
      <c r="K20" s="120"/>
      <c r="L20" s="121"/>
      <c r="M20" s="121"/>
      <c r="N20" s="121"/>
      <c r="O20" s="120"/>
      <c r="P20" s="121"/>
      <c r="Q20" s="121"/>
      <c r="R20" s="334"/>
      <c r="S20" s="335"/>
      <c r="T20" s="334"/>
      <c r="U20" s="336"/>
      <c r="V20" s="598"/>
    </row>
    <row r="21" spans="1:26" ht="9.75" customHeight="1" x14ac:dyDescent="0.2">
      <c r="A21" s="45"/>
      <c r="B21" s="46"/>
      <c r="C21" s="386"/>
      <c r="D21" s="386"/>
      <c r="E21" s="209"/>
      <c r="F21" s="209"/>
      <c r="G21" s="209"/>
      <c r="H21" s="209"/>
      <c r="I21" s="209"/>
      <c r="J21" s="210"/>
      <c r="K21" s="387"/>
      <c r="L21" s="388"/>
      <c r="M21" s="388"/>
      <c r="N21" s="388"/>
      <c r="O21" s="387"/>
      <c r="P21" s="388"/>
      <c r="Q21" s="388"/>
      <c r="R21" s="388"/>
      <c r="S21" s="387"/>
      <c r="T21" s="388"/>
      <c r="U21" s="46"/>
      <c r="V21" s="596"/>
    </row>
    <row r="22" spans="1:26" ht="9.75" customHeight="1" x14ac:dyDescent="0.2">
      <c r="A22" s="14"/>
      <c r="B22" s="2"/>
      <c r="C22" s="74"/>
      <c r="D22" s="74"/>
      <c r="E22" s="49"/>
      <c r="F22" s="49"/>
      <c r="G22" s="49"/>
      <c r="H22" s="49"/>
      <c r="I22" s="49"/>
      <c r="J22" s="18"/>
      <c r="K22" s="430"/>
      <c r="L22" s="124"/>
      <c r="M22" s="124"/>
      <c r="N22" s="124"/>
      <c r="O22" s="430"/>
      <c r="P22" s="124"/>
      <c r="Q22" s="124"/>
      <c r="R22" s="124"/>
      <c r="S22" s="430"/>
      <c r="T22" s="124"/>
      <c r="U22" s="2"/>
      <c r="V22" s="597"/>
    </row>
    <row r="23" spans="1:26" ht="18" customHeight="1" x14ac:dyDescent="0.25">
      <c r="A23" s="396" t="s">
        <v>952</v>
      </c>
      <c r="B23" s="2"/>
      <c r="C23" s="74"/>
      <c r="D23" s="74"/>
      <c r="E23" s="49"/>
      <c r="F23" s="49"/>
      <c r="G23" s="1012" t="s">
        <v>23</v>
      </c>
      <c r="H23" s="1012"/>
      <c r="I23" s="64"/>
      <c r="J23" s="18"/>
      <c r="K23" s="1012" t="s">
        <v>24</v>
      </c>
      <c r="L23" s="1012"/>
      <c r="M23" s="124"/>
      <c r="N23" s="124"/>
      <c r="O23" s="1012" t="s">
        <v>25</v>
      </c>
      <c r="P23" s="1012"/>
      <c r="Q23" s="124"/>
      <c r="R23" s="124"/>
      <c r="S23" s="1012" t="s">
        <v>26</v>
      </c>
      <c r="T23" s="1012"/>
      <c r="U23" s="2"/>
      <c r="V23" s="597"/>
    </row>
    <row r="24" spans="1:26" ht="22.5" customHeight="1" x14ac:dyDescent="0.2">
      <c r="A24" s="14"/>
      <c r="B24" s="2"/>
      <c r="C24" s="74"/>
      <c r="D24" s="74"/>
      <c r="E24" s="49"/>
      <c r="F24" s="1004" t="s">
        <v>6</v>
      </c>
      <c r="G24" s="1004"/>
      <c r="H24" s="1004"/>
      <c r="I24" s="1004"/>
      <c r="J24" s="1004" t="str">
        <f>+'Part 5'!O13</f>
        <v>York UA</v>
      </c>
      <c r="K24" s="1004"/>
      <c r="L24" s="1004"/>
      <c r="M24" s="1004"/>
      <c r="N24" s="1004" t="str">
        <f>+'Part 5'!S13</f>
        <v>UA</v>
      </c>
      <c r="O24" s="1004"/>
      <c r="P24" s="1004"/>
      <c r="Q24" s="1004"/>
      <c r="R24" s="1004" t="str">
        <f>+'Part 5'!W13</f>
        <v>North Yorkshire Fire Authority</v>
      </c>
      <c r="S24" s="1004"/>
      <c r="T24" s="1004"/>
      <c r="U24" s="1004"/>
      <c r="V24" s="597"/>
    </row>
    <row r="25" spans="1:26" ht="22.5" customHeight="1" x14ac:dyDescent="0.2">
      <c r="A25" s="14"/>
      <c r="B25" s="2"/>
      <c r="C25" s="74"/>
      <c r="D25" s="74"/>
      <c r="E25" s="49"/>
      <c r="F25" s="1004"/>
      <c r="G25" s="1004"/>
      <c r="H25" s="1004"/>
      <c r="I25" s="1004"/>
      <c r="J25" s="1004"/>
      <c r="K25" s="1004"/>
      <c r="L25" s="1004"/>
      <c r="M25" s="1004"/>
      <c r="N25" s="1004"/>
      <c r="O25" s="1004"/>
      <c r="P25" s="1004"/>
      <c r="Q25" s="1004"/>
      <c r="R25" s="1004"/>
      <c r="S25" s="1004"/>
      <c r="T25" s="1004"/>
      <c r="U25" s="1004"/>
      <c r="V25" s="597"/>
    </row>
    <row r="26" spans="1:26" ht="33" customHeight="1" x14ac:dyDescent="0.2">
      <c r="A26" s="14"/>
      <c r="B26" s="2"/>
      <c r="C26" s="74"/>
      <c r="D26" s="74"/>
      <c r="E26" s="49"/>
      <c r="F26" s="934"/>
      <c r="G26" s="934"/>
      <c r="H26" s="934"/>
      <c r="I26" s="934"/>
      <c r="J26" s="934"/>
      <c r="K26" s="934"/>
      <c r="L26" s="934"/>
      <c r="M26" s="934"/>
      <c r="N26" s="934"/>
      <c r="O26" s="934"/>
      <c r="P26" s="934"/>
      <c r="Q26" s="934"/>
      <c r="R26" s="934"/>
      <c r="S26" s="934"/>
      <c r="T26" s="934"/>
      <c r="U26" s="934"/>
      <c r="V26" s="597"/>
    </row>
    <row r="27" spans="1:26" ht="18" customHeight="1" x14ac:dyDescent="0.2">
      <c r="A27" s="14"/>
      <c r="B27" s="2"/>
      <c r="C27" s="349"/>
      <c r="D27" s="126"/>
      <c r="E27" s="127"/>
      <c r="F27" s="127"/>
      <c r="G27" s="985" t="s">
        <v>20</v>
      </c>
      <c r="H27" s="986"/>
      <c r="I27" s="49"/>
      <c r="J27" s="127"/>
      <c r="K27" s="985" t="s">
        <v>20</v>
      </c>
      <c r="L27" s="986"/>
      <c r="M27" s="54"/>
      <c r="N27" s="2"/>
      <c r="O27" s="1018" t="s">
        <v>20</v>
      </c>
      <c r="P27" s="1018"/>
      <c r="Q27" s="54"/>
      <c r="R27" s="54"/>
      <c r="S27" s="985" t="s">
        <v>20</v>
      </c>
      <c r="T27" s="986"/>
      <c r="U27" s="2"/>
      <c r="V27" s="597"/>
    </row>
    <row r="28" spans="1:26" ht="1.5" customHeight="1" thickBot="1" x14ac:dyDescent="0.25">
      <c r="A28" s="14"/>
      <c r="B28" s="2"/>
      <c r="C28" s="429"/>
      <c r="D28" s="126"/>
      <c r="E28" s="127"/>
      <c r="F28" s="127"/>
      <c r="G28" s="431"/>
      <c r="H28" s="432"/>
      <c r="I28" s="49"/>
      <c r="J28" s="127"/>
      <c r="K28" s="431"/>
      <c r="L28" s="432"/>
      <c r="M28" s="54"/>
      <c r="N28" s="2"/>
      <c r="O28" s="433"/>
      <c r="P28" s="433"/>
      <c r="Q28" s="54"/>
      <c r="R28" s="54"/>
      <c r="S28" s="431"/>
      <c r="T28" s="432"/>
      <c r="U28" s="2"/>
      <c r="V28" s="597"/>
    </row>
    <row r="29" spans="1:26" ht="18" customHeight="1" thickBot="1" x14ac:dyDescent="0.25">
      <c r="A29" s="1003" t="s">
        <v>941</v>
      </c>
      <c r="B29" s="837"/>
      <c r="C29" s="837"/>
      <c r="D29" s="837"/>
      <c r="E29" s="837"/>
      <c r="F29" s="837"/>
      <c r="G29" s="1009">
        <f>VLOOKUP('Part 1'!$L$16,Datasheet4!$B$5:$GB$332,W29,FALSE)</f>
        <v>0.5</v>
      </c>
      <c r="H29" s="1010"/>
      <c r="I29" s="314"/>
      <c r="J29" s="127"/>
      <c r="K29" s="1009">
        <f>VLOOKUP('Part 1'!$L$16,Datasheet4!$B$5:$GB$332,X29,FALSE)</f>
        <v>0.49</v>
      </c>
      <c r="L29" s="1010"/>
      <c r="M29" s="54"/>
      <c r="N29" s="54"/>
      <c r="O29" s="1009">
        <f>VLOOKUP('Part 1'!$L$16,Datasheet4!$B$5:$GB$332,Y29,FALSE)</f>
        <v>0</v>
      </c>
      <c r="P29" s="1010"/>
      <c r="Q29" s="64"/>
      <c r="R29" s="64"/>
      <c r="S29" s="1009">
        <f>VLOOKUP('Part 1'!$L$16,Datasheet4!$B$5:$GB$332,Z29,FALSE)</f>
        <v>0.01</v>
      </c>
      <c r="T29" s="1010"/>
      <c r="U29" s="2"/>
      <c r="V29" s="597"/>
      <c r="W29" s="486">
        <v>180</v>
      </c>
      <c r="X29" s="486">
        <v>181</v>
      </c>
      <c r="Y29" s="486">
        <v>182</v>
      </c>
      <c r="Z29" s="486">
        <v>183</v>
      </c>
    </row>
    <row r="30" spans="1:26" ht="18" customHeight="1" x14ac:dyDescent="0.2">
      <c r="A30" s="839"/>
      <c r="B30" s="837"/>
      <c r="C30" s="837"/>
      <c r="D30" s="837"/>
      <c r="E30" s="837"/>
      <c r="F30" s="837"/>
      <c r="G30" s="6"/>
      <c r="H30" s="501"/>
      <c r="I30" s="501"/>
      <c r="J30" s="127"/>
      <c r="K30" s="501"/>
      <c r="L30" s="501"/>
      <c r="M30" s="54"/>
      <c r="N30" s="54"/>
      <c r="O30" s="501"/>
      <c r="P30" s="64"/>
      <c r="Q30" s="501"/>
      <c r="R30" s="501"/>
      <c r="S30" s="496"/>
      <c r="T30" s="501"/>
      <c r="U30" s="2"/>
      <c r="V30" s="597"/>
    </row>
    <row r="31" spans="1:26" ht="18" customHeight="1" x14ac:dyDescent="0.2">
      <c r="A31" s="14"/>
      <c r="B31" s="2"/>
      <c r="C31" s="349"/>
      <c r="D31" s="126"/>
      <c r="E31" s="127"/>
      <c r="F31" s="127"/>
      <c r="G31" s="127"/>
      <c r="H31" s="127"/>
      <c r="I31" s="127"/>
      <c r="J31" s="127"/>
      <c r="K31" s="127"/>
      <c r="L31" s="127"/>
      <c r="M31" s="54"/>
      <c r="N31" s="54"/>
      <c r="O31" s="2"/>
      <c r="P31" s="127"/>
      <c r="Q31" s="127"/>
      <c r="R31" s="127"/>
      <c r="S31" s="127"/>
      <c r="T31" s="127"/>
      <c r="U31" s="2"/>
      <c r="V31" s="597"/>
    </row>
    <row r="32" spans="1:26" ht="18" customHeight="1" thickBot="1" x14ac:dyDescent="0.25">
      <c r="A32" s="14"/>
      <c r="B32" s="2"/>
      <c r="C32" s="126" t="s">
        <v>16</v>
      </c>
      <c r="D32" s="126"/>
      <c r="E32" s="49"/>
      <c r="F32" s="49"/>
      <c r="G32" s="985"/>
      <c r="H32" s="986"/>
      <c r="I32" s="49"/>
      <c r="J32" s="18"/>
      <c r="K32" s="985"/>
      <c r="L32" s="986"/>
      <c r="M32" s="54"/>
      <c r="N32" s="54"/>
      <c r="O32" s="985"/>
      <c r="P32" s="986"/>
      <c r="Q32" s="54"/>
      <c r="R32" s="54"/>
      <c r="S32" s="985"/>
      <c r="T32" s="986"/>
      <c r="U32" s="2"/>
      <c r="V32" s="597"/>
    </row>
    <row r="33" spans="1:25" ht="18" customHeight="1" thickBot="1" x14ac:dyDescent="0.25">
      <c r="A33" s="14"/>
      <c r="B33" s="2"/>
      <c r="C33" s="74" t="s">
        <v>1435</v>
      </c>
      <c r="D33" s="74"/>
      <c r="E33" s="49"/>
      <c r="F33" s="49"/>
      <c r="G33" s="49"/>
      <c r="H33" s="49"/>
      <c r="I33" s="49"/>
      <c r="J33" s="18"/>
      <c r="K33" s="992">
        <f>VLOOKUP('Part 1'!$L$16,Datasheet4!$B$5:$GB$332,X33,FALSE)</f>
        <v>291989</v>
      </c>
      <c r="L33" s="993"/>
      <c r="M33" s="2"/>
      <c r="N33" s="2"/>
      <c r="O33" s="2"/>
      <c r="P33" s="2"/>
      <c r="Q33" s="2"/>
      <c r="R33" s="2"/>
      <c r="S33" s="54"/>
      <c r="T33" s="54"/>
      <c r="U33" s="2"/>
      <c r="V33" s="597"/>
      <c r="X33" s="486">
        <v>12</v>
      </c>
    </row>
    <row r="34" spans="1:25" ht="18" customHeight="1" thickBot="1" x14ac:dyDescent="0.25">
      <c r="A34" s="14"/>
      <c r="B34" s="2"/>
      <c r="C34" s="49"/>
      <c r="D34" s="49"/>
      <c r="E34" s="49"/>
      <c r="F34" s="49"/>
      <c r="G34" s="49"/>
      <c r="H34" s="49"/>
      <c r="I34" s="49"/>
      <c r="J34" s="18"/>
      <c r="K34" s="18"/>
      <c r="L34" s="18"/>
      <c r="M34" s="2"/>
      <c r="N34" s="2"/>
      <c r="O34" s="2"/>
      <c r="P34" s="2"/>
      <c r="Q34" s="2"/>
      <c r="R34" s="2"/>
      <c r="S34" s="54"/>
      <c r="T34" s="54"/>
      <c r="U34" s="2"/>
      <c r="V34" s="597"/>
    </row>
    <row r="35" spans="1:25" ht="18" customHeight="1" thickBot="1" x14ac:dyDescent="0.25">
      <c r="A35" s="14"/>
      <c r="B35" s="2"/>
      <c r="C35" s="74" t="s">
        <v>75</v>
      </c>
      <c r="D35" s="74"/>
      <c r="E35" s="49"/>
      <c r="F35" s="49"/>
      <c r="G35" s="49"/>
      <c r="H35" s="49"/>
      <c r="I35" s="49"/>
      <c r="J35" s="18"/>
      <c r="K35" s="1013">
        <f>VLOOKUP('Part 1'!$L$16,Datasheet4!$B$5:$GB$332,X35,FALSE)</f>
        <v>291989</v>
      </c>
      <c r="L35" s="1014"/>
      <c r="M35" s="2"/>
      <c r="N35" s="2"/>
      <c r="O35" s="2"/>
      <c r="P35" s="2"/>
      <c r="Q35" s="2"/>
      <c r="R35" s="2"/>
      <c r="S35" s="54"/>
      <c r="T35" s="54"/>
      <c r="U35" s="2"/>
      <c r="V35" s="597"/>
      <c r="X35" s="486">
        <v>13</v>
      </c>
    </row>
    <row r="36" spans="1:25" ht="18" customHeight="1" thickBot="1" x14ac:dyDescent="0.25">
      <c r="A36" s="14"/>
      <c r="B36" s="2"/>
      <c r="C36" s="49"/>
      <c r="D36" s="49"/>
      <c r="E36" s="49"/>
      <c r="F36" s="49"/>
      <c r="G36" s="49"/>
      <c r="H36" s="49"/>
      <c r="I36" s="49"/>
      <c r="J36" s="18"/>
      <c r="K36" s="55"/>
      <c r="L36" s="54"/>
      <c r="M36" s="2"/>
      <c r="N36" s="2"/>
      <c r="O36" s="2"/>
      <c r="P36" s="2"/>
      <c r="Q36" s="2"/>
      <c r="R36" s="2"/>
      <c r="S36" s="54"/>
      <c r="T36" s="54"/>
      <c r="U36" s="2"/>
      <c r="V36" s="597"/>
    </row>
    <row r="37" spans="1:25" ht="18" customHeight="1" thickBot="1" x14ac:dyDescent="0.25">
      <c r="A37" s="14"/>
      <c r="B37" s="2"/>
      <c r="C37" s="74" t="s">
        <v>953</v>
      </c>
      <c r="D37" s="74"/>
      <c r="E37" s="49"/>
      <c r="F37" s="49"/>
      <c r="G37" s="49"/>
      <c r="H37" s="49"/>
      <c r="I37" s="49"/>
      <c r="J37" s="18"/>
      <c r="K37" s="992">
        <f>VLOOKUP('Part 1'!$L$16,Datasheet4!$B$5:$GB$332,X37,FALSE)</f>
        <v>0</v>
      </c>
      <c r="L37" s="993"/>
      <c r="M37" s="2"/>
      <c r="N37" s="2"/>
      <c r="O37" s="2"/>
      <c r="P37" s="2"/>
      <c r="Q37" s="2"/>
      <c r="R37" s="2"/>
      <c r="S37" s="54"/>
      <c r="T37" s="54"/>
      <c r="U37" s="2"/>
      <c r="V37" s="597"/>
      <c r="X37" s="486">
        <v>14</v>
      </c>
    </row>
    <row r="38" spans="1:25" ht="18" customHeight="1" x14ac:dyDescent="0.2">
      <c r="A38" s="14"/>
      <c r="B38" s="2"/>
      <c r="C38" s="49"/>
      <c r="D38" s="49"/>
      <c r="E38" s="49"/>
      <c r="F38" s="49"/>
      <c r="G38" s="49"/>
      <c r="H38" s="49"/>
      <c r="I38" s="49"/>
      <c r="J38" s="18"/>
      <c r="K38" s="2"/>
      <c r="L38" s="2"/>
      <c r="M38" s="2"/>
      <c r="N38" s="2"/>
      <c r="O38" s="2"/>
      <c r="P38" s="2"/>
      <c r="Q38" s="2"/>
      <c r="R38" s="2"/>
      <c r="S38" s="54"/>
      <c r="T38" s="54"/>
      <c r="U38" s="2"/>
      <c r="V38" s="597"/>
    </row>
    <row r="39" spans="1:25" ht="18" customHeight="1" thickBot="1" x14ac:dyDescent="0.25">
      <c r="A39" s="14"/>
      <c r="B39" s="2"/>
      <c r="C39" s="349" t="s">
        <v>51</v>
      </c>
      <c r="D39" s="349"/>
      <c r="E39" s="49"/>
      <c r="F39" s="49"/>
      <c r="G39" s="49"/>
      <c r="H39" s="49"/>
      <c r="I39" s="49"/>
      <c r="J39" s="18"/>
      <c r="K39" s="2"/>
      <c r="L39" s="2"/>
      <c r="M39" s="2"/>
      <c r="N39" s="2"/>
      <c r="O39" s="2"/>
      <c r="P39" s="2"/>
      <c r="Q39" s="2"/>
      <c r="R39" s="2"/>
      <c r="S39" s="54"/>
      <c r="T39" s="54"/>
      <c r="U39" s="2"/>
      <c r="V39" s="597"/>
    </row>
    <row r="40" spans="1:25" ht="18" customHeight="1" thickBot="1" x14ac:dyDescent="0.25">
      <c r="A40" s="14"/>
      <c r="B40" s="2"/>
      <c r="C40" s="74" t="s">
        <v>1434</v>
      </c>
      <c r="D40" s="74"/>
      <c r="E40" s="49"/>
      <c r="F40" s="49"/>
      <c r="G40" s="49"/>
      <c r="H40" s="49"/>
      <c r="I40" s="49"/>
      <c r="J40" s="18"/>
      <c r="K40" s="992">
        <f>VLOOKUP('Part 1'!$L$16,Datasheet4!$B$5:$GB$332,X40,FALSE)</f>
        <v>523678</v>
      </c>
      <c r="L40" s="993"/>
      <c r="M40" s="2"/>
      <c r="N40" s="2"/>
      <c r="O40" s="2"/>
      <c r="P40" s="2"/>
      <c r="Q40" s="2"/>
      <c r="R40" s="2"/>
      <c r="S40" s="54"/>
      <c r="T40" s="54"/>
      <c r="U40" s="2"/>
      <c r="V40" s="597"/>
      <c r="X40" s="486">
        <v>15</v>
      </c>
    </row>
    <row r="41" spans="1:25" ht="18" customHeight="1" thickBot="1" x14ac:dyDescent="0.25">
      <c r="A41" s="14"/>
      <c r="B41" s="2"/>
      <c r="C41" s="49"/>
      <c r="D41" s="49"/>
      <c r="E41" s="49"/>
      <c r="F41" s="49"/>
      <c r="G41" s="49"/>
      <c r="H41" s="49"/>
      <c r="I41" s="49"/>
      <c r="J41" s="18"/>
      <c r="K41" s="18"/>
      <c r="L41" s="18"/>
      <c r="M41" s="2"/>
      <c r="N41" s="2"/>
      <c r="O41" s="2"/>
      <c r="P41" s="2"/>
      <c r="Q41" s="2"/>
      <c r="R41" s="2"/>
      <c r="S41" s="54"/>
      <c r="T41" s="54"/>
      <c r="U41" s="2"/>
      <c r="V41" s="597"/>
    </row>
    <row r="42" spans="1:25" ht="18" customHeight="1" thickBot="1" x14ac:dyDescent="0.25">
      <c r="A42" s="14"/>
      <c r="B42" s="2"/>
      <c r="C42" s="74" t="s">
        <v>76</v>
      </c>
      <c r="D42" s="74"/>
      <c r="E42" s="49"/>
      <c r="F42" s="49"/>
      <c r="G42" s="49"/>
      <c r="H42" s="49"/>
      <c r="I42" s="49"/>
      <c r="J42" s="18"/>
      <c r="K42" s="1013">
        <f>VLOOKUP('Part 1'!$L$16,Datasheet4!$B$5:$GB$332,X42,FALSE)</f>
        <v>515803</v>
      </c>
      <c r="L42" s="1014"/>
      <c r="M42" s="2"/>
      <c r="N42" s="2"/>
      <c r="O42" s="2"/>
      <c r="P42" s="2"/>
      <c r="Q42" s="2"/>
      <c r="R42" s="2"/>
      <c r="S42" s="54"/>
      <c r="T42" s="54"/>
      <c r="U42" s="2"/>
      <c r="V42" s="597"/>
      <c r="X42" s="486">
        <v>16</v>
      </c>
    </row>
    <row r="43" spans="1:25" ht="18" customHeight="1" thickBot="1" x14ac:dyDescent="0.25">
      <c r="A43" s="14"/>
      <c r="B43" s="2"/>
      <c r="C43" s="49"/>
      <c r="D43" s="49"/>
      <c r="E43" s="49"/>
      <c r="F43" s="49"/>
      <c r="G43" s="49"/>
      <c r="H43" s="49"/>
      <c r="I43" s="49"/>
      <c r="J43" s="18"/>
      <c r="K43" s="55"/>
      <c r="L43" s="54"/>
      <c r="M43" s="2"/>
      <c r="N43" s="2"/>
      <c r="O43" s="2"/>
      <c r="P43" s="2"/>
      <c r="Q43" s="2"/>
      <c r="R43" s="2"/>
      <c r="S43" s="54"/>
      <c r="T43" s="54"/>
      <c r="U43" s="2"/>
      <c r="V43" s="597"/>
    </row>
    <row r="44" spans="1:25" ht="18" customHeight="1" thickBot="1" x14ac:dyDescent="0.25">
      <c r="A44" s="14"/>
      <c r="B44" s="2"/>
      <c r="C44" s="74" t="s">
        <v>951</v>
      </c>
      <c r="D44" s="74"/>
      <c r="E44" s="49"/>
      <c r="F44" s="49"/>
      <c r="G44" s="49"/>
      <c r="H44" s="49"/>
      <c r="I44" s="49"/>
      <c r="J44" s="18"/>
      <c r="K44" s="992">
        <f>VLOOKUP('Part 1'!$L$16,Datasheet4!$B$5:$GB$332,X44,FALSE)</f>
        <v>7875</v>
      </c>
      <c r="L44" s="993"/>
      <c r="M44" s="2"/>
      <c r="N44" s="2"/>
      <c r="O44" s="2"/>
      <c r="P44" s="2"/>
      <c r="Q44" s="2"/>
      <c r="R44" s="2"/>
      <c r="S44" s="54"/>
      <c r="T44" s="54"/>
      <c r="U44" s="2"/>
      <c r="V44" s="597"/>
      <c r="X44" s="486">
        <v>17</v>
      </c>
    </row>
    <row r="45" spans="1:25" ht="18" customHeight="1" x14ac:dyDescent="0.2">
      <c r="A45" s="14"/>
      <c r="B45" s="2"/>
      <c r="C45" s="49"/>
      <c r="D45" s="49"/>
      <c r="E45" s="49"/>
      <c r="F45" s="49"/>
      <c r="G45" s="49"/>
      <c r="H45" s="49"/>
      <c r="I45" s="49"/>
      <c r="J45" s="18"/>
      <c r="K45" s="2"/>
      <c r="L45" s="2"/>
      <c r="M45" s="2"/>
      <c r="N45" s="2"/>
      <c r="O45" s="2"/>
      <c r="P45" s="2"/>
      <c r="Q45" s="2"/>
      <c r="R45" s="2"/>
      <c r="S45" s="54"/>
      <c r="T45" s="54"/>
      <c r="U45" s="2"/>
      <c r="V45" s="597"/>
    </row>
    <row r="46" spans="1:25" ht="18" customHeight="1" thickBot="1" x14ac:dyDescent="0.25">
      <c r="A46" s="14"/>
      <c r="B46" s="2"/>
      <c r="C46" s="126" t="s">
        <v>17</v>
      </c>
      <c r="D46" s="126"/>
      <c r="E46" s="49"/>
      <c r="F46" s="49"/>
      <c r="G46" s="49"/>
      <c r="H46" s="49"/>
      <c r="I46" s="49"/>
      <c r="J46" s="18"/>
      <c r="K46" s="2"/>
      <c r="L46" s="2"/>
      <c r="M46" s="2"/>
      <c r="N46" s="2"/>
      <c r="O46" s="2"/>
      <c r="P46" s="2"/>
      <c r="Q46" s="2"/>
      <c r="R46" s="2"/>
      <c r="S46" s="54"/>
      <c r="T46" s="54"/>
      <c r="U46" s="29"/>
      <c r="V46" s="597"/>
    </row>
    <row r="47" spans="1:25" ht="18" customHeight="1" thickBot="1" x14ac:dyDescent="0.25">
      <c r="A47" s="14"/>
      <c r="B47" s="2"/>
      <c r="C47" s="74" t="s">
        <v>1433</v>
      </c>
      <c r="D47" s="74"/>
      <c r="E47" s="49"/>
      <c r="F47" s="49"/>
      <c r="G47" s="49"/>
      <c r="H47" s="49"/>
      <c r="I47" s="49"/>
      <c r="J47" s="18"/>
      <c r="K47" s="992">
        <f>VLOOKUP('Part 1'!$L$16,Datasheet4!$B$5:$GB$332,X47,FALSE)</f>
        <v>0</v>
      </c>
      <c r="L47" s="993"/>
      <c r="M47" s="2"/>
      <c r="N47" s="2"/>
      <c r="O47" s="992">
        <f>VLOOKUP('Part 1'!$L$16,Datasheet4!$B$5:$GB$332,Y47,FALSE)</f>
        <v>0</v>
      </c>
      <c r="P47" s="993"/>
      <c r="Q47" s="2"/>
      <c r="R47" s="2"/>
      <c r="S47" s="54"/>
      <c r="T47" s="54"/>
      <c r="U47" s="29"/>
      <c r="V47" s="597"/>
      <c r="X47" s="486">
        <v>18</v>
      </c>
      <c r="Y47" s="486">
        <v>19</v>
      </c>
    </row>
    <row r="48" spans="1:25" ht="18" customHeight="1" thickBot="1" x14ac:dyDescent="0.25">
      <c r="A48" s="14"/>
      <c r="B48" s="2"/>
      <c r="C48" s="49"/>
      <c r="D48" s="49"/>
      <c r="E48" s="49"/>
      <c r="F48" s="49"/>
      <c r="G48" s="49"/>
      <c r="H48" s="49"/>
      <c r="I48" s="49"/>
      <c r="J48" s="18"/>
      <c r="K48" s="18"/>
      <c r="L48" s="18"/>
      <c r="M48" s="2"/>
      <c r="N48" s="2"/>
      <c r="O48" s="402"/>
      <c r="P48" s="402"/>
      <c r="Q48" s="2"/>
      <c r="R48" s="2"/>
      <c r="S48" s="54"/>
      <c r="T48" s="54"/>
      <c r="U48" s="29"/>
      <c r="V48" s="597"/>
    </row>
    <row r="49" spans="1:26" ht="18" customHeight="1" thickBot="1" x14ac:dyDescent="0.25">
      <c r="A49" s="14"/>
      <c r="B49" s="2"/>
      <c r="C49" s="74" t="s">
        <v>77</v>
      </c>
      <c r="D49" s="74"/>
      <c r="E49" s="49"/>
      <c r="F49" s="49"/>
      <c r="G49" s="49"/>
      <c r="H49" s="49"/>
      <c r="I49" s="49"/>
      <c r="J49" s="18"/>
      <c r="K49" s="1013">
        <f>VLOOKUP('Part 1'!$L$16,Datasheet4!$B$5:$GB$332,X49,FALSE)</f>
        <v>0</v>
      </c>
      <c r="L49" s="1014"/>
      <c r="M49" s="2"/>
      <c r="N49" s="2"/>
      <c r="O49" s="998">
        <f>VLOOKUP('Part 1'!$L$16,Datasheet4!$B$5:$GB$332,Y49,FALSE)</f>
        <v>0</v>
      </c>
      <c r="P49" s="999"/>
      <c r="Q49" s="2"/>
      <c r="R49" s="2"/>
      <c r="S49" s="54"/>
      <c r="T49" s="54"/>
      <c r="U49" s="29"/>
      <c r="V49" s="597"/>
      <c r="X49" s="486">
        <v>20</v>
      </c>
      <c r="Y49" s="486">
        <v>21</v>
      </c>
    </row>
    <row r="50" spans="1:26" ht="18" customHeight="1" thickBot="1" x14ac:dyDescent="0.25">
      <c r="A50" s="14"/>
      <c r="B50" s="2"/>
      <c r="C50" s="49"/>
      <c r="D50" s="49"/>
      <c r="E50" s="49"/>
      <c r="F50" s="49"/>
      <c r="G50" s="49"/>
      <c r="H50" s="49"/>
      <c r="I50" s="49"/>
      <c r="J50" s="18"/>
      <c r="K50" s="55"/>
      <c r="L50" s="54"/>
      <c r="M50" s="2"/>
      <c r="N50" s="2"/>
      <c r="O50" s="55"/>
      <c r="P50" s="54"/>
      <c r="Q50" s="2"/>
      <c r="R50" s="2"/>
      <c r="S50" s="54"/>
      <c r="T50" s="54"/>
      <c r="U50" s="29"/>
      <c r="V50" s="597"/>
    </row>
    <row r="51" spans="1:26" ht="18" customHeight="1" thickBot="1" x14ac:dyDescent="0.25">
      <c r="A51" s="14"/>
      <c r="B51" s="2"/>
      <c r="C51" s="74" t="s">
        <v>954</v>
      </c>
      <c r="D51" s="74"/>
      <c r="E51" s="49"/>
      <c r="F51" s="49"/>
      <c r="G51" s="49"/>
      <c r="H51" s="49"/>
      <c r="I51" s="49"/>
      <c r="J51" s="18"/>
      <c r="K51" s="992">
        <f>VLOOKUP('Part 1'!$L$16,Datasheet4!$B$5:$GB$332,X51,FALSE)</f>
        <v>0</v>
      </c>
      <c r="L51" s="993"/>
      <c r="M51" s="29"/>
      <c r="N51" s="29"/>
      <c r="O51" s="992">
        <f>VLOOKUP('Part 1'!$L$16,Datasheet4!$B$5:$GB$332,Y51,FALSE)</f>
        <v>0</v>
      </c>
      <c r="P51" s="1020"/>
      <c r="Q51" s="2"/>
      <c r="R51" s="2"/>
      <c r="S51" s="54"/>
      <c r="T51" s="54"/>
      <c r="U51" s="29"/>
      <c r="V51" s="597"/>
      <c r="X51" s="486">
        <v>22</v>
      </c>
      <c r="Y51" s="486">
        <v>23</v>
      </c>
    </row>
    <row r="52" spans="1:26" ht="18" customHeight="1" x14ac:dyDescent="0.2">
      <c r="A52" s="14"/>
      <c r="B52" s="2"/>
      <c r="C52" s="49"/>
      <c r="D52" s="49"/>
      <c r="E52" s="49"/>
      <c r="F52" s="49"/>
      <c r="G52" s="49"/>
      <c r="H52" s="49"/>
      <c r="I52" s="49"/>
      <c r="J52" s="29"/>
      <c r="K52" s="29"/>
      <c r="L52" s="2"/>
      <c r="M52" s="2"/>
      <c r="N52" s="2"/>
      <c r="O52" s="403"/>
      <c r="P52" s="402"/>
      <c r="Q52" s="2"/>
      <c r="R52" s="2"/>
      <c r="S52" s="54"/>
      <c r="T52" s="54"/>
      <c r="U52" s="29"/>
      <c r="V52" s="597"/>
    </row>
    <row r="53" spans="1:26" ht="18" customHeight="1" thickBot="1" x14ac:dyDescent="0.25">
      <c r="A53" s="14"/>
      <c r="B53" s="2"/>
      <c r="C53" s="737" t="s">
        <v>1381</v>
      </c>
      <c r="D53" s="126"/>
      <c r="E53" s="49"/>
      <c r="F53" s="49"/>
      <c r="G53" s="49"/>
      <c r="H53" s="49"/>
      <c r="I53" s="49"/>
      <c r="J53" s="29"/>
      <c r="K53" s="29"/>
      <c r="L53" s="2"/>
      <c r="M53" s="2"/>
      <c r="N53" s="2"/>
      <c r="O53" s="403"/>
      <c r="P53" s="403"/>
      <c r="Q53" s="2"/>
      <c r="R53" s="2"/>
      <c r="S53" s="54"/>
      <c r="T53" s="54"/>
      <c r="U53" s="29"/>
      <c r="V53" s="597"/>
    </row>
    <row r="54" spans="1:26" ht="16.5" customHeight="1" thickBot="1" x14ac:dyDescent="0.25">
      <c r="A54" s="14"/>
      <c r="B54" s="2"/>
      <c r="C54" s="887" t="s">
        <v>945</v>
      </c>
      <c r="D54" s="887"/>
      <c r="E54" s="887"/>
      <c r="F54" s="49"/>
      <c r="G54" s="967">
        <f>VLOOKUP('Part 1'!$L$16,Datasheet4!$B$5:$GB$332,W54,FALSE)</f>
        <v>0</v>
      </c>
      <c r="H54" s="968"/>
      <c r="I54" s="74"/>
      <c r="J54" s="6"/>
      <c r="K54" s="967">
        <f>VLOOKUP('Part 1'!$L$16,Datasheet4!$B$5:$GB$332,X54,FALSE)</f>
        <v>0</v>
      </c>
      <c r="L54" s="968"/>
      <c r="M54" s="2"/>
      <c r="N54" s="2"/>
      <c r="O54" s="967">
        <f>VLOOKUP('Part 1'!$L$16,Datasheet4!$B$5:$GB$332,Y54,FALSE)</f>
        <v>0</v>
      </c>
      <c r="P54" s="1001"/>
      <c r="Q54" s="2"/>
      <c r="R54" s="2"/>
      <c r="S54" s="967">
        <f>VLOOKUP('Part 1'!$L$16,Datasheet4!$B$5:$GB$332,Z54,FALSE)</f>
        <v>0</v>
      </c>
      <c r="T54" s="968"/>
      <c r="U54" s="29"/>
      <c r="V54" s="597"/>
      <c r="W54" s="486">
        <v>24</v>
      </c>
      <c r="X54" s="486">
        <v>25</v>
      </c>
      <c r="Y54" s="486">
        <v>26</v>
      </c>
      <c r="Z54" s="486">
        <v>27</v>
      </c>
    </row>
    <row r="55" spans="1:26" ht="15" x14ac:dyDescent="0.2">
      <c r="A55" s="14"/>
      <c r="B55" s="2"/>
      <c r="C55" s="887"/>
      <c r="D55" s="887"/>
      <c r="E55" s="887"/>
      <c r="F55" s="49"/>
      <c r="G55" s="49"/>
      <c r="H55" s="49"/>
      <c r="I55" s="49"/>
      <c r="J55" s="49"/>
      <c r="K55" s="49"/>
      <c r="L55" s="49"/>
      <c r="M55" s="49"/>
      <c r="N55" s="49"/>
      <c r="O55" s="404"/>
      <c r="P55" s="404"/>
      <c r="Q55" s="49"/>
      <c r="R55" s="49"/>
      <c r="S55" s="49"/>
      <c r="T55" s="49"/>
      <c r="U55" s="29"/>
      <c r="V55" s="597"/>
    </row>
    <row r="56" spans="1:26" ht="15.75" thickBot="1" x14ac:dyDescent="0.25">
      <c r="A56" s="14"/>
      <c r="B56" s="104"/>
      <c r="C56" s="49"/>
      <c r="D56" s="49"/>
      <c r="E56" s="49"/>
      <c r="F56" s="49"/>
      <c r="G56" s="18"/>
      <c r="H56" s="18"/>
      <c r="I56" s="49"/>
      <c r="J56" s="18"/>
      <c r="K56" s="18"/>
      <c r="L56" s="18"/>
      <c r="M56" s="2"/>
      <c r="N56" s="2"/>
      <c r="O56" s="402"/>
      <c r="P56" s="402"/>
      <c r="Q56" s="2"/>
      <c r="R56" s="49"/>
      <c r="S56" s="18"/>
      <c r="T56" s="18"/>
      <c r="U56" s="29"/>
      <c r="V56" s="597"/>
    </row>
    <row r="57" spans="1:26" ht="18" customHeight="1" thickBot="1" x14ac:dyDescent="0.25">
      <c r="A57" s="14"/>
      <c r="B57" s="104"/>
      <c r="C57" s="74" t="s">
        <v>946</v>
      </c>
      <c r="D57" s="74"/>
      <c r="E57" s="49"/>
      <c r="F57" s="49"/>
      <c r="G57" s="1013">
        <f>VLOOKUP('Part 1'!$L$16,Datasheet4!$B$5:$GB$332,W57,FALSE)</f>
        <v>0</v>
      </c>
      <c r="H57" s="1014"/>
      <c r="I57" s="49"/>
      <c r="J57" s="18"/>
      <c r="K57" s="994">
        <f>VLOOKUP('Part 1'!$L$16,Datasheet4!$B$5:$GB$332,X57,FALSE)</f>
        <v>0</v>
      </c>
      <c r="L57" s="995"/>
      <c r="M57" s="2"/>
      <c r="N57" s="2"/>
      <c r="O57" s="998">
        <f>VLOOKUP('Part 1'!$L$16,Datasheet4!$B$5:$GB$332,Y57,FALSE)</f>
        <v>0</v>
      </c>
      <c r="P57" s="999"/>
      <c r="Q57" s="2"/>
      <c r="R57" s="49"/>
      <c r="S57" s="994">
        <f>VLOOKUP('Part 1'!$L$16,Datasheet4!$B$5:$GB$332,Z57,FALSE)</f>
        <v>0</v>
      </c>
      <c r="T57" s="995"/>
      <c r="U57" s="29"/>
      <c r="V57" s="597"/>
      <c r="W57" s="486">
        <v>28</v>
      </c>
      <c r="X57" s="486">
        <v>29</v>
      </c>
      <c r="Y57" s="486">
        <v>30</v>
      </c>
      <c r="Z57" s="486">
        <v>31</v>
      </c>
    </row>
    <row r="58" spans="1:26" ht="18" customHeight="1" thickBot="1" x14ac:dyDescent="0.25">
      <c r="A58" s="14"/>
      <c r="B58" s="104"/>
      <c r="C58" s="49"/>
      <c r="D58" s="49"/>
      <c r="E58" s="49"/>
      <c r="F58" s="49"/>
      <c r="G58" s="55"/>
      <c r="H58" s="54"/>
      <c r="I58" s="49"/>
      <c r="J58" s="18"/>
      <c r="K58" s="55"/>
      <c r="L58" s="54"/>
      <c r="M58" s="2"/>
      <c r="N58" s="2"/>
      <c r="O58" s="55"/>
      <c r="P58" s="54"/>
      <c r="Q58" s="2"/>
      <c r="R58" s="49"/>
      <c r="S58" s="55"/>
      <c r="T58" s="54"/>
      <c r="U58" s="29"/>
      <c r="V58" s="597"/>
    </row>
    <row r="59" spans="1:26" ht="18" customHeight="1" thickBot="1" x14ac:dyDescent="0.25">
      <c r="A59" s="14"/>
      <c r="B59" s="104"/>
      <c r="C59" s="74" t="s">
        <v>942</v>
      </c>
      <c r="D59" s="74"/>
      <c r="E59" s="49"/>
      <c r="F59" s="49"/>
      <c r="G59" s="992">
        <f>VLOOKUP('Part 1'!$L$16,Datasheet4!$B$5:$GB$332,W59,FALSE)</f>
        <v>0</v>
      </c>
      <c r="H59" s="993"/>
      <c r="I59" s="49"/>
      <c r="J59" s="18"/>
      <c r="K59" s="992">
        <f>VLOOKUP('Part 1'!$L$16,Datasheet4!$B$5:$GB$332,X59,FALSE)</f>
        <v>0</v>
      </c>
      <c r="L59" s="993"/>
      <c r="M59" s="2"/>
      <c r="N59" s="2"/>
      <c r="O59" s="992">
        <f>VLOOKUP('Part 1'!$L$16,Datasheet4!$B$5:$GB$332,Y59,FALSE)</f>
        <v>0</v>
      </c>
      <c r="P59" s="993"/>
      <c r="Q59" s="2"/>
      <c r="R59" s="49"/>
      <c r="S59" s="992">
        <f>VLOOKUP('Part 1'!$L$16,Datasheet4!$B$5:$GB$332,Z59,FALSE)</f>
        <v>0</v>
      </c>
      <c r="T59" s="993"/>
      <c r="U59" s="29"/>
      <c r="V59" s="597"/>
      <c r="W59" s="486">
        <v>32</v>
      </c>
      <c r="X59" s="486">
        <v>33</v>
      </c>
      <c r="Y59" s="486">
        <v>34</v>
      </c>
      <c r="Z59" s="486">
        <v>35</v>
      </c>
    </row>
    <row r="60" spans="1:26" ht="18" customHeight="1" x14ac:dyDescent="0.2">
      <c r="A60" s="14"/>
      <c r="B60" s="104"/>
      <c r="C60" s="74"/>
      <c r="D60" s="74"/>
      <c r="E60" s="49"/>
      <c r="F60" s="49"/>
      <c r="G60" s="49"/>
      <c r="H60" s="49"/>
      <c r="I60" s="49"/>
      <c r="J60" s="49"/>
      <c r="K60" s="49"/>
      <c r="L60" s="49"/>
      <c r="M60" s="49"/>
      <c r="N60" s="49"/>
      <c r="O60" s="49"/>
      <c r="P60" s="49"/>
      <c r="Q60" s="49"/>
      <c r="R60" s="49"/>
      <c r="S60" s="49"/>
      <c r="T60" s="49"/>
      <c r="U60" s="49"/>
      <c r="V60" s="597"/>
    </row>
    <row r="61" spans="1:26" ht="18" customHeight="1" thickBot="1" x14ac:dyDescent="0.25">
      <c r="A61" s="14"/>
      <c r="B61" s="104"/>
      <c r="C61" s="737" t="s">
        <v>1382</v>
      </c>
      <c r="D61" s="74"/>
      <c r="E61" s="74"/>
      <c r="F61" s="74"/>
      <c r="G61" s="74"/>
      <c r="H61" s="74"/>
      <c r="I61" s="74"/>
      <c r="J61" s="6"/>
      <c r="K61" s="739"/>
      <c r="L61" s="740"/>
      <c r="M61" s="799"/>
      <c r="N61" s="49"/>
      <c r="O61" s="49"/>
      <c r="P61" s="49"/>
      <c r="Q61" s="49"/>
      <c r="R61" s="49"/>
      <c r="S61" s="49"/>
      <c r="T61" s="49"/>
      <c r="U61" s="49"/>
      <c r="V61" s="47"/>
      <c r="X61" s="833"/>
    </row>
    <row r="62" spans="1:26" ht="18" customHeight="1" thickBot="1" x14ac:dyDescent="0.25">
      <c r="A62" s="14"/>
      <c r="B62" s="104"/>
      <c r="C62" s="74" t="s">
        <v>1383</v>
      </c>
      <c r="D62" s="74"/>
      <c r="E62" s="74"/>
      <c r="F62" s="74"/>
      <c r="G62" s="992">
        <f>VLOOKUP('Part 1'!$L$16,Datasheet4!$B$5:$GB$332,W62,FALSE)</f>
        <v>0</v>
      </c>
      <c r="H62" s="993"/>
      <c r="I62" s="74"/>
      <c r="J62" s="6"/>
      <c r="K62" s="1007">
        <f>VLOOKUP('Part 1'!$L$16,Datasheet4!$B$5:$GB$332,X62,FALSE)</f>
        <v>0</v>
      </c>
      <c r="L62" s="1008"/>
      <c r="M62" s="2"/>
      <c r="N62" s="49"/>
      <c r="O62" s="1007">
        <f>VLOOKUP('Part 1'!$L$16,Datasheet4!$B$5:$GB$332,Y62,FALSE)</f>
        <v>0</v>
      </c>
      <c r="P62" s="1019"/>
      <c r="Q62" s="49"/>
      <c r="R62" s="49"/>
      <c r="S62" s="1007">
        <f>VLOOKUP('Part 1'!$L$16,Datasheet4!$B$5:$GB$332,Z62,FALSE)</f>
        <v>0</v>
      </c>
      <c r="T62" s="1008"/>
      <c r="U62" s="49"/>
      <c r="V62" s="47"/>
      <c r="W62" s="486">
        <v>36</v>
      </c>
      <c r="X62" s="833">
        <v>37</v>
      </c>
      <c r="Y62" s="486">
        <v>38</v>
      </c>
      <c r="Z62" s="486">
        <v>39</v>
      </c>
    </row>
    <row r="63" spans="1:26" ht="18" customHeight="1" thickBot="1" x14ac:dyDescent="0.25">
      <c r="A63" s="14"/>
      <c r="B63" s="104"/>
      <c r="C63" s="74"/>
      <c r="D63" s="74"/>
      <c r="E63" s="74"/>
      <c r="F63" s="74"/>
      <c r="G63" s="74"/>
      <c r="H63" s="74"/>
      <c r="I63" s="74"/>
      <c r="J63" s="6"/>
      <c r="K63" s="739"/>
      <c r="L63" s="740"/>
      <c r="M63" s="2"/>
      <c r="N63" s="49"/>
      <c r="O63" s="49"/>
      <c r="P63" s="49"/>
      <c r="Q63" s="49"/>
      <c r="R63" s="49"/>
      <c r="S63" s="739"/>
      <c r="T63" s="740"/>
      <c r="U63" s="49"/>
      <c r="V63" s="47"/>
      <c r="X63" s="833"/>
    </row>
    <row r="64" spans="1:26" ht="18" customHeight="1" thickBot="1" x14ac:dyDescent="0.25">
      <c r="A64" s="14"/>
      <c r="B64" s="104"/>
      <c r="C64" s="74" t="s">
        <v>1384</v>
      </c>
      <c r="D64" s="74"/>
      <c r="E64" s="74"/>
      <c r="F64" s="74"/>
      <c r="G64" s="992">
        <f>VLOOKUP('Part 1'!$L$16,Datasheet4!$B$5:$GB$332,W64,FALSE)</f>
        <v>0</v>
      </c>
      <c r="H64" s="993"/>
      <c r="I64" s="49"/>
      <c r="J64" s="18"/>
      <c r="K64" s="992">
        <f>VLOOKUP('Part 1'!$L$16,Datasheet4!$B$5:$GB$332,X64,FALSE)</f>
        <v>0</v>
      </c>
      <c r="L64" s="993"/>
      <c r="M64" s="2"/>
      <c r="N64" s="2"/>
      <c r="O64" s="992">
        <f>VLOOKUP('Part 1'!$L$16,Datasheet4!$B$5:$GB$332,Y64,FALSE)</f>
        <v>0</v>
      </c>
      <c r="P64" s="993"/>
      <c r="Q64" s="2"/>
      <c r="R64" s="49"/>
      <c r="S64" s="992">
        <f>VLOOKUP('Part 1'!$L$16,Datasheet4!$B$5:$GB$332,Z64,FALSE)</f>
        <v>0</v>
      </c>
      <c r="T64" s="993"/>
      <c r="U64" s="49"/>
      <c r="V64" s="47"/>
      <c r="W64" s="486">
        <v>40</v>
      </c>
      <c r="X64" s="833">
        <v>41</v>
      </c>
      <c r="Y64" s="486">
        <v>42</v>
      </c>
      <c r="Z64" s="486">
        <v>43</v>
      </c>
    </row>
    <row r="65" spans="1:26" ht="18" customHeight="1" thickBot="1" x14ac:dyDescent="0.25">
      <c r="A65" s="14"/>
      <c r="B65" s="104"/>
      <c r="C65" s="74"/>
      <c r="D65" s="74"/>
      <c r="E65" s="74"/>
      <c r="F65" s="74"/>
      <c r="G65" s="742"/>
      <c r="H65" s="64"/>
      <c r="I65" s="74"/>
      <c r="J65" s="6"/>
      <c r="K65" s="739"/>
      <c r="L65" s="740"/>
      <c r="M65" s="2"/>
      <c r="N65" s="49"/>
      <c r="O65" s="49"/>
      <c r="P65" s="49"/>
      <c r="Q65" s="49"/>
      <c r="R65" s="49"/>
      <c r="S65" s="739"/>
      <c r="T65" s="740"/>
      <c r="U65" s="49"/>
      <c r="V65" s="47"/>
      <c r="X65" s="833"/>
    </row>
    <row r="66" spans="1:26" ht="18" customHeight="1" thickBot="1" x14ac:dyDescent="0.25">
      <c r="A66" s="14"/>
      <c r="B66" s="104"/>
      <c r="C66" s="74" t="s">
        <v>955</v>
      </c>
      <c r="D66" s="74"/>
      <c r="E66" s="74"/>
      <c r="F66" s="74"/>
      <c r="G66" s="992">
        <f>VLOOKUP('Part 1'!$L$16,Datasheet4!$B$5:$GB$332,W66,FALSE)</f>
        <v>0</v>
      </c>
      <c r="H66" s="993"/>
      <c r="I66" s="49"/>
      <c r="J66" s="18"/>
      <c r="K66" s="992">
        <f>VLOOKUP('Part 1'!$L$16,Datasheet4!$B$5:$GB$332,X66,FALSE)</f>
        <v>0</v>
      </c>
      <c r="L66" s="993"/>
      <c r="M66" s="2"/>
      <c r="N66" s="2"/>
      <c r="O66" s="992">
        <f>VLOOKUP('Part 1'!$L$16,Datasheet4!$B$5:$GB$332,Y66,FALSE)</f>
        <v>0</v>
      </c>
      <c r="P66" s="993"/>
      <c r="Q66" s="2"/>
      <c r="R66" s="49"/>
      <c r="S66" s="992">
        <f>VLOOKUP('Part 1'!$L$16,Datasheet4!$B$5:$GB$332,Z66,FALSE)</f>
        <v>0</v>
      </c>
      <c r="T66" s="993"/>
      <c r="U66" s="49"/>
      <c r="V66" s="47"/>
      <c r="W66" s="486">
        <v>44</v>
      </c>
      <c r="X66" s="833">
        <v>45</v>
      </c>
      <c r="Y66" s="486">
        <v>46</v>
      </c>
      <c r="Z66" s="486">
        <v>47</v>
      </c>
    </row>
    <row r="67" spans="1:26" ht="18" customHeight="1" x14ac:dyDescent="0.2">
      <c r="A67" s="14"/>
      <c r="B67" s="104"/>
      <c r="C67" s="74"/>
      <c r="D67" s="74"/>
      <c r="E67" s="74"/>
      <c r="F67" s="74"/>
      <c r="G67" s="74"/>
      <c r="H67" s="74"/>
      <c r="I67" s="74"/>
      <c r="J67" s="74"/>
      <c r="K67" s="74"/>
      <c r="L67" s="74"/>
      <c r="M67" s="74"/>
      <c r="N67" s="49"/>
      <c r="O67" s="49"/>
      <c r="P67" s="49"/>
      <c r="Q67" s="49"/>
      <c r="R67" s="49"/>
      <c r="S67" s="49"/>
      <c r="T67" s="49"/>
      <c r="U67" s="49"/>
      <c r="V67" s="47"/>
      <c r="X67" s="833"/>
    </row>
    <row r="68" spans="1:26" ht="18" customHeight="1" thickBot="1" x14ac:dyDescent="0.25">
      <c r="A68" s="14"/>
      <c r="B68" s="104"/>
      <c r="C68" s="737" t="s">
        <v>1385</v>
      </c>
      <c r="D68" s="74"/>
      <c r="E68" s="74"/>
      <c r="F68" s="74"/>
      <c r="G68" s="74"/>
      <c r="H68" s="74"/>
      <c r="I68" s="74"/>
      <c r="J68" s="74"/>
      <c r="K68" s="74"/>
      <c r="L68" s="74"/>
      <c r="M68" s="74"/>
      <c r="N68" s="49"/>
      <c r="O68" s="49"/>
      <c r="P68" s="49"/>
      <c r="Q68" s="49"/>
      <c r="R68" s="49"/>
      <c r="S68" s="49"/>
      <c r="T68" s="49"/>
      <c r="U68" s="49"/>
      <c r="V68" s="47"/>
      <c r="X68" s="833"/>
    </row>
    <row r="69" spans="1:26" ht="18" customHeight="1" thickBot="1" x14ac:dyDescent="0.25">
      <c r="A69" s="14"/>
      <c r="B69" s="104"/>
      <c r="C69" s="887" t="s">
        <v>1386</v>
      </c>
      <c r="D69" s="887"/>
      <c r="E69" s="887"/>
      <c r="F69" s="74"/>
      <c r="G69" s="992">
        <f>VLOOKUP('Part 1'!$L$16,Datasheet4!$B$5:$GB$332,W69,FALSE)</f>
        <v>0</v>
      </c>
      <c r="H69" s="993"/>
      <c r="I69" s="49"/>
      <c r="J69" s="18"/>
      <c r="K69" s="992">
        <f>VLOOKUP('Part 1'!$L$16,Datasheet4!$B$5:$GB$332,X69,FALSE)</f>
        <v>0</v>
      </c>
      <c r="L69" s="993"/>
      <c r="M69" s="2"/>
      <c r="N69" s="49"/>
      <c r="O69" s="49"/>
      <c r="P69" s="49"/>
      <c r="Q69" s="49"/>
      <c r="R69" s="49"/>
      <c r="S69" s="49"/>
      <c r="T69" s="49"/>
      <c r="U69" s="49"/>
      <c r="V69" s="47"/>
      <c r="W69" s="486">
        <v>48</v>
      </c>
      <c r="X69" s="833">
        <v>49</v>
      </c>
    </row>
    <row r="70" spans="1:26" ht="18" customHeight="1" x14ac:dyDescent="0.2">
      <c r="A70" s="14"/>
      <c r="B70" s="104"/>
      <c r="C70" s="887"/>
      <c r="D70" s="887"/>
      <c r="E70" s="887"/>
      <c r="F70" s="74"/>
      <c r="G70" s="74"/>
      <c r="H70" s="74"/>
      <c r="I70" s="74"/>
      <c r="J70" s="74"/>
      <c r="K70" s="74"/>
      <c r="L70" s="74"/>
      <c r="M70" s="2"/>
      <c r="N70" s="49"/>
      <c r="O70" s="49"/>
      <c r="P70" s="49"/>
      <c r="Q70" s="49"/>
      <c r="R70" s="49"/>
      <c r="S70" s="49"/>
      <c r="T70" s="49"/>
      <c r="U70" s="49"/>
      <c r="V70" s="47"/>
      <c r="X70" s="833"/>
    </row>
    <row r="71" spans="1:26" ht="18" customHeight="1" thickBot="1" x14ac:dyDescent="0.25">
      <c r="A71" s="14"/>
      <c r="B71" s="104"/>
      <c r="C71" s="741"/>
      <c r="D71" s="741"/>
      <c r="E71" s="741"/>
      <c r="F71" s="74"/>
      <c r="G71" s="74"/>
      <c r="H71" s="74"/>
      <c r="I71" s="74"/>
      <c r="J71" s="74"/>
      <c r="K71" s="74"/>
      <c r="L71" s="74"/>
      <c r="M71" s="2"/>
      <c r="N71" s="49"/>
      <c r="O71" s="49"/>
      <c r="P71" s="49"/>
      <c r="Q71" s="49"/>
      <c r="R71" s="49"/>
      <c r="S71" s="49"/>
      <c r="T71" s="49"/>
      <c r="U71" s="49"/>
      <c r="V71" s="47"/>
      <c r="X71" s="833"/>
    </row>
    <row r="72" spans="1:26" ht="18" customHeight="1" thickBot="1" x14ac:dyDescent="0.25">
      <c r="A72" s="14"/>
      <c r="B72" s="104"/>
      <c r="C72" s="74" t="s">
        <v>1387</v>
      </c>
      <c r="D72" s="741"/>
      <c r="E72" s="741"/>
      <c r="F72" s="74"/>
      <c r="G72" s="992">
        <f>VLOOKUP('Part 1'!$L$16,Datasheet4!$B$5:$GB$332,W72,FALSE)</f>
        <v>0</v>
      </c>
      <c r="H72" s="993"/>
      <c r="I72" s="49"/>
      <c r="J72" s="18"/>
      <c r="K72" s="992">
        <f>VLOOKUP('Part 1'!$L$16,Datasheet4!$B$5:$GB$332,X72,FALSE)</f>
        <v>0</v>
      </c>
      <c r="L72" s="993"/>
      <c r="M72" s="2"/>
      <c r="N72" s="49"/>
      <c r="O72" s="49"/>
      <c r="P72" s="49"/>
      <c r="Q72" s="49"/>
      <c r="R72" s="49"/>
      <c r="S72" s="49"/>
      <c r="T72" s="49"/>
      <c r="U72" s="49"/>
      <c r="V72" s="47"/>
      <c r="W72" s="486">
        <v>50</v>
      </c>
      <c r="X72" s="833">
        <v>51</v>
      </c>
    </row>
    <row r="73" spans="1:26" ht="18" customHeight="1" thickBot="1" x14ac:dyDescent="0.25">
      <c r="A73" s="14"/>
      <c r="B73" s="104"/>
      <c r="C73" s="74"/>
      <c r="D73" s="741"/>
      <c r="E73" s="741"/>
      <c r="F73" s="74"/>
      <c r="G73" s="742"/>
      <c r="H73" s="64"/>
      <c r="I73" s="74"/>
      <c r="J73" s="6"/>
      <c r="K73" s="6"/>
      <c r="L73" s="6"/>
      <c r="M73" s="6"/>
      <c r="N73" s="49"/>
      <c r="O73" s="49"/>
      <c r="P73" s="49"/>
      <c r="Q73" s="49"/>
      <c r="R73" s="49"/>
      <c r="S73" s="49"/>
      <c r="T73" s="49"/>
      <c r="U73" s="49"/>
      <c r="V73" s="47"/>
      <c r="X73" s="833"/>
    </row>
    <row r="74" spans="1:26" ht="18" customHeight="1" thickBot="1" x14ac:dyDescent="0.25">
      <c r="A74" s="14"/>
      <c r="B74" s="104"/>
      <c r="C74" s="74" t="s">
        <v>956</v>
      </c>
      <c r="D74" s="74"/>
      <c r="E74" s="74"/>
      <c r="F74" s="74"/>
      <c r="G74" s="992">
        <f>VLOOKUP('Part 1'!$L$16,Datasheet4!$B$5:$GB$332,W74,FALSE)</f>
        <v>0</v>
      </c>
      <c r="H74" s="993"/>
      <c r="I74" s="49"/>
      <c r="J74" s="18"/>
      <c r="K74" s="992">
        <f>VLOOKUP('Part 1'!$L$16,Datasheet4!$B$5:$GB$332,X74,FALSE)</f>
        <v>0</v>
      </c>
      <c r="L74" s="993"/>
      <c r="M74" s="2"/>
      <c r="N74" s="49"/>
      <c r="O74" s="49"/>
      <c r="P74" s="49"/>
      <c r="Q74" s="49"/>
      <c r="R74" s="49"/>
      <c r="S74" s="49"/>
      <c r="T74" s="49"/>
      <c r="U74" s="49"/>
      <c r="V74" s="47"/>
      <c r="W74" s="486">
        <v>52</v>
      </c>
      <c r="X74" s="833">
        <v>53</v>
      </c>
    </row>
    <row r="75" spans="1:26" ht="18" customHeight="1" x14ac:dyDescent="0.2">
      <c r="A75" s="14"/>
      <c r="B75" s="104"/>
      <c r="C75" s="800"/>
      <c r="D75" s="74"/>
      <c r="E75" s="74"/>
      <c r="F75" s="74"/>
      <c r="G75" s="74"/>
      <c r="H75" s="74"/>
      <c r="I75" s="74"/>
      <c r="J75" s="6"/>
      <c r="K75" s="2"/>
      <c r="L75" s="2"/>
      <c r="M75" s="2"/>
      <c r="N75" s="49"/>
      <c r="O75" s="49"/>
      <c r="P75" s="49"/>
      <c r="Q75" s="49"/>
      <c r="R75" s="49"/>
      <c r="S75" s="49"/>
      <c r="T75" s="49"/>
      <c r="U75" s="49"/>
      <c r="V75" s="47"/>
    </row>
    <row r="76" spans="1:26" ht="18" customHeight="1" x14ac:dyDescent="0.2">
      <c r="A76" s="14"/>
      <c r="B76" s="104"/>
      <c r="C76" s="126" t="s">
        <v>18</v>
      </c>
      <c r="D76" s="126"/>
      <c r="E76" s="127"/>
      <c r="F76" s="127"/>
      <c r="G76" s="127"/>
      <c r="H76" s="127"/>
      <c r="I76" s="127"/>
      <c r="J76" s="2"/>
      <c r="K76" s="2"/>
      <c r="L76" s="2"/>
      <c r="M76" s="2"/>
      <c r="N76" s="2"/>
      <c r="O76" s="403"/>
      <c r="P76" s="403"/>
      <c r="Q76" s="2"/>
      <c r="R76" s="2"/>
      <c r="S76" s="54"/>
      <c r="T76" s="54"/>
      <c r="U76" s="29"/>
      <c r="V76" s="597"/>
    </row>
    <row r="77" spans="1:26" ht="18" customHeight="1" thickBot="1" x14ac:dyDescent="0.25">
      <c r="A77" s="14"/>
      <c r="B77" s="104"/>
      <c r="C77" s="126" t="s">
        <v>19</v>
      </c>
      <c r="D77" s="126"/>
      <c r="E77" s="49"/>
      <c r="F77" s="49"/>
      <c r="G77" s="49"/>
      <c r="H77" s="49"/>
      <c r="I77" s="49"/>
      <c r="J77" s="18"/>
      <c r="K77" s="2"/>
      <c r="L77" s="2"/>
      <c r="M77" s="2"/>
      <c r="N77" s="2"/>
      <c r="O77" s="403"/>
      <c r="P77" s="403"/>
      <c r="Q77" s="2"/>
      <c r="R77" s="2"/>
      <c r="S77" s="54"/>
      <c r="T77" s="54"/>
      <c r="U77" s="29"/>
      <c r="V77" s="597"/>
    </row>
    <row r="78" spans="1:26" ht="18" customHeight="1" thickBot="1" x14ac:dyDescent="0.25">
      <c r="A78" s="14"/>
      <c r="B78" s="104"/>
      <c r="C78" s="74" t="s">
        <v>1651</v>
      </c>
      <c r="D78" s="74"/>
      <c r="E78" s="49"/>
      <c r="F78" s="49"/>
      <c r="G78" s="49"/>
      <c r="H78" s="49"/>
      <c r="I78" s="49"/>
      <c r="J78" s="18"/>
      <c r="K78" s="847" t="s">
        <v>1661</v>
      </c>
      <c r="L78" s="993"/>
      <c r="M78" s="449"/>
      <c r="N78" s="449"/>
      <c r="O78" s="847" t="s">
        <v>1661</v>
      </c>
      <c r="P78" s="993"/>
      <c r="Q78" s="449"/>
      <c r="R78" s="449"/>
      <c r="S78" s="847" t="s">
        <v>1661</v>
      </c>
      <c r="T78" s="993"/>
      <c r="U78" s="29"/>
      <c r="V78" s="597"/>
      <c r="X78" s="486">
        <v>54</v>
      </c>
      <c r="Y78" s="486">
        <v>55</v>
      </c>
      <c r="Z78" s="486">
        <v>56</v>
      </c>
    </row>
    <row r="79" spans="1:26" ht="18" customHeight="1" x14ac:dyDescent="0.2">
      <c r="A79" s="14"/>
      <c r="B79" s="104"/>
      <c r="C79" s="74"/>
      <c r="D79" s="74"/>
      <c r="E79" s="49"/>
      <c r="F79" s="49"/>
      <c r="G79" s="49"/>
      <c r="H79" s="49"/>
      <c r="I79" s="49"/>
      <c r="J79" s="18"/>
      <c r="K79" s="18"/>
      <c r="L79" s="18"/>
      <c r="M79" s="18"/>
      <c r="N79" s="18"/>
      <c r="O79" s="18"/>
      <c r="P79" s="18"/>
      <c r="Q79" s="18"/>
      <c r="R79" s="18"/>
      <c r="S79" s="18"/>
      <c r="T79" s="18"/>
      <c r="U79" s="29"/>
      <c r="V79" s="597"/>
    </row>
    <row r="80" spans="1:26" ht="18" customHeight="1" thickBot="1" x14ac:dyDescent="0.25">
      <c r="A80" s="14"/>
      <c r="B80" s="104"/>
      <c r="C80" s="74" t="s">
        <v>1659</v>
      </c>
      <c r="D80" s="74"/>
      <c r="E80" s="49"/>
      <c r="F80" s="49"/>
      <c r="G80" s="49"/>
      <c r="H80" s="49"/>
      <c r="I80" s="49"/>
      <c r="J80" s="18"/>
      <c r="K80" s="18"/>
      <c r="L80" s="18"/>
      <c r="M80" s="18"/>
      <c r="N80" s="18"/>
      <c r="O80" s="18"/>
      <c r="P80" s="18"/>
      <c r="Q80" s="18"/>
      <c r="R80" s="18"/>
      <c r="S80" s="18"/>
      <c r="T80" s="18"/>
      <c r="U80" s="29"/>
      <c r="V80" s="597"/>
    </row>
    <row r="81" spans="1:26" ht="18" customHeight="1" thickBot="1" x14ac:dyDescent="0.25">
      <c r="A81" s="14"/>
      <c r="B81" s="104"/>
      <c r="C81" s="74" t="s">
        <v>1649</v>
      </c>
      <c r="D81" s="74"/>
      <c r="E81" s="49"/>
      <c r="F81" s="49"/>
      <c r="G81" s="49"/>
      <c r="H81" s="49"/>
      <c r="I81" s="49"/>
      <c r="J81" s="18"/>
      <c r="K81" s="992">
        <f>VLOOKUP('Part 1'!$L$16,Datasheet4!$B$5:$GB$332,X81,FALSE)</f>
        <v>1863143.7674205578</v>
      </c>
      <c r="L81" s="993"/>
      <c r="M81" s="449"/>
      <c r="N81" s="449"/>
      <c r="O81" s="992">
        <f>VLOOKUP('Part 1'!$L$16,Datasheet4!$B$5:$GB$332,Y81,FALSE)</f>
        <v>0</v>
      </c>
      <c r="P81" s="993"/>
      <c r="Q81" s="449"/>
      <c r="R81" s="449"/>
      <c r="S81" s="992">
        <f>VLOOKUP('Part 1'!$L$16,Datasheet4!$B$5:$GB$332,Z81,FALSE)</f>
        <v>37947.862006480682</v>
      </c>
      <c r="T81" s="993"/>
      <c r="U81" s="29"/>
      <c r="V81" s="597"/>
      <c r="X81" s="486">
        <v>57</v>
      </c>
      <c r="Y81" s="486">
        <v>58</v>
      </c>
      <c r="Z81" s="486">
        <v>59</v>
      </c>
    </row>
    <row r="82" spans="1:26" ht="18" customHeight="1" thickBot="1" x14ac:dyDescent="0.25">
      <c r="A82" s="14"/>
      <c r="B82" s="104"/>
      <c r="C82" s="74"/>
      <c r="D82" s="74"/>
      <c r="E82" s="49"/>
      <c r="F82" s="49"/>
      <c r="G82" s="49"/>
      <c r="H82" s="49"/>
      <c r="I82" s="49"/>
      <c r="J82" s="18"/>
      <c r="K82" s="18"/>
      <c r="L82" s="18"/>
      <c r="M82" s="18"/>
      <c r="N82" s="18"/>
      <c r="O82" s="18"/>
      <c r="P82" s="18"/>
      <c r="Q82" s="18"/>
      <c r="R82" s="18"/>
      <c r="S82" s="18"/>
      <c r="T82" s="18"/>
      <c r="U82" s="29"/>
      <c r="V82" s="597"/>
    </row>
    <row r="83" spans="1:26" ht="18" customHeight="1" thickBot="1" x14ac:dyDescent="0.25">
      <c r="A83" s="14"/>
      <c r="B83" s="104"/>
      <c r="C83" s="74" t="s">
        <v>1650</v>
      </c>
      <c r="D83" s="74"/>
      <c r="E83" s="49"/>
      <c r="F83" s="49"/>
      <c r="G83" s="49"/>
      <c r="H83" s="49"/>
      <c r="I83" s="49"/>
      <c r="J83" s="18"/>
      <c r="K83" s="992">
        <f>VLOOKUP('Part 1'!$L$16,Datasheet4!$B$5:$GB$332,X83,FALSE)</f>
        <v>186929.70820128752</v>
      </c>
      <c r="L83" s="993"/>
      <c r="M83" s="449"/>
      <c r="N83" s="449"/>
      <c r="O83" s="992">
        <f>VLOOKUP('Part 1'!$L$16,Datasheet4!$B$5:$GB$332,Y83,FALSE)</f>
        <v>0</v>
      </c>
      <c r="P83" s="993"/>
      <c r="Q83" s="449"/>
      <c r="R83" s="449"/>
      <c r="S83" s="992">
        <f>VLOOKUP('Part 1'!$L$16,Datasheet4!$B$5:$GB$332,Z83,FALSE)</f>
        <v>3769.6510476394847</v>
      </c>
      <c r="T83" s="993"/>
      <c r="U83" s="29"/>
      <c r="V83" s="597"/>
      <c r="X83" s="486">
        <v>60</v>
      </c>
      <c r="Y83" s="486">
        <v>61</v>
      </c>
      <c r="Z83" s="486">
        <v>62</v>
      </c>
    </row>
    <row r="84" spans="1:26" ht="18" customHeight="1" thickBot="1" x14ac:dyDescent="0.25">
      <c r="A84" s="14"/>
      <c r="B84" s="104"/>
      <c r="C84" s="49"/>
      <c r="D84" s="49"/>
      <c r="E84" s="49"/>
      <c r="F84" s="49"/>
      <c r="G84" s="49"/>
      <c r="H84" s="49"/>
      <c r="I84" s="49"/>
      <c r="J84" s="18"/>
      <c r="K84" s="450"/>
      <c r="L84" s="450"/>
      <c r="M84" s="449"/>
      <c r="N84" s="449"/>
      <c r="O84" s="451"/>
      <c r="P84" s="451"/>
      <c r="Q84" s="449"/>
      <c r="R84" s="449"/>
      <c r="S84" s="450"/>
      <c r="T84" s="450"/>
      <c r="U84" s="29"/>
      <c r="V84" s="597"/>
    </row>
    <row r="85" spans="1:26" ht="18" customHeight="1" thickBot="1" x14ac:dyDescent="0.25">
      <c r="A85" s="14"/>
      <c r="B85" s="104"/>
      <c r="C85" s="74" t="s">
        <v>1660</v>
      </c>
      <c r="D85" s="74"/>
      <c r="E85" s="49"/>
      <c r="F85" s="49"/>
      <c r="G85" s="49"/>
      <c r="H85" s="49"/>
      <c r="I85" s="49"/>
      <c r="J85" s="18"/>
      <c r="K85" s="994">
        <f>VLOOKUP('Part 1'!$L$16,Datasheet4!$B$5:$GB$332,X85,FALSE)</f>
        <v>1699619</v>
      </c>
      <c r="L85" s="995"/>
      <c r="M85" s="449"/>
      <c r="N85" s="449"/>
      <c r="O85" s="998">
        <f>VLOOKUP('Part 1'!$L$16,Datasheet4!$B$5:$GB$332,Y85,FALSE)</f>
        <v>0</v>
      </c>
      <c r="P85" s="999"/>
      <c r="Q85" s="449"/>
      <c r="R85" s="449"/>
      <c r="S85" s="994">
        <f>VLOOKUP('Part 1'!$L$16,Datasheet4!$B$5:$GB$332,Z85,FALSE)</f>
        <v>23230</v>
      </c>
      <c r="T85" s="995"/>
      <c r="U85" s="29"/>
      <c r="V85" s="597"/>
      <c r="X85" s="486">
        <v>63</v>
      </c>
      <c r="Y85" s="486">
        <v>64</v>
      </c>
      <c r="Z85" s="486">
        <v>65</v>
      </c>
    </row>
    <row r="86" spans="1:26" ht="18" customHeight="1" thickBot="1" x14ac:dyDescent="0.25">
      <c r="A86" s="14"/>
      <c r="B86" s="104"/>
      <c r="C86" s="49"/>
      <c r="D86" s="49"/>
      <c r="E86" s="49"/>
      <c r="F86" s="49"/>
      <c r="G86" s="49"/>
      <c r="H86" s="49"/>
      <c r="I86" s="49"/>
      <c r="J86" s="18"/>
      <c r="K86" s="55"/>
      <c r="L86" s="54"/>
      <c r="M86" s="2"/>
      <c r="N86" s="2"/>
      <c r="O86" s="55"/>
      <c r="P86" s="54"/>
      <c r="Q86" s="2"/>
      <c r="R86" s="2"/>
      <c r="S86" s="55"/>
      <c r="T86" s="54"/>
      <c r="U86" s="29"/>
      <c r="V86" s="597"/>
    </row>
    <row r="87" spans="1:26" ht="18" customHeight="1" thickBot="1" x14ac:dyDescent="0.25">
      <c r="A87" s="14"/>
      <c r="B87" s="104"/>
      <c r="C87" s="74" t="s">
        <v>1657</v>
      </c>
      <c r="D87" s="74"/>
      <c r="E87" s="49"/>
      <c r="F87" s="49"/>
      <c r="G87" s="49"/>
      <c r="H87" s="49"/>
      <c r="I87" s="49"/>
      <c r="J87" s="18"/>
      <c r="K87" s="992">
        <f>VLOOKUP('Part 1'!$L$16,Datasheet4!$B$5:$GB$332,X87,FALSE)</f>
        <v>222166</v>
      </c>
      <c r="L87" s="993"/>
      <c r="M87" s="449"/>
      <c r="N87" s="449"/>
      <c r="O87" s="992">
        <f>VLOOKUP('Part 1'!$L$16,Datasheet4!$B$5:$GB$332,Y87,FALSE)</f>
        <v>0</v>
      </c>
      <c r="P87" s="993"/>
      <c r="Q87" s="449"/>
      <c r="R87" s="449"/>
      <c r="S87" s="992">
        <f>VLOOKUP('Part 1'!$L$16,Datasheet4!$B$5:$GB$332,Z87,FALSE)</f>
        <v>15912</v>
      </c>
      <c r="T87" s="993"/>
      <c r="U87" s="29"/>
      <c r="V87" s="597"/>
      <c r="X87" s="486">
        <v>66</v>
      </c>
      <c r="Y87" s="486">
        <v>67</v>
      </c>
      <c r="Z87" s="486">
        <v>68</v>
      </c>
    </row>
    <row r="88" spans="1:26" ht="18" customHeight="1" thickBot="1" x14ac:dyDescent="0.25">
      <c r="A88" s="15"/>
      <c r="B88" s="110"/>
      <c r="C88" s="389"/>
      <c r="D88" s="389"/>
      <c r="E88" s="111"/>
      <c r="F88" s="111"/>
      <c r="G88" s="111"/>
      <c r="H88" s="111"/>
      <c r="I88" s="111"/>
      <c r="J88" s="111"/>
      <c r="K88" s="111"/>
      <c r="L88" s="111"/>
      <c r="M88" s="111"/>
      <c r="N88" s="111"/>
      <c r="O88" s="405"/>
      <c r="P88" s="405"/>
      <c r="Q88" s="111"/>
      <c r="R88" s="111"/>
      <c r="S88" s="111"/>
      <c r="T88" s="111"/>
      <c r="U88" s="111"/>
      <c r="V88" s="598"/>
    </row>
    <row r="89" spans="1:26" ht="18" customHeight="1" thickBot="1" x14ac:dyDescent="0.3">
      <c r="A89" s="14"/>
      <c r="B89" s="104"/>
      <c r="C89" s="178" t="s">
        <v>79</v>
      </c>
      <c r="D89" s="178"/>
      <c r="E89" s="29"/>
      <c r="F89" s="29"/>
      <c r="G89" s="29"/>
      <c r="H89" s="29"/>
      <c r="I89" s="29"/>
      <c r="J89" s="29"/>
      <c r="K89" s="29"/>
      <c r="L89" s="29"/>
      <c r="M89" s="29"/>
      <c r="N89" s="29"/>
      <c r="O89" s="402"/>
      <c r="P89" s="402"/>
      <c r="Q89" s="29"/>
      <c r="R89" s="29"/>
      <c r="S89" s="29"/>
      <c r="T89" s="29"/>
      <c r="U89" s="29"/>
      <c r="V89" s="597"/>
    </row>
    <row r="90" spans="1:26" ht="18" customHeight="1" thickBot="1" x14ac:dyDescent="0.25">
      <c r="A90" s="14"/>
      <c r="B90" s="104"/>
      <c r="C90" s="887" t="s">
        <v>1391</v>
      </c>
      <c r="D90" s="887"/>
      <c r="E90" s="887"/>
      <c r="F90" s="887"/>
      <c r="G90" s="887"/>
      <c r="H90" s="887"/>
      <c r="I90" s="29"/>
      <c r="J90" s="29"/>
      <c r="K90" s="992">
        <f>VLOOKUP('Part 1'!$L$16,Datasheet4!$B$5:$GB$332,X90,FALSE)</f>
        <v>12845</v>
      </c>
      <c r="L90" s="993"/>
      <c r="M90" s="29"/>
      <c r="N90" s="29"/>
      <c r="O90" s="992">
        <f>VLOOKUP('Part 1'!$L$16,Datasheet4!$B$5:$GB$332,Y90,FALSE)</f>
        <v>0</v>
      </c>
      <c r="P90" s="993"/>
      <c r="Q90" s="29"/>
      <c r="R90" s="29"/>
      <c r="S90" s="992">
        <f>VLOOKUP('Part 1'!$L$16,Datasheet4!$B$5:$GB$332,Z90,FALSE)</f>
        <v>262</v>
      </c>
      <c r="T90" s="993"/>
      <c r="U90" s="29"/>
      <c r="V90" s="597"/>
      <c r="X90" s="486">
        <v>69</v>
      </c>
      <c r="Y90" s="486">
        <v>70</v>
      </c>
      <c r="Z90" s="486">
        <v>71</v>
      </c>
    </row>
    <row r="91" spans="1:26" ht="18" customHeight="1" thickBot="1" x14ac:dyDescent="0.25">
      <c r="A91" s="14"/>
      <c r="B91" s="104"/>
      <c r="C91" s="887"/>
      <c r="D91" s="887"/>
      <c r="E91" s="887"/>
      <c r="F91" s="887"/>
      <c r="G91" s="887"/>
      <c r="H91" s="887"/>
      <c r="I91" s="29"/>
      <c r="J91" s="29"/>
      <c r="K91" s="18"/>
      <c r="L91" s="18"/>
      <c r="M91" s="29"/>
      <c r="N91" s="29"/>
      <c r="O91" s="402"/>
      <c r="P91" s="402"/>
      <c r="Q91" s="29"/>
      <c r="R91" s="29"/>
      <c r="S91" s="18"/>
      <c r="T91" s="18"/>
      <c r="U91" s="29"/>
      <c r="V91" s="597"/>
    </row>
    <row r="92" spans="1:26" ht="18" customHeight="1" thickBot="1" x14ac:dyDescent="0.25">
      <c r="A92" s="14"/>
      <c r="B92" s="104"/>
      <c r="C92" s="74" t="s">
        <v>1432</v>
      </c>
      <c r="D92" s="74"/>
      <c r="E92" s="29"/>
      <c r="F92" s="29"/>
      <c r="G92" s="29"/>
      <c r="H92" s="29"/>
      <c r="I92" s="29"/>
      <c r="J92" s="29"/>
      <c r="K92" s="994">
        <f>VLOOKUP('Part 1'!$L$16,Datasheet4!$B$5:$GB$332,X92,FALSE)</f>
        <v>0</v>
      </c>
      <c r="L92" s="995"/>
      <c r="M92" s="2"/>
      <c r="N92" s="2"/>
      <c r="O92" s="998">
        <f>VLOOKUP('Part 1'!$L$16,Datasheet4!$B$5:$GB$332,Y92,FALSE)</f>
        <v>0</v>
      </c>
      <c r="P92" s="999"/>
      <c r="Q92" s="2"/>
      <c r="R92" s="2"/>
      <c r="S92" s="994">
        <f>VLOOKUP('Part 1'!$L$16,Datasheet4!$B$5:$GB$332,Z92,FALSE)</f>
        <v>0</v>
      </c>
      <c r="T92" s="995"/>
      <c r="U92" s="29"/>
      <c r="V92" s="597"/>
      <c r="X92" s="486">
        <v>72</v>
      </c>
      <c r="Y92" s="486">
        <v>73</v>
      </c>
      <c r="Z92" s="486">
        <v>74</v>
      </c>
    </row>
    <row r="93" spans="1:26" ht="18" customHeight="1" thickBot="1" x14ac:dyDescent="0.25">
      <c r="A93" s="14"/>
      <c r="B93" s="104"/>
      <c r="C93" s="49"/>
      <c r="D93" s="49"/>
      <c r="E93" s="29"/>
      <c r="F93" s="29"/>
      <c r="G93" s="29"/>
      <c r="H93" s="29"/>
      <c r="I93" s="29"/>
      <c r="J93" s="29"/>
      <c r="K93" s="55"/>
      <c r="L93" s="54"/>
      <c r="M93" s="29"/>
      <c r="N93" s="29"/>
      <c r="O93" s="55"/>
      <c r="P93" s="54"/>
      <c r="Q93" s="29"/>
      <c r="R93" s="29"/>
      <c r="S93" s="55"/>
      <c r="T93" s="54"/>
      <c r="U93" s="29"/>
      <c r="V93" s="597"/>
    </row>
    <row r="94" spans="1:26" ht="18" customHeight="1" thickBot="1" x14ac:dyDescent="0.25">
      <c r="A94" s="14"/>
      <c r="B94" s="104"/>
      <c r="C94" s="74" t="s">
        <v>1428</v>
      </c>
      <c r="D94" s="74"/>
      <c r="E94" s="29"/>
      <c r="F94" s="29"/>
      <c r="G94" s="29"/>
      <c r="H94" s="29"/>
      <c r="I94" s="29"/>
      <c r="J94" s="29"/>
      <c r="K94" s="992">
        <f>VLOOKUP('Part 1'!$L$16,Datasheet4!$B$5:$GB$332,X94,FALSE)</f>
        <v>12845</v>
      </c>
      <c r="L94" s="993"/>
      <c r="M94" s="2"/>
      <c r="N94" s="2"/>
      <c r="O94" s="992">
        <f>VLOOKUP('Part 1'!$L$16,Datasheet4!$B$5:$GB$332,Y94,FALSE)</f>
        <v>0</v>
      </c>
      <c r="P94" s="993"/>
      <c r="Q94" s="2"/>
      <c r="R94" s="2"/>
      <c r="S94" s="992">
        <f>VLOOKUP('Part 1'!$L$16,Datasheet4!$B$5:$GB$332,Z94,FALSE)</f>
        <v>262</v>
      </c>
      <c r="T94" s="993"/>
      <c r="U94" s="29"/>
      <c r="V94" s="597"/>
      <c r="X94" s="486">
        <v>75</v>
      </c>
      <c r="Y94" s="486">
        <v>76</v>
      </c>
      <c r="Z94" s="486">
        <v>77</v>
      </c>
    </row>
    <row r="95" spans="1:26" ht="18" customHeight="1" x14ac:dyDescent="0.2">
      <c r="A95" s="14"/>
      <c r="B95" s="104"/>
      <c r="C95" s="29"/>
      <c r="D95" s="29"/>
      <c r="E95" s="29"/>
      <c r="F95" s="29"/>
      <c r="G95" s="29"/>
      <c r="H95" s="29"/>
      <c r="I95" s="29"/>
      <c r="J95" s="29"/>
      <c r="K95" s="29"/>
      <c r="L95" s="29"/>
      <c r="M95" s="29"/>
      <c r="N95" s="29"/>
      <c r="O95" s="402"/>
      <c r="P95" s="402"/>
      <c r="Q95" s="29"/>
      <c r="R95" s="29"/>
      <c r="S95" s="29"/>
      <c r="T95" s="29"/>
      <c r="U95" s="29"/>
      <c r="V95" s="597"/>
    </row>
    <row r="96" spans="1:26" ht="18" customHeight="1" thickBot="1" x14ac:dyDescent="0.3">
      <c r="A96" s="14"/>
      <c r="B96" s="104"/>
      <c r="C96" s="178" t="s">
        <v>3</v>
      </c>
      <c r="D96" s="178"/>
      <c r="E96" s="29"/>
      <c r="F96" s="29"/>
      <c r="G96" s="29"/>
      <c r="H96" s="29"/>
      <c r="I96" s="29"/>
      <c r="J96" s="29"/>
      <c r="K96" s="29"/>
      <c r="L96" s="29"/>
      <c r="M96" s="29"/>
      <c r="N96" s="29"/>
      <c r="O96" s="402"/>
      <c r="P96" s="402"/>
      <c r="Q96" s="29"/>
      <c r="R96" s="29"/>
      <c r="S96" s="29"/>
      <c r="T96" s="29"/>
      <c r="U96" s="29"/>
      <c r="V96" s="597"/>
    </row>
    <row r="97" spans="1:26" ht="18" customHeight="1" thickBot="1" x14ac:dyDescent="0.25">
      <c r="A97" s="14"/>
      <c r="B97" s="104"/>
      <c r="C97" s="887" t="s">
        <v>1390</v>
      </c>
      <c r="D97" s="887"/>
      <c r="E97" s="887"/>
      <c r="F97" s="887"/>
      <c r="G97" s="887"/>
      <c r="H97" s="887"/>
      <c r="I97" s="29"/>
      <c r="J97" s="29"/>
      <c r="K97" s="992">
        <f>VLOOKUP('Part 1'!$L$16,Datasheet4!$B$5:$GB$332,X97,FALSE)</f>
        <v>-65</v>
      </c>
      <c r="L97" s="993"/>
      <c r="M97" s="29"/>
      <c r="N97" s="29"/>
      <c r="O97" s="992">
        <f>VLOOKUP('Part 1'!$L$16,Datasheet4!$B$5:$GB$332,Y97,FALSE)</f>
        <v>0</v>
      </c>
      <c r="P97" s="993"/>
      <c r="Q97" s="29"/>
      <c r="R97" s="29"/>
      <c r="S97" s="992">
        <f>VLOOKUP('Part 1'!$L$16,Datasheet4!$B$5:$GB$332,Z97,FALSE)</f>
        <v>-1</v>
      </c>
      <c r="T97" s="993"/>
      <c r="U97" s="29"/>
      <c r="V97" s="597"/>
      <c r="X97" s="486">
        <v>78</v>
      </c>
      <c r="Y97" s="486">
        <v>79</v>
      </c>
      <c r="Z97" s="486">
        <v>80</v>
      </c>
    </row>
    <row r="98" spans="1:26" ht="18" customHeight="1" thickBot="1" x14ac:dyDescent="0.25">
      <c r="A98" s="14"/>
      <c r="B98" s="104"/>
      <c r="C98" s="887"/>
      <c r="D98" s="887"/>
      <c r="E98" s="887"/>
      <c r="F98" s="887"/>
      <c r="G98" s="887"/>
      <c r="H98" s="887"/>
      <c r="I98" s="29"/>
      <c r="J98" s="29"/>
      <c r="K98" s="18"/>
      <c r="L98" s="18"/>
      <c r="M98" s="29"/>
      <c r="N98" s="29"/>
      <c r="O98" s="402"/>
      <c r="P98" s="402"/>
      <c r="Q98" s="29"/>
      <c r="R98" s="29"/>
      <c r="S98" s="18"/>
      <c r="T98" s="18"/>
      <c r="U98" s="29"/>
      <c r="V98" s="597"/>
    </row>
    <row r="99" spans="1:26" ht="18" customHeight="1" thickBot="1" x14ac:dyDescent="0.25">
      <c r="A99" s="14"/>
      <c r="B99" s="104"/>
      <c r="C99" s="74" t="s">
        <v>1431</v>
      </c>
      <c r="D99" s="74"/>
      <c r="E99" s="29"/>
      <c r="F99" s="29"/>
      <c r="G99" s="29"/>
      <c r="H99" s="29"/>
      <c r="I99" s="29"/>
      <c r="J99" s="29"/>
      <c r="K99" s="994">
        <f>VLOOKUP('Part 1'!$L$16,Datasheet4!$B$5:$GB$332,X99,FALSE)</f>
        <v>24868</v>
      </c>
      <c r="L99" s="995"/>
      <c r="M99" s="2"/>
      <c r="N99" s="2"/>
      <c r="O99" s="998">
        <f>VLOOKUP('Part 1'!$L$16,Datasheet4!$B$5:$GB$332,Y99,FALSE)</f>
        <v>0</v>
      </c>
      <c r="P99" s="999"/>
      <c r="Q99" s="2"/>
      <c r="R99" s="2"/>
      <c r="S99" s="994">
        <f>VLOOKUP('Part 1'!$L$16,Datasheet4!$B$5:$GB$332,Z99,FALSE)</f>
        <v>508</v>
      </c>
      <c r="T99" s="995"/>
      <c r="U99" s="29"/>
      <c r="V99" s="597"/>
      <c r="X99" s="486">
        <v>81</v>
      </c>
      <c r="Y99" s="486">
        <v>82</v>
      </c>
      <c r="Z99" s="486">
        <v>83</v>
      </c>
    </row>
    <row r="100" spans="1:26" ht="18" customHeight="1" thickBot="1" x14ac:dyDescent="0.25">
      <c r="A100" s="14"/>
      <c r="B100" s="104"/>
      <c r="C100" s="49"/>
      <c r="D100" s="49"/>
      <c r="E100" s="29"/>
      <c r="F100" s="29"/>
      <c r="G100" s="29"/>
      <c r="H100" s="29"/>
      <c r="I100" s="29"/>
      <c r="J100" s="29"/>
      <c r="K100" s="55"/>
      <c r="L100" s="54"/>
      <c r="M100" s="29"/>
      <c r="N100" s="29"/>
      <c r="O100" s="55"/>
      <c r="P100" s="54"/>
      <c r="Q100" s="29"/>
      <c r="R100" s="29"/>
      <c r="S100" s="55"/>
      <c r="T100" s="54"/>
      <c r="U100" s="29"/>
      <c r="V100" s="597"/>
    </row>
    <row r="101" spans="1:26" ht="18" customHeight="1" thickBot="1" x14ac:dyDescent="0.25">
      <c r="A101" s="14"/>
      <c r="B101" s="104"/>
      <c r="C101" s="74" t="s">
        <v>1429</v>
      </c>
      <c r="D101" s="74"/>
      <c r="E101" s="29"/>
      <c r="F101" s="29"/>
      <c r="G101" s="29"/>
      <c r="H101" s="29"/>
      <c r="I101" s="29"/>
      <c r="J101" s="29"/>
      <c r="K101" s="992">
        <f>VLOOKUP('Part 1'!$L$16,Datasheet4!$B$5:$GB$332,X101,FALSE)</f>
        <v>-24933</v>
      </c>
      <c r="L101" s="993"/>
      <c r="M101" s="2"/>
      <c r="N101" s="2"/>
      <c r="O101" s="992">
        <f>VLOOKUP('Part 1'!$L$16,Datasheet4!$B$5:$GB$332,Y101,FALSE)</f>
        <v>0</v>
      </c>
      <c r="P101" s="993"/>
      <c r="Q101" s="2"/>
      <c r="R101" s="2"/>
      <c r="S101" s="992">
        <f>VLOOKUP('Part 1'!$L$16,Datasheet4!$B$5:$GB$332,Z101,FALSE)</f>
        <v>-509</v>
      </c>
      <c r="T101" s="993"/>
      <c r="U101" s="29"/>
      <c r="V101" s="597"/>
      <c r="X101" s="486">
        <v>84</v>
      </c>
      <c r="Y101" s="486">
        <v>85</v>
      </c>
      <c r="Z101" s="486">
        <v>86</v>
      </c>
    </row>
    <row r="102" spans="1:26" ht="18" customHeight="1" x14ac:dyDescent="0.2">
      <c r="A102" s="14"/>
      <c r="B102" s="104"/>
      <c r="C102" s="29"/>
      <c r="D102" s="29"/>
      <c r="E102" s="29"/>
      <c r="F102" s="29"/>
      <c r="G102" s="29"/>
      <c r="H102" s="29"/>
      <c r="I102" s="29"/>
      <c r="J102" s="29"/>
      <c r="K102" s="29"/>
      <c r="L102" s="29"/>
      <c r="M102" s="29"/>
      <c r="N102" s="29"/>
      <c r="O102" s="402"/>
      <c r="P102" s="402"/>
      <c r="Q102" s="29"/>
      <c r="R102" s="29"/>
      <c r="S102" s="29"/>
      <c r="T102" s="29"/>
      <c r="U102" s="29"/>
      <c r="V102" s="597"/>
    </row>
    <row r="103" spans="1:26" ht="18" customHeight="1" thickBot="1" x14ac:dyDescent="0.3">
      <c r="A103" s="14"/>
      <c r="B103" s="104"/>
      <c r="C103" s="178" t="s">
        <v>80</v>
      </c>
      <c r="D103" s="178"/>
      <c r="E103" s="29"/>
      <c r="F103" s="29"/>
      <c r="G103" s="29"/>
      <c r="H103" s="29"/>
      <c r="I103" s="29"/>
      <c r="J103" s="29"/>
      <c r="K103" s="29"/>
      <c r="L103" s="29"/>
      <c r="M103" s="29"/>
      <c r="N103" s="29"/>
      <c r="O103" s="402"/>
      <c r="P103" s="402"/>
      <c r="Q103" s="29"/>
      <c r="R103" s="29"/>
      <c r="S103" s="29"/>
      <c r="T103" s="29"/>
      <c r="U103" s="29"/>
      <c r="V103" s="597"/>
    </row>
    <row r="104" spans="1:26" ht="18" customHeight="1" thickBot="1" x14ac:dyDescent="0.25">
      <c r="A104" s="14"/>
      <c r="B104" s="104"/>
      <c r="C104" s="887" t="s">
        <v>1389</v>
      </c>
      <c r="D104" s="887"/>
      <c r="E104" s="887"/>
      <c r="F104" s="887"/>
      <c r="G104" s="887"/>
      <c r="H104" s="887"/>
      <c r="I104" s="29"/>
      <c r="J104" s="29"/>
      <c r="K104" s="992">
        <f>VLOOKUP('Part 1'!$L$16,Datasheet4!$B$5:$GB$332,X104,FALSE)</f>
        <v>12320</v>
      </c>
      <c r="L104" s="993"/>
      <c r="M104" s="29"/>
      <c r="N104" s="29"/>
      <c r="O104" s="992">
        <f>VLOOKUP('Part 1'!$L$16,Datasheet4!$B$5:$GB$332,Y104,FALSE)</f>
        <v>0</v>
      </c>
      <c r="P104" s="993"/>
      <c r="Q104" s="29"/>
      <c r="R104" s="29"/>
      <c r="S104" s="992">
        <f>VLOOKUP('Part 1'!$L$16,Datasheet4!$B$5:$GB$332,Z104,FALSE)</f>
        <v>251</v>
      </c>
      <c r="T104" s="993"/>
      <c r="U104" s="29"/>
      <c r="V104" s="597"/>
      <c r="X104" s="486">
        <v>87</v>
      </c>
      <c r="Y104" s="486">
        <v>88</v>
      </c>
      <c r="Z104" s="486">
        <v>89</v>
      </c>
    </row>
    <row r="105" spans="1:26" ht="18" customHeight="1" thickBot="1" x14ac:dyDescent="0.25">
      <c r="A105" s="14"/>
      <c r="B105" s="104"/>
      <c r="C105" s="887"/>
      <c r="D105" s="887"/>
      <c r="E105" s="887"/>
      <c r="F105" s="887"/>
      <c r="G105" s="887"/>
      <c r="H105" s="887"/>
      <c r="I105" s="29"/>
      <c r="J105" s="29"/>
      <c r="K105" s="18"/>
      <c r="L105" s="18"/>
      <c r="M105" s="29"/>
      <c r="N105" s="29"/>
      <c r="O105" s="402"/>
      <c r="P105" s="402"/>
      <c r="Q105" s="29"/>
      <c r="R105" s="29"/>
      <c r="S105" s="18"/>
      <c r="T105" s="18"/>
      <c r="U105" s="29"/>
      <c r="V105" s="597"/>
    </row>
    <row r="106" spans="1:26" ht="18" customHeight="1" thickBot="1" x14ac:dyDescent="0.25">
      <c r="A106" s="14"/>
      <c r="B106" s="104"/>
      <c r="C106" s="74" t="s">
        <v>1430</v>
      </c>
      <c r="D106" s="74"/>
      <c r="E106" s="29"/>
      <c r="F106" s="29"/>
      <c r="G106" s="29"/>
      <c r="H106" s="29"/>
      <c r="I106" s="29"/>
      <c r="J106" s="29"/>
      <c r="K106" s="994">
        <f>VLOOKUP('Part 1'!$L$16,Datasheet4!$B$5:$GB$332,X106,FALSE)</f>
        <v>52223</v>
      </c>
      <c r="L106" s="995"/>
      <c r="M106" s="2"/>
      <c r="N106" s="2"/>
      <c r="O106" s="998">
        <f>VLOOKUP('Part 1'!$L$16,Datasheet4!$B$5:$GB$332,Y106,FALSE)</f>
        <v>0</v>
      </c>
      <c r="P106" s="999"/>
      <c r="Q106" s="2"/>
      <c r="R106" s="2"/>
      <c r="S106" s="994">
        <f>VLOOKUP('Part 1'!$L$16,Datasheet4!$B$5:$GB$332,Z106,FALSE)</f>
        <v>1066</v>
      </c>
      <c r="T106" s="995"/>
      <c r="U106" s="29"/>
      <c r="V106" s="597"/>
      <c r="X106" s="486">
        <v>90</v>
      </c>
      <c r="Y106" s="486">
        <v>91</v>
      </c>
      <c r="Z106" s="486">
        <v>92</v>
      </c>
    </row>
    <row r="107" spans="1:26" ht="18" customHeight="1" thickBot="1" x14ac:dyDescent="0.25">
      <c r="A107" s="14"/>
      <c r="B107" s="104"/>
      <c r="C107" s="49"/>
      <c r="D107" s="49"/>
      <c r="E107" s="29"/>
      <c r="F107" s="29"/>
      <c r="G107" s="29"/>
      <c r="H107" s="29"/>
      <c r="I107" s="29"/>
      <c r="J107" s="29"/>
      <c r="K107" s="55"/>
      <c r="L107" s="54"/>
      <c r="M107" s="29"/>
      <c r="N107" s="29"/>
      <c r="O107" s="55"/>
      <c r="P107" s="54"/>
      <c r="Q107" s="29"/>
      <c r="R107" s="29"/>
      <c r="S107" s="55"/>
      <c r="T107" s="54"/>
      <c r="U107" s="29"/>
      <c r="V107" s="597"/>
    </row>
    <row r="108" spans="1:26" ht="18" customHeight="1" thickBot="1" x14ac:dyDescent="0.25">
      <c r="A108" s="14"/>
      <c r="B108" s="104"/>
      <c r="C108" s="74" t="s">
        <v>972</v>
      </c>
      <c r="D108" s="74"/>
      <c r="E108" s="29"/>
      <c r="F108" s="29"/>
      <c r="G108" s="29"/>
      <c r="H108" s="29"/>
      <c r="I108" s="29"/>
      <c r="J108" s="29"/>
      <c r="K108" s="992">
        <f>VLOOKUP('Part 1'!$L$16,Datasheet4!$B$5:$GB$332,X108,FALSE)</f>
        <v>-39903</v>
      </c>
      <c r="L108" s="993"/>
      <c r="M108" s="2"/>
      <c r="N108" s="2"/>
      <c r="O108" s="992">
        <f>VLOOKUP('Part 1'!$L$16,Datasheet4!$B$5:$GB$332,Y108,FALSE)</f>
        <v>0</v>
      </c>
      <c r="P108" s="993"/>
      <c r="Q108" s="2"/>
      <c r="R108" s="2"/>
      <c r="S108" s="992">
        <f>VLOOKUP('Part 1'!$L$16,Datasheet4!$B$5:$GB$332,Z108,FALSE)</f>
        <v>-815</v>
      </c>
      <c r="T108" s="993"/>
      <c r="U108" s="29"/>
      <c r="V108" s="597"/>
      <c r="X108" s="486">
        <v>93</v>
      </c>
      <c r="Y108" s="486">
        <v>94</v>
      </c>
      <c r="Z108" s="486">
        <v>95</v>
      </c>
    </row>
    <row r="109" spans="1:26" ht="18" customHeight="1" x14ac:dyDescent="0.2">
      <c r="A109" s="14"/>
      <c r="B109" s="2"/>
      <c r="C109" s="49"/>
      <c r="D109" s="49"/>
      <c r="E109" s="29"/>
      <c r="F109" s="29"/>
      <c r="G109" s="29"/>
      <c r="H109" s="29"/>
      <c r="I109" s="29"/>
      <c r="J109" s="29"/>
      <c r="K109" s="29"/>
      <c r="L109" s="29"/>
      <c r="M109" s="29"/>
      <c r="N109" s="29"/>
      <c r="O109" s="402"/>
      <c r="P109" s="402"/>
      <c r="Q109" s="29"/>
      <c r="R109" s="29"/>
      <c r="S109" s="29"/>
      <c r="T109" s="29"/>
      <c r="U109" s="29"/>
      <c r="V109" s="597"/>
    </row>
    <row r="110" spans="1:26" ht="18" customHeight="1" thickBot="1" x14ac:dyDescent="0.3">
      <c r="A110" s="14"/>
      <c r="B110" s="2"/>
      <c r="C110" s="178" t="s">
        <v>72</v>
      </c>
      <c r="D110" s="49"/>
      <c r="E110" s="29"/>
      <c r="F110" s="29"/>
      <c r="G110" s="29"/>
      <c r="H110" s="29"/>
      <c r="I110" s="29"/>
      <c r="J110" s="29"/>
      <c r="K110" s="29"/>
      <c r="L110" s="29"/>
      <c r="M110" s="29"/>
      <c r="N110" s="29"/>
      <c r="O110" s="402"/>
      <c r="P110" s="402"/>
      <c r="Q110" s="29"/>
      <c r="R110" s="29"/>
      <c r="S110" s="29"/>
      <c r="T110" s="29"/>
      <c r="U110" s="29"/>
      <c r="V110" s="597"/>
    </row>
    <row r="111" spans="1:26" ht="18" customHeight="1" thickBot="1" x14ac:dyDescent="0.25">
      <c r="A111" s="14"/>
      <c r="B111" s="2"/>
      <c r="C111" s="887" t="s">
        <v>1394</v>
      </c>
      <c r="D111" s="887"/>
      <c r="E111" s="887"/>
      <c r="F111" s="887"/>
      <c r="G111" s="887"/>
      <c r="H111" s="887"/>
      <c r="I111" s="29"/>
      <c r="J111" s="29"/>
      <c r="K111" s="996">
        <f>VLOOKUP('Part 1'!$L$16,Datasheet4!$B$5:$GB$332,X111,FALSE)</f>
        <v>-652</v>
      </c>
      <c r="L111" s="997"/>
      <c r="M111" s="29"/>
      <c r="N111" s="29"/>
      <c r="O111" s="996">
        <f>VLOOKUP('Part 1'!$L$16,Datasheet4!$B$5:$GB$332,Y111,FALSE)</f>
        <v>0</v>
      </c>
      <c r="P111" s="997"/>
      <c r="Q111" s="29"/>
      <c r="R111" s="29"/>
      <c r="S111" s="996">
        <f>VLOOKUP('Part 1'!$L$16,Datasheet4!$B$5:$GB$332,Z111,FALSE)</f>
        <v>-13</v>
      </c>
      <c r="T111" s="997"/>
      <c r="U111" s="29"/>
      <c r="V111" s="597"/>
      <c r="X111" s="486">
        <v>96</v>
      </c>
      <c r="Y111" s="486">
        <v>97</v>
      </c>
      <c r="Z111" s="486">
        <v>98</v>
      </c>
    </row>
    <row r="112" spans="1:26" ht="18" customHeight="1" x14ac:dyDescent="0.2">
      <c r="A112" s="14"/>
      <c r="B112" s="2"/>
      <c r="C112" s="887"/>
      <c r="D112" s="887"/>
      <c r="E112" s="887"/>
      <c r="F112" s="887"/>
      <c r="G112" s="887"/>
      <c r="H112" s="887"/>
      <c r="I112" s="29"/>
      <c r="J112" s="29"/>
      <c r="K112" s="18"/>
      <c r="L112" s="18"/>
      <c r="M112" s="29"/>
      <c r="N112" s="29"/>
      <c r="O112" s="402"/>
      <c r="P112" s="402"/>
      <c r="Q112" s="29"/>
      <c r="R112" s="29"/>
      <c r="S112" s="18"/>
      <c r="T112" s="18"/>
      <c r="U112" s="29"/>
      <c r="V112" s="597"/>
    </row>
    <row r="113" spans="1:26" ht="16.5" thickBot="1" x14ac:dyDescent="0.3">
      <c r="A113" s="14"/>
      <c r="B113" s="2"/>
      <c r="C113" s="178" t="s">
        <v>81</v>
      </c>
      <c r="D113" s="49"/>
      <c r="E113" s="29"/>
      <c r="F113" s="29"/>
      <c r="G113" s="29"/>
      <c r="H113" s="29"/>
      <c r="I113" s="29"/>
      <c r="J113" s="29"/>
      <c r="K113" s="29"/>
      <c r="L113" s="29"/>
      <c r="M113" s="29"/>
      <c r="N113" s="29"/>
      <c r="O113" s="402"/>
      <c r="P113" s="402"/>
      <c r="Q113" s="29"/>
      <c r="R113" s="29"/>
      <c r="S113" s="29"/>
      <c r="T113" s="29"/>
      <c r="U113" s="2"/>
      <c r="V113" s="597"/>
    </row>
    <row r="114" spans="1:26" ht="16.5" thickBot="1" x14ac:dyDescent="0.25">
      <c r="A114" s="14"/>
      <c r="B114" s="2"/>
      <c r="C114" s="887" t="s">
        <v>1388</v>
      </c>
      <c r="D114" s="887"/>
      <c r="E114" s="887"/>
      <c r="F114" s="887"/>
      <c r="G114" s="887"/>
      <c r="H114" s="887"/>
      <c r="I114" s="29"/>
      <c r="J114" s="29"/>
      <c r="K114" s="967">
        <f>VLOOKUP('Part 1'!$L$16,Datasheet4!$B$5:$GB$332,X114,FALSE)</f>
        <v>7035</v>
      </c>
      <c r="L114" s="968"/>
      <c r="M114" s="454"/>
      <c r="N114" s="454"/>
      <c r="O114" s="967">
        <f>VLOOKUP('Part 1'!$L$16,Datasheet4!$B$5:$GB$332,Y114,FALSE)</f>
        <v>0</v>
      </c>
      <c r="P114" s="968"/>
      <c r="Q114" s="454"/>
      <c r="R114" s="454"/>
      <c r="S114" s="967">
        <f>VLOOKUP('Part 1'!$L$16,Datasheet4!$B$5:$GB$332,Z114,FALSE)</f>
        <v>144</v>
      </c>
      <c r="T114" s="968"/>
      <c r="U114" s="2"/>
      <c r="V114" s="597"/>
      <c r="X114" s="486">
        <v>99</v>
      </c>
      <c r="Y114" s="486">
        <v>100</v>
      </c>
      <c r="Z114" s="486">
        <v>101</v>
      </c>
    </row>
    <row r="115" spans="1:26" ht="16.5" thickBot="1" x14ac:dyDescent="0.25">
      <c r="A115" s="14"/>
      <c r="B115" s="2"/>
      <c r="C115" s="887"/>
      <c r="D115" s="887"/>
      <c r="E115" s="887"/>
      <c r="F115" s="887"/>
      <c r="G115" s="887"/>
      <c r="H115" s="887"/>
      <c r="I115" s="29"/>
      <c r="J115" s="29"/>
      <c r="K115" s="29"/>
      <c r="L115" s="29"/>
      <c r="M115" s="29"/>
      <c r="N115" s="29"/>
      <c r="O115" s="402"/>
      <c r="P115" s="402"/>
      <c r="Q115" s="29"/>
      <c r="R115" s="29"/>
      <c r="S115" s="452"/>
      <c r="T115" s="453"/>
      <c r="U115" s="2"/>
      <c r="V115" s="597"/>
    </row>
    <row r="116" spans="1:26" ht="16.5" thickBot="1" x14ac:dyDescent="0.25">
      <c r="A116" s="14"/>
      <c r="B116" s="2"/>
      <c r="C116" s="74" t="s">
        <v>1392</v>
      </c>
      <c r="D116" s="49"/>
      <c r="E116" s="29"/>
      <c r="F116" s="29"/>
      <c r="G116" s="29"/>
      <c r="H116" s="29"/>
      <c r="I116" s="29"/>
      <c r="J116" s="29"/>
      <c r="K116" s="994">
        <f>VLOOKUP('Part 1'!$L$16,Datasheet4!$B$5:$GB$332,X116,FALSE)</f>
        <v>0</v>
      </c>
      <c r="L116" s="995"/>
      <c r="M116" s="2"/>
      <c r="N116" s="2"/>
      <c r="O116" s="998">
        <f>VLOOKUP('Part 1'!$L$16,Datasheet4!$B$5:$GB$332,Y116,FALSE)</f>
        <v>0</v>
      </c>
      <c r="P116" s="999"/>
      <c r="Q116" s="2"/>
      <c r="R116" s="2"/>
      <c r="S116" s="994">
        <f>VLOOKUP('Part 1'!$L$16,Datasheet4!$B$5:$GB$332,Z116,FALSE)</f>
        <v>0</v>
      </c>
      <c r="T116" s="995"/>
      <c r="U116" s="2"/>
      <c r="V116" s="597"/>
      <c r="X116" s="486">
        <v>102</v>
      </c>
      <c r="Y116" s="486">
        <v>103</v>
      </c>
      <c r="Z116" s="486">
        <v>104</v>
      </c>
    </row>
    <row r="117" spans="1:26" ht="16.5" thickBot="1" x14ac:dyDescent="0.25">
      <c r="A117" s="14"/>
      <c r="B117" s="2"/>
      <c r="C117" s="49"/>
      <c r="D117" s="49"/>
      <c r="E117" s="29"/>
      <c r="F117" s="29"/>
      <c r="G117" s="29"/>
      <c r="H117" s="29"/>
      <c r="I117" s="29"/>
      <c r="J117" s="29"/>
      <c r="K117" s="55"/>
      <c r="L117" s="54"/>
      <c r="M117" s="29"/>
      <c r="N117" s="29"/>
      <c r="O117" s="55"/>
      <c r="P117" s="54"/>
      <c r="Q117" s="29"/>
      <c r="R117" s="29"/>
      <c r="S117" s="55"/>
      <c r="T117" s="54"/>
      <c r="U117" s="2"/>
      <c r="V117" s="597"/>
    </row>
    <row r="118" spans="1:26" ht="16.5" thickBot="1" x14ac:dyDescent="0.25">
      <c r="A118" s="14"/>
      <c r="B118" s="2"/>
      <c r="C118" s="74" t="s">
        <v>1393</v>
      </c>
      <c r="D118" s="74"/>
      <c r="E118" s="74"/>
      <c r="F118" s="74"/>
      <c r="G118" s="74"/>
      <c r="H118" s="29"/>
      <c r="I118" s="29"/>
      <c r="J118" s="29"/>
      <c r="K118" s="992">
        <f>VLOOKUP('Part 1'!$L$16,Datasheet4!$B$5:$GB$332,X118,FALSE)</f>
        <v>7035</v>
      </c>
      <c r="L118" s="993"/>
      <c r="M118" s="29"/>
      <c r="N118" s="29"/>
      <c r="O118" s="992">
        <f>VLOOKUP('Part 1'!$L$16,Datasheet4!$B$5:$GB$332,Y118,FALSE)</f>
        <v>0</v>
      </c>
      <c r="P118" s="993"/>
      <c r="Q118" s="29"/>
      <c r="R118" s="29"/>
      <c r="S118" s="992">
        <f>VLOOKUP('Part 1'!$L$16,Datasheet4!$B$5:$GB$332,Z118,FALSE)</f>
        <v>144</v>
      </c>
      <c r="T118" s="993"/>
      <c r="U118" s="2"/>
      <c r="V118" s="597"/>
      <c r="X118" s="486">
        <v>105</v>
      </c>
      <c r="Y118" s="486">
        <v>106</v>
      </c>
      <c r="Z118" s="486">
        <v>107</v>
      </c>
    </row>
    <row r="119" spans="1:26" ht="18" customHeight="1" x14ac:dyDescent="0.2">
      <c r="A119" s="14"/>
      <c r="B119" s="2"/>
      <c r="C119" s="74"/>
      <c r="D119" s="49"/>
      <c r="E119" s="29"/>
      <c r="F119" s="29"/>
      <c r="G119" s="29"/>
      <c r="H119" s="29"/>
      <c r="I119" s="29"/>
      <c r="J119" s="29"/>
      <c r="K119" s="29"/>
      <c r="L119" s="29"/>
      <c r="M119" s="29"/>
      <c r="N119" s="29"/>
      <c r="O119" s="402"/>
      <c r="P119" s="402"/>
      <c r="Q119" s="29"/>
      <c r="R119" s="29"/>
      <c r="S119" s="29"/>
      <c r="T119" s="29"/>
      <c r="U119" s="2"/>
      <c r="V119" s="597"/>
    </row>
    <row r="120" spans="1:26" ht="18" customHeight="1" thickBot="1" x14ac:dyDescent="0.3">
      <c r="A120" s="14"/>
      <c r="B120" s="2"/>
      <c r="C120" s="178" t="s">
        <v>971</v>
      </c>
      <c r="D120" s="49"/>
      <c r="E120" s="29"/>
      <c r="F120" s="29"/>
      <c r="G120" s="29"/>
      <c r="H120" s="29"/>
      <c r="I120" s="29"/>
      <c r="J120" s="29"/>
      <c r="K120" s="29"/>
      <c r="L120" s="29"/>
      <c r="M120" s="29"/>
      <c r="N120" s="29"/>
      <c r="O120" s="402"/>
      <c r="P120" s="402"/>
      <c r="Q120" s="29"/>
      <c r="R120" s="29"/>
      <c r="S120" s="29"/>
      <c r="T120" s="29"/>
      <c r="U120" s="2"/>
      <c r="V120" s="597"/>
    </row>
    <row r="121" spans="1:26" ht="18" customHeight="1" thickBot="1" x14ac:dyDescent="0.25">
      <c r="A121" s="14"/>
      <c r="B121" s="2"/>
      <c r="C121" s="854" t="s">
        <v>1395</v>
      </c>
      <c r="D121" s="1000"/>
      <c r="E121" s="1000"/>
      <c r="F121" s="1000"/>
      <c r="G121" s="1000"/>
      <c r="H121" s="29"/>
      <c r="I121" s="29"/>
      <c r="J121" s="29"/>
      <c r="K121" s="967">
        <f>VLOOKUP('Part 1'!$L$16,Datasheet4!$B$5:$GB$332,X121,FALSE)</f>
        <v>0</v>
      </c>
      <c r="L121" s="1001"/>
      <c r="M121" s="2"/>
      <c r="N121" s="2"/>
      <c r="O121" s="967">
        <f>VLOOKUP('Part 1'!$L$16,Datasheet4!$B$5:$GB$332,Y121,FALSE)</f>
        <v>0</v>
      </c>
      <c r="P121" s="968"/>
      <c r="Q121" s="2"/>
      <c r="R121" s="2"/>
      <c r="S121" s="967">
        <f>VLOOKUP('Part 1'!$L$16,Datasheet4!$B$5:$GB$332,Z121,FALSE)</f>
        <v>0</v>
      </c>
      <c r="T121" s="968"/>
      <c r="U121" s="2"/>
      <c r="V121" s="597"/>
      <c r="X121" s="486">
        <v>108</v>
      </c>
      <c r="Y121" s="486">
        <v>109</v>
      </c>
      <c r="Z121" s="486">
        <v>110</v>
      </c>
    </row>
    <row r="122" spans="1:26" ht="18" customHeight="1" x14ac:dyDescent="0.2">
      <c r="A122" s="14"/>
      <c r="B122" s="2"/>
      <c r="C122" s="1000"/>
      <c r="D122" s="1000"/>
      <c r="E122" s="1000"/>
      <c r="F122" s="1000"/>
      <c r="G122" s="1000"/>
      <c r="H122" s="29"/>
      <c r="I122" s="29"/>
      <c r="J122" s="29"/>
      <c r="K122" s="18"/>
      <c r="L122" s="18"/>
      <c r="M122" s="29"/>
      <c r="N122" s="29"/>
      <c r="O122" s="402"/>
      <c r="P122" s="402"/>
      <c r="Q122" s="29"/>
      <c r="R122" s="29"/>
      <c r="S122" s="18"/>
      <c r="T122" s="18"/>
      <c r="U122" s="2"/>
      <c r="V122" s="597"/>
    </row>
    <row r="123" spans="1:26" ht="18" customHeight="1" thickBot="1" x14ac:dyDescent="0.25">
      <c r="A123" s="14"/>
      <c r="B123" s="2"/>
      <c r="C123" s="743" t="s">
        <v>35</v>
      </c>
      <c r="D123" s="74"/>
      <c r="E123" s="454"/>
      <c r="F123" s="454"/>
      <c r="G123" s="454"/>
      <c r="H123" s="454"/>
      <c r="I123" s="454"/>
      <c r="J123" s="454"/>
      <c r="K123" s="454"/>
      <c r="L123" s="454"/>
      <c r="M123" s="454"/>
      <c r="N123" s="454"/>
      <c r="O123" s="454"/>
      <c r="P123" s="454"/>
      <c r="Q123" s="454"/>
      <c r="R123" s="454"/>
      <c r="S123" s="454"/>
      <c r="T123" s="454"/>
      <c r="U123" s="2"/>
      <c r="V123" s="47"/>
    </row>
    <row r="124" spans="1:26" ht="18" customHeight="1" thickBot="1" x14ac:dyDescent="0.25">
      <c r="A124" s="14"/>
      <c r="B124" s="2"/>
      <c r="C124" s="125" t="s">
        <v>1396</v>
      </c>
      <c r="D124" s="746"/>
      <c r="E124" s="746"/>
      <c r="F124" s="746"/>
      <c r="G124" s="746"/>
      <c r="H124" s="746"/>
      <c r="I124" s="454"/>
      <c r="J124" s="454"/>
      <c r="K124" s="967">
        <f>VLOOKUP('Part 1'!$L$16,Datasheet4!$B$5:$GB$332,X124,FALSE)</f>
        <v>2057</v>
      </c>
      <c r="L124" s="1001"/>
      <c r="M124" s="2"/>
      <c r="N124" s="2"/>
      <c r="O124" s="967">
        <f>VLOOKUP('Part 1'!$L$16,Datasheet4!$B$5:$GB$332,Y124,FALSE)</f>
        <v>0</v>
      </c>
      <c r="P124" s="968"/>
      <c r="Q124" s="2"/>
      <c r="R124" s="2"/>
      <c r="S124" s="967">
        <f>VLOOKUP('Part 1'!$L$16,Datasheet4!$B$5:$GB$332,Z124,FALSE)</f>
        <v>42</v>
      </c>
      <c r="T124" s="968"/>
      <c r="U124" s="2"/>
      <c r="V124" s="47"/>
      <c r="X124" s="486">
        <v>111</v>
      </c>
      <c r="Y124" s="486">
        <v>112</v>
      </c>
      <c r="Z124" s="486">
        <v>113</v>
      </c>
    </row>
    <row r="125" spans="1:26" ht="18" customHeight="1" thickBot="1" x14ac:dyDescent="0.25">
      <c r="A125" s="14"/>
      <c r="B125" s="2"/>
      <c r="C125" s="746"/>
      <c r="D125" s="746"/>
      <c r="E125" s="746"/>
      <c r="F125" s="746"/>
      <c r="G125" s="746"/>
      <c r="H125" s="746"/>
      <c r="I125" s="454"/>
      <c r="J125" s="454"/>
      <c r="K125" s="6"/>
      <c r="L125" s="6"/>
      <c r="M125" s="454"/>
      <c r="N125" s="454"/>
      <c r="O125" s="802"/>
      <c r="P125" s="802"/>
      <c r="Q125" s="454"/>
      <c r="R125" s="454"/>
      <c r="S125" s="6"/>
      <c r="T125" s="6"/>
      <c r="U125" s="2"/>
      <c r="V125" s="47"/>
    </row>
    <row r="126" spans="1:26" ht="18" customHeight="1" thickBot="1" x14ac:dyDescent="0.25">
      <c r="A126" s="14"/>
      <c r="B126" s="2"/>
      <c r="C126" s="74" t="s">
        <v>1397</v>
      </c>
      <c r="D126" s="74"/>
      <c r="E126" s="454"/>
      <c r="F126" s="454"/>
      <c r="G126" s="454"/>
      <c r="H126" s="454"/>
      <c r="I126" s="454"/>
      <c r="J126" s="454"/>
      <c r="K126" s="967">
        <f>VLOOKUP('Part 1'!$L$16,Datasheet4!$B$5:$GB$332,X126,FALSE)</f>
        <v>4337</v>
      </c>
      <c r="L126" s="1001"/>
      <c r="M126" s="2"/>
      <c r="N126" s="2"/>
      <c r="O126" s="967">
        <f>VLOOKUP('Part 1'!$L$16,Datasheet4!$B$5:$GB$332,Y126,FALSE)</f>
        <v>0</v>
      </c>
      <c r="P126" s="968"/>
      <c r="Q126" s="2"/>
      <c r="R126" s="2"/>
      <c r="S126" s="967">
        <f>VLOOKUP('Part 1'!$L$16,Datasheet4!$B$5:$GB$332,Z126,FALSE)</f>
        <v>88</v>
      </c>
      <c r="T126" s="968"/>
      <c r="U126" s="2"/>
      <c r="V126" s="47"/>
      <c r="X126" s="486">
        <v>114</v>
      </c>
      <c r="Y126" s="486">
        <v>115</v>
      </c>
      <c r="Z126" s="486">
        <v>116</v>
      </c>
    </row>
    <row r="127" spans="1:26" ht="18" customHeight="1" thickBot="1" x14ac:dyDescent="0.25">
      <c r="A127" s="14"/>
      <c r="B127" s="2"/>
      <c r="C127" s="74"/>
      <c r="D127" s="74"/>
      <c r="E127" s="454"/>
      <c r="F127" s="454"/>
      <c r="G127" s="454"/>
      <c r="H127" s="454"/>
      <c r="I127" s="454"/>
      <c r="J127" s="454"/>
      <c r="K127" s="748"/>
      <c r="L127" s="64"/>
      <c r="M127" s="454"/>
      <c r="N127" s="454"/>
      <c r="O127" s="748"/>
      <c r="P127" s="64"/>
      <c r="Q127" s="454"/>
      <c r="R127" s="454"/>
      <c r="S127" s="748"/>
      <c r="T127" s="64"/>
      <c r="U127" s="2"/>
      <c r="V127" s="47"/>
    </row>
    <row r="128" spans="1:26" ht="18" customHeight="1" thickBot="1" x14ac:dyDescent="0.25">
      <c r="A128" s="14"/>
      <c r="B128" s="2"/>
      <c r="C128" s="74" t="s">
        <v>1398</v>
      </c>
      <c r="D128" s="74"/>
      <c r="E128" s="454"/>
      <c r="F128" s="454"/>
      <c r="G128" s="454"/>
      <c r="H128" s="454"/>
      <c r="I128" s="454"/>
      <c r="J128" s="454"/>
      <c r="K128" s="967">
        <f>VLOOKUP('Part 1'!$L$16,Datasheet4!$B$5:$GB$332,X128,FALSE)</f>
        <v>-2280</v>
      </c>
      <c r="L128" s="1001"/>
      <c r="M128" s="2"/>
      <c r="N128" s="2"/>
      <c r="O128" s="967">
        <f>VLOOKUP('Part 1'!$L$16,Datasheet4!$B$5:$GB$332,Y128,FALSE)</f>
        <v>0</v>
      </c>
      <c r="P128" s="968"/>
      <c r="Q128" s="2"/>
      <c r="R128" s="2"/>
      <c r="S128" s="967">
        <f>VLOOKUP('Part 1'!$L$16,Datasheet4!$B$5:$GB$332,Z128,FALSE)</f>
        <v>-46</v>
      </c>
      <c r="T128" s="968"/>
      <c r="U128" s="2"/>
      <c r="V128" s="47"/>
      <c r="X128" s="486">
        <v>117</v>
      </c>
      <c r="Y128" s="486">
        <v>118</v>
      </c>
      <c r="Z128" s="486">
        <v>119</v>
      </c>
    </row>
    <row r="129" spans="1:26" ht="18" customHeight="1" x14ac:dyDescent="0.2">
      <c r="A129" s="14"/>
      <c r="B129" s="2"/>
      <c r="C129" s="74"/>
      <c r="D129" s="74"/>
      <c r="E129" s="454"/>
      <c r="F129" s="454"/>
      <c r="G129" s="454"/>
      <c r="H129" s="454"/>
      <c r="I129" s="454"/>
      <c r="J129" s="454"/>
      <c r="K129" s="454"/>
      <c r="L129" s="454"/>
      <c r="M129" s="454"/>
      <c r="N129" s="454"/>
      <c r="O129" s="454"/>
      <c r="P129" s="454"/>
      <c r="Q129" s="454"/>
      <c r="R129" s="454"/>
      <c r="S129" s="454"/>
      <c r="T129" s="454"/>
      <c r="U129" s="2"/>
      <c r="V129" s="47"/>
    </row>
    <row r="130" spans="1:26" ht="18" customHeight="1" thickBot="1" x14ac:dyDescent="0.25">
      <c r="A130" s="14"/>
      <c r="B130" s="2"/>
      <c r="C130" s="743" t="s">
        <v>1399</v>
      </c>
      <c r="D130" s="74"/>
      <c r="E130" s="454"/>
      <c r="F130" s="454"/>
      <c r="G130" s="454"/>
      <c r="H130" s="454"/>
      <c r="I130" s="454"/>
      <c r="J130" s="454"/>
      <c r="K130" s="454"/>
      <c r="L130" s="454"/>
      <c r="M130" s="454"/>
      <c r="N130" s="454"/>
      <c r="O130" s="454"/>
      <c r="P130" s="454"/>
      <c r="Q130" s="454"/>
      <c r="R130" s="454"/>
      <c r="S130" s="454"/>
      <c r="T130" s="454"/>
      <c r="U130" s="2"/>
      <c r="V130" s="47"/>
    </row>
    <row r="131" spans="1:26" ht="18" customHeight="1" thickBot="1" x14ac:dyDescent="0.25">
      <c r="A131" s="14"/>
      <c r="B131" s="2"/>
      <c r="C131" s="125" t="s">
        <v>1400</v>
      </c>
      <c r="D131" s="746"/>
      <c r="E131" s="746"/>
      <c r="F131" s="746"/>
      <c r="G131" s="746"/>
      <c r="H131" s="746"/>
      <c r="I131" s="454"/>
      <c r="J131" s="454"/>
      <c r="K131" s="967">
        <f>VLOOKUP('Part 1'!$L$16,Datasheet4!$B$5:$GB$332,X131,FALSE)</f>
        <v>746</v>
      </c>
      <c r="L131" s="1001"/>
      <c r="M131" s="2"/>
      <c r="N131" s="2"/>
      <c r="O131" s="967">
        <f>VLOOKUP('Part 1'!$L$16,Datasheet4!$B$5:$GB$332,Y131,FALSE)</f>
        <v>0</v>
      </c>
      <c r="P131" s="968"/>
      <c r="Q131" s="2"/>
      <c r="R131" s="2"/>
      <c r="S131" s="967">
        <f>VLOOKUP('Part 1'!$L$16,Datasheet4!$B$5:$GB$332,Z131,FALSE)</f>
        <v>15</v>
      </c>
      <c r="T131" s="968"/>
      <c r="U131" s="2"/>
      <c r="V131" s="47"/>
      <c r="X131" s="486">
        <v>120</v>
      </c>
      <c r="Y131" s="486">
        <v>121</v>
      </c>
      <c r="Z131" s="486">
        <v>122</v>
      </c>
    </row>
    <row r="132" spans="1:26" ht="18" customHeight="1" thickBot="1" x14ac:dyDescent="0.25">
      <c r="A132" s="14"/>
      <c r="B132" s="2"/>
      <c r="C132" s="746"/>
      <c r="D132" s="746"/>
      <c r="E132" s="746"/>
      <c r="F132" s="746"/>
      <c r="G132" s="746"/>
      <c r="H132" s="746"/>
      <c r="I132" s="454"/>
      <c r="J132" s="454"/>
      <c r="K132" s="6"/>
      <c r="L132" s="6"/>
      <c r="M132" s="454"/>
      <c r="N132" s="454"/>
      <c r="O132" s="802"/>
      <c r="P132" s="802"/>
      <c r="Q132" s="454"/>
      <c r="R132" s="454"/>
      <c r="S132" s="6"/>
      <c r="T132" s="6"/>
      <c r="U132" s="2"/>
      <c r="V132" s="47"/>
    </row>
    <row r="133" spans="1:26" ht="18" customHeight="1" thickBot="1" x14ac:dyDescent="0.25">
      <c r="A133" s="14"/>
      <c r="B133" s="2"/>
      <c r="C133" s="74" t="s">
        <v>1401</v>
      </c>
      <c r="D133" s="74"/>
      <c r="E133" s="454"/>
      <c r="F133" s="454"/>
      <c r="G133" s="454"/>
      <c r="H133" s="454"/>
      <c r="I133" s="454"/>
      <c r="J133" s="454"/>
      <c r="K133" s="967">
        <f>VLOOKUP('Part 1'!$L$16,Datasheet4!$B$5:$GB$332,X133,FALSE)</f>
        <v>746</v>
      </c>
      <c r="L133" s="1001"/>
      <c r="M133" s="2"/>
      <c r="N133" s="2"/>
      <c r="O133" s="967">
        <f>VLOOKUP('Part 1'!$L$16,Datasheet4!$B$5:$GB$332,Y133,FALSE)</f>
        <v>0</v>
      </c>
      <c r="P133" s="968"/>
      <c r="Q133" s="2"/>
      <c r="R133" s="2"/>
      <c r="S133" s="967">
        <f>VLOOKUP('Part 1'!$L$16,Datasheet4!$B$5:$GB$332,Z133,FALSE)</f>
        <v>15</v>
      </c>
      <c r="T133" s="968"/>
      <c r="U133" s="2"/>
      <c r="V133" s="47"/>
      <c r="X133" s="486">
        <v>123</v>
      </c>
      <c r="Y133" s="486">
        <v>124</v>
      </c>
      <c r="Z133" s="486">
        <v>125</v>
      </c>
    </row>
    <row r="134" spans="1:26" ht="18" customHeight="1" thickBot="1" x14ac:dyDescent="0.25">
      <c r="A134" s="14"/>
      <c r="B134" s="2"/>
      <c r="C134" s="74"/>
      <c r="D134" s="74"/>
      <c r="E134" s="454"/>
      <c r="F134" s="454"/>
      <c r="G134" s="454"/>
      <c r="H134" s="454"/>
      <c r="I134" s="454"/>
      <c r="J134" s="454"/>
      <c r="K134" s="748"/>
      <c r="L134" s="64"/>
      <c r="M134" s="454"/>
      <c r="N134" s="454"/>
      <c r="O134" s="748"/>
      <c r="P134" s="64"/>
      <c r="Q134" s="454"/>
      <c r="R134" s="454"/>
      <c r="S134" s="748"/>
      <c r="T134" s="64"/>
      <c r="U134" s="2"/>
      <c r="V134" s="47"/>
    </row>
    <row r="135" spans="1:26" ht="18" customHeight="1" thickBot="1" x14ac:dyDescent="0.25">
      <c r="A135" s="14"/>
      <c r="B135" s="2"/>
      <c r="C135" s="74" t="s">
        <v>1402</v>
      </c>
      <c r="D135" s="74"/>
      <c r="E135" s="454"/>
      <c r="F135" s="454"/>
      <c r="G135" s="454"/>
      <c r="H135" s="454"/>
      <c r="I135" s="454"/>
      <c r="J135" s="454"/>
      <c r="K135" s="967">
        <f>VLOOKUP('Part 1'!$L$16,Datasheet4!$B$5:$GB$332,X135,FALSE)</f>
        <v>0</v>
      </c>
      <c r="L135" s="1001"/>
      <c r="M135" s="2"/>
      <c r="N135" s="2"/>
      <c r="O135" s="967">
        <f>VLOOKUP('Part 1'!$L$16,Datasheet4!$B$5:$GB$332,Y135,FALSE)</f>
        <v>0</v>
      </c>
      <c r="P135" s="968"/>
      <c r="Q135" s="2"/>
      <c r="R135" s="2"/>
      <c r="S135" s="967">
        <f>VLOOKUP('Part 1'!$L$16,Datasheet4!$B$5:$GB$332,Z135,FALSE)</f>
        <v>0</v>
      </c>
      <c r="T135" s="968"/>
      <c r="U135" s="2"/>
      <c r="V135" s="47"/>
      <c r="X135" s="486">
        <v>126</v>
      </c>
      <c r="Y135" s="486">
        <v>127</v>
      </c>
      <c r="Z135" s="486">
        <v>128</v>
      </c>
    </row>
    <row r="136" spans="1:26" ht="18" customHeight="1" x14ac:dyDescent="0.2">
      <c r="A136" s="14"/>
      <c r="B136" s="2"/>
      <c r="C136" s="74"/>
      <c r="D136" s="74"/>
      <c r="E136" s="454"/>
      <c r="F136" s="454"/>
      <c r="G136" s="454"/>
      <c r="H136" s="454"/>
      <c r="I136" s="454"/>
      <c r="J136" s="454"/>
      <c r="K136" s="454"/>
      <c r="L136" s="454"/>
      <c r="M136" s="454"/>
      <c r="N136" s="454"/>
      <c r="O136" s="454"/>
      <c r="P136" s="454"/>
      <c r="Q136" s="454"/>
      <c r="R136" s="454"/>
      <c r="S136" s="454"/>
      <c r="T136" s="454"/>
      <c r="U136" s="2"/>
      <c r="V136" s="47"/>
    </row>
    <row r="137" spans="1:26" ht="18" customHeight="1" thickBot="1" x14ac:dyDescent="0.25">
      <c r="A137" s="14"/>
      <c r="B137" s="2"/>
      <c r="C137" s="743" t="s">
        <v>1403</v>
      </c>
      <c r="D137" s="74"/>
      <c r="E137" s="454"/>
      <c r="F137" s="454"/>
      <c r="G137" s="454"/>
      <c r="H137" s="454"/>
      <c r="I137" s="454"/>
      <c r="J137" s="454"/>
      <c r="K137" s="454"/>
      <c r="L137" s="454"/>
      <c r="M137" s="454"/>
      <c r="N137" s="454"/>
      <c r="O137" s="454"/>
      <c r="P137" s="454"/>
      <c r="Q137" s="454"/>
      <c r="R137" s="454"/>
      <c r="S137" s="454"/>
      <c r="T137" s="454"/>
      <c r="U137" s="2"/>
      <c r="V137" s="47"/>
    </row>
    <row r="138" spans="1:26" ht="18" customHeight="1" thickBot="1" x14ac:dyDescent="0.25">
      <c r="A138" s="14"/>
      <c r="B138" s="2"/>
      <c r="C138" s="125" t="s">
        <v>1404</v>
      </c>
      <c r="D138" s="746"/>
      <c r="E138" s="746"/>
      <c r="F138" s="746"/>
      <c r="G138" s="746"/>
      <c r="H138" s="746"/>
      <c r="I138" s="454"/>
      <c r="J138" s="454"/>
      <c r="K138" s="967">
        <f>VLOOKUP('Part 1'!$L$16,Datasheet4!$B$5:$GB$332,X138,FALSE)</f>
        <v>26887</v>
      </c>
      <c r="L138" s="1001"/>
      <c r="M138" s="2"/>
      <c r="N138" s="2"/>
      <c r="O138" s="967">
        <f>VLOOKUP('Part 1'!$L$16,Datasheet4!$B$5:$GB$332,Y138,FALSE)</f>
        <v>0</v>
      </c>
      <c r="P138" s="968"/>
      <c r="Q138" s="2"/>
      <c r="R138" s="2"/>
      <c r="S138" s="967">
        <f>VLOOKUP('Part 1'!$L$16,Datasheet4!$B$5:$GB$332,Z138,FALSE)</f>
        <v>542</v>
      </c>
      <c r="T138" s="968"/>
      <c r="U138" s="2"/>
      <c r="V138" s="47"/>
      <c r="X138" s="486">
        <v>129</v>
      </c>
      <c r="Y138" s="486">
        <v>130</v>
      </c>
      <c r="Z138" s="486">
        <v>131</v>
      </c>
    </row>
    <row r="139" spans="1:26" ht="18" customHeight="1" thickBot="1" x14ac:dyDescent="0.25">
      <c r="A139" s="14"/>
      <c r="B139" s="2"/>
      <c r="C139" s="746"/>
      <c r="D139" s="746"/>
      <c r="E139" s="746"/>
      <c r="F139" s="746"/>
      <c r="G139" s="746"/>
      <c r="H139" s="746"/>
      <c r="I139" s="454"/>
      <c r="J139" s="454"/>
      <c r="K139" s="6"/>
      <c r="L139" s="6"/>
      <c r="M139" s="454"/>
      <c r="N139" s="454"/>
      <c r="O139" s="802"/>
      <c r="P139" s="802"/>
      <c r="Q139" s="454"/>
      <c r="R139" s="454"/>
      <c r="S139" s="6"/>
      <c r="T139" s="6"/>
      <c r="U139" s="2"/>
      <c r="V139" s="47"/>
    </row>
    <row r="140" spans="1:26" ht="18" customHeight="1" thickBot="1" x14ac:dyDescent="0.25">
      <c r="A140" s="14"/>
      <c r="B140" s="2"/>
      <c r="C140" s="74" t="s">
        <v>1405</v>
      </c>
      <c r="D140" s="74"/>
      <c r="E140" s="454"/>
      <c r="F140" s="454"/>
      <c r="G140" s="454"/>
      <c r="H140" s="454"/>
      <c r="I140" s="454"/>
      <c r="J140" s="454"/>
      <c r="K140" s="967">
        <f>VLOOKUP('Part 1'!$L$16,Datasheet4!$B$5:$GB$332,X140,FALSE)</f>
        <v>29620</v>
      </c>
      <c r="L140" s="1001"/>
      <c r="M140" s="2"/>
      <c r="N140" s="2"/>
      <c r="O140" s="967">
        <f>VLOOKUP('Part 1'!$L$16,Datasheet4!$B$5:$GB$332,Y140,FALSE)</f>
        <v>0</v>
      </c>
      <c r="P140" s="968"/>
      <c r="Q140" s="2"/>
      <c r="R140" s="2"/>
      <c r="S140" s="967">
        <f>VLOOKUP('Part 1'!$L$16,Datasheet4!$B$5:$GB$332,Z140,FALSE)</f>
        <v>0</v>
      </c>
      <c r="T140" s="968"/>
      <c r="U140" s="2"/>
      <c r="V140" s="47"/>
      <c r="X140" s="486">
        <v>132</v>
      </c>
      <c r="Y140" s="486">
        <v>133</v>
      </c>
      <c r="Z140" s="486">
        <v>134</v>
      </c>
    </row>
    <row r="141" spans="1:26" ht="18" customHeight="1" thickBot="1" x14ac:dyDescent="0.25">
      <c r="A141" s="14"/>
      <c r="B141" s="2"/>
      <c r="C141" s="74"/>
      <c r="D141" s="74"/>
      <c r="E141" s="454"/>
      <c r="F141" s="454"/>
      <c r="G141" s="454"/>
      <c r="H141" s="454"/>
      <c r="I141" s="454"/>
      <c r="J141" s="454"/>
      <c r="K141" s="748"/>
      <c r="L141" s="64"/>
      <c r="M141" s="454"/>
      <c r="N141" s="454"/>
      <c r="O141" s="748"/>
      <c r="P141" s="64"/>
      <c r="Q141" s="454"/>
      <c r="R141" s="454"/>
      <c r="S141" s="748"/>
      <c r="T141" s="64"/>
      <c r="U141" s="2"/>
      <c r="V141" s="47"/>
    </row>
    <row r="142" spans="1:26" ht="18" customHeight="1" thickBot="1" x14ac:dyDescent="0.25">
      <c r="A142" s="14"/>
      <c r="B142" s="2"/>
      <c r="C142" s="74" t="s">
        <v>1406</v>
      </c>
      <c r="D142" s="74"/>
      <c r="E142" s="454"/>
      <c r="F142" s="454"/>
      <c r="G142" s="454"/>
      <c r="H142" s="454"/>
      <c r="I142" s="454"/>
      <c r="J142" s="454"/>
      <c r="K142" s="967">
        <f>VLOOKUP('Part 1'!$L$16,Datasheet4!$B$5:$GB$332,X142,FALSE)</f>
        <v>-2733</v>
      </c>
      <c r="L142" s="1001"/>
      <c r="M142" s="2"/>
      <c r="N142" s="2"/>
      <c r="O142" s="967">
        <f>VLOOKUP('Part 1'!$L$16,Datasheet4!$B$5:$GB$332,Y142,FALSE)</f>
        <v>0</v>
      </c>
      <c r="P142" s="968"/>
      <c r="Q142" s="2"/>
      <c r="R142" s="2"/>
      <c r="S142" s="967">
        <f>VLOOKUP('Part 1'!$L$16,Datasheet4!$B$5:$GB$332,Z142,FALSE)</f>
        <v>542</v>
      </c>
      <c r="T142" s="968"/>
      <c r="U142" s="2"/>
      <c r="V142" s="47"/>
      <c r="X142" s="486">
        <v>135</v>
      </c>
      <c r="Y142" s="486">
        <v>136</v>
      </c>
      <c r="Z142" s="486">
        <v>137</v>
      </c>
    </row>
    <row r="143" spans="1:26" ht="18" customHeight="1" x14ac:dyDescent="0.2">
      <c r="A143" s="14"/>
      <c r="B143" s="2"/>
      <c r="C143" s="74"/>
      <c r="D143" s="74"/>
      <c r="E143" s="454"/>
      <c r="F143" s="454"/>
      <c r="G143" s="454"/>
      <c r="H143" s="454"/>
      <c r="I143" s="454"/>
      <c r="J143" s="454"/>
      <c r="K143" s="827"/>
      <c r="L143" s="454"/>
      <c r="M143" s="454"/>
      <c r="N143" s="454"/>
      <c r="O143" s="454"/>
      <c r="P143" s="454"/>
      <c r="Q143" s="454"/>
      <c r="R143" s="454"/>
      <c r="S143" s="454"/>
      <c r="T143" s="454"/>
      <c r="U143" s="2"/>
      <c r="V143" s="47"/>
    </row>
    <row r="144" spans="1:26" ht="18" customHeight="1" thickBot="1" x14ac:dyDescent="0.25">
      <c r="A144" s="14"/>
      <c r="B144" s="2"/>
      <c r="C144" s="743" t="s">
        <v>1407</v>
      </c>
      <c r="D144" s="74"/>
      <c r="E144" s="454"/>
      <c r="F144" s="454"/>
      <c r="G144" s="454"/>
      <c r="H144" s="454"/>
      <c r="I144" s="454"/>
      <c r="J144" s="454"/>
      <c r="K144" s="1021">
        <f>(((+'[5]Part 3'!J170+('[5]Part 3'!J170*7/466))*K$31)+('[5]Part 3'!N170+('[5]Part 3'!N170*7/466)))*-1</f>
        <v>0</v>
      </c>
      <c r="L144" s="1022"/>
      <c r="M144" s="454"/>
      <c r="N144" s="454"/>
      <c r="O144" s="1023">
        <f>((('[5]Part 3'!J170+('[5]Part 3'!J170*7/466))*O$31))*-1</f>
        <v>0</v>
      </c>
      <c r="P144" s="1024"/>
      <c r="Q144" s="454"/>
      <c r="R144" s="454"/>
      <c r="S144" s="1025">
        <f>((('[5]Part 3'!J170+('[5]Part 3'!J170*7/466))*S$31))*-1</f>
        <v>0</v>
      </c>
      <c r="T144" s="1026"/>
      <c r="U144" s="2"/>
      <c r="V144" s="47"/>
    </row>
    <row r="145" spans="1:26" ht="18" customHeight="1" thickBot="1" x14ac:dyDescent="0.25">
      <c r="A145" s="14"/>
      <c r="B145" s="2"/>
      <c r="C145" s="125" t="s">
        <v>1408</v>
      </c>
      <c r="D145" s="746"/>
      <c r="E145" s="746"/>
      <c r="F145" s="746"/>
      <c r="G145" s="746"/>
      <c r="H145" s="746"/>
      <c r="I145" s="454"/>
      <c r="J145" s="454"/>
      <c r="K145" s="967">
        <f>VLOOKUP('Part 1'!$L$16,Datasheet4!$B$5:$GB$332,X145,FALSE)</f>
        <v>394466</v>
      </c>
      <c r="L145" s="1001"/>
      <c r="M145" s="2"/>
      <c r="N145" s="2"/>
      <c r="O145" s="967">
        <f>VLOOKUP('Part 1'!$L$16,Datasheet4!$B$5:$GB$332,Y145,FALSE)</f>
        <v>0</v>
      </c>
      <c r="P145" s="968"/>
      <c r="Q145" s="2"/>
      <c r="R145" s="2"/>
      <c r="S145" s="967">
        <f>VLOOKUP('Part 1'!$L$16,Datasheet4!$B$5:$GB$332,Z145,FALSE)</f>
        <v>7885</v>
      </c>
      <c r="T145" s="968"/>
      <c r="U145" s="2"/>
      <c r="V145" s="47"/>
      <c r="X145" s="486">
        <v>138</v>
      </c>
      <c r="Y145" s="486">
        <v>139</v>
      </c>
      <c r="Z145" s="486">
        <v>140</v>
      </c>
    </row>
    <row r="146" spans="1:26" ht="18" customHeight="1" thickBot="1" x14ac:dyDescent="0.25">
      <c r="A146" s="14"/>
      <c r="B146" s="2"/>
      <c r="C146" s="746"/>
      <c r="D146" s="746"/>
      <c r="E146" s="746"/>
      <c r="F146" s="746"/>
      <c r="G146" s="746"/>
      <c r="H146" s="746"/>
      <c r="I146" s="454"/>
      <c r="J146" s="454"/>
      <c r="K146" s="6"/>
      <c r="L146" s="6"/>
      <c r="M146" s="454"/>
      <c r="N146" s="454"/>
      <c r="O146" s="802"/>
      <c r="P146" s="802"/>
      <c r="Q146" s="454"/>
      <c r="R146" s="454"/>
      <c r="S146" s="6"/>
      <c r="T146" s="6"/>
      <c r="U146" s="2"/>
      <c r="V146" s="47"/>
    </row>
    <row r="147" spans="1:26" ht="18" customHeight="1" thickBot="1" x14ac:dyDescent="0.25">
      <c r="A147" s="14"/>
      <c r="B147" s="2"/>
      <c r="C147" s="74" t="s">
        <v>1409</v>
      </c>
      <c r="D147" s="74"/>
      <c r="E147" s="454"/>
      <c r="F147" s="454"/>
      <c r="G147" s="454"/>
      <c r="H147" s="454"/>
      <c r="I147" s="454"/>
      <c r="J147" s="454"/>
      <c r="K147" s="967">
        <f>VLOOKUP('Part 1'!$L$16,Datasheet4!$B$5:$GB$332,X147,FALSE)</f>
        <v>393939</v>
      </c>
      <c r="L147" s="1001"/>
      <c r="M147" s="2"/>
      <c r="N147" s="2"/>
      <c r="O147" s="967">
        <f>VLOOKUP('Part 1'!$L$16,Datasheet4!$B$5:$GB$332,Y147,FALSE)</f>
        <v>0</v>
      </c>
      <c r="P147" s="968"/>
      <c r="Q147" s="2"/>
      <c r="R147" s="2"/>
      <c r="S147" s="967">
        <f>VLOOKUP('Part 1'!$L$16,Datasheet4!$B$5:$GB$332,Z147,FALSE)</f>
        <v>0</v>
      </c>
      <c r="T147" s="968"/>
      <c r="U147" s="2"/>
      <c r="V147" s="47"/>
      <c r="X147" s="486">
        <v>141</v>
      </c>
      <c r="Y147" s="486">
        <v>142</v>
      </c>
      <c r="Z147" s="486">
        <v>143</v>
      </c>
    </row>
    <row r="148" spans="1:26" ht="18" customHeight="1" thickBot="1" x14ac:dyDescent="0.25">
      <c r="A148" s="14"/>
      <c r="B148" s="2"/>
      <c r="C148" s="74"/>
      <c r="D148" s="74"/>
      <c r="E148" s="454"/>
      <c r="F148" s="454"/>
      <c r="G148" s="454"/>
      <c r="H148" s="454"/>
      <c r="I148" s="454"/>
      <c r="J148" s="454"/>
      <c r="K148" s="748"/>
      <c r="L148" s="64"/>
      <c r="M148" s="454"/>
      <c r="N148" s="454"/>
      <c r="O148" s="748"/>
      <c r="P148" s="64"/>
      <c r="Q148" s="454"/>
      <c r="R148" s="454"/>
      <c r="S148" s="748"/>
      <c r="T148" s="64"/>
      <c r="U148" s="2"/>
      <c r="V148" s="47"/>
    </row>
    <row r="149" spans="1:26" ht="18" customHeight="1" thickBot="1" x14ac:dyDescent="0.25">
      <c r="A149" s="14"/>
      <c r="B149" s="2"/>
      <c r="C149" s="74" t="s">
        <v>1410</v>
      </c>
      <c r="D149" s="74"/>
      <c r="E149" s="454"/>
      <c r="F149" s="454"/>
      <c r="G149" s="454"/>
      <c r="H149" s="454"/>
      <c r="I149" s="454"/>
      <c r="J149" s="454"/>
      <c r="K149" s="967">
        <f>VLOOKUP('Part 1'!$L$16,Datasheet4!$B$5:$GB$332,X149,FALSE)</f>
        <v>527</v>
      </c>
      <c r="L149" s="1001"/>
      <c r="M149" s="2"/>
      <c r="N149" s="2"/>
      <c r="O149" s="967">
        <f>VLOOKUP('Part 1'!$L$16,Datasheet4!$B$5:$GB$332,Y149,FALSE)</f>
        <v>0</v>
      </c>
      <c r="P149" s="968"/>
      <c r="Q149" s="2"/>
      <c r="R149" s="2"/>
      <c r="S149" s="967">
        <f>VLOOKUP('Part 1'!$L$16,Datasheet4!$B$5:$GB$332,Z149,FALSE)</f>
        <v>7885</v>
      </c>
      <c r="T149" s="968"/>
      <c r="U149" s="2"/>
      <c r="V149" s="47"/>
      <c r="X149" s="486">
        <v>144</v>
      </c>
      <c r="Y149" s="486">
        <v>145</v>
      </c>
      <c r="Z149" s="486">
        <v>146</v>
      </c>
    </row>
    <row r="150" spans="1:26" ht="18" customHeight="1" x14ac:dyDescent="0.2">
      <c r="A150" s="14"/>
      <c r="B150" s="2"/>
      <c r="C150" s="74"/>
      <c r="D150" s="74"/>
      <c r="E150" s="454"/>
      <c r="F150" s="454"/>
      <c r="G150" s="454"/>
      <c r="H150" s="454"/>
      <c r="I150" s="454"/>
      <c r="J150" s="454"/>
      <c r="K150" s="454"/>
      <c r="L150" s="454"/>
      <c r="M150" s="454"/>
      <c r="N150" s="454"/>
      <c r="O150" s="454"/>
      <c r="P150" s="454"/>
      <c r="Q150" s="454"/>
      <c r="R150" s="454"/>
      <c r="S150" s="454"/>
      <c r="T150" s="454"/>
      <c r="U150" s="2"/>
      <c r="V150" s="47"/>
    </row>
    <row r="151" spans="1:26" ht="18" customHeight="1" thickBot="1" x14ac:dyDescent="0.25">
      <c r="A151" s="14"/>
      <c r="B151" s="2"/>
      <c r="C151" s="743" t="s">
        <v>1375</v>
      </c>
      <c r="D151" s="74"/>
      <c r="E151" s="454"/>
      <c r="F151" s="454"/>
      <c r="G151" s="454"/>
      <c r="H151" s="454"/>
      <c r="I151" s="454"/>
      <c r="J151" s="454"/>
      <c r="K151" s="454"/>
      <c r="L151" s="454"/>
      <c r="M151" s="454"/>
      <c r="N151" s="454"/>
      <c r="O151" s="454"/>
      <c r="P151" s="454"/>
      <c r="Q151" s="454"/>
      <c r="R151" s="454"/>
      <c r="S151" s="454"/>
      <c r="T151" s="454"/>
      <c r="U151" s="2"/>
      <c r="V151" s="47"/>
    </row>
    <row r="152" spans="1:26" ht="18" customHeight="1" thickBot="1" x14ac:dyDescent="0.25">
      <c r="A152" s="14"/>
      <c r="B152" s="2"/>
      <c r="C152" s="125" t="s">
        <v>1411</v>
      </c>
      <c r="D152" s="746"/>
      <c r="E152" s="746"/>
      <c r="F152" s="746"/>
      <c r="G152" s="746"/>
      <c r="H152" s="746"/>
      <c r="I152" s="454"/>
      <c r="J152" s="454"/>
      <c r="K152" s="967">
        <f>VLOOKUP('Part 1'!$L$16,Datasheet4!$B$5:$GB$332,X152,FALSE)</f>
        <v>56215</v>
      </c>
      <c r="L152" s="1001"/>
      <c r="M152" s="2"/>
      <c r="N152" s="2"/>
      <c r="O152" s="967">
        <f>VLOOKUP('Part 1'!$L$16,Datasheet4!$B$5:$GB$332,Y152,FALSE)</f>
        <v>0</v>
      </c>
      <c r="P152" s="968"/>
      <c r="Q152" s="2"/>
      <c r="R152" s="2"/>
      <c r="S152" s="967">
        <f>VLOOKUP('Part 1'!$L$16,Datasheet4!$B$5:$GB$332,Z152,FALSE)</f>
        <v>1127</v>
      </c>
      <c r="T152" s="968"/>
      <c r="U152" s="2"/>
      <c r="V152" s="47"/>
      <c r="X152" s="486">
        <v>147</v>
      </c>
      <c r="Y152" s="486">
        <v>148</v>
      </c>
      <c r="Z152" s="486">
        <v>149</v>
      </c>
    </row>
    <row r="153" spans="1:26" ht="18" customHeight="1" thickBot="1" x14ac:dyDescent="0.25">
      <c r="A153" s="14"/>
      <c r="B153" s="2"/>
      <c r="C153" s="746"/>
      <c r="D153" s="746"/>
      <c r="E153" s="746"/>
      <c r="F153" s="746"/>
      <c r="G153" s="746"/>
      <c r="H153" s="746"/>
      <c r="I153" s="454"/>
      <c r="J153" s="454"/>
      <c r="K153" s="6"/>
      <c r="L153" s="6"/>
      <c r="M153" s="454"/>
      <c r="N153" s="454"/>
      <c r="O153" s="802"/>
      <c r="P153" s="802"/>
      <c r="Q153" s="454"/>
      <c r="R153" s="454"/>
      <c r="S153" s="6"/>
      <c r="T153" s="6"/>
      <c r="U153" s="2"/>
      <c r="V153" s="47"/>
    </row>
    <row r="154" spans="1:26" ht="18" customHeight="1" thickBot="1" x14ac:dyDescent="0.25">
      <c r="A154" s="14"/>
      <c r="B154" s="2"/>
      <c r="C154" s="74" t="s">
        <v>1412</v>
      </c>
      <c r="D154" s="74"/>
      <c r="E154" s="454"/>
      <c r="F154" s="454"/>
      <c r="G154" s="454"/>
      <c r="H154" s="454"/>
      <c r="I154" s="454"/>
      <c r="J154" s="454"/>
      <c r="K154" s="967">
        <f>VLOOKUP('Part 1'!$L$16,Datasheet4!$B$5:$GB$332,X154,FALSE)</f>
        <v>55826</v>
      </c>
      <c r="L154" s="1001"/>
      <c r="M154" s="2"/>
      <c r="N154" s="2"/>
      <c r="O154" s="967">
        <f>VLOOKUP('Part 1'!$L$16,Datasheet4!$B$5:$GB$332,Y154,FALSE)</f>
        <v>0</v>
      </c>
      <c r="P154" s="968"/>
      <c r="Q154" s="2"/>
      <c r="R154" s="2"/>
      <c r="S154" s="967">
        <f>VLOOKUP('Part 1'!$L$16,Datasheet4!$B$5:$GB$332,Z154,FALSE)</f>
        <v>0</v>
      </c>
      <c r="T154" s="968"/>
      <c r="U154" s="2"/>
      <c r="V154" s="47"/>
      <c r="X154" s="486">
        <v>150</v>
      </c>
      <c r="Y154" s="486">
        <v>151</v>
      </c>
      <c r="Z154" s="486">
        <v>152</v>
      </c>
    </row>
    <row r="155" spans="1:26" ht="18" customHeight="1" thickBot="1" x14ac:dyDescent="0.25">
      <c r="A155" s="14"/>
      <c r="B155" s="2"/>
      <c r="C155" s="74"/>
      <c r="D155" s="74"/>
      <c r="E155" s="454"/>
      <c r="F155" s="454"/>
      <c r="G155" s="454"/>
      <c r="H155" s="454"/>
      <c r="I155" s="454"/>
      <c r="J155" s="454"/>
      <c r="K155" s="748"/>
      <c r="L155" s="64"/>
      <c r="M155" s="454"/>
      <c r="N155" s="454"/>
      <c r="O155" s="748"/>
      <c r="P155" s="64"/>
      <c r="Q155" s="454"/>
      <c r="R155" s="454"/>
      <c r="S155" s="748"/>
      <c r="T155" s="64"/>
      <c r="U155" s="2"/>
      <c r="V155" s="47"/>
    </row>
    <row r="156" spans="1:26" ht="18" customHeight="1" thickBot="1" x14ac:dyDescent="0.25">
      <c r="A156" s="14"/>
      <c r="B156" s="2"/>
      <c r="C156" s="74" t="s">
        <v>1413</v>
      </c>
      <c r="D156" s="74"/>
      <c r="E156" s="454"/>
      <c r="F156" s="454"/>
      <c r="G156" s="454"/>
      <c r="H156" s="454"/>
      <c r="I156" s="454"/>
      <c r="J156" s="454"/>
      <c r="K156" s="967">
        <f>VLOOKUP('Part 1'!$L$16,Datasheet4!$B$5:$GB$332,X156,FALSE)</f>
        <v>389</v>
      </c>
      <c r="L156" s="1001"/>
      <c r="M156" s="2"/>
      <c r="N156" s="2"/>
      <c r="O156" s="967">
        <f>VLOOKUP('Part 1'!$L$16,Datasheet4!$B$5:$GB$332,Y156,FALSE)</f>
        <v>0</v>
      </c>
      <c r="P156" s="968"/>
      <c r="Q156" s="2"/>
      <c r="R156" s="2"/>
      <c r="S156" s="967">
        <f>VLOOKUP('Part 1'!$L$16,Datasheet4!$B$5:$GB$332,Z156,FALSE)</f>
        <v>1127</v>
      </c>
      <c r="T156" s="968"/>
      <c r="U156" s="2"/>
      <c r="V156" s="47"/>
      <c r="X156" s="486">
        <v>153</v>
      </c>
      <c r="Y156" s="486">
        <v>154</v>
      </c>
      <c r="Z156" s="486">
        <v>155</v>
      </c>
    </row>
    <row r="157" spans="1:26" ht="18" customHeight="1" x14ac:dyDescent="0.2">
      <c r="A157" s="14"/>
      <c r="B157" s="2"/>
      <c r="C157" s="74"/>
      <c r="D157" s="74"/>
      <c r="E157" s="454"/>
      <c r="F157" s="454"/>
      <c r="G157" s="454"/>
      <c r="H157" s="454"/>
      <c r="I157" s="454"/>
      <c r="J157" s="454"/>
      <c r="K157" s="744"/>
      <c r="L157" s="745"/>
      <c r="M157" s="799"/>
      <c r="N157" s="799"/>
      <c r="O157" s="744"/>
      <c r="P157" s="745"/>
      <c r="Q157" s="799"/>
      <c r="R157" s="799"/>
      <c r="S157" s="744"/>
      <c r="T157" s="745"/>
      <c r="U157" s="2"/>
      <c r="V157" s="47"/>
    </row>
    <row r="158" spans="1:26" ht="18" customHeight="1" thickBot="1" x14ac:dyDescent="0.3">
      <c r="A158" s="14"/>
      <c r="B158" s="2"/>
      <c r="C158" s="178" t="s">
        <v>1414</v>
      </c>
      <c r="D158" s="74"/>
      <c r="E158" s="454"/>
      <c r="F158" s="454"/>
      <c r="G158" s="454"/>
      <c r="H158" s="454"/>
      <c r="I158" s="454"/>
      <c r="J158" s="454"/>
      <c r="K158" s="454"/>
      <c r="L158" s="454"/>
      <c r="M158" s="454"/>
      <c r="N158" s="454"/>
      <c r="O158" s="802"/>
      <c r="P158" s="802"/>
      <c r="Q158" s="454"/>
      <c r="R158" s="454"/>
      <c r="S158" s="454"/>
      <c r="T158" s="454"/>
      <c r="U158" s="2"/>
      <c r="V158" s="47"/>
    </row>
    <row r="159" spans="1:26" ht="18" customHeight="1" thickBot="1" x14ac:dyDescent="0.25">
      <c r="A159" s="14"/>
      <c r="B159" s="2"/>
      <c r="C159" s="74" t="s">
        <v>1415</v>
      </c>
      <c r="D159" s="74"/>
      <c r="E159" s="454"/>
      <c r="F159" s="454"/>
      <c r="G159" s="454"/>
      <c r="H159" s="454"/>
      <c r="I159" s="454"/>
      <c r="J159" s="454"/>
      <c r="K159" s="967">
        <f>VLOOKUP('Part 1'!$L$16,Datasheet4!$B$5:$GB$332,X159,FALSE)</f>
        <v>736347</v>
      </c>
      <c r="L159" s="1001"/>
      <c r="M159" s="2"/>
      <c r="N159" s="2"/>
      <c r="O159" s="967">
        <f>VLOOKUP('Part 1'!$L$16,Datasheet4!$B$5:$GB$332,Y159,FALSE)</f>
        <v>0</v>
      </c>
      <c r="P159" s="968"/>
      <c r="Q159" s="2"/>
      <c r="R159" s="2"/>
      <c r="S159" s="967">
        <f>VLOOKUP('Part 1'!$L$16,Datasheet4!$B$5:$GB$332,Z159,FALSE)</f>
        <v>14867</v>
      </c>
      <c r="T159" s="968"/>
      <c r="U159" s="2"/>
      <c r="V159" s="47"/>
      <c r="X159" s="832">
        <v>156</v>
      </c>
      <c r="Y159" s="486">
        <v>157</v>
      </c>
      <c r="Z159" s="832">
        <v>158</v>
      </c>
    </row>
    <row r="160" spans="1:26" ht="18" customHeight="1" thickBot="1" x14ac:dyDescent="0.25">
      <c r="A160" s="14"/>
      <c r="B160" s="2"/>
      <c r="C160" s="74"/>
      <c r="D160" s="74"/>
      <c r="E160" s="454"/>
      <c r="F160" s="454"/>
      <c r="G160" s="454"/>
      <c r="H160" s="454"/>
      <c r="I160" s="454"/>
      <c r="J160" s="454"/>
      <c r="K160" s="6"/>
      <c r="L160" s="6"/>
      <c r="M160" s="454"/>
      <c r="N160" s="454"/>
      <c r="O160" s="802"/>
      <c r="P160" s="802"/>
      <c r="Q160" s="454"/>
      <c r="R160" s="454"/>
      <c r="S160" s="6"/>
      <c r="T160" s="6"/>
      <c r="U160" s="2"/>
      <c r="V160" s="47"/>
      <c r="Y160" s="832"/>
    </row>
    <row r="161" spans="1:26" ht="18" customHeight="1" thickBot="1" x14ac:dyDescent="0.25">
      <c r="A161" s="14"/>
      <c r="B161" s="2"/>
      <c r="C161" s="74" t="s">
        <v>1416</v>
      </c>
      <c r="D161" s="74"/>
      <c r="E161" s="454"/>
      <c r="F161" s="454"/>
      <c r="G161" s="454"/>
      <c r="H161" s="454"/>
      <c r="I161" s="454"/>
      <c r="J161" s="454"/>
      <c r="K161" s="967">
        <f>VLOOKUP('Part 1'!$L$16,Datasheet4!$B$5:$GB$332,X161,FALSE)</f>
        <v>746427</v>
      </c>
      <c r="L161" s="1001"/>
      <c r="M161" s="2"/>
      <c r="N161" s="2"/>
      <c r="O161" s="967">
        <f>VLOOKUP('Part 1'!$L$16,Datasheet4!$B$5:$GB$332,Y161,FALSE)</f>
        <v>0</v>
      </c>
      <c r="P161" s="968"/>
      <c r="Q161" s="2"/>
      <c r="R161" s="2"/>
      <c r="S161" s="967">
        <f>VLOOKUP('Part 1'!$L$16,Datasheet4!$B$5:$GB$332,Z161,FALSE)</f>
        <v>15075</v>
      </c>
      <c r="T161" s="968"/>
      <c r="U161" s="2"/>
      <c r="V161" s="47"/>
      <c r="X161" s="486">
        <v>159</v>
      </c>
      <c r="Y161" s="486">
        <v>160</v>
      </c>
      <c r="Z161" s="486">
        <v>161</v>
      </c>
    </row>
    <row r="162" spans="1:26" ht="18" customHeight="1" thickBot="1" x14ac:dyDescent="0.25">
      <c r="A162" s="14"/>
      <c r="B162" s="2"/>
      <c r="C162" s="74"/>
      <c r="D162" s="74"/>
      <c r="E162" s="454"/>
      <c r="F162" s="454"/>
      <c r="G162" s="454"/>
      <c r="H162" s="454"/>
      <c r="I162" s="454"/>
      <c r="J162" s="454"/>
      <c r="K162" s="748"/>
      <c r="L162" s="64"/>
      <c r="M162" s="454"/>
      <c r="N162" s="454"/>
      <c r="O162" s="748"/>
      <c r="P162" s="64"/>
      <c r="Q162" s="454"/>
      <c r="R162" s="454"/>
      <c r="S162" s="748"/>
      <c r="T162" s="64"/>
      <c r="U162" s="2"/>
      <c r="V162" s="47"/>
    </row>
    <row r="163" spans="1:26" ht="18" customHeight="1" thickBot="1" x14ac:dyDescent="0.25">
      <c r="A163" s="14"/>
      <c r="B163" s="2"/>
      <c r="C163" s="74" t="s">
        <v>1417</v>
      </c>
      <c r="D163" s="74"/>
      <c r="E163" s="454"/>
      <c r="F163" s="454"/>
      <c r="G163" s="454"/>
      <c r="H163" s="454"/>
      <c r="I163" s="454"/>
      <c r="J163" s="454"/>
      <c r="K163" s="967">
        <f>VLOOKUP('Part 1'!$L$16,Datasheet4!$B$5:$GB$332,X163,FALSE)</f>
        <v>-10080</v>
      </c>
      <c r="L163" s="1001"/>
      <c r="M163" s="2"/>
      <c r="N163" s="2"/>
      <c r="O163" s="967">
        <f>VLOOKUP('Part 1'!$L$16,Datasheet4!$B$5:$GB$332,Y163,FALSE)</f>
        <v>0</v>
      </c>
      <c r="P163" s="968"/>
      <c r="Q163" s="2"/>
      <c r="R163" s="2"/>
      <c r="S163" s="967">
        <f>VLOOKUP('Part 1'!$L$16,Datasheet4!$B$5:$GB$332,Z163,FALSE)</f>
        <v>-208</v>
      </c>
      <c r="T163" s="968"/>
      <c r="U163" s="2"/>
      <c r="V163" s="47"/>
      <c r="X163" s="486">
        <v>162</v>
      </c>
      <c r="Y163" s="486">
        <v>163</v>
      </c>
      <c r="Z163" s="486">
        <v>164</v>
      </c>
    </row>
    <row r="164" spans="1:26" ht="18" customHeight="1" x14ac:dyDescent="0.2">
      <c r="A164" s="14"/>
      <c r="B164" s="2"/>
      <c r="C164" s="74"/>
      <c r="D164" s="74"/>
      <c r="E164" s="454"/>
      <c r="F164" s="454"/>
      <c r="G164" s="454"/>
      <c r="H164" s="454"/>
      <c r="I164" s="454"/>
      <c r="J164" s="454"/>
      <c r="K164" s="744"/>
      <c r="L164" s="745"/>
      <c r="M164" s="803"/>
      <c r="N164" s="803"/>
      <c r="O164" s="744"/>
      <c r="P164" s="745"/>
      <c r="Q164" s="803"/>
      <c r="R164" s="803"/>
      <c r="S164" s="744"/>
      <c r="T164" s="745"/>
      <c r="U164" s="2"/>
      <c r="V164" s="47"/>
    </row>
    <row r="165" spans="1:26" ht="18" customHeight="1" thickBot="1" x14ac:dyDescent="0.3">
      <c r="A165" s="14"/>
      <c r="B165" s="2"/>
      <c r="C165" s="178" t="s">
        <v>1418</v>
      </c>
      <c r="D165" s="74"/>
      <c r="E165" s="454"/>
      <c r="F165" s="454"/>
      <c r="G165" s="454"/>
      <c r="H165" s="454"/>
      <c r="I165" s="454"/>
      <c r="J165" s="454"/>
      <c r="K165" s="454"/>
      <c r="L165" s="454"/>
      <c r="M165" s="454"/>
      <c r="N165" s="454"/>
      <c r="O165" s="802"/>
      <c r="P165" s="802"/>
      <c r="Q165" s="454"/>
      <c r="R165" s="454"/>
      <c r="S165" s="454"/>
      <c r="T165" s="454"/>
      <c r="U165" s="2"/>
      <c r="V165" s="47"/>
    </row>
    <row r="166" spans="1:26" ht="18" customHeight="1" thickBot="1" x14ac:dyDescent="0.25">
      <c r="A166" s="14"/>
      <c r="B166" s="2"/>
      <c r="C166" s="74" t="s">
        <v>1419</v>
      </c>
      <c r="D166" s="74"/>
      <c r="E166" s="454"/>
      <c r="F166" s="454"/>
      <c r="G166" s="454"/>
      <c r="H166" s="454"/>
      <c r="I166" s="454"/>
      <c r="J166" s="454"/>
      <c r="K166" s="967">
        <f>VLOOKUP('Part 1'!$L$16,Datasheet4!$B$5:$GB$332,X166,FALSE)</f>
        <v>0</v>
      </c>
      <c r="L166" s="1001"/>
      <c r="M166" s="2"/>
      <c r="N166" s="2"/>
      <c r="O166" s="967">
        <f>VLOOKUP('Part 1'!$L$16,Datasheet4!$B$5:$GB$332,Y166,FALSE)</f>
        <v>0</v>
      </c>
      <c r="P166" s="968"/>
      <c r="Q166" s="2"/>
      <c r="R166" s="2"/>
      <c r="S166" s="967">
        <f>VLOOKUP('Part 1'!$L$16,Datasheet4!$B$5:$GB$332,Z166,FALSE)</f>
        <v>0</v>
      </c>
      <c r="T166" s="968"/>
      <c r="U166" s="2"/>
      <c r="V166" s="47"/>
      <c r="X166" s="832">
        <v>165</v>
      </c>
      <c r="Y166" s="486">
        <v>166</v>
      </c>
      <c r="Z166" s="832">
        <v>167</v>
      </c>
    </row>
    <row r="167" spans="1:26" ht="18" customHeight="1" thickBot="1" x14ac:dyDescent="0.25">
      <c r="A167" s="14"/>
      <c r="B167" s="2"/>
      <c r="C167" s="74"/>
      <c r="D167" s="74"/>
      <c r="E167" s="454"/>
      <c r="F167" s="454"/>
      <c r="G167" s="454"/>
      <c r="H167" s="454"/>
      <c r="I167" s="454"/>
      <c r="J167" s="454"/>
      <c r="K167" s="6"/>
      <c r="L167" s="6"/>
      <c r="M167" s="454"/>
      <c r="N167" s="454"/>
      <c r="O167" s="802"/>
      <c r="P167" s="802"/>
      <c r="Q167" s="454"/>
      <c r="R167" s="454"/>
      <c r="S167" s="6"/>
      <c r="T167" s="6"/>
      <c r="U167" s="2"/>
      <c r="V167" s="47"/>
      <c r="Y167" s="832"/>
    </row>
    <row r="168" spans="1:26" ht="18" customHeight="1" thickBot="1" x14ac:dyDescent="0.25">
      <c r="A168" s="14"/>
      <c r="B168" s="2"/>
      <c r="C168" s="74" t="s">
        <v>1420</v>
      </c>
      <c r="D168" s="74"/>
      <c r="E168" s="454"/>
      <c r="F168" s="454"/>
      <c r="G168" s="454"/>
      <c r="H168" s="454"/>
      <c r="I168" s="454"/>
      <c r="J168" s="454"/>
      <c r="K168" s="967">
        <f>VLOOKUP('Part 1'!$L$16,Datasheet4!$B$5:$GB$332,X168,FALSE)</f>
        <v>0</v>
      </c>
      <c r="L168" s="1001"/>
      <c r="M168" s="2"/>
      <c r="N168" s="2"/>
      <c r="O168" s="967">
        <f>VLOOKUP('Part 1'!$L$16,Datasheet4!$B$5:$GB$332,Y168,FALSE)</f>
        <v>0</v>
      </c>
      <c r="P168" s="968"/>
      <c r="Q168" s="2"/>
      <c r="R168" s="2"/>
      <c r="S168" s="967">
        <f>VLOOKUP('Part 1'!$L$16,Datasheet4!$B$5:$GB$332,Z168,FALSE)</f>
        <v>0</v>
      </c>
      <c r="T168" s="968"/>
      <c r="U168" s="2"/>
      <c r="V168" s="47"/>
      <c r="X168" s="486">
        <v>168</v>
      </c>
      <c r="Y168" s="486">
        <v>169</v>
      </c>
      <c r="Z168" s="486">
        <v>170</v>
      </c>
    </row>
    <row r="169" spans="1:26" ht="18" customHeight="1" thickBot="1" x14ac:dyDescent="0.25">
      <c r="A169" s="14"/>
      <c r="B169" s="2"/>
      <c r="C169" s="74"/>
      <c r="D169" s="74"/>
      <c r="E169" s="454"/>
      <c r="F169" s="454"/>
      <c r="G169" s="454"/>
      <c r="H169" s="454"/>
      <c r="I169" s="454"/>
      <c r="J169" s="454"/>
      <c r="K169" s="748"/>
      <c r="L169" s="64"/>
      <c r="M169" s="454"/>
      <c r="N169" s="454"/>
      <c r="O169" s="748"/>
      <c r="P169" s="64"/>
      <c r="Q169" s="454"/>
      <c r="R169" s="454"/>
      <c r="S169" s="748"/>
      <c r="T169" s="64"/>
      <c r="U169" s="2"/>
      <c r="V169" s="47"/>
    </row>
    <row r="170" spans="1:26" ht="18" customHeight="1" thickBot="1" x14ac:dyDescent="0.25">
      <c r="A170" s="14"/>
      <c r="B170" s="2"/>
      <c r="C170" s="74" t="s">
        <v>1421</v>
      </c>
      <c r="D170" s="74"/>
      <c r="E170" s="454"/>
      <c r="F170" s="454"/>
      <c r="G170" s="454"/>
      <c r="H170" s="454"/>
      <c r="I170" s="454"/>
      <c r="J170" s="454"/>
      <c r="K170" s="967">
        <f>VLOOKUP('Part 1'!$L$16,Datasheet4!$B$5:$GB$332,X170,FALSE)</f>
        <v>0</v>
      </c>
      <c r="L170" s="1001"/>
      <c r="M170" s="2"/>
      <c r="N170" s="2"/>
      <c r="O170" s="967">
        <f>VLOOKUP('Part 1'!$L$16,Datasheet4!$B$5:$GB$332,Y170,FALSE)</f>
        <v>0</v>
      </c>
      <c r="P170" s="968"/>
      <c r="Q170" s="2"/>
      <c r="R170" s="2"/>
      <c r="S170" s="967">
        <f>VLOOKUP('Part 1'!$L$16,Datasheet4!$B$5:$GB$332,Z170,FALSE)</f>
        <v>0</v>
      </c>
      <c r="T170" s="968"/>
      <c r="U170" s="2"/>
      <c r="V170" s="47"/>
      <c r="X170" s="486">
        <v>171</v>
      </c>
      <c r="Y170" s="486">
        <v>172</v>
      </c>
      <c r="Z170" s="486">
        <v>173</v>
      </c>
    </row>
    <row r="171" spans="1:26" ht="18" customHeight="1" x14ac:dyDescent="0.2">
      <c r="A171" s="14"/>
      <c r="B171" s="2"/>
      <c r="C171" s="74"/>
      <c r="D171" s="74"/>
      <c r="E171" s="454"/>
      <c r="F171" s="454"/>
      <c r="G171" s="454"/>
      <c r="H171" s="454"/>
      <c r="I171" s="454"/>
      <c r="J171" s="454"/>
      <c r="K171" s="454"/>
      <c r="L171" s="454"/>
      <c r="M171" s="454"/>
      <c r="N171" s="454"/>
      <c r="O171" s="454"/>
      <c r="P171" s="454"/>
      <c r="Q171" s="454"/>
      <c r="R171" s="454"/>
      <c r="S171" s="454"/>
      <c r="T171" s="454"/>
      <c r="U171" s="2"/>
      <c r="V171" s="47"/>
    </row>
    <row r="172" spans="1:26" ht="18" customHeight="1" thickBot="1" x14ac:dyDescent="0.25">
      <c r="A172" s="14"/>
      <c r="B172" s="104"/>
      <c r="C172" s="743" t="s">
        <v>1422</v>
      </c>
      <c r="D172" s="74"/>
      <c r="E172" s="74"/>
      <c r="F172" s="74"/>
      <c r="G172" s="74"/>
      <c r="H172" s="74"/>
      <c r="I172" s="74"/>
      <c r="J172" s="6"/>
      <c r="K172" s="744"/>
      <c r="L172" s="745"/>
      <c r="M172" s="799"/>
      <c r="N172" s="799"/>
      <c r="O172" s="744"/>
      <c r="P172" s="744"/>
      <c r="Q172" s="799"/>
      <c r="R172" s="799"/>
      <c r="S172" s="744"/>
      <c r="T172" s="745"/>
      <c r="U172" s="454"/>
      <c r="V172" s="47"/>
      <c r="X172" s="833"/>
    </row>
    <row r="173" spans="1:26" ht="18" customHeight="1" thickBot="1" x14ac:dyDescent="0.25">
      <c r="A173" s="14"/>
      <c r="B173" s="104"/>
      <c r="C173" s="74" t="s">
        <v>1423</v>
      </c>
      <c r="D173" s="74"/>
      <c r="E173" s="74"/>
      <c r="F173" s="74"/>
      <c r="G173" s="74"/>
      <c r="H173" s="74"/>
      <c r="I173" s="74"/>
      <c r="J173" s="6"/>
      <c r="K173" s="967">
        <f>VLOOKUP('Part 1'!$L$16,Datasheet4!$B$5:$GB$332,X173,FALSE)</f>
        <v>0</v>
      </c>
      <c r="L173" s="1001"/>
      <c r="M173" s="2"/>
      <c r="N173" s="2"/>
      <c r="O173" s="2"/>
      <c r="P173" s="2"/>
      <c r="Q173" s="2"/>
      <c r="R173" s="2"/>
      <c r="S173" s="744"/>
      <c r="T173" s="745"/>
      <c r="U173" s="454"/>
      <c r="V173" s="47"/>
      <c r="X173" s="833">
        <v>174</v>
      </c>
    </row>
    <row r="174" spans="1:26" ht="18" customHeight="1" thickBot="1" x14ac:dyDescent="0.25">
      <c r="A174" s="14"/>
      <c r="B174" s="104"/>
      <c r="C174" s="74"/>
      <c r="D174" s="74"/>
      <c r="E174" s="74"/>
      <c r="F174" s="74"/>
      <c r="G174" s="74"/>
      <c r="H174" s="74"/>
      <c r="I174" s="74"/>
      <c r="J174" s="6"/>
      <c r="K174" s="744"/>
      <c r="L174" s="745"/>
      <c r="M174" s="2"/>
      <c r="N174" s="2"/>
      <c r="O174" s="744"/>
      <c r="P174" s="744"/>
      <c r="Q174" s="2"/>
      <c r="R174" s="2"/>
      <c r="S174" s="744"/>
      <c r="T174" s="745"/>
      <c r="U174" s="454"/>
      <c r="V174" s="47"/>
      <c r="X174" s="833"/>
    </row>
    <row r="175" spans="1:26" ht="18" customHeight="1" thickBot="1" x14ac:dyDescent="0.25">
      <c r="A175" s="14"/>
      <c r="B175" s="104"/>
      <c r="C175" s="74" t="s">
        <v>1424</v>
      </c>
      <c r="D175" s="74"/>
      <c r="E175" s="74"/>
      <c r="F175" s="74"/>
      <c r="G175" s="74"/>
      <c r="H175" s="74"/>
      <c r="I175" s="74"/>
      <c r="J175" s="6"/>
      <c r="K175" s="967">
        <f>VLOOKUP('Part 1'!$L$16,Datasheet4!$B$5:$GB$332,X175,FALSE)</f>
        <v>0</v>
      </c>
      <c r="L175" s="1001"/>
      <c r="M175" s="2"/>
      <c r="N175" s="2"/>
      <c r="O175" s="744"/>
      <c r="P175" s="744"/>
      <c r="Q175" s="2"/>
      <c r="R175" s="2"/>
      <c r="S175" s="744"/>
      <c r="T175" s="745"/>
      <c r="U175" s="454"/>
      <c r="V175" s="47"/>
      <c r="X175" s="833">
        <v>175</v>
      </c>
    </row>
    <row r="176" spans="1:26" ht="18" customHeight="1" thickBot="1" x14ac:dyDescent="0.25">
      <c r="A176" s="14"/>
      <c r="B176" s="104"/>
      <c r="C176" s="74"/>
      <c r="D176" s="74"/>
      <c r="E176" s="74"/>
      <c r="F176" s="74"/>
      <c r="G176" s="748"/>
      <c r="H176" s="64"/>
      <c r="I176" s="74"/>
      <c r="J176" s="6"/>
      <c r="K176" s="744"/>
      <c r="L176" s="745"/>
      <c r="M176" s="2"/>
      <c r="N176" s="2"/>
      <c r="O176" s="744"/>
      <c r="P176" s="744"/>
      <c r="Q176" s="2"/>
      <c r="R176" s="2"/>
      <c r="S176" s="744"/>
      <c r="T176" s="745"/>
      <c r="U176" s="454"/>
      <c r="V176" s="47"/>
      <c r="X176" s="833"/>
    </row>
    <row r="177" spans="1:26" ht="18" customHeight="1" thickBot="1" x14ac:dyDescent="0.25">
      <c r="A177" s="14"/>
      <c r="B177" s="104"/>
      <c r="C177" s="74" t="s">
        <v>1425</v>
      </c>
      <c r="D177" s="74"/>
      <c r="E177" s="74"/>
      <c r="F177" s="74"/>
      <c r="G177" s="748"/>
      <c r="H177" s="64"/>
      <c r="I177" s="74"/>
      <c r="J177" s="6"/>
      <c r="K177" s="967">
        <f>VLOOKUP('Part 1'!$L$16,Datasheet4!$B$5:$GB$332,X177,FALSE)</f>
        <v>0</v>
      </c>
      <c r="L177" s="1001"/>
      <c r="M177" s="2"/>
      <c r="N177" s="2"/>
      <c r="O177" s="744"/>
      <c r="P177" s="744"/>
      <c r="Q177" s="2"/>
      <c r="R177" s="2"/>
      <c r="S177" s="744"/>
      <c r="T177" s="745"/>
      <c r="U177" s="454"/>
      <c r="V177" s="47"/>
      <c r="X177" s="833">
        <v>176</v>
      </c>
    </row>
    <row r="178" spans="1:26" ht="18" customHeight="1" thickBot="1" x14ac:dyDescent="0.3">
      <c r="A178" s="14"/>
      <c r="B178" s="2"/>
      <c r="C178" s="74"/>
      <c r="D178" s="74"/>
      <c r="E178" s="454"/>
      <c r="F178" s="454"/>
      <c r="G178" s="454"/>
      <c r="H178" s="454"/>
      <c r="I178" s="454"/>
      <c r="J178" s="454"/>
      <c r="K178" s="454"/>
      <c r="L178" s="804"/>
      <c r="M178" s="804"/>
      <c r="N178" s="804"/>
      <c r="O178" s="805"/>
      <c r="P178" s="454"/>
      <c r="Q178" s="804"/>
      <c r="R178" s="804"/>
      <c r="S178" s="454"/>
      <c r="T178" s="454"/>
      <c r="U178" s="2"/>
      <c r="V178" s="47"/>
    </row>
    <row r="179" spans="1:26" ht="18" customHeight="1" x14ac:dyDescent="0.25">
      <c r="A179" s="14"/>
      <c r="B179" s="2"/>
      <c r="C179" s="806"/>
      <c r="D179" s="807"/>
      <c r="E179" s="808"/>
      <c r="F179" s="808"/>
      <c r="G179" s="808"/>
      <c r="H179" s="808"/>
      <c r="I179" s="808"/>
      <c r="J179" s="808"/>
      <c r="K179" s="808"/>
      <c r="L179" s="809"/>
      <c r="M179" s="809"/>
      <c r="N179" s="809"/>
      <c r="O179" s="810"/>
      <c r="P179" s="808"/>
      <c r="Q179" s="809"/>
      <c r="R179" s="809"/>
      <c r="S179" s="808"/>
      <c r="T179" s="808"/>
      <c r="U179" s="811"/>
      <c r="V179" s="47"/>
    </row>
    <row r="180" spans="1:26" ht="18" customHeight="1" thickBot="1" x14ac:dyDescent="0.3">
      <c r="A180" s="14"/>
      <c r="B180" s="2"/>
      <c r="C180" s="812" t="s">
        <v>1426</v>
      </c>
      <c r="D180" s="763"/>
      <c r="E180" s="376"/>
      <c r="F180" s="376"/>
      <c r="G180" s="376"/>
      <c r="H180" s="376"/>
      <c r="I180" s="376"/>
      <c r="J180" s="376"/>
      <c r="K180" s="376"/>
      <c r="L180" s="813"/>
      <c r="M180" s="813"/>
      <c r="N180" s="813"/>
      <c r="O180" s="814"/>
      <c r="P180" s="376"/>
      <c r="Q180" s="813"/>
      <c r="R180" s="813"/>
      <c r="S180" s="376"/>
      <c r="T180" s="815"/>
      <c r="U180" s="816"/>
      <c r="V180" s="47"/>
    </row>
    <row r="181" spans="1:26" ht="18" customHeight="1" thickBot="1" x14ac:dyDescent="0.3">
      <c r="A181" s="14"/>
      <c r="B181" s="2"/>
      <c r="C181" s="817" t="s">
        <v>1427</v>
      </c>
      <c r="D181" s="763"/>
      <c r="E181" s="376"/>
      <c r="F181" s="376"/>
      <c r="G181" s="376"/>
      <c r="H181" s="376"/>
      <c r="I181" s="376"/>
      <c r="J181" s="376"/>
      <c r="K181" s="967">
        <f>VLOOKUP('Part 1'!$L$16,Datasheet4!$B$5:$GB$332,X181,FALSE)</f>
        <v>3169986</v>
      </c>
      <c r="L181" s="1001"/>
      <c r="M181" s="813"/>
      <c r="N181" s="813"/>
      <c r="O181" s="967">
        <f>VLOOKUP('Part 1'!$L$16,Datasheet4!$B$5:$GB$332,Y181,FALSE)</f>
        <v>0</v>
      </c>
      <c r="P181" s="968"/>
      <c r="Q181" s="813"/>
      <c r="R181" s="813"/>
      <c r="S181" s="967">
        <f>VLOOKUP('Part 1'!$L$16,Datasheet4!$B$5:$GB$332,Z181,FALSE)</f>
        <v>64263</v>
      </c>
      <c r="T181" s="968"/>
      <c r="U181" s="818"/>
      <c r="V181" s="47"/>
      <c r="X181" s="486">
        <v>177</v>
      </c>
      <c r="Y181" s="486">
        <v>178</v>
      </c>
      <c r="Z181" s="486">
        <v>179</v>
      </c>
    </row>
    <row r="182" spans="1:26" ht="18" customHeight="1" thickBot="1" x14ac:dyDescent="0.3">
      <c r="A182" s="14"/>
      <c r="B182" s="2"/>
      <c r="C182" s="819"/>
      <c r="D182" s="820"/>
      <c r="E182" s="821"/>
      <c r="F182" s="821"/>
      <c r="G182" s="821"/>
      <c r="H182" s="821"/>
      <c r="I182" s="821"/>
      <c r="J182" s="821"/>
      <c r="K182" s="821"/>
      <c r="L182" s="822"/>
      <c r="M182" s="822"/>
      <c r="N182" s="822"/>
      <c r="O182" s="823"/>
      <c r="P182" s="821"/>
      <c r="Q182" s="822"/>
      <c r="R182" s="822"/>
      <c r="S182" s="821"/>
      <c r="T182" s="821"/>
      <c r="U182" s="824"/>
      <c r="V182" s="47"/>
    </row>
    <row r="183" spans="1:26" ht="18" customHeight="1" x14ac:dyDescent="0.25">
      <c r="A183" s="14"/>
      <c r="B183" s="2"/>
      <c r="C183" s="74"/>
      <c r="D183" s="74"/>
      <c r="E183" s="454"/>
      <c r="F183" s="454"/>
      <c r="G183" s="454"/>
      <c r="H183" s="454"/>
      <c r="I183" s="454"/>
      <c r="J183" s="454"/>
      <c r="K183" s="454"/>
      <c r="L183" s="804"/>
      <c r="M183" s="804"/>
      <c r="N183" s="804"/>
      <c r="O183" s="805"/>
      <c r="P183" s="454"/>
      <c r="Q183" s="804"/>
      <c r="R183" s="804"/>
      <c r="S183" s="454"/>
      <c r="T183" s="454"/>
      <c r="U183" s="2"/>
      <c r="V183" s="47"/>
    </row>
  </sheetData>
  <mergeCells count="232">
    <mergeCell ref="K181:L181"/>
    <mergeCell ref="O181:P181"/>
    <mergeCell ref="S181:T181"/>
    <mergeCell ref="K166:L166"/>
    <mergeCell ref="O166:P166"/>
    <mergeCell ref="S166:T166"/>
    <mergeCell ref="K168:L168"/>
    <mergeCell ref="O168:P168"/>
    <mergeCell ref="S168:T168"/>
    <mergeCell ref="K170:L170"/>
    <mergeCell ref="O170:P170"/>
    <mergeCell ref="S170:T170"/>
    <mergeCell ref="K161:L161"/>
    <mergeCell ref="O161:P161"/>
    <mergeCell ref="S161:T161"/>
    <mergeCell ref="K163:L163"/>
    <mergeCell ref="O163:P163"/>
    <mergeCell ref="S163:T163"/>
    <mergeCell ref="K173:L173"/>
    <mergeCell ref="K175:L175"/>
    <mergeCell ref="K177:L177"/>
    <mergeCell ref="K154:L154"/>
    <mergeCell ref="O154:P154"/>
    <mergeCell ref="S154:T154"/>
    <mergeCell ref="K156:L156"/>
    <mergeCell ref="O156:P156"/>
    <mergeCell ref="S156:T156"/>
    <mergeCell ref="K159:L159"/>
    <mergeCell ref="O159:P159"/>
    <mergeCell ref="S159:T159"/>
    <mergeCell ref="K147:L147"/>
    <mergeCell ref="O147:P147"/>
    <mergeCell ref="S147:T147"/>
    <mergeCell ref="K149:L149"/>
    <mergeCell ref="O149:P149"/>
    <mergeCell ref="S149:T149"/>
    <mergeCell ref="K152:L152"/>
    <mergeCell ref="O152:P152"/>
    <mergeCell ref="S152:T152"/>
    <mergeCell ref="K142:L142"/>
    <mergeCell ref="O142:P142"/>
    <mergeCell ref="S142:T142"/>
    <mergeCell ref="K144:L144"/>
    <mergeCell ref="O144:P144"/>
    <mergeCell ref="S144:T144"/>
    <mergeCell ref="K145:L145"/>
    <mergeCell ref="O145:P145"/>
    <mergeCell ref="S145:T145"/>
    <mergeCell ref="K135:L135"/>
    <mergeCell ref="O135:P135"/>
    <mergeCell ref="S135:T135"/>
    <mergeCell ref="K138:L138"/>
    <mergeCell ref="O138:P138"/>
    <mergeCell ref="S138:T138"/>
    <mergeCell ref="K140:L140"/>
    <mergeCell ref="O140:P140"/>
    <mergeCell ref="S140:T140"/>
    <mergeCell ref="K133:L133"/>
    <mergeCell ref="O133:P133"/>
    <mergeCell ref="S133:T133"/>
    <mergeCell ref="S104:T104"/>
    <mergeCell ref="K128:L128"/>
    <mergeCell ref="O128:P128"/>
    <mergeCell ref="S128:T128"/>
    <mergeCell ref="K81:L81"/>
    <mergeCell ref="O81:P81"/>
    <mergeCell ref="S81:T81"/>
    <mergeCell ref="K83:L83"/>
    <mergeCell ref="O83:P83"/>
    <mergeCell ref="S83:T83"/>
    <mergeCell ref="S90:T90"/>
    <mergeCell ref="S92:T92"/>
    <mergeCell ref="S94:T94"/>
    <mergeCell ref="K97:L97"/>
    <mergeCell ref="S97:T97"/>
    <mergeCell ref="K106:L106"/>
    <mergeCell ref="O104:P104"/>
    <mergeCell ref="K124:L124"/>
    <mergeCell ref="O124:P124"/>
    <mergeCell ref="S124:T124"/>
    <mergeCell ref="K126:L126"/>
    <mergeCell ref="O57:P57"/>
    <mergeCell ref="G62:H62"/>
    <mergeCell ref="O90:P90"/>
    <mergeCell ref="G66:H66"/>
    <mergeCell ref="S62:T62"/>
    <mergeCell ref="G29:H29"/>
    <mergeCell ref="K131:L131"/>
    <mergeCell ref="O131:P131"/>
    <mergeCell ref="S131:T131"/>
    <mergeCell ref="S87:T87"/>
    <mergeCell ref="S78:T78"/>
    <mergeCell ref="K78:L78"/>
    <mergeCell ref="S57:T57"/>
    <mergeCell ref="K51:L51"/>
    <mergeCell ref="O59:P59"/>
    <mergeCell ref="S59:T59"/>
    <mergeCell ref="K54:L54"/>
    <mergeCell ref="K57:L57"/>
    <mergeCell ref="K59:L59"/>
    <mergeCell ref="S54:T54"/>
    <mergeCell ref="K87:L87"/>
    <mergeCell ref="O87:P87"/>
    <mergeCell ref="K108:L108"/>
    <mergeCell ref="S64:T64"/>
    <mergeCell ref="C54:E55"/>
    <mergeCell ref="O92:P92"/>
    <mergeCell ref="O94:P94"/>
    <mergeCell ref="O97:P97"/>
    <mergeCell ref="O99:P99"/>
    <mergeCell ref="O101:P101"/>
    <mergeCell ref="K32:L32"/>
    <mergeCell ref="G54:H54"/>
    <mergeCell ref="G57:H57"/>
    <mergeCell ref="G59:H59"/>
    <mergeCell ref="C90:H91"/>
    <mergeCell ref="C97:H98"/>
    <mergeCell ref="K90:L90"/>
    <mergeCell ref="K85:L85"/>
    <mergeCell ref="O78:P78"/>
    <mergeCell ref="O85:P85"/>
    <mergeCell ref="O62:P62"/>
    <mergeCell ref="O51:P51"/>
    <mergeCell ref="G74:H74"/>
    <mergeCell ref="K74:L74"/>
    <mergeCell ref="K99:L99"/>
    <mergeCell ref="K101:L101"/>
    <mergeCell ref="K42:L42"/>
    <mergeCell ref="K66:L66"/>
    <mergeCell ref="C16:H17"/>
    <mergeCell ref="G32:H32"/>
    <mergeCell ref="K35:L35"/>
    <mergeCell ref="K14:L14"/>
    <mergeCell ref="K16:L16"/>
    <mergeCell ref="O16:P16"/>
    <mergeCell ref="K33:L33"/>
    <mergeCell ref="O14:P14"/>
    <mergeCell ref="K29:L29"/>
    <mergeCell ref="O32:P32"/>
    <mergeCell ref="N24:Q25"/>
    <mergeCell ref="J24:M25"/>
    <mergeCell ref="N26:Q26"/>
    <mergeCell ref="J26:M26"/>
    <mergeCell ref="K27:L27"/>
    <mergeCell ref="O27:P27"/>
    <mergeCell ref="O19:P19"/>
    <mergeCell ref="G23:H23"/>
    <mergeCell ref="K23:L23"/>
    <mergeCell ref="O23:P23"/>
    <mergeCell ref="N10:Q11"/>
    <mergeCell ref="K62:L62"/>
    <mergeCell ref="G64:H64"/>
    <mergeCell ref="J10:M11"/>
    <mergeCell ref="O29:P29"/>
    <mergeCell ref="K37:L37"/>
    <mergeCell ref="S13:T13"/>
    <mergeCell ref="K12:L12"/>
    <mergeCell ref="R24:U25"/>
    <mergeCell ref="O54:P54"/>
    <mergeCell ref="O47:P47"/>
    <mergeCell ref="O49:P49"/>
    <mergeCell ref="K40:L40"/>
    <mergeCell ref="S14:T14"/>
    <mergeCell ref="K44:L44"/>
    <mergeCell ref="S29:T29"/>
    <mergeCell ref="S32:T32"/>
    <mergeCell ref="R26:U26"/>
    <mergeCell ref="S27:T27"/>
    <mergeCell ref="S19:T19"/>
    <mergeCell ref="S23:T23"/>
    <mergeCell ref="K47:L47"/>
    <mergeCell ref="K49:L49"/>
    <mergeCell ref="C14:H14"/>
    <mergeCell ref="K64:L64"/>
    <mergeCell ref="O64:P64"/>
    <mergeCell ref="K104:L104"/>
    <mergeCell ref="K111:L111"/>
    <mergeCell ref="O111:P111"/>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O126:P126"/>
    <mergeCell ref="S126:T126"/>
    <mergeCell ref="O108:P108"/>
    <mergeCell ref="O106:P106"/>
    <mergeCell ref="O66:P66"/>
    <mergeCell ref="S66:T66"/>
    <mergeCell ref="K72:L72"/>
    <mergeCell ref="C121:G122"/>
    <mergeCell ref="S121:T121"/>
    <mergeCell ref="K121:L121"/>
    <mergeCell ref="K116:L116"/>
    <mergeCell ref="K118:L118"/>
    <mergeCell ref="S116:T116"/>
    <mergeCell ref="S118:T118"/>
    <mergeCell ref="S114:T114"/>
    <mergeCell ref="O118:P118"/>
    <mergeCell ref="O121:P121"/>
    <mergeCell ref="O116:P116"/>
    <mergeCell ref="O114:P114"/>
    <mergeCell ref="K114:L114"/>
    <mergeCell ref="C114:H115"/>
    <mergeCell ref="C104:H105"/>
    <mergeCell ref="S85:T85"/>
    <mergeCell ref="S99:T99"/>
    <mergeCell ref="S101:T101"/>
    <mergeCell ref="G72:H72"/>
    <mergeCell ref="C69:E70"/>
    <mergeCell ref="G69:H69"/>
    <mergeCell ref="K69:L69"/>
    <mergeCell ref="K92:L92"/>
    <mergeCell ref="K94:L94"/>
    <mergeCell ref="C111:H112"/>
    <mergeCell ref="S106:T106"/>
    <mergeCell ref="S111:T111"/>
    <mergeCell ref="S108:T108"/>
  </mergeCells>
  <phoneticPr fontId="5" type="noConversion"/>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8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94"/>
  <sheetViews>
    <sheetView showGridLines="0" zoomScale="80" zoomScaleNormal="80" zoomScaleSheetLayoutView="70" workbookViewId="0">
      <selection activeCell="AA40" sqref="AA40:AB40"/>
    </sheetView>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1.5703125" style="5" customWidth="1"/>
    <col min="30" max="30" width="1.7109375" style="5" customWidth="1"/>
    <col min="31" max="31" width="4.5703125" style="5" customWidth="1"/>
    <col min="32" max="32" width="10.7109375" style="587" hidden="1" customWidth="1"/>
    <col min="33" max="33" width="9.140625" style="587" hidden="1" customWidth="1"/>
    <col min="34" max="34" width="16.28515625" style="587" hidden="1" customWidth="1"/>
    <col min="35" max="36" width="9.140625" style="587" hidden="1" customWidth="1"/>
    <col min="37" max="37" width="0" style="828" hidden="1" customWidth="1"/>
    <col min="38" max="16384" width="9.140625" style="5"/>
  </cols>
  <sheetData>
    <row r="1" spans="1:31" x14ac:dyDescent="0.2">
      <c r="A1" s="11"/>
      <c r="B1" s="12"/>
      <c r="C1" s="12"/>
      <c r="D1" s="12"/>
      <c r="E1" s="12"/>
      <c r="F1" s="72">
        <f>+'Part 1'!F1</f>
        <v>326</v>
      </c>
      <c r="G1" s="12"/>
      <c r="H1" s="12"/>
      <c r="I1" s="12"/>
      <c r="J1" s="12"/>
      <c r="K1" s="12"/>
      <c r="L1" s="12"/>
      <c r="M1" s="12"/>
      <c r="N1" s="12"/>
      <c r="O1" s="12"/>
      <c r="P1" s="12"/>
      <c r="Q1" s="12"/>
      <c r="R1" s="12"/>
      <c r="S1" s="12"/>
      <c r="T1" s="867"/>
      <c r="U1" s="867"/>
      <c r="V1" s="867"/>
      <c r="W1" s="12"/>
      <c r="X1" s="12"/>
      <c r="Y1" s="12"/>
      <c r="Z1" s="12"/>
      <c r="AA1" s="12"/>
      <c r="AB1" s="12"/>
      <c r="AC1" s="12"/>
      <c r="AD1" s="13"/>
      <c r="AE1" s="38"/>
    </row>
    <row r="2" spans="1:31" ht="15.75" x14ac:dyDescent="0.25">
      <c r="A2" s="916" t="s">
        <v>40</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70"/>
      <c r="AE2" s="578"/>
    </row>
    <row r="3" spans="1:31" ht="15.75" x14ac:dyDescent="0.25">
      <c r="A3" s="868" t="s">
        <v>1365</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70"/>
      <c r="AE3" s="578"/>
    </row>
    <row r="4" spans="1:31" x14ac:dyDescent="0.2">
      <c r="A4" s="43"/>
      <c r="B4" s="78"/>
      <c r="C4" s="78"/>
      <c r="D4" s="78"/>
      <c r="E4" s="78"/>
      <c r="F4" s="78"/>
      <c r="G4" s="78"/>
      <c r="H4" s="78"/>
      <c r="I4" s="78"/>
      <c r="J4" s="78"/>
      <c r="K4" s="78"/>
      <c r="L4" s="78"/>
      <c r="M4" s="348"/>
      <c r="N4" s="78"/>
      <c r="O4" s="78"/>
      <c r="P4" s="78"/>
      <c r="Q4" s="348"/>
      <c r="R4" s="78"/>
      <c r="S4" s="78"/>
      <c r="T4" s="78"/>
      <c r="U4" s="348"/>
      <c r="V4" s="78"/>
      <c r="W4" s="78"/>
      <c r="X4" s="78"/>
      <c r="Y4" s="348"/>
      <c r="Z4" s="78"/>
      <c r="AA4" s="78"/>
      <c r="AB4" s="78"/>
      <c r="AC4" s="78"/>
      <c r="AD4" s="79"/>
      <c r="AE4" s="579"/>
    </row>
    <row r="5" spans="1:31" ht="15.75" thickBot="1" x14ac:dyDescent="0.25">
      <c r="A5" s="40"/>
      <c r="B5" s="41"/>
      <c r="C5" s="41"/>
      <c r="D5" s="41"/>
      <c r="E5" s="41"/>
      <c r="F5" s="41"/>
      <c r="G5" s="41"/>
      <c r="H5" s="41"/>
      <c r="I5" s="41"/>
      <c r="J5" s="41"/>
      <c r="K5" s="41"/>
      <c r="L5" s="41"/>
      <c r="M5" s="41"/>
      <c r="N5" s="41"/>
      <c r="O5" s="41"/>
      <c r="P5" s="41"/>
      <c r="Q5" s="41"/>
      <c r="R5" s="41"/>
      <c r="S5" s="41"/>
      <c r="T5" s="41"/>
      <c r="U5" s="41"/>
      <c r="V5" s="41"/>
      <c r="W5" s="41"/>
      <c r="X5" s="41"/>
      <c r="Y5" s="41"/>
      <c r="Z5" s="41"/>
      <c r="AA5" s="69"/>
      <c r="AB5" s="86"/>
      <c r="AC5" s="41"/>
      <c r="AD5" s="42"/>
      <c r="AE5" s="38"/>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101" t="str">
        <f>+'Part 2'!C10</f>
        <v>Local Authority : York</v>
      </c>
      <c r="D7" s="6"/>
      <c r="E7" s="6"/>
      <c r="F7" s="6"/>
      <c r="G7" s="6"/>
      <c r="H7" s="6"/>
      <c r="I7" s="6"/>
      <c r="J7" s="6"/>
      <c r="K7" s="64"/>
      <c r="L7" s="64"/>
      <c r="M7" s="64"/>
      <c r="N7" s="64"/>
      <c r="O7" s="64"/>
      <c r="P7" s="68"/>
      <c r="Q7" s="68"/>
      <c r="R7" s="64"/>
      <c r="S7" s="64"/>
      <c r="T7" s="64"/>
      <c r="U7" s="64"/>
      <c r="V7" s="75"/>
      <c r="W7" s="64"/>
      <c r="X7" s="64"/>
      <c r="Y7" s="64"/>
      <c r="Z7" s="64"/>
      <c r="AA7" s="64"/>
      <c r="AB7" s="64"/>
      <c r="AC7" s="6"/>
      <c r="AD7" s="8"/>
      <c r="AE7" s="6"/>
    </row>
    <row r="8" spans="1:31" x14ac:dyDescent="0.2">
      <c r="A8" s="7"/>
      <c r="B8" s="6"/>
      <c r="C8" s="6"/>
      <c r="D8" s="6"/>
      <c r="E8" s="6"/>
      <c r="F8" s="6"/>
      <c r="G8" s="6"/>
      <c r="H8" s="6"/>
      <c r="I8" s="6"/>
      <c r="J8" s="6"/>
      <c r="K8" s="64"/>
      <c r="L8" s="64"/>
      <c r="M8" s="64"/>
      <c r="N8" s="64"/>
      <c r="O8" s="64"/>
      <c r="P8" s="64"/>
      <c r="Q8" s="64"/>
      <c r="R8" s="64"/>
      <c r="S8" s="64"/>
      <c r="T8" s="64"/>
      <c r="U8" s="64"/>
      <c r="V8" s="64"/>
      <c r="W8" s="64"/>
      <c r="X8" s="64"/>
      <c r="Y8" s="64"/>
      <c r="Z8" s="64"/>
      <c r="AA8" s="64"/>
      <c r="AB8" s="64"/>
      <c r="AC8" s="6"/>
      <c r="AD8" s="8"/>
      <c r="AE8" s="6"/>
    </row>
    <row r="9" spans="1:31" ht="15.75" x14ac:dyDescent="0.25">
      <c r="A9" s="7"/>
      <c r="B9" s="6"/>
      <c r="C9" s="984" t="s">
        <v>46</v>
      </c>
      <c r="D9" s="984"/>
      <c r="E9" s="984"/>
      <c r="F9" s="984"/>
      <c r="G9" s="984"/>
      <c r="H9" s="984"/>
      <c r="I9" s="6"/>
      <c r="J9" s="6"/>
      <c r="K9" s="64"/>
      <c r="L9" s="64"/>
      <c r="M9" s="64"/>
      <c r="N9" s="64"/>
      <c r="O9" s="64"/>
      <c r="P9" s="64"/>
      <c r="Q9" s="64"/>
      <c r="R9" s="64"/>
      <c r="S9" s="64"/>
      <c r="T9" s="64"/>
      <c r="U9" s="64"/>
      <c r="V9" s="64"/>
      <c r="W9" s="64"/>
      <c r="X9" s="64"/>
      <c r="Y9" s="64"/>
      <c r="Z9" s="64"/>
      <c r="AA9" s="64"/>
      <c r="AB9" s="64"/>
      <c r="AC9" s="6"/>
      <c r="AD9" s="8"/>
      <c r="AE9" s="6"/>
    </row>
    <row r="10" spans="1:31" x14ac:dyDescent="0.2">
      <c r="A10" s="7"/>
      <c r="B10" s="6"/>
      <c r="C10" s="1035" t="s">
        <v>4</v>
      </c>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64"/>
      <c r="AC10" s="6"/>
      <c r="AD10" s="8"/>
      <c r="AE10" s="6"/>
    </row>
    <row r="11" spans="1:31" x14ac:dyDescent="0.2">
      <c r="A11" s="7"/>
      <c r="B11" s="6"/>
      <c r="C11" s="1036"/>
      <c r="D11" s="1036"/>
      <c r="E11" s="1036"/>
      <c r="F11" s="1036"/>
      <c r="G11" s="1036"/>
      <c r="H11" s="1036"/>
      <c r="I11" s="1036"/>
      <c r="J11" s="1036"/>
      <c r="K11" s="1036"/>
      <c r="L11" s="1036"/>
      <c r="M11" s="1036"/>
      <c r="N11" s="1036"/>
      <c r="O11" s="1036"/>
      <c r="P11" s="1036"/>
      <c r="Q11" s="1036"/>
      <c r="R11" s="1036"/>
      <c r="S11" s="1036"/>
      <c r="T11" s="1036"/>
      <c r="U11" s="1036"/>
      <c r="V11" s="1036"/>
      <c r="W11" s="1036"/>
      <c r="X11" s="1036"/>
      <c r="Y11" s="1036"/>
      <c r="Z11" s="1036"/>
      <c r="AA11" s="1036"/>
      <c r="AB11" s="64"/>
      <c r="AC11" s="6"/>
      <c r="AD11" s="8"/>
      <c r="AE11" s="6"/>
    </row>
    <row r="12" spans="1:31" x14ac:dyDescent="0.2">
      <c r="A12" s="7"/>
      <c r="B12" s="6"/>
      <c r="C12" s="6"/>
      <c r="D12" s="6"/>
      <c r="E12" s="6"/>
      <c r="F12" s="6"/>
      <c r="G12" s="6"/>
      <c r="H12" s="6"/>
      <c r="I12" s="6"/>
      <c r="J12" s="6"/>
      <c r="K12" s="1012" t="s">
        <v>23</v>
      </c>
      <c r="L12" s="1012"/>
      <c r="M12" s="350"/>
      <c r="N12" s="64"/>
      <c r="O12" s="1012" t="s">
        <v>24</v>
      </c>
      <c r="P12" s="1012"/>
      <c r="Q12" s="350"/>
      <c r="R12" s="107"/>
      <c r="S12" s="1012" t="s">
        <v>25</v>
      </c>
      <c r="T12" s="1012"/>
      <c r="U12" s="350"/>
      <c r="V12" s="107"/>
      <c r="W12" s="1012" t="s">
        <v>26</v>
      </c>
      <c r="X12" s="1012"/>
      <c r="Y12" s="350"/>
      <c r="Z12" s="107"/>
      <c r="AA12" s="1012" t="s">
        <v>5</v>
      </c>
      <c r="AB12" s="1012"/>
      <c r="AC12" s="6"/>
      <c r="AD12" s="8"/>
      <c r="AE12" s="6"/>
    </row>
    <row r="13" spans="1:31" ht="15.75" customHeight="1" x14ac:dyDescent="0.25">
      <c r="A13" s="7"/>
      <c r="B13" s="6"/>
      <c r="C13" s="6"/>
      <c r="D13" s="6"/>
      <c r="E13" s="6"/>
      <c r="F13" s="6"/>
      <c r="G13" s="6"/>
      <c r="H13" s="6"/>
      <c r="I13" s="6"/>
      <c r="J13" s="6"/>
      <c r="K13" s="1004" t="s">
        <v>1149</v>
      </c>
      <c r="L13" s="1036"/>
      <c r="M13" s="427"/>
      <c r="N13" s="422"/>
      <c r="O13" s="1004" t="str">
        <f>VLOOKUP('Part 1'!$L$16,Datasheet1!$C$5:$S$331,15,FALSE)</f>
        <v>York UA</v>
      </c>
      <c r="P13" s="1036"/>
      <c r="Q13" s="427"/>
      <c r="R13" s="428"/>
      <c r="S13" s="1004" t="str">
        <f>VLOOKUP('Part 1'!$L$16,Datasheet1!$C$5:$S$331,16,FALSE)</f>
        <v>UA</v>
      </c>
      <c r="T13" s="1036"/>
      <c r="U13" s="427"/>
      <c r="V13" s="428"/>
      <c r="W13" s="1004" t="str">
        <f>VLOOKUP('Part 1'!$L$16,Datasheet1!$C$5:$S$331,17,FALSE)</f>
        <v>North Yorkshire Fire Authority</v>
      </c>
      <c r="X13" s="1036"/>
      <c r="Y13" s="427"/>
      <c r="Z13" s="422"/>
      <c r="AA13" s="1004" t="s">
        <v>7</v>
      </c>
      <c r="AB13" s="1004"/>
      <c r="AC13" s="6"/>
      <c r="AD13" s="8"/>
      <c r="AE13" s="6"/>
    </row>
    <row r="14" spans="1:31" ht="15" customHeight="1" x14ac:dyDescent="0.25">
      <c r="A14" s="7"/>
      <c r="B14" s="6"/>
      <c r="C14" s="6"/>
      <c r="D14" s="6"/>
      <c r="E14" s="6"/>
      <c r="F14" s="6"/>
      <c r="G14" s="6"/>
      <c r="H14" s="6"/>
      <c r="I14" s="6"/>
      <c r="J14" s="6"/>
      <c r="K14" s="1036" t="e">
        <f>VLOOKUP('Part 1'!$L$16,Datasheet5!$B$5:$DR$331,AF14,FALSE)</f>
        <v>#VALUE!</v>
      </c>
      <c r="L14" s="1036"/>
      <c r="M14" s="427"/>
      <c r="N14" s="422"/>
      <c r="O14" s="1036"/>
      <c r="P14" s="1036"/>
      <c r="Q14" s="427"/>
      <c r="R14" s="428"/>
      <c r="S14" s="1036"/>
      <c r="T14" s="1036"/>
      <c r="U14" s="427"/>
      <c r="V14" s="428"/>
      <c r="W14" s="1036"/>
      <c r="X14" s="1036"/>
      <c r="Y14" s="427"/>
      <c r="Z14" s="428"/>
      <c r="AA14" s="428"/>
      <c r="AB14" s="428"/>
      <c r="AC14" s="6"/>
      <c r="AD14" s="8"/>
      <c r="AE14" s="6"/>
    </row>
    <row r="15" spans="1:31" ht="15.75" x14ac:dyDescent="0.2">
      <c r="A15" s="7"/>
      <c r="B15" s="6"/>
      <c r="C15" s="6"/>
      <c r="D15" s="6"/>
      <c r="E15" s="6"/>
      <c r="F15" s="6"/>
      <c r="G15" s="6"/>
      <c r="H15" s="6"/>
      <c r="I15" s="6"/>
      <c r="J15" s="6"/>
      <c r="K15" s="1032" t="s">
        <v>20</v>
      </c>
      <c r="L15" s="1032"/>
      <c r="M15" s="350"/>
      <c r="N15" s="108"/>
      <c r="O15" s="1032" t="s">
        <v>20</v>
      </c>
      <c r="P15" s="1032"/>
      <c r="Q15" s="350"/>
      <c r="R15" s="64"/>
      <c r="S15" s="1032" t="s">
        <v>20</v>
      </c>
      <c r="T15" s="1032"/>
      <c r="U15" s="350"/>
      <c r="V15" s="64"/>
      <c r="W15" s="1032" t="s">
        <v>20</v>
      </c>
      <c r="X15" s="1032"/>
      <c r="Y15" s="350"/>
      <c r="Z15" s="108"/>
      <c r="AA15" s="1032" t="s">
        <v>20</v>
      </c>
      <c r="AB15" s="1032"/>
      <c r="AC15" s="6"/>
      <c r="AD15" s="8"/>
      <c r="AE15" s="6"/>
    </row>
    <row r="16" spans="1:31" ht="16.5" thickBot="1" x14ac:dyDescent="0.3">
      <c r="A16" s="7"/>
      <c r="B16" s="6"/>
      <c r="C16" s="109" t="s">
        <v>1457</v>
      </c>
      <c r="D16" s="109"/>
      <c r="E16" s="6"/>
      <c r="F16" s="6"/>
      <c r="G16" s="6"/>
      <c r="H16" s="6"/>
      <c r="I16" s="6"/>
      <c r="J16" s="6"/>
      <c r="K16" s="218"/>
      <c r="L16" s="218"/>
      <c r="M16" s="350"/>
      <c r="N16" s="217"/>
      <c r="O16" s="218"/>
      <c r="P16" s="218"/>
      <c r="Q16" s="350"/>
      <c r="R16" s="64"/>
      <c r="S16" s="218"/>
      <c r="T16" s="218"/>
      <c r="U16" s="350"/>
      <c r="V16" s="64"/>
      <c r="W16" s="218"/>
      <c r="X16" s="218"/>
      <c r="Y16" s="350"/>
      <c r="Z16" s="217"/>
      <c r="AA16" s="218"/>
      <c r="AB16" s="218"/>
      <c r="AC16" s="6"/>
      <c r="AD16" s="8"/>
      <c r="AE16" s="6"/>
    </row>
    <row r="17" spans="1:37" ht="16.5" thickBot="1" x14ac:dyDescent="0.25">
      <c r="A17" s="7"/>
      <c r="B17" s="6"/>
      <c r="C17" s="6"/>
      <c r="D17" s="1035" t="s">
        <v>941</v>
      </c>
      <c r="E17" s="1037"/>
      <c r="F17" s="1037"/>
      <c r="G17" s="1037"/>
      <c r="H17" s="1037"/>
      <c r="I17" s="1037"/>
      <c r="J17" s="6"/>
      <c r="K17" s="1033">
        <f>VLOOKUP('Part 1'!$L$16,Datasheet5!$B$5:$DR$331,AF17,FALSE)</f>
        <v>0.5</v>
      </c>
      <c r="L17" s="1034"/>
      <c r="M17" s="350"/>
      <c r="N17" s="314"/>
      <c r="O17" s="1033">
        <f>VLOOKUP('Part 1'!$L$16,Datasheet5!$B$5:$DR$331,AG17,FALSE)</f>
        <v>0.49</v>
      </c>
      <c r="P17" s="1034"/>
      <c r="Q17" s="350"/>
      <c r="R17" s="314"/>
      <c r="S17" s="1033">
        <f>VLOOKUP('Part 1'!$L$16,Datasheet5!$B$5:$DR$331,AH17,FALSE)</f>
        <v>0</v>
      </c>
      <c r="T17" s="1034"/>
      <c r="U17" s="350"/>
      <c r="V17" s="314"/>
      <c r="W17" s="1033">
        <f>VLOOKUP('Part 1'!$L$16,Datasheet5!$B$5:$DR$331,AI17,FALSE)</f>
        <v>0.01</v>
      </c>
      <c r="X17" s="1034"/>
      <c r="Y17" s="350"/>
      <c r="Z17" s="64"/>
      <c r="AA17" s="1033">
        <f>VLOOKUP('Part 1'!$L$16,Datasheet5!$B$5:$DR$331,AJ17,FALSE)</f>
        <v>1</v>
      </c>
      <c r="AB17" s="1034"/>
      <c r="AC17" s="6"/>
      <c r="AD17" s="8"/>
      <c r="AE17" s="6"/>
      <c r="AF17" s="587">
        <v>117</v>
      </c>
      <c r="AG17" s="587">
        <v>118</v>
      </c>
      <c r="AH17" s="587">
        <v>119</v>
      </c>
      <c r="AI17" s="587">
        <v>120</v>
      </c>
      <c r="AJ17" s="587">
        <v>121</v>
      </c>
    </row>
    <row r="18" spans="1:37" ht="15.75" x14ac:dyDescent="0.2">
      <c r="A18" s="7"/>
      <c r="B18" s="6"/>
      <c r="C18" s="6"/>
      <c r="D18" s="1037"/>
      <c r="E18" s="1037"/>
      <c r="F18" s="1037"/>
      <c r="G18" s="1037"/>
      <c r="H18" s="1037"/>
      <c r="I18" s="1037"/>
      <c r="J18" s="6"/>
      <c r="K18" s="218"/>
      <c r="L18" s="218"/>
      <c r="M18" s="350"/>
      <c r="N18" s="217"/>
      <c r="O18" s="218"/>
      <c r="P18" s="218"/>
      <c r="Q18" s="350"/>
      <c r="R18" s="64"/>
      <c r="S18" s="218"/>
      <c r="T18" s="218"/>
      <c r="U18" s="350"/>
      <c r="V18" s="64"/>
      <c r="W18" s="218"/>
      <c r="X18" s="218"/>
      <c r="Y18" s="350"/>
      <c r="Z18" s="217"/>
      <c r="AA18" s="218"/>
      <c r="AB18" s="218"/>
      <c r="AC18" s="6"/>
      <c r="AD18" s="8"/>
      <c r="AE18" s="6"/>
    </row>
    <row r="19" spans="1:37" ht="15.75" x14ac:dyDescent="0.2">
      <c r="A19" s="7"/>
      <c r="B19" s="6"/>
      <c r="C19" s="6"/>
      <c r="D19" s="6"/>
      <c r="E19" s="6"/>
      <c r="F19" s="6"/>
      <c r="G19" s="6"/>
      <c r="H19" s="6"/>
      <c r="I19" s="6"/>
      <c r="J19" s="6"/>
      <c r="K19" s="6"/>
      <c r="L19" s="218"/>
      <c r="M19" s="350"/>
      <c r="N19" s="217"/>
      <c r="O19" s="218"/>
      <c r="P19" s="218"/>
      <c r="Q19" s="350"/>
      <c r="R19" s="64"/>
      <c r="S19" s="218"/>
      <c r="T19" s="218"/>
      <c r="U19" s="350"/>
      <c r="V19" s="64"/>
      <c r="W19" s="218"/>
      <c r="X19" s="218"/>
      <c r="Y19" s="350"/>
      <c r="Z19" s="217"/>
      <c r="AA19" s="218"/>
      <c r="AB19" s="218"/>
      <c r="AC19" s="6"/>
      <c r="AD19" s="8"/>
      <c r="AE19" s="6"/>
    </row>
    <row r="20" spans="1:37" ht="16.5" thickBot="1" x14ac:dyDescent="0.3">
      <c r="A20" s="7"/>
      <c r="B20" s="6"/>
      <c r="C20" s="109" t="s">
        <v>1457</v>
      </c>
      <c r="D20" s="6"/>
      <c r="E20" s="6"/>
      <c r="F20" s="6"/>
      <c r="G20" s="6"/>
      <c r="H20" s="6"/>
      <c r="I20" s="6"/>
      <c r="J20" s="6"/>
      <c r="K20" s="64"/>
      <c r="L20" s="64"/>
      <c r="M20" s="350"/>
      <c r="N20" s="64"/>
      <c r="O20" s="64"/>
      <c r="P20" s="64"/>
      <c r="Q20" s="350"/>
      <c r="R20" s="64"/>
      <c r="S20" s="64"/>
      <c r="T20" s="64"/>
      <c r="U20" s="350"/>
      <c r="V20" s="64"/>
      <c r="W20" s="64"/>
      <c r="X20" s="64"/>
      <c r="Y20" s="350"/>
      <c r="Z20" s="64"/>
      <c r="AA20" s="64"/>
      <c r="AB20" s="64"/>
      <c r="AC20" s="6"/>
      <c r="AD20" s="8"/>
      <c r="AE20" s="6"/>
      <c r="AF20" s="588"/>
    </row>
    <row r="21" spans="1:37" s="366" customFormat="1" ht="16.5" customHeight="1" thickBot="1" x14ac:dyDescent="0.25">
      <c r="A21" s="363"/>
      <c r="B21" s="364"/>
      <c r="C21" s="364"/>
      <c r="D21" s="364" t="s">
        <v>8</v>
      </c>
      <c r="E21" s="364"/>
      <c r="F21" s="364"/>
      <c r="G21" s="364"/>
      <c r="H21" s="364"/>
      <c r="I21" s="364"/>
      <c r="J21" s="364"/>
      <c r="K21" s="847">
        <f>VLOOKUP('Part 1'!$L$16,Datasheet5!$B$5:$DR$331,AF21,FALSE)</f>
        <v>49485682</v>
      </c>
      <c r="L21" s="1029"/>
      <c r="M21" s="64"/>
      <c r="N21" s="64"/>
      <c r="O21" s="847">
        <f>VLOOKUP('Part 1'!$L$16,Datasheet5!$B$5:$DR$331,AG21,FALSE)</f>
        <v>48495969</v>
      </c>
      <c r="P21" s="1029"/>
      <c r="Q21" s="64"/>
      <c r="R21" s="64"/>
      <c r="S21" s="847">
        <f>VLOOKUP('Part 1'!$L$16,Datasheet5!$B$5:$DR$331,AH21,FALSE)</f>
        <v>0</v>
      </c>
      <c r="T21" s="1029"/>
      <c r="U21" s="444"/>
      <c r="V21" s="64"/>
      <c r="W21" s="847">
        <f>VLOOKUP('Part 1'!$L$16,Datasheet5!$B$5:$DR$331,AI21,FALSE)</f>
        <v>989714</v>
      </c>
      <c r="X21" s="1029"/>
      <c r="Y21" s="64"/>
      <c r="Z21" s="64"/>
      <c r="AA21" s="847">
        <f>VLOOKUP('Part 1'!$L$16,Datasheet5!$B$5:$DR$331,AJ21,FALSE)</f>
        <v>98971365</v>
      </c>
      <c r="AB21" s="1029"/>
      <c r="AC21" s="364"/>
      <c r="AD21" s="365"/>
      <c r="AE21" s="364"/>
      <c r="AF21" s="589">
        <v>3</v>
      </c>
      <c r="AG21" s="590">
        <v>4</v>
      </c>
      <c r="AH21" s="590">
        <v>5</v>
      </c>
      <c r="AI21" s="590">
        <v>6</v>
      </c>
      <c r="AJ21" s="590">
        <v>7</v>
      </c>
      <c r="AK21" s="829"/>
    </row>
    <row r="22" spans="1:37" s="366" customFormat="1" ht="15.75" thickBot="1" x14ac:dyDescent="0.25">
      <c r="A22" s="363"/>
      <c r="B22" s="364"/>
      <c r="C22" s="364"/>
      <c r="D22" s="364"/>
      <c r="E22" s="364"/>
      <c r="F22" s="364"/>
      <c r="G22" s="364"/>
      <c r="H22" s="364"/>
      <c r="I22" s="364"/>
      <c r="J22" s="364"/>
      <c r="K22" s="64"/>
      <c r="L22" s="64"/>
      <c r="M22" s="64"/>
      <c r="N22" s="64"/>
      <c r="O22" s="64"/>
      <c r="P22" s="64"/>
      <c r="Q22" s="64"/>
      <c r="R22" s="64"/>
      <c r="S22" s="64"/>
      <c r="T22" s="64"/>
      <c r="U22" s="444"/>
      <c r="V22" s="64"/>
      <c r="W22" s="64"/>
      <c r="X22" s="64"/>
      <c r="Y22" s="64"/>
      <c r="Z22" s="64"/>
      <c r="AA22" s="64"/>
      <c r="AB22" s="64"/>
      <c r="AC22" s="364"/>
      <c r="AD22" s="365"/>
      <c r="AE22" s="364"/>
      <c r="AF22" s="589"/>
      <c r="AG22" s="590"/>
      <c r="AH22" s="590"/>
      <c r="AI22" s="590"/>
      <c r="AJ22" s="590"/>
      <c r="AK22" s="829"/>
    </row>
    <row r="23" spans="1:37" s="366" customFormat="1" ht="16.5" thickBot="1" x14ac:dyDescent="0.25">
      <c r="A23" s="363"/>
      <c r="B23" s="364"/>
      <c r="C23" s="364"/>
      <c r="D23" s="364" t="s">
        <v>9</v>
      </c>
      <c r="E23" s="364"/>
      <c r="F23" s="364"/>
      <c r="G23" s="364"/>
      <c r="H23" s="364"/>
      <c r="I23" s="364"/>
      <c r="J23" s="364"/>
      <c r="K23" s="847">
        <f>VLOOKUP('Part 1'!$L$16,Datasheet5!$B$5:$DR$331,AF23,FALSE)</f>
        <v>0</v>
      </c>
      <c r="L23" s="1029"/>
      <c r="M23" s="64"/>
      <c r="N23" s="64"/>
      <c r="O23" s="64"/>
      <c r="P23" s="64"/>
      <c r="Q23" s="64"/>
      <c r="R23" s="64"/>
      <c r="S23" s="64"/>
      <c r="T23" s="64"/>
      <c r="U23" s="444"/>
      <c r="V23" s="64"/>
      <c r="W23" s="64"/>
      <c r="X23" s="64"/>
      <c r="Y23" s="64"/>
      <c r="Z23" s="64"/>
      <c r="AA23" s="847">
        <f>VLOOKUP('Part 1'!$L$16,Datasheet5!$B$5:$DR$331,AJ23,FALSE)</f>
        <v>0</v>
      </c>
      <c r="AB23" s="1029"/>
      <c r="AC23" s="364"/>
      <c r="AD23" s="365"/>
      <c r="AE23" s="364"/>
      <c r="AF23" s="589">
        <v>8</v>
      </c>
      <c r="AG23" s="590"/>
      <c r="AH23" s="590"/>
      <c r="AI23" s="590"/>
      <c r="AJ23" s="590">
        <v>9</v>
      </c>
      <c r="AK23" s="829"/>
    </row>
    <row r="24" spans="1:37" s="366" customFormat="1" ht="15.75" thickBot="1" x14ac:dyDescent="0.25">
      <c r="A24" s="363"/>
      <c r="B24" s="364"/>
      <c r="C24" s="364"/>
      <c r="D24" s="364"/>
      <c r="E24" s="364"/>
      <c r="F24" s="364"/>
      <c r="G24" s="364"/>
      <c r="H24" s="364"/>
      <c r="I24" s="364"/>
      <c r="J24" s="364"/>
      <c r="K24" s="64"/>
      <c r="L24" s="64"/>
      <c r="M24" s="64"/>
      <c r="N24" s="64"/>
      <c r="O24" s="64"/>
      <c r="P24" s="64"/>
      <c r="Q24" s="64"/>
      <c r="R24" s="64"/>
      <c r="S24" s="64"/>
      <c r="T24" s="64"/>
      <c r="U24" s="444"/>
      <c r="V24" s="64"/>
      <c r="W24" s="64"/>
      <c r="X24" s="64"/>
      <c r="Y24" s="64"/>
      <c r="Z24" s="64"/>
      <c r="AA24" s="64"/>
      <c r="AB24" s="64"/>
      <c r="AC24" s="364"/>
      <c r="AD24" s="365"/>
      <c r="AE24" s="364"/>
      <c r="AF24" s="589"/>
      <c r="AG24" s="590"/>
      <c r="AH24" s="590"/>
      <c r="AI24" s="590"/>
      <c r="AJ24" s="590"/>
      <c r="AK24" s="829"/>
    </row>
    <row r="25" spans="1:37" s="366" customFormat="1" ht="16.5" thickBot="1" x14ac:dyDescent="0.25">
      <c r="A25" s="363"/>
      <c r="B25" s="364"/>
      <c r="C25" s="364"/>
      <c r="D25" s="368">
        <v>3</v>
      </c>
      <c r="E25" s="364"/>
      <c r="F25" s="364"/>
      <c r="G25" s="364"/>
      <c r="H25" s="364"/>
      <c r="I25" s="364"/>
      <c r="J25" s="369" t="s">
        <v>969</v>
      </c>
      <c r="K25" s="847">
        <f>VLOOKUP('Part 1'!$L$16,Datasheet5!$B$5:$DR$331,AF25,FALSE)</f>
        <v>49485682</v>
      </c>
      <c r="L25" s="1029"/>
      <c r="M25" s="64"/>
      <c r="N25" s="64"/>
      <c r="O25" s="64"/>
      <c r="P25" s="64"/>
      <c r="Q25" s="64"/>
      <c r="R25" s="64"/>
      <c r="S25" s="64"/>
      <c r="T25" s="64"/>
      <c r="U25" s="444"/>
      <c r="V25" s="64"/>
      <c r="W25" s="64"/>
      <c r="X25" s="64"/>
      <c r="Y25" s="64"/>
      <c r="Z25" s="64"/>
      <c r="AA25" s="64"/>
      <c r="AB25" s="64"/>
      <c r="AC25" s="364"/>
      <c r="AD25" s="365"/>
      <c r="AE25" s="364"/>
      <c r="AF25" s="589">
        <v>10</v>
      </c>
      <c r="AG25" s="590"/>
      <c r="AH25" s="590"/>
      <c r="AI25" s="590"/>
      <c r="AJ25" s="590"/>
      <c r="AK25" s="829"/>
    </row>
    <row r="26" spans="1:37" s="366" customFormat="1" x14ac:dyDescent="0.2">
      <c r="A26" s="363"/>
      <c r="B26" s="364"/>
      <c r="C26" s="364"/>
      <c r="D26" s="364"/>
      <c r="E26" s="364"/>
      <c r="F26" s="364"/>
      <c r="G26" s="364"/>
      <c r="H26" s="364"/>
      <c r="I26" s="364"/>
      <c r="J26" s="364"/>
      <c r="K26" s="64"/>
      <c r="L26" s="64"/>
      <c r="M26" s="64"/>
      <c r="N26" s="64"/>
      <c r="O26" s="64"/>
      <c r="P26" s="64"/>
      <c r="Q26" s="64"/>
      <c r="R26" s="64"/>
      <c r="S26" s="64"/>
      <c r="T26" s="64"/>
      <c r="U26" s="444"/>
      <c r="V26" s="64"/>
      <c r="W26" s="64"/>
      <c r="X26" s="64"/>
      <c r="Y26" s="64"/>
      <c r="Z26" s="64"/>
      <c r="AA26" s="64"/>
      <c r="AB26" s="64"/>
      <c r="AC26" s="364"/>
      <c r="AD26" s="365"/>
      <c r="AE26" s="364"/>
      <c r="AF26" s="589"/>
      <c r="AG26" s="590"/>
      <c r="AH26" s="590"/>
      <c r="AI26" s="590"/>
      <c r="AJ26" s="590"/>
      <c r="AK26" s="829"/>
    </row>
    <row r="27" spans="1:37" s="366" customFormat="1" ht="16.5" thickBot="1" x14ac:dyDescent="0.25">
      <c r="A27" s="363"/>
      <c r="B27" s="364"/>
      <c r="C27" s="370" t="s">
        <v>1458</v>
      </c>
      <c r="D27" s="364"/>
      <c r="E27" s="364"/>
      <c r="F27" s="364"/>
      <c r="G27" s="364"/>
      <c r="H27" s="364"/>
      <c r="I27" s="364"/>
      <c r="J27" s="364"/>
      <c r="K27" s="64"/>
      <c r="L27" s="64"/>
      <c r="M27" s="64"/>
      <c r="N27" s="64"/>
      <c r="O27" s="64"/>
      <c r="P27" s="64"/>
      <c r="Q27" s="64"/>
      <c r="R27" s="64"/>
      <c r="S27" s="64"/>
      <c r="T27" s="64"/>
      <c r="U27" s="444"/>
      <c r="V27" s="64"/>
      <c r="W27" s="64"/>
      <c r="X27" s="64"/>
      <c r="Y27" s="64"/>
      <c r="Z27" s="64"/>
      <c r="AA27" s="64"/>
      <c r="AB27" s="64"/>
      <c r="AC27" s="364"/>
      <c r="AD27" s="365"/>
      <c r="AE27" s="364"/>
      <c r="AF27" s="589"/>
      <c r="AG27" s="590"/>
      <c r="AH27" s="590"/>
      <c r="AI27" s="590"/>
      <c r="AJ27" s="590"/>
      <c r="AK27" s="829"/>
    </row>
    <row r="28" spans="1:37" s="366" customFormat="1" ht="16.5" thickBot="1" x14ac:dyDescent="0.25">
      <c r="A28" s="363"/>
      <c r="B28" s="364"/>
      <c r="C28" s="364"/>
      <c r="D28" s="364" t="s">
        <v>10</v>
      </c>
      <c r="E28" s="364"/>
      <c r="F28" s="364"/>
      <c r="G28" s="364"/>
      <c r="H28" s="364"/>
      <c r="I28" s="364"/>
      <c r="J28" s="364"/>
      <c r="K28" s="64"/>
      <c r="L28" s="64"/>
      <c r="M28" s="64"/>
      <c r="N28" s="64"/>
      <c r="O28" s="847">
        <f>VLOOKUP('Part 1'!$L$16,Datasheet5!$B$5:$DR$331,AG28,FALSE)</f>
        <v>291989</v>
      </c>
      <c r="P28" s="1029"/>
      <c r="Q28" s="64"/>
      <c r="R28" s="64"/>
      <c r="S28" s="64"/>
      <c r="T28" s="64"/>
      <c r="U28" s="444"/>
      <c r="V28" s="64"/>
      <c r="W28" s="64"/>
      <c r="X28" s="64"/>
      <c r="Y28" s="64"/>
      <c r="Z28" s="64"/>
      <c r="AA28" s="847">
        <f>VLOOKUP('Part 1'!$L$16,Datasheet5!$B$5:$DR$331,AJ28,FALSE)</f>
        <v>291989</v>
      </c>
      <c r="AB28" s="1029"/>
      <c r="AC28" s="364"/>
      <c r="AD28" s="365"/>
      <c r="AE28" s="364"/>
      <c r="AF28" s="589"/>
      <c r="AG28" s="590">
        <v>11</v>
      </c>
      <c r="AH28" s="590"/>
      <c r="AI28" s="590"/>
      <c r="AJ28" s="590">
        <v>12</v>
      </c>
      <c r="AK28" s="829"/>
    </row>
    <row r="29" spans="1:37" s="366" customFormat="1" ht="15.75" thickBot="1" x14ac:dyDescent="0.25">
      <c r="A29" s="363"/>
      <c r="B29" s="364"/>
      <c r="C29" s="364"/>
      <c r="D29" s="364"/>
      <c r="E29" s="364"/>
      <c r="F29" s="364"/>
      <c r="G29" s="364"/>
      <c r="H29" s="364"/>
      <c r="I29" s="364"/>
      <c r="J29" s="364"/>
      <c r="K29" s="64"/>
      <c r="L29" s="64"/>
      <c r="M29" s="64"/>
      <c r="N29" s="64"/>
      <c r="O29" s="64"/>
      <c r="P29" s="64"/>
      <c r="Q29" s="64"/>
      <c r="R29" s="64"/>
      <c r="S29" s="64"/>
      <c r="T29" s="64"/>
      <c r="U29" s="444"/>
      <c r="V29" s="64"/>
      <c r="W29" s="64"/>
      <c r="X29" s="64"/>
      <c r="Y29" s="64"/>
      <c r="Z29" s="64"/>
      <c r="AA29" s="64"/>
      <c r="AB29" s="64"/>
      <c r="AC29" s="364"/>
      <c r="AD29" s="365"/>
      <c r="AE29" s="364"/>
      <c r="AF29" s="589"/>
      <c r="AG29" s="590"/>
      <c r="AH29" s="590"/>
      <c r="AI29" s="590"/>
      <c r="AJ29" s="590"/>
      <c r="AK29" s="829"/>
    </row>
    <row r="30" spans="1:37" s="366" customFormat="1" ht="16.5" thickBot="1" x14ac:dyDescent="0.25">
      <c r="A30" s="363"/>
      <c r="B30" s="364"/>
      <c r="C30" s="364"/>
      <c r="D30" s="364" t="s">
        <v>82</v>
      </c>
      <c r="E30" s="364"/>
      <c r="F30" s="364"/>
      <c r="G30" s="364"/>
      <c r="H30" s="364"/>
      <c r="I30" s="364"/>
      <c r="J30" s="364"/>
      <c r="K30" s="64"/>
      <c r="L30" s="64"/>
      <c r="M30" s="64"/>
      <c r="N30" s="64"/>
      <c r="O30" s="847">
        <f>VLOOKUP('Part 1'!$L$16,Datasheet5!$B$5:$DR$331,AG30,FALSE)</f>
        <v>523678</v>
      </c>
      <c r="P30" s="1029"/>
      <c r="Q30" s="64"/>
      <c r="R30" s="64"/>
      <c r="S30" s="64"/>
      <c r="T30" s="64"/>
      <c r="U30" s="444"/>
      <c r="V30" s="64"/>
      <c r="W30" s="64"/>
      <c r="X30" s="64"/>
      <c r="Y30" s="64"/>
      <c r="Z30" s="64"/>
      <c r="AA30" s="847">
        <f>VLOOKUP('Part 1'!$L$16,Datasheet5!$B$5:$DR$331,AJ30,FALSE)</f>
        <v>523678</v>
      </c>
      <c r="AB30" s="1029"/>
      <c r="AC30" s="364"/>
      <c r="AD30" s="365"/>
      <c r="AE30" s="364"/>
      <c r="AF30" s="589"/>
      <c r="AG30" s="590">
        <v>13</v>
      </c>
      <c r="AH30" s="590"/>
      <c r="AI30" s="590"/>
      <c r="AJ30" s="590">
        <v>14</v>
      </c>
      <c r="AK30" s="829"/>
    </row>
    <row r="31" spans="1:37" s="366" customFormat="1" ht="15.75" thickBot="1" x14ac:dyDescent="0.25">
      <c r="A31" s="363"/>
      <c r="B31" s="364"/>
      <c r="C31" s="364"/>
      <c r="D31" s="364"/>
      <c r="E31" s="364"/>
      <c r="F31" s="364"/>
      <c r="G31" s="364"/>
      <c r="H31" s="364"/>
      <c r="I31" s="364"/>
      <c r="J31" s="364"/>
      <c r="K31" s="64"/>
      <c r="L31" s="64"/>
      <c r="M31" s="64"/>
      <c r="N31" s="64"/>
      <c r="O31" s="64"/>
      <c r="P31" s="64"/>
      <c r="Q31" s="64"/>
      <c r="R31" s="64"/>
      <c r="S31" s="64"/>
      <c r="T31" s="64"/>
      <c r="U31" s="444"/>
      <c r="V31" s="64"/>
      <c r="W31" s="64"/>
      <c r="X31" s="64"/>
      <c r="Y31" s="64"/>
      <c r="Z31" s="64"/>
      <c r="AA31" s="64"/>
      <c r="AB31" s="64"/>
      <c r="AC31" s="364"/>
      <c r="AD31" s="365"/>
      <c r="AE31" s="364"/>
      <c r="AF31" s="589"/>
      <c r="AG31" s="590"/>
      <c r="AH31" s="590"/>
      <c r="AI31" s="590"/>
      <c r="AJ31" s="590"/>
      <c r="AK31" s="829"/>
    </row>
    <row r="32" spans="1:37" s="366" customFormat="1" ht="16.5" thickBot="1" x14ac:dyDescent="0.25">
      <c r="A32" s="363"/>
      <c r="B32" s="364"/>
      <c r="C32" s="364"/>
      <c r="D32" s="364" t="s">
        <v>948</v>
      </c>
      <c r="E32" s="364"/>
      <c r="F32" s="364"/>
      <c r="G32" s="364"/>
      <c r="H32" s="364"/>
      <c r="I32" s="364"/>
      <c r="J32" s="364"/>
      <c r="K32" s="64"/>
      <c r="L32" s="64"/>
      <c r="M32" s="64"/>
      <c r="N32" s="64"/>
      <c r="O32" s="847">
        <f>VLOOKUP('Part 1'!$L$16,Datasheet5!$B$5:$DR$331,AG32,FALSE)</f>
        <v>0</v>
      </c>
      <c r="P32" s="1029"/>
      <c r="Q32" s="64"/>
      <c r="R32" s="64"/>
      <c r="S32" s="847">
        <f>VLOOKUP('Part 1'!$L$16,Datasheet5!$B$5:$DR$331,AH32,FALSE)</f>
        <v>0</v>
      </c>
      <c r="T32" s="1029"/>
      <c r="U32" s="444"/>
      <c r="V32" s="64"/>
      <c r="W32" s="64"/>
      <c r="X32" s="64"/>
      <c r="Y32" s="64"/>
      <c r="Z32" s="64"/>
      <c r="AA32" s="847">
        <f>VLOOKUP('Part 1'!$L$16,Datasheet5!$B$5:$DR$331,AJ32,FALSE)</f>
        <v>0</v>
      </c>
      <c r="AB32" s="1029"/>
      <c r="AC32" s="364"/>
      <c r="AD32" s="365"/>
      <c r="AE32" s="364"/>
      <c r="AF32" s="589"/>
      <c r="AG32" s="590">
        <v>15</v>
      </c>
      <c r="AH32" s="590">
        <v>16</v>
      </c>
      <c r="AI32" s="590"/>
      <c r="AJ32" s="590">
        <v>17</v>
      </c>
      <c r="AK32" s="829"/>
    </row>
    <row r="33" spans="1:40" s="366" customFormat="1" ht="15.75" thickBot="1" x14ac:dyDescent="0.25">
      <c r="A33" s="363"/>
      <c r="B33" s="364"/>
      <c r="C33" s="364"/>
      <c r="D33" s="364"/>
      <c r="E33" s="364"/>
      <c r="F33" s="364"/>
      <c r="G33" s="364"/>
      <c r="H33" s="364"/>
      <c r="I33" s="364"/>
      <c r="J33" s="364"/>
      <c r="K33" s="64"/>
      <c r="L33" s="64"/>
      <c r="M33" s="64"/>
      <c r="N33" s="64"/>
      <c r="O33" s="64"/>
      <c r="P33" s="64"/>
      <c r="Q33" s="64"/>
      <c r="R33" s="64"/>
      <c r="S33" s="64"/>
      <c r="T33" s="64"/>
      <c r="U33" s="444"/>
      <c r="V33" s="64"/>
      <c r="W33" s="64"/>
      <c r="X33" s="64"/>
      <c r="Y33" s="64"/>
      <c r="Z33" s="64"/>
      <c r="AA33" s="64"/>
      <c r="AB33" s="64"/>
      <c r="AC33" s="364"/>
      <c r="AD33" s="365"/>
      <c r="AE33" s="364"/>
      <c r="AF33" s="589"/>
      <c r="AG33" s="590"/>
      <c r="AH33" s="590"/>
      <c r="AI33" s="590"/>
      <c r="AJ33" s="590"/>
      <c r="AK33" s="829"/>
    </row>
    <row r="34" spans="1:40" s="366" customFormat="1" ht="16.5" thickBot="1" x14ac:dyDescent="0.25">
      <c r="A34" s="363"/>
      <c r="B34" s="364"/>
      <c r="C34" s="364"/>
      <c r="D34" s="364" t="s">
        <v>949</v>
      </c>
      <c r="E34" s="364"/>
      <c r="F34" s="364"/>
      <c r="G34" s="364"/>
      <c r="H34" s="364"/>
      <c r="I34" s="364"/>
      <c r="J34" s="364"/>
      <c r="K34" s="64"/>
      <c r="L34" s="64"/>
      <c r="M34" s="64"/>
      <c r="N34" s="64"/>
      <c r="O34" s="847">
        <f>VLOOKUP('Part 1'!$L$16,Datasheet5!$B$5:$DR$331,AG34,FALSE)</f>
        <v>0</v>
      </c>
      <c r="P34" s="1029"/>
      <c r="Q34" s="64"/>
      <c r="R34" s="64"/>
      <c r="S34" s="847">
        <f>VLOOKUP('Part 1'!$L$16,Datasheet5!$B$5:$DR$331,AH34,FALSE)</f>
        <v>0</v>
      </c>
      <c r="T34" s="1029"/>
      <c r="U34" s="444"/>
      <c r="V34" s="64"/>
      <c r="W34" s="847">
        <f>VLOOKUP('Part 1'!$L$16,Datasheet5!$B$5:$DR$331,AI34,FALSE)</f>
        <v>0</v>
      </c>
      <c r="X34" s="1029"/>
      <c r="Y34" s="64"/>
      <c r="Z34" s="64"/>
      <c r="AA34" s="847">
        <f>VLOOKUP('Part 1'!$L$16,Datasheet5!$B$5:$DR$331,AJ34,FALSE)</f>
        <v>0</v>
      </c>
      <c r="AB34" s="1029"/>
      <c r="AC34" s="364"/>
      <c r="AD34" s="365"/>
      <c r="AE34" s="364"/>
      <c r="AF34" s="589"/>
      <c r="AG34" s="590">
        <v>18</v>
      </c>
      <c r="AH34" s="590">
        <v>19</v>
      </c>
      <c r="AI34" s="590">
        <v>20</v>
      </c>
      <c r="AJ34" s="590">
        <v>21</v>
      </c>
      <c r="AK34" s="829"/>
    </row>
    <row r="35" spans="1:40" s="366" customFormat="1" ht="15.75" thickBot="1" x14ac:dyDescent="0.25">
      <c r="A35" s="363"/>
      <c r="B35" s="364"/>
      <c r="C35" s="364"/>
      <c r="D35" s="364"/>
      <c r="E35" s="364"/>
      <c r="F35" s="364"/>
      <c r="G35" s="364"/>
      <c r="H35" s="364"/>
      <c r="I35" s="364"/>
      <c r="J35" s="364"/>
      <c r="K35" s="64"/>
      <c r="L35" s="64"/>
      <c r="M35" s="64"/>
      <c r="N35" s="64"/>
      <c r="O35" s="64"/>
      <c r="P35" s="64"/>
      <c r="Q35" s="64"/>
      <c r="R35" s="64"/>
      <c r="S35" s="64"/>
      <c r="T35" s="64"/>
      <c r="U35" s="64"/>
      <c r="V35" s="64"/>
      <c r="W35" s="64"/>
      <c r="X35" s="64"/>
      <c r="Y35" s="64"/>
      <c r="Z35" s="64"/>
      <c r="AA35" s="64"/>
      <c r="AB35" s="64"/>
      <c r="AC35" s="364"/>
      <c r="AD35" s="365"/>
      <c r="AE35" s="364"/>
      <c r="AF35" s="589"/>
      <c r="AG35" s="590"/>
      <c r="AH35" s="590"/>
      <c r="AI35" s="590"/>
      <c r="AJ35" s="590"/>
      <c r="AK35" s="829"/>
    </row>
    <row r="36" spans="1:40" s="366" customFormat="1" ht="16.5" thickBot="1" x14ac:dyDescent="0.25">
      <c r="A36" s="363"/>
      <c r="B36" s="364"/>
      <c r="C36" s="364"/>
      <c r="D36" s="364" t="str">
        <f>IF(AG36=1,"8. add: additional growth pilot areas: not applicable","8. add: additional growth")</f>
        <v>8. add: additional growth</v>
      </c>
      <c r="E36" s="364"/>
      <c r="F36" s="364"/>
      <c r="G36" s="364"/>
      <c r="H36" s="364"/>
      <c r="I36" s="364"/>
      <c r="J36" s="364"/>
      <c r="K36" s="64"/>
      <c r="L36" s="64"/>
      <c r="M36" s="64"/>
      <c r="N36" s="64"/>
      <c r="O36" s="847">
        <f>VLOOKUP('Part 1'!$L$16,Datasheet5!$B$5:$DR$331,AG36,FALSE)</f>
        <v>0</v>
      </c>
      <c r="P36" s="1029"/>
      <c r="Q36" s="64"/>
      <c r="R36" s="64"/>
      <c r="S36" s="847">
        <f>VLOOKUP('Part 1'!$L$16,Datasheet5!$B$5:$DR$331,AH36,FALSE)</f>
        <v>0</v>
      </c>
      <c r="T36" s="1029"/>
      <c r="U36" s="801"/>
      <c r="V36" s="64"/>
      <c r="W36" s="847">
        <f>VLOOKUP('Part 1'!$L$16,Datasheet5!$B$5:$DR$331,AI36,FALSE)</f>
        <v>0</v>
      </c>
      <c r="X36" s="1029"/>
      <c r="Y36" s="64"/>
      <c r="Z36" s="64"/>
      <c r="AA36" s="847">
        <f>VLOOKUP('Part 1'!$L$16,Datasheet5!$B$5:$DR$331,AJ36,FALSE)</f>
        <v>0</v>
      </c>
      <c r="AB36" s="1029"/>
      <c r="AC36" s="364"/>
      <c r="AD36" s="365"/>
      <c r="AE36" s="364"/>
      <c r="AF36" s="830"/>
      <c r="AG36" s="830">
        <v>22</v>
      </c>
      <c r="AH36" s="831">
        <v>23</v>
      </c>
      <c r="AI36" s="831">
        <v>24</v>
      </c>
      <c r="AJ36" s="831">
        <v>25</v>
      </c>
      <c r="AK36" s="831"/>
      <c r="AL36" s="825"/>
      <c r="AM36" s="826"/>
      <c r="AN36" s="826"/>
    </row>
    <row r="37" spans="1:40" s="366" customFormat="1" ht="15.75" thickBot="1" x14ac:dyDescent="0.25">
      <c r="A37" s="363"/>
      <c r="B37" s="364"/>
      <c r="C37" s="364"/>
      <c r="D37" s="364"/>
      <c r="E37" s="364"/>
      <c r="F37" s="364"/>
      <c r="G37" s="364"/>
      <c r="H37" s="364"/>
      <c r="I37" s="364"/>
      <c r="J37" s="364"/>
      <c r="K37" s="64"/>
      <c r="L37" s="64"/>
      <c r="M37" s="64"/>
      <c r="N37" s="64"/>
      <c r="O37" s="64"/>
      <c r="P37" s="64"/>
      <c r="Q37" s="64"/>
      <c r="R37" s="64"/>
      <c r="S37" s="747"/>
      <c r="T37" s="747"/>
      <c r="U37" s="747"/>
      <c r="V37" s="64"/>
      <c r="W37" s="64"/>
      <c r="X37" s="64"/>
      <c r="Y37" s="64"/>
      <c r="Z37" s="64"/>
      <c r="AA37" s="64"/>
      <c r="AB37" s="64"/>
      <c r="AC37" s="364"/>
      <c r="AD37" s="365"/>
      <c r="AE37" s="364"/>
      <c r="AF37" s="830"/>
      <c r="AG37" s="830"/>
      <c r="AH37" s="831"/>
      <c r="AI37" s="831"/>
      <c r="AJ37" s="831"/>
      <c r="AK37" s="831"/>
      <c r="AL37" s="825"/>
      <c r="AM37" s="826"/>
      <c r="AN37" s="826"/>
    </row>
    <row r="38" spans="1:40" s="366" customFormat="1" ht="16.5" thickBot="1" x14ac:dyDescent="0.25">
      <c r="A38" s="363"/>
      <c r="B38" s="364"/>
      <c r="C38" s="364"/>
      <c r="D38" s="364" t="str">
        <f>IF(AG38=1,"9. add: Port of Bristol","9. add: Port of Bristol: not applicable")</f>
        <v>9. add: Port of Bristol: not applicable</v>
      </c>
      <c r="E38" s="364"/>
      <c r="F38" s="364"/>
      <c r="G38" s="364"/>
      <c r="H38" s="364"/>
      <c r="I38" s="364"/>
      <c r="J38" s="364"/>
      <c r="K38" s="64"/>
      <c r="L38" s="64"/>
      <c r="M38" s="64"/>
      <c r="N38" s="64"/>
      <c r="O38" s="847">
        <f>VLOOKUP('Part 1'!$L$16,Datasheet5!$B$5:$DR$331,AG38,FALSE)</f>
        <v>0</v>
      </c>
      <c r="P38" s="1029"/>
      <c r="Q38" s="64"/>
      <c r="R38" s="64"/>
      <c r="S38" s="747"/>
      <c r="T38" s="747"/>
      <c r="U38" s="747"/>
      <c r="V38" s="64"/>
      <c r="W38" s="64"/>
      <c r="X38" s="64"/>
      <c r="Y38" s="64"/>
      <c r="Z38" s="64"/>
      <c r="AA38" s="847">
        <f>VLOOKUP('Part 1'!$L$16,Datasheet5!$B$5:$DR$331,AJ38,FALSE)</f>
        <v>0</v>
      </c>
      <c r="AB38" s="1029"/>
      <c r="AC38" s="364"/>
      <c r="AD38" s="365"/>
      <c r="AE38" s="364"/>
      <c r="AF38" s="830"/>
      <c r="AG38" s="830">
        <v>26</v>
      </c>
      <c r="AH38" s="831"/>
      <c r="AI38" s="831"/>
      <c r="AJ38" s="831">
        <v>27</v>
      </c>
      <c r="AK38" s="831"/>
      <c r="AL38" s="825"/>
      <c r="AM38" s="826"/>
      <c r="AN38" s="826"/>
    </row>
    <row r="39" spans="1:40" s="366" customFormat="1" ht="15.75" thickBot="1" x14ac:dyDescent="0.25">
      <c r="A39" s="363"/>
      <c r="B39" s="364"/>
      <c r="C39" s="364"/>
      <c r="D39" s="364"/>
      <c r="E39" s="364"/>
      <c r="F39" s="364"/>
      <c r="G39" s="364"/>
      <c r="H39" s="364"/>
      <c r="I39" s="364"/>
      <c r="J39" s="364"/>
      <c r="K39" s="64"/>
      <c r="L39" s="64"/>
      <c r="M39" s="64"/>
      <c r="N39" s="64"/>
      <c r="O39" s="64"/>
      <c r="P39" s="64"/>
      <c r="Q39" s="64"/>
      <c r="R39" s="64"/>
      <c r="S39" s="747"/>
      <c r="T39" s="747"/>
      <c r="U39" s="747"/>
      <c r="V39" s="64"/>
      <c r="W39" s="64"/>
      <c r="X39" s="64"/>
      <c r="Y39" s="64"/>
      <c r="Z39" s="64"/>
      <c r="AA39" s="64"/>
      <c r="AB39" s="64"/>
      <c r="AC39" s="364"/>
      <c r="AD39" s="365"/>
      <c r="AE39" s="364"/>
      <c r="AF39" s="830"/>
      <c r="AG39" s="830"/>
      <c r="AH39" s="831"/>
      <c r="AI39" s="831"/>
      <c r="AJ39" s="831"/>
      <c r="AK39" s="831"/>
      <c r="AL39" s="825"/>
      <c r="AM39" s="826"/>
      <c r="AN39" s="826"/>
    </row>
    <row r="40" spans="1:40" s="366" customFormat="1" ht="16.5" thickBot="1" x14ac:dyDescent="0.25">
      <c r="A40" s="363"/>
      <c r="B40" s="364"/>
      <c r="C40" s="364"/>
      <c r="D40" s="364" t="s">
        <v>1459</v>
      </c>
      <c r="E40" s="364"/>
      <c r="F40" s="364"/>
      <c r="G40" s="364"/>
      <c r="H40" s="364"/>
      <c r="I40" s="364"/>
      <c r="J40" s="364"/>
      <c r="K40" s="64"/>
      <c r="L40" s="64"/>
      <c r="M40" s="64"/>
      <c r="N40" s="64"/>
      <c r="O40" s="847">
        <f>VLOOKUP('Part 1'!$L$16,Datasheet5!$B$5:$DR$331,AG40,FALSE)</f>
        <v>3169986</v>
      </c>
      <c r="P40" s="1029"/>
      <c r="Q40" s="64"/>
      <c r="R40" s="64"/>
      <c r="S40" s="847">
        <f>VLOOKUP('Part 1'!$L$16,Datasheet5!$B$5:$DR$331,AH40,FALSE)</f>
        <v>0</v>
      </c>
      <c r="T40" s="1029"/>
      <c r="U40" s="801"/>
      <c r="V40" s="64"/>
      <c r="W40" s="847">
        <f>VLOOKUP('Part 1'!$L$16,Datasheet5!$B$5:$DR$331,AI40,FALSE)</f>
        <v>64263</v>
      </c>
      <c r="X40" s="1029"/>
      <c r="Y40" s="64"/>
      <c r="Z40" s="64"/>
      <c r="AA40" s="847">
        <f>VLOOKUP('Part 1'!$L$16,Datasheet5!$B$5:$DR$331,AJ40,FALSE)</f>
        <v>3234249</v>
      </c>
      <c r="AB40" s="1029"/>
      <c r="AC40" s="364"/>
      <c r="AD40" s="365"/>
      <c r="AE40" s="364"/>
      <c r="AF40" s="830"/>
      <c r="AG40" s="830">
        <v>28</v>
      </c>
      <c r="AH40" s="831">
        <v>29</v>
      </c>
      <c r="AI40" s="831">
        <v>30</v>
      </c>
      <c r="AJ40" s="831">
        <v>31</v>
      </c>
      <c r="AK40" s="831"/>
      <c r="AL40" s="825"/>
      <c r="AM40" s="826"/>
      <c r="AN40" s="826"/>
    </row>
    <row r="41" spans="1:40" s="366" customFormat="1" ht="15.75" x14ac:dyDescent="0.2">
      <c r="A41" s="363"/>
      <c r="B41" s="364"/>
      <c r="C41" s="364"/>
      <c r="D41" s="364"/>
      <c r="E41" s="364"/>
      <c r="F41" s="364"/>
      <c r="G41" s="364"/>
      <c r="H41" s="364"/>
      <c r="I41" s="364"/>
      <c r="J41" s="364"/>
      <c r="K41" s="64"/>
      <c r="L41" s="64"/>
      <c r="M41" s="64"/>
      <c r="N41" s="64"/>
      <c r="O41" s="748"/>
      <c r="P41" s="64"/>
      <c r="Q41" s="64"/>
      <c r="R41" s="64"/>
      <c r="S41" s="748"/>
      <c r="T41" s="64"/>
      <c r="U41" s="747"/>
      <c r="V41" s="64"/>
      <c r="W41" s="748"/>
      <c r="X41" s="64"/>
      <c r="Y41" s="64"/>
      <c r="Z41" s="64"/>
      <c r="AA41" s="748"/>
      <c r="AB41" s="64"/>
      <c r="AC41" s="364"/>
      <c r="AD41" s="365"/>
      <c r="AE41" s="364"/>
      <c r="AF41" s="830"/>
      <c r="AG41" s="830"/>
      <c r="AH41" s="831"/>
      <c r="AI41" s="831"/>
      <c r="AJ41" s="831"/>
      <c r="AK41" s="831"/>
      <c r="AL41" s="825"/>
      <c r="AM41" s="826"/>
      <c r="AN41" s="826"/>
    </row>
    <row r="42" spans="1:40" s="366" customFormat="1" ht="15.75" x14ac:dyDescent="0.2">
      <c r="A42" s="363"/>
      <c r="B42" s="364"/>
      <c r="C42" s="364"/>
      <c r="D42" s="364"/>
      <c r="E42" s="364"/>
      <c r="F42" s="364"/>
      <c r="G42" s="364"/>
      <c r="H42" s="364"/>
      <c r="I42" s="364"/>
      <c r="J42" s="364"/>
      <c r="K42" s="64"/>
      <c r="L42" s="64"/>
      <c r="M42" s="64"/>
      <c r="N42" s="64"/>
      <c r="O42" s="76"/>
      <c r="P42" s="64"/>
      <c r="Q42" s="64"/>
      <c r="R42" s="64"/>
      <c r="S42" s="76"/>
      <c r="T42" s="64"/>
      <c r="U42" s="444"/>
      <c r="V42" s="64"/>
      <c r="W42" s="76"/>
      <c r="X42" s="64"/>
      <c r="Y42" s="64"/>
      <c r="Z42" s="64"/>
      <c r="AA42" s="76"/>
      <c r="AB42" s="64"/>
      <c r="AC42" s="364"/>
      <c r="AD42" s="365"/>
      <c r="AE42" s="364"/>
      <c r="AF42" s="589"/>
      <c r="AG42" s="590"/>
      <c r="AH42" s="590"/>
      <c r="AI42" s="590"/>
      <c r="AJ42" s="590"/>
      <c r="AK42" s="829"/>
    </row>
    <row r="43" spans="1:40" s="366" customFormat="1" ht="15.75" x14ac:dyDescent="0.2">
      <c r="A43" s="363"/>
      <c r="B43" s="364"/>
      <c r="C43" s="370" t="s">
        <v>11</v>
      </c>
      <c r="D43" s="364"/>
      <c r="E43" s="364"/>
      <c r="F43" s="364"/>
      <c r="G43" s="364"/>
      <c r="H43" s="364"/>
      <c r="I43" s="364"/>
      <c r="J43" s="364"/>
      <c r="K43" s="64"/>
      <c r="L43" s="64"/>
      <c r="M43" s="64"/>
      <c r="N43" s="64"/>
      <c r="O43" s="76"/>
      <c r="P43" s="64"/>
      <c r="Q43" s="64"/>
      <c r="R43" s="64"/>
      <c r="S43" s="76"/>
      <c r="T43" s="64"/>
      <c r="U43" s="444"/>
      <c r="V43" s="64"/>
      <c r="W43" s="76"/>
      <c r="X43" s="64"/>
      <c r="Y43" s="64"/>
      <c r="Z43" s="64"/>
      <c r="AA43" s="76"/>
      <c r="AB43" s="64"/>
      <c r="AC43" s="364"/>
      <c r="AD43" s="365"/>
      <c r="AE43" s="364"/>
      <c r="AF43" s="589"/>
      <c r="AG43" s="590"/>
      <c r="AH43" s="590"/>
      <c r="AI43" s="590"/>
      <c r="AJ43" s="590"/>
      <c r="AK43" s="829"/>
    </row>
    <row r="44" spans="1:40" s="366" customFormat="1" ht="16.5" thickBot="1" x14ac:dyDescent="0.25">
      <c r="A44" s="363"/>
      <c r="B44" s="364"/>
      <c r="C44" s="370" t="s">
        <v>12</v>
      </c>
      <c r="D44" s="364"/>
      <c r="E44" s="364"/>
      <c r="F44" s="364"/>
      <c r="G44" s="364"/>
      <c r="H44" s="364"/>
      <c r="I44" s="364"/>
      <c r="J44" s="364"/>
      <c r="K44" s="1031" t="s">
        <v>20</v>
      </c>
      <c r="L44" s="1031"/>
      <c r="M44" s="64"/>
      <c r="N44" s="447"/>
      <c r="O44" s="1031" t="s">
        <v>20</v>
      </c>
      <c r="P44" s="1031"/>
      <c r="Q44" s="64"/>
      <c r="R44" s="64"/>
      <c r="S44" s="1031" t="s">
        <v>20</v>
      </c>
      <c r="T44" s="1031"/>
      <c r="U44" s="444"/>
      <c r="V44" s="64"/>
      <c r="W44" s="1031" t="s">
        <v>20</v>
      </c>
      <c r="X44" s="1031"/>
      <c r="Y44" s="64"/>
      <c r="Z44" s="447"/>
      <c r="AA44" s="1031" t="s">
        <v>20</v>
      </c>
      <c r="AB44" s="1031"/>
      <c r="AC44" s="364"/>
      <c r="AD44" s="365"/>
      <c r="AE44" s="364"/>
      <c r="AF44" s="589"/>
      <c r="AG44" s="590"/>
      <c r="AH44" s="590"/>
      <c r="AI44" s="590"/>
      <c r="AJ44" s="590"/>
      <c r="AK44" s="829"/>
    </row>
    <row r="45" spans="1:40" s="366" customFormat="1" ht="16.5" thickBot="1" x14ac:dyDescent="0.25">
      <c r="A45" s="363"/>
      <c r="B45" s="364"/>
      <c r="C45" s="364"/>
      <c r="D45" s="364" t="s">
        <v>1460</v>
      </c>
      <c r="E45" s="364"/>
      <c r="F45" s="364"/>
      <c r="G45" s="364"/>
      <c r="H45" s="364"/>
      <c r="I45" s="364"/>
      <c r="J45" s="364"/>
      <c r="K45" s="847">
        <f>VLOOKUP('Part 1'!$L$16,Datasheet5!$B$5:$DR$331,AF45,FALSE)</f>
        <v>1363724</v>
      </c>
      <c r="L45" s="1029"/>
      <c r="M45" s="64"/>
      <c r="N45" s="64"/>
      <c r="O45" s="847">
        <f>VLOOKUP('Part 1'!$L$16,Datasheet5!$B$5:$DR$331,AG45,FALSE)</f>
        <v>1336449</v>
      </c>
      <c r="P45" s="1029"/>
      <c r="Q45" s="64"/>
      <c r="R45" s="64"/>
      <c r="S45" s="847">
        <f>VLOOKUP('Part 1'!$L$16,Datasheet5!$B$5:$DR$331,AH45,FALSE)</f>
        <v>0</v>
      </c>
      <c r="T45" s="1029"/>
      <c r="U45" s="444"/>
      <c r="V45" s="64"/>
      <c r="W45" s="847">
        <f>VLOOKUP('Part 1'!$L$16,Datasheet5!$B$5:$DR$331,AI45,FALSE)</f>
        <v>27274</v>
      </c>
      <c r="X45" s="1029"/>
      <c r="Y45" s="64"/>
      <c r="Z45" s="64"/>
      <c r="AA45" s="847">
        <f>VLOOKUP('Part 1'!$L$16,Datasheet5!$B$5:$DR$331,AJ45,FALSE)</f>
        <v>2727447</v>
      </c>
      <c r="AB45" s="1029"/>
      <c r="AC45" s="364"/>
      <c r="AD45" s="365"/>
      <c r="AE45" s="364"/>
      <c r="AF45" s="589">
        <v>32</v>
      </c>
      <c r="AG45" s="590">
        <v>33</v>
      </c>
      <c r="AH45" s="590">
        <v>34</v>
      </c>
      <c r="AI45" s="590">
        <v>35</v>
      </c>
      <c r="AJ45" s="590">
        <v>36</v>
      </c>
      <c r="AK45" s="829"/>
    </row>
    <row r="46" spans="1:40" s="366" customFormat="1" ht="15.75" thickBot="1" x14ac:dyDescent="0.25">
      <c r="A46" s="363"/>
      <c r="B46" s="364"/>
      <c r="C46" s="364"/>
      <c r="D46" s="364"/>
      <c r="E46" s="364"/>
      <c r="F46" s="364"/>
      <c r="G46" s="364"/>
      <c r="H46" s="364"/>
      <c r="I46" s="364"/>
      <c r="J46" s="364"/>
      <c r="K46" s="64"/>
      <c r="L46" s="64"/>
      <c r="M46" s="64"/>
      <c r="N46" s="64"/>
      <c r="O46" s="64"/>
      <c r="P46" s="64"/>
      <c r="Q46" s="64"/>
      <c r="R46" s="64"/>
      <c r="S46" s="64"/>
      <c r="T46" s="64"/>
      <c r="U46" s="444"/>
      <c r="V46" s="64"/>
      <c r="W46" s="64"/>
      <c r="X46" s="64"/>
      <c r="Y46" s="64"/>
      <c r="Z46" s="64"/>
      <c r="AA46" s="64"/>
      <c r="AB46" s="64"/>
      <c r="AC46" s="364"/>
      <c r="AD46" s="365"/>
      <c r="AE46" s="364"/>
      <c r="AF46" s="589"/>
      <c r="AG46" s="590"/>
      <c r="AH46" s="590"/>
      <c r="AI46" s="590"/>
      <c r="AJ46" s="590"/>
      <c r="AK46" s="829"/>
    </row>
    <row r="47" spans="1:40" s="366" customFormat="1" ht="18" customHeight="1" thickBot="1" x14ac:dyDescent="0.25">
      <c r="A47" s="363"/>
      <c r="B47" s="364"/>
      <c r="C47" s="364"/>
      <c r="D47" s="364" t="s">
        <v>1461</v>
      </c>
      <c r="E47" s="364"/>
      <c r="F47" s="364"/>
      <c r="G47" s="364"/>
      <c r="H47" s="364"/>
      <c r="I47" s="364"/>
      <c r="J47" s="364"/>
      <c r="K47" s="847">
        <f>VLOOKUP('Part 1'!$L$16,Datasheet5!$B$5:$DR$331,AF47,FALSE)</f>
        <v>-1138450</v>
      </c>
      <c r="L47" s="1029"/>
      <c r="M47" s="64"/>
      <c r="N47" s="64"/>
      <c r="O47" s="847">
        <f>VLOOKUP('Part 1'!$L$16,Datasheet5!$B$5:$DR$331,AG47,FALSE)</f>
        <v>-1115681</v>
      </c>
      <c r="P47" s="1029"/>
      <c r="Q47" s="64"/>
      <c r="R47" s="64"/>
      <c r="S47" s="847">
        <f>VLOOKUP('Part 1'!$L$16,Datasheet5!$B$5:$DR$331,AH47,FALSE)</f>
        <v>0</v>
      </c>
      <c r="T47" s="1029"/>
      <c r="U47" s="444"/>
      <c r="V47" s="64"/>
      <c r="W47" s="847">
        <f>VLOOKUP('Part 1'!$L$16,Datasheet5!$B$5:$DR$331,AI47,FALSE)</f>
        <v>-22769</v>
      </c>
      <c r="X47" s="1029"/>
      <c r="Y47" s="64"/>
      <c r="Z47" s="64"/>
      <c r="AA47" s="847">
        <f>VLOOKUP('Part 1'!$L$16,Datasheet5!$B$5:$DR$331,AJ47,FALSE)</f>
        <v>-2276900</v>
      </c>
      <c r="AB47" s="1029"/>
      <c r="AC47" s="364"/>
      <c r="AD47" s="365"/>
      <c r="AE47" s="364"/>
      <c r="AF47" s="589">
        <v>37</v>
      </c>
      <c r="AG47" s="590">
        <v>38</v>
      </c>
      <c r="AH47" s="590">
        <v>39</v>
      </c>
      <c r="AI47" s="590">
        <v>40</v>
      </c>
      <c r="AJ47" s="590">
        <v>41</v>
      </c>
      <c r="AK47" s="829"/>
    </row>
    <row r="48" spans="1:40" s="366" customFormat="1" x14ac:dyDescent="0.2">
      <c r="A48" s="363"/>
      <c r="B48" s="364"/>
      <c r="C48" s="364"/>
      <c r="D48" s="364"/>
      <c r="E48" s="364"/>
      <c r="F48" s="364"/>
      <c r="G48" s="364"/>
      <c r="H48" s="364"/>
      <c r="I48" s="364"/>
      <c r="J48" s="364"/>
      <c r="K48" s="64"/>
      <c r="L48" s="64"/>
      <c r="M48" s="64"/>
      <c r="N48" s="64"/>
      <c r="O48" s="64"/>
      <c r="P48" s="64"/>
      <c r="Q48" s="64"/>
      <c r="R48" s="64"/>
      <c r="S48" s="64"/>
      <c r="T48" s="64"/>
      <c r="U48" s="444"/>
      <c r="V48" s="64"/>
      <c r="W48" s="64"/>
      <c r="X48" s="64"/>
      <c r="Y48" s="64"/>
      <c r="Z48" s="64"/>
      <c r="AA48" s="64"/>
      <c r="AB48" s="64"/>
      <c r="AC48" s="364"/>
      <c r="AD48" s="365"/>
      <c r="AE48" s="364"/>
      <c r="AF48" s="589"/>
      <c r="AG48" s="590"/>
      <c r="AH48" s="590"/>
      <c r="AI48" s="590"/>
      <c r="AJ48" s="590"/>
      <c r="AK48" s="829"/>
    </row>
    <row r="49" spans="1:37" s="366" customFormat="1" ht="16.5" thickBot="1" x14ac:dyDescent="0.25">
      <c r="A49" s="371"/>
      <c r="B49" s="367"/>
      <c r="C49" s="370" t="s">
        <v>83</v>
      </c>
      <c r="D49" s="364"/>
      <c r="E49" s="367"/>
      <c r="F49" s="367"/>
      <c r="G49" s="367"/>
      <c r="H49" s="367"/>
      <c r="I49" s="367"/>
      <c r="J49" s="367"/>
      <c r="K49" s="448"/>
      <c r="L49" s="448"/>
      <c r="M49" s="64"/>
      <c r="N49" s="448"/>
      <c r="O49" s="448"/>
      <c r="P49" s="448"/>
      <c r="Q49" s="64"/>
      <c r="R49" s="448"/>
      <c r="S49" s="448"/>
      <c r="T49" s="448"/>
      <c r="U49" s="444"/>
      <c r="V49" s="448"/>
      <c r="W49" s="448"/>
      <c r="X49" s="448"/>
      <c r="Y49" s="64"/>
      <c r="Z49" s="448"/>
      <c r="AA49" s="448"/>
      <c r="AB49" s="448"/>
      <c r="AC49" s="367"/>
      <c r="AD49" s="365"/>
      <c r="AE49" s="364"/>
      <c r="AF49" s="589"/>
      <c r="AG49" s="590"/>
      <c r="AH49" s="590"/>
      <c r="AI49" s="590"/>
      <c r="AJ49" s="590"/>
      <c r="AK49" s="829"/>
    </row>
    <row r="50" spans="1:37" s="366" customFormat="1" ht="16.5" thickBot="1" x14ac:dyDescent="0.25">
      <c r="A50" s="371"/>
      <c r="B50" s="367"/>
      <c r="C50" s="372"/>
      <c r="D50" s="364" t="s">
        <v>1462</v>
      </c>
      <c r="E50" s="367"/>
      <c r="F50" s="367"/>
      <c r="G50" s="367"/>
      <c r="H50" s="367"/>
      <c r="I50" s="367"/>
      <c r="J50" s="367"/>
      <c r="K50" s="1027">
        <f>VLOOKUP('Part 1'!$L$16,Datasheet5!$B$5:$DR$331,AF50,FALSE)</f>
        <v>-898290</v>
      </c>
      <c r="L50" s="1028"/>
      <c r="M50" s="64"/>
      <c r="N50" s="64"/>
      <c r="O50" s="1027">
        <f>VLOOKUP('Part 1'!$L$16,Datasheet5!$B$5:$DR$331,AG50,FALSE)</f>
        <v>-880324</v>
      </c>
      <c r="P50" s="1028"/>
      <c r="Q50" s="64"/>
      <c r="R50" s="64"/>
      <c r="S50" s="1027">
        <f>VLOOKUP('Part 1'!$L$16,Datasheet5!$B$5:$DR$331,AH50,FALSE)</f>
        <v>0</v>
      </c>
      <c r="T50" s="1028"/>
      <c r="U50" s="444"/>
      <c r="V50" s="64"/>
      <c r="W50" s="1027">
        <f>VLOOKUP('Part 1'!$L$16,Datasheet5!$B$5:$DR$331,AI50,FALSE)</f>
        <v>-17966</v>
      </c>
      <c r="X50" s="1028"/>
      <c r="Y50" s="64"/>
      <c r="Z50" s="64"/>
      <c r="AA50" s="1027">
        <f>VLOOKUP('Part 1'!$L$16,Datasheet5!$B$5:$DR$331,AJ50,FALSE)</f>
        <v>-1796580</v>
      </c>
      <c r="AB50" s="1028"/>
      <c r="AC50" s="367"/>
      <c r="AD50" s="365"/>
      <c r="AE50" s="364"/>
      <c r="AF50" s="587">
        <v>42</v>
      </c>
      <c r="AG50" s="587">
        <v>43</v>
      </c>
      <c r="AH50" s="590">
        <v>44</v>
      </c>
      <c r="AI50" s="590">
        <v>45</v>
      </c>
      <c r="AJ50" s="590">
        <v>46</v>
      </c>
      <c r="AK50" s="829"/>
    </row>
    <row r="51" spans="1:37" s="366" customFormat="1" ht="16.5" thickBot="1" x14ac:dyDescent="0.25">
      <c r="A51" s="371"/>
      <c r="B51" s="367"/>
      <c r="C51" s="372"/>
      <c r="D51" s="372"/>
      <c r="E51" s="367"/>
      <c r="F51" s="367"/>
      <c r="G51" s="367"/>
      <c r="H51" s="367"/>
      <c r="I51" s="367"/>
      <c r="J51" s="373"/>
      <c r="K51" s="445"/>
      <c r="L51" s="445"/>
      <c r="M51" s="64"/>
      <c r="N51" s="446"/>
      <c r="O51" s="445"/>
      <c r="P51" s="445"/>
      <c r="Q51" s="64"/>
      <c r="R51" s="446"/>
      <c r="S51" s="445"/>
      <c r="T51" s="445"/>
      <c r="U51" s="444"/>
      <c r="V51" s="446"/>
      <c r="W51" s="445"/>
      <c r="X51" s="445"/>
      <c r="Y51" s="64"/>
      <c r="Z51" s="446"/>
      <c r="AA51" s="445"/>
      <c r="AB51" s="446"/>
      <c r="AC51" s="373"/>
      <c r="AD51" s="374"/>
      <c r="AE51" s="585"/>
      <c r="AF51" s="589"/>
      <c r="AG51" s="590"/>
      <c r="AH51" s="590"/>
      <c r="AI51" s="590"/>
      <c r="AJ51" s="590"/>
      <c r="AK51" s="829"/>
    </row>
    <row r="52" spans="1:37" s="366" customFormat="1" ht="16.5" thickBot="1" x14ac:dyDescent="0.25">
      <c r="A52" s="371"/>
      <c r="B52" s="367"/>
      <c r="C52" s="372"/>
      <c r="D52" s="364" t="s">
        <v>1463</v>
      </c>
      <c r="E52" s="367"/>
      <c r="F52" s="367"/>
      <c r="G52" s="367"/>
      <c r="H52" s="367"/>
      <c r="I52" s="367"/>
      <c r="J52" s="373"/>
      <c r="K52" s="847">
        <f>VLOOKUP('Part 1'!$L$16,Datasheet5!$B$5:$DR$331,AF52,FALSE)</f>
        <v>120962</v>
      </c>
      <c r="L52" s="1029"/>
      <c r="M52" s="64"/>
      <c r="N52" s="64"/>
      <c r="O52" s="847">
        <f>VLOOKUP('Part 1'!$L$16,Datasheet5!$B$5:$DR$331,AG52,FALSE)</f>
        <v>118543</v>
      </c>
      <c r="P52" s="1029"/>
      <c r="Q52" s="64"/>
      <c r="R52" s="64"/>
      <c r="S52" s="847">
        <f>VLOOKUP('Part 1'!$L$16,Datasheet5!$B$5:$DR$331,AH52,FALSE)</f>
        <v>0</v>
      </c>
      <c r="T52" s="1029"/>
      <c r="U52" s="444"/>
      <c r="V52" s="64"/>
      <c r="W52" s="847">
        <f>VLOOKUP('Part 1'!$L$16,Datasheet5!$B$5:$DR$331,AI52,FALSE)</f>
        <v>2419</v>
      </c>
      <c r="X52" s="1029"/>
      <c r="Y52" s="64"/>
      <c r="Z52" s="446"/>
      <c r="AA52" s="847">
        <f>VLOOKUP('Part 1'!$L$16,Datasheet5!$B$5:$DR$331,AJ52,FALSE)</f>
        <v>241924</v>
      </c>
      <c r="AB52" s="1029"/>
      <c r="AC52" s="373"/>
      <c r="AD52" s="374"/>
      <c r="AE52" s="585"/>
      <c r="AF52" s="589">
        <v>47</v>
      </c>
      <c r="AG52" s="590">
        <v>48</v>
      </c>
      <c r="AH52" s="590">
        <v>49</v>
      </c>
      <c r="AI52" s="590">
        <v>50</v>
      </c>
      <c r="AJ52" s="590">
        <v>51</v>
      </c>
      <c r="AK52" s="829"/>
    </row>
    <row r="53" spans="1:37" s="366" customFormat="1" ht="15.75" thickBot="1" x14ac:dyDescent="0.25">
      <c r="A53" s="371"/>
      <c r="B53" s="367"/>
      <c r="C53" s="372"/>
      <c r="D53" s="372"/>
      <c r="E53" s="367"/>
      <c r="F53" s="367"/>
      <c r="G53" s="367"/>
      <c r="H53" s="367"/>
      <c r="I53" s="367"/>
      <c r="J53" s="367"/>
      <c r="K53" s="448"/>
      <c r="L53" s="448"/>
      <c r="M53" s="64"/>
      <c r="N53" s="448"/>
      <c r="O53" s="448"/>
      <c r="P53" s="448"/>
      <c r="Q53" s="64"/>
      <c r="R53" s="448"/>
      <c r="S53" s="448"/>
      <c r="T53" s="448"/>
      <c r="U53" s="444"/>
      <c r="V53" s="448"/>
      <c r="W53" s="448"/>
      <c r="X53" s="448"/>
      <c r="Y53" s="64"/>
      <c r="Z53" s="448"/>
      <c r="AA53" s="448"/>
      <c r="AB53" s="448"/>
      <c r="AC53" s="367"/>
      <c r="AD53" s="365"/>
      <c r="AE53" s="364"/>
      <c r="AF53" s="589"/>
      <c r="AG53" s="590"/>
      <c r="AH53" s="590"/>
      <c r="AI53" s="590"/>
      <c r="AJ53" s="590"/>
      <c r="AK53" s="829"/>
    </row>
    <row r="54" spans="1:37" s="366" customFormat="1" ht="16.5" thickBot="1" x14ac:dyDescent="0.25">
      <c r="A54" s="371"/>
      <c r="B54" s="367"/>
      <c r="C54" s="372"/>
      <c r="D54" s="364" t="s">
        <v>1464</v>
      </c>
      <c r="E54" s="367"/>
      <c r="F54" s="367"/>
      <c r="G54" s="367"/>
      <c r="H54" s="367"/>
      <c r="I54" s="367"/>
      <c r="J54" s="367"/>
      <c r="K54" s="847">
        <f>VLOOKUP('Part 1'!$L$16,Datasheet5!$B$5:$DR$331,AF54,FALSE)</f>
        <v>-329202</v>
      </c>
      <c r="L54" s="1029"/>
      <c r="M54" s="64"/>
      <c r="N54" s="64"/>
      <c r="O54" s="847">
        <f>VLOOKUP('Part 1'!$L$16,Datasheet5!$B$5:$DR$331,AG54,FALSE)</f>
        <v>-322617</v>
      </c>
      <c r="P54" s="1029"/>
      <c r="Q54" s="64"/>
      <c r="R54" s="64"/>
      <c r="S54" s="847">
        <f>VLOOKUP('Part 1'!$L$16,Datasheet5!$B$5:$DR$331,AH54,FALSE)</f>
        <v>0</v>
      </c>
      <c r="T54" s="1029"/>
      <c r="U54" s="444"/>
      <c r="V54" s="64"/>
      <c r="W54" s="847">
        <f>VLOOKUP('Part 1'!$L$16,Datasheet5!$B$5:$DR$331,AI54,FALSE)</f>
        <v>-6584</v>
      </c>
      <c r="X54" s="1029"/>
      <c r="Y54" s="64"/>
      <c r="Z54" s="64"/>
      <c r="AA54" s="847">
        <f>VLOOKUP('Part 1'!$L$16,Datasheet5!$B$5:$DR$331,AJ54,FALSE)</f>
        <v>-658403</v>
      </c>
      <c r="AB54" s="1029"/>
      <c r="AC54" s="367"/>
      <c r="AD54" s="365"/>
      <c r="AE54" s="364"/>
      <c r="AF54" s="589">
        <v>52</v>
      </c>
      <c r="AG54" s="590">
        <v>53</v>
      </c>
      <c r="AH54" s="590">
        <v>54</v>
      </c>
      <c r="AI54" s="590">
        <v>55</v>
      </c>
      <c r="AJ54" s="590">
        <v>56</v>
      </c>
      <c r="AK54" s="829"/>
    </row>
    <row r="55" spans="1:37" s="366" customFormat="1" ht="15.75" thickBot="1" x14ac:dyDescent="0.25">
      <c r="A55" s="371"/>
      <c r="B55" s="367"/>
      <c r="C55" s="372"/>
      <c r="D55" s="372"/>
      <c r="E55" s="367"/>
      <c r="F55" s="367"/>
      <c r="G55" s="367"/>
      <c r="H55" s="367"/>
      <c r="I55" s="367"/>
      <c r="J55" s="367"/>
      <c r="K55" s="448"/>
      <c r="L55" s="448"/>
      <c r="M55" s="64"/>
      <c r="N55" s="448"/>
      <c r="O55" s="448"/>
      <c r="P55" s="448"/>
      <c r="Q55" s="64"/>
      <c r="R55" s="448"/>
      <c r="S55" s="448"/>
      <c r="T55" s="448"/>
      <c r="U55" s="444"/>
      <c r="V55" s="448"/>
      <c r="W55" s="448"/>
      <c r="X55" s="448"/>
      <c r="Y55" s="64"/>
      <c r="Z55" s="448"/>
      <c r="AA55" s="448"/>
      <c r="AB55" s="448"/>
      <c r="AC55" s="367"/>
      <c r="AD55" s="365"/>
      <c r="AE55" s="364"/>
      <c r="AF55" s="589"/>
      <c r="AG55" s="590"/>
      <c r="AH55" s="590"/>
      <c r="AI55" s="590"/>
      <c r="AJ55" s="590"/>
      <c r="AK55" s="829"/>
    </row>
    <row r="56" spans="1:37" s="366" customFormat="1" ht="16.5" thickBot="1" x14ac:dyDescent="0.25">
      <c r="A56" s="371"/>
      <c r="B56" s="367"/>
      <c r="C56" s="372"/>
      <c r="D56" s="364" t="s">
        <v>1465</v>
      </c>
      <c r="E56" s="367"/>
      <c r="F56" s="367"/>
      <c r="G56" s="367"/>
      <c r="H56" s="367"/>
      <c r="I56" s="367"/>
      <c r="J56" s="367"/>
      <c r="K56" s="847">
        <f>VLOOKUP('Part 1'!$L$16,Datasheet5!$B$5:$DR$331,AF56,FALSE)</f>
        <v>-1106530</v>
      </c>
      <c r="L56" s="1029"/>
      <c r="M56" s="64"/>
      <c r="N56" s="64"/>
      <c r="O56" s="847">
        <f>VLOOKUP('Part 1'!$L$16,Datasheet5!$B$5:$DR$331,AG56,FALSE)</f>
        <v>-1084398</v>
      </c>
      <c r="P56" s="1029"/>
      <c r="Q56" s="64"/>
      <c r="R56" s="64"/>
      <c r="S56" s="847">
        <f>VLOOKUP('Part 1'!$L$16,Datasheet5!$B$5:$DR$331,AH56,FALSE)</f>
        <v>0</v>
      </c>
      <c r="T56" s="1029"/>
      <c r="U56" s="444"/>
      <c r="V56" s="64"/>
      <c r="W56" s="847">
        <f>VLOOKUP('Part 1'!$L$16,Datasheet5!$B$5:$DR$331,AI56,FALSE)</f>
        <v>-22131</v>
      </c>
      <c r="X56" s="1029"/>
      <c r="Y56" s="64"/>
      <c r="Z56" s="64"/>
      <c r="AA56" s="847">
        <f>VLOOKUP('Part 1'!$L$16,Datasheet5!$B$5:$DR$331,AJ56,FALSE)</f>
        <v>-2213059</v>
      </c>
      <c r="AB56" s="1029"/>
      <c r="AC56" s="367"/>
      <c r="AD56" s="365"/>
      <c r="AE56" s="364"/>
      <c r="AF56" s="589">
        <v>57</v>
      </c>
      <c r="AG56" s="590">
        <v>58</v>
      </c>
      <c r="AH56" s="590">
        <v>59</v>
      </c>
      <c r="AI56" s="590">
        <v>60</v>
      </c>
      <c r="AJ56" s="590">
        <v>61</v>
      </c>
      <c r="AK56" s="829"/>
    </row>
    <row r="57" spans="1:37" s="366" customFormat="1" x14ac:dyDescent="0.2">
      <c r="A57" s="371"/>
      <c r="B57" s="367"/>
      <c r="C57" s="372"/>
      <c r="D57" s="372"/>
      <c r="E57" s="367"/>
      <c r="F57" s="367"/>
      <c r="G57" s="367"/>
      <c r="H57" s="367"/>
      <c r="I57" s="367"/>
      <c r="J57" s="367"/>
      <c r="K57" s="448"/>
      <c r="L57" s="448"/>
      <c r="M57" s="64"/>
      <c r="N57" s="448"/>
      <c r="O57" s="448"/>
      <c r="P57" s="448"/>
      <c r="Q57" s="64"/>
      <c r="R57" s="448"/>
      <c r="S57" s="448"/>
      <c r="T57" s="448"/>
      <c r="U57" s="444"/>
      <c r="V57" s="448"/>
      <c r="W57" s="448"/>
      <c r="X57" s="448"/>
      <c r="Y57" s="64"/>
      <c r="Z57" s="448"/>
      <c r="AA57" s="448"/>
      <c r="AB57" s="448"/>
      <c r="AC57" s="367"/>
      <c r="AD57" s="365"/>
      <c r="AE57" s="364"/>
      <c r="AF57" s="589"/>
      <c r="AG57" s="590"/>
      <c r="AH57" s="590"/>
      <c r="AI57" s="590"/>
      <c r="AJ57" s="590"/>
      <c r="AK57" s="829"/>
    </row>
    <row r="58" spans="1:37" s="366" customFormat="1" ht="15.75" x14ac:dyDescent="0.2">
      <c r="A58" s="371"/>
      <c r="B58" s="367"/>
      <c r="C58" s="375" t="s">
        <v>13</v>
      </c>
      <c r="D58" s="372"/>
      <c r="E58" s="367"/>
      <c r="F58" s="367"/>
      <c r="G58" s="367"/>
      <c r="H58" s="367"/>
      <c r="I58" s="367"/>
      <c r="J58" s="367"/>
      <c r="K58" s="448"/>
      <c r="L58" s="448"/>
      <c r="M58" s="64"/>
      <c r="N58" s="448"/>
      <c r="O58" s="448"/>
      <c r="P58" s="448"/>
      <c r="Q58" s="64"/>
      <c r="R58" s="448"/>
      <c r="S58" s="448"/>
      <c r="T58" s="448"/>
      <c r="U58" s="444"/>
      <c r="V58" s="448"/>
      <c r="W58" s="448"/>
      <c r="X58" s="448"/>
      <c r="Y58" s="64"/>
      <c r="Z58" s="448"/>
      <c r="AA58" s="448"/>
      <c r="AB58" s="448"/>
      <c r="AC58" s="367"/>
      <c r="AD58" s="365"/>
      <c r="AE58" s="364"/>
      <c r="AF58" s="589"/>
      <c r="AG58" s="590"/>
      <c r="AH58" s="590"/>
      <c r="AI58" s="590"/>
      <c r="AJ58" s="590"/>
      <c r="AK58" s="829"/>
    </row>
    <row r="59" spans="1:37" s="366" customFormat="1" ht="16.5" thickBot="1" x14ac:dyDescent="0.25">
      <c r="A59" s="371"/>
      <c r="B59" s="367"/>
      <c r="C59" s="375"/>
      <c r="D59" s="375" t="s">
        <v>14</v>
      </c>
      <c r="E59" s="367"/>
      <c r="F59" s="367"/>
      <c r="G59" s="367"/>
      <c r="H59" s="367"/>
      <c r="I59" s="367"/>
      <c r="J59" s="367"/>
      <c r="K59" s="448"/>
      <c r="L59" s="448"/>
      <c r="M59" s="64"/>
      <c r="N59" s="448"/>
      <c r="O59" s="448"/>
      <c r="P59" s="448"/>
      <c r="Q59" s="64"/>
      <c r="R59" s="448"/>
      <c r="S59" s="448"/>
      <c r="T59" s="448"/>
      <c r="U59" s="444"/>
      <c r="V59" s="448"/>
      <c r="W59" s="448"/>
      <c r="X59" s="448"/>
      <c r="Y59" s="64"/>
      <c r="Z59" s="448"/>
      <c r="AA59" s="448"/>
      <c r="AB59" s="448"/>
      <c r="AC59" s="367"/>
      <c r="AD59" s="365"/>
      <c r="AE59" s="364"/>
      <c r="AF59" s="589"/>
      <c r="AG59" s="590"/>
      <c r="AH59" s="590"/>
      <c r="AI59" s="590"/>
      <c r="AJ59" s="590"/>
      <c r="AK59" s="829"/>
    </row>
    <row r="60" spans="1:37" s="366" customFormat="1" ht="16.5" thickBot="1" x14ac:dyDescent="0.25">
      <c r="A60" s="371"/>
      <c r="B60" s="367"/>
      <c r="C60" s="372"/>
      <c r="D60" s="364" t="s">
        <v>1466</v>
      </c>
      <c r="E60" s="367"/>
      <c r="F60" s="367"/>
      <c r="G60" s="367"/>
      <c r="H60" s="367"/>
      <c r="I60" s="367"/>
      <c r="J60" s="367"/>
      <c r="K60" s="890">
        <f>VLOOKUP('Part 1'!$L$16,Datasheet5!$B$5:$DR$331,AF60,FALSE)</f>
        <v>-3650000</v>
      </c>
      <c r="L60" s="1030"/>
      <c r="M60" s="64"/>
      <c r="N60" s="64"/>
      <c r="O60" s="890">
        <f>VLOOKUP('Part 1'!$L$16,Datasheet5!$B$5:$DR$331,AG60,FALSE)</f>
        <v>-3577000</v>
      </c>
      <c r="P60" s="1030"/>
      <c r="Q60" s="64"/>
      <c r="R60" s="64"/>
      <c r="S60" s="890">
        <f>VLOOKUP('Part 1'!$L$16,Datasheet5!$B$5:$DR$331,AH60,FALSE)</f>
        <v>0</v>
      </c>
      <c r="T60" s="1030"/>
      <c r="U60" s="444"/>
      <c r="V60" s="64"/>
      <c r="W60" s="890">
        <f>VLOOKUP('Part 1'!$L$16,Datasheet5!$B$5:$DR$331,AI60,FALSE)</f>
        <v>-73000</v>
      </c>
      <c r="X60" s="1030"/>
      <c r="Y60" s="64"/>
      <c r="Z60" s="64"/>
      <c r="AA60" s="890">
        <f>VLOOKUP('Part 1'!$L$16,Datasheet5!$B$5:$DR$331,AJ60,FALSE)</f>
        <v>-7300000</v>
      </c>
      <c r="AB60" s="1030"/>
      <c r="AC60" s="367"/>
      <c r="AD60" s="365"/>
      <c r="AE60" s="364"/>
      <c r="AF60" s="587">
        <v>62</v>
      </c>
      <c r="AG60" s="587">
        <v>63</v>
      </c>
      <c r="AH60" s="590">
        <v>64</v>
      </c>
      <c r="AI60" s="590">
        <v>65</v>
      </c>
      <c r="AJ60" s="590">
        <v>66</v>
      </c>
      <c r="AK60" s="829"/>
    </row>
    <row r="61" spans="1:37" s="366" customFormat="1" ht="15.75" thickBot="1" x14ac:dyDescent="0.25">
      <c r="A61" s="371"/>
      <c r="B61" s="367"/>
      <c r="C61" s="372"/>
      <c r="D61" s="372"/>
      <c r="E61" s="367"/>
      <c r="F61" s="367"/>
      <c r="G61" s="367"/>
      <c r="H61" s="367"/>
      <c r="I61" s="367"/>
      <c r="J61" s="367"/>
      <c r="K61" s="448"/>
      <c r="L61" s="448"/>
      <c r="M61" s="64"/>
      <c r="N61" s="448"/>
      <c r="O61" s="448"/>
      <c r="P61" s="448"/>
      <c r="Q61" s="64"/>
      <c r="R61" s="448"/>
      <c r="S61" s="448"/>
      <c r="T61" s="448"/>
      <c r="U61" s="444"/>
      <c r="V61" s="448"/>
      <c r="W61" s="448"/>
      <c r="X61" s="448"/>
      <c r="Y61" s="64"/>
      <c r="Z61" s="448"/>
      <c r="AA61" s="448"/>
      <c r="AB61" s="448"/>
      <c r="AC61" s="367"/>
      <c r="AD61" s="365"/>
      <c r="AE61" s="364"/>
      <c r="AF61" s="589"/>
      <c r="AG61" s="590"/>
      <c r="AH61" s="590"/>
      <c r="AI61" s="590"/>
      <c r="AJ61" s="590"/>
      <c r="AK61" s="829"/>
    </row>
    <row r="62" spans="1:37" s="366" customFormat="1" ht="16.5" thickBot="1" x14ac:dyDescent="0.25">
      <c r="A62" s="371"/>
      <c r="B62" s="367"/>
      <c r="C62" s="372"/>
      <c r="D62" s="364" t="s">
        <v>1467</v>
      </c>
      <c r="E62" s="367"/>
      <c r="F62" s="367"/>
      <c r="G62" s="367"/>
      <c r="H62" s="367"/>
      <c r="I62" s="367"/>
      <c r="J62" s="367"/>
      <c r="K62" s="847">
        <f>VLOOKUP('Part 1'!$L$16,Datasheet5!$B$5:$DR$331,AF62,FALSE)</f>
        <v>2448367</v>
      </c>
      <c r="L62" s="1029"/>
      <c r="M62" s="64"/>
      <c r="N62" s="64"/>
      <c r="O62" s="847">
        <f>VLOOKUP('Part 1'!$L$16,Datasheet5!$B$5:$DR$331,AG62,FALSE)</f>
        <v>2399399</v>
      </c>
      <c r="P62" s="1029"/>
      <c r="Q62" s="64"/>
      <c r="R62" s="64"/>
      <c r="S62" s="847">
        <f>VLOOKUP('Part 1'!$L$16,Datasheet5!$B$5:$DR$331,AH62,FALSE)</f>
        <v>0</v>
      </c>
      <c r="T62" s="1029"/>
      <c r="U62" s="444"/>
      <c r="V62" s="64"/>
      <c r="W62" s="847">
        <f>VLOOKUP('Part 1'!$L$16,Datasheet5!$B$5:$DR$331,AI62,FALSE)</f>
        <v>48967</v>
      </c>
      <c r="X62" s="1029"/>
      <c r="Y62" s="64"/>
      <c r="Z62" s="448"/>
      <c r="AA62" s="847">
        <f>VLOOKUP('Part 1'!$L$16,Datasheet5!$B$5:$DR$331,AJ62,FALSE)</f>
        <v>4896733</v>
      </c>
      <c r="AB62" s="1029"/>
      <c r="AC62" s="367"/>
      <c r="AD62" s="365"/>
      <c r="AE62" s="364"/>
      <c r="AF62" s="589">
        <v>67</v>
      </c>
      <c r="AG62" s="590">
        <v>68</v>
      </c>
      <c r="AH62" s="590">
        <v>69</v>
      </c>
      <c r="AI62" s="590">
        <v>70</v>
      </c>
      <c r="AJ62" s="590">
        <v>71</v>
      </c>
      <c r="AK62" s="829"/>
    </row>
    <row r="63" spans="1:37" s="366" customFormat="1" ht="15.75" thickBot="1" x14ac:dyDescent="0.25">
      <c r="A63" s="371"/>
      <c r="B63" s="367"/>
      <c r="C63" s="372"/>
      <c r="D63" s="372"/>
      <c r="E63" s="367"/>
      <c r="F63" s="367"/>
      <c r="G63" s="367"/>
      <c r="H63" s="367"/>
      <c r="I63" s="367"/>
      <c r="J63" s="367"/>
      <c r="K63" s="448"/>
      <c r="L63" s="448"/>
      <c r="M63" s="64"/>
      <c r="N63" s="448"/>
      <c r="O63" s="448"/>
      <c r="P63" s="448"/>
      <c r="Q63" s="64"/>
      <c r="R63" s="448"/>
      <c r="S63" s="448"/>
      <c r="T63" s="448"/>
      <c r="U63" s="444"/>
      <c r="V63" s="448"/>
      <c r="W63" s="448"/>
      <c r="X63" s="448"/>
      <c r="Y63" s="64"/>
      <c r="Z63" s="448"/>
      <c r="AA63" s="448"/>
      <c r="AB63" s="448"/>
      <c r="AC63" s="367"/>
      <c r="AD63" s="365"/>
      <c r="AE63" s="364"/>
      <c r="AF63" s="589"/>
      <c r="AG63" s="590"/>
      <c r="AH63" s="590"/>
      <c r="AI63" s="590"/>
      <c r="AJ63" s="590"/>
      <c r="AK63" s="829"/>
    </row>
    <row r="64" spans="1:37" s="366" customFormat="1" ht="16.5" thickBot="1" x14ac:dyDescent="0.25">
      <c r="A64" s="371"/>
      <c r="B64" s="367"/>
      <c r="C64" s="372"/>
      <c r="D64" s="364" t="s">
        <v>1468</v>
      </c>
      <c r="E64" s="367"/>
      <c r="F64" s="367"/>
      <c r="G64" s="367"/>
      <c r="H64" s="367"/>
      <c r="I64" s="367"/>
      <c r="J64" s="367"/>
      <c r="K64" s="847">
        <f>VLOOKUP('Part 1'!$L$16,Datasheet5!$B$5:$DR$331,AF64,FALSE)</f>
        <v>-419367</v>
      </c>
      <c r="L64" s="1029"/>
      <c r="M64" s="64"/>
      <c r="N64" s="64"/>
      <c r="O64" s="847">
        <f>VLOOKUP('Part 1'!$L$16,Datasheet5!$B$5:$DR$331,AG64,FALSE)</f>
        <v>-410979</v>
      </c>
      <c r="P64" s="1029"/>
      <c r="Q64" s="64"/>
      <c r="R64" s="64"/>
      <c r="S64" s="847">
        <f>VLOOKUP('Part 1'!$L$16,Datasheet5!$B$5:$DR$331,AH64,FALSE)</f>
        <v>0</v>
      </c>
      <c r="T64" s="1029"/>
      <c r="U64" s="444"/>
      <c r="V64" s="64"/>
      <c r="W64" s="847">
        <f>VLOOKUP('Part 1'!$L$16,Datasheet5!$B$5:$DR$331,AI64,FALSE)</f>
        <v>-8387</v>
      </c>
      <c r="X64" s="1029"/>
      <c r="Y64" s="64"/>
      <c r="Z64" s="64"/>
      <c r="AA64" s="847">
        <f>VLOOKUP('Part 1'!$L$16,Datasheet5!$B$5:$DR$331,AJ64,FALSE)</f>
        <v>-838733</v>
      </c>
      <c r="AB64" s="1029"/>
      <c r="AC64" s="367"/>
      <c r="AD64" s="365"/>
      <c r="AE64" s="364"/>
      <c r="AF64" s="589">
        <v>72</v>
      </c>
      <c r="AG64" s="590">
        <v>73</v>
      </c>
      <c r="AH64" s="590">
        <v>74</v>
      </c>
      <c r="AI64" s="590">
        <v>75</v>
      </c>
      <c r="AJ64" s="590">
        <v>76</v>
      </c>
      <c r="AK64" s="829"/>
    </row>
    <row r="65" spans="1:37" s="366" customFormat="1" ht="15.75" thickBot="1" x14ac:dyDescent="0.25">
      <c r="A65" s="371"/>
      <c r="B65" s="367"/>
      <c r="C65" s="372"/>
      <c r="D65" s="372"/>
      <c r="E65" s="367"/>
      <c r="F65" s="367"/>
      <c r="G65" s="367"/>
      <c r="H65" s="367"/>
      <c r="I65" s="367"/>
      <c r="J65" s="367"/>
      <c r="K65" s="448"/>
      <c r="L65" s="448"/>
      <c r="M65" s="64"/>
      <c r="N65" s="448"/>
      <c r="O65" s="448"/>
      <c r="P65" s="448"/>
      <c r="Q65" s="64"/>
      <c r="R65" s="448"/>
      <c r="S65" s="448"/>
      <c r="T65" s="448"/>
      <c r="U65" s="444"/>
      <c r="V65" s="448"/>
      <c r="W65" s="448"/>
      <c r="X65" s="448"/>
      <c r="Y65" s="64"/>
      <c r="Z65" s="448"/>
      <c r="AA65" s="448"/>
      <c r="AB65" s="448"/>
      <c r="AC65" s="367"/>
      <c r="AD65" s="365"/>
      <c r="AE65" s="364"/>
      <c r="AF65" s="589"/>
      <c r="AG65" s="590"/>
      <c r="AH65" s="590"/>
      <c r="AI65" s="590"/>
      <c r="AJ65" s="590"/>
      <c r="AK65" s="829"/>
    </row>
    <row r="66" spans="1:37" s="366" customFormat="1" ht="16.5" thickBot="1" x14ac:dyDescent="0.25">
      <c r="A66" s="371"/>
      <c r="B66" s="367"/>
      <c r="C66" s="372"/>
      <c r="D66" s="364" t="s">
        <v>1469</v>
      </c>
      <c r="E66" s="367"/>
      <c r="F66" s="367"/>
      <c r="G66" s="367"/>
      <c r="H66" s="367"/>
      <c r="I66" s="367"/>
      <c r="J66" s="367"/>
      <c r="K66" s="847">
        <f>VLOOKUP('Part 1'!$L$16,Datasheet5!$B$5:$DR$331,AF66,FALSE)</f>
        <v>-1621000</v>
      </c>
      <c r="L66" s="1029"/>
      <c r="M66" s="64"/>
      <c r="N66" s="64"/>
      <c r="O66" s="847">
        <f>VLOOKUP('Part 1'!$L$16,Datasheet5!$B$5:$DR$331,AG66,FALSE)</f>
        <v>-1588580</v>
      </c>
      <c r="P66" s="1029"/>
      <c r="Q66" s="64"/>
      <c r="R66" s="64"/>
      <c r="S66" s="847">
        <f>VLOOKUP('Part 1'!$L$16,Datasheet5!$B$5:$DR$331,AH66,FALSE)</f>
        <v>0</v>
      </c>
      <c r="T66" s="1029"/>
      <c r="U66" s="444"/>
      <c r="V66" s="64"/>
      <c r="W66" s="847">
        <f>VLOOKUP('Part 1'!$L$16,Datasheet5!$B$5:$DR$331,AI66,FALSE)</f>
        <v>-32420</v>
      </c>
      <c r="X66" s="1029"/>
      <c r="Y66" s="64"/>
      <c r="Z66" s="64"/>
      <c r="AA66" s="847">
        <f>VLOOKUP('Part 1'!$L$16,Datasheet5!$B$5:$DR$331,AJ66,FALSE)</f>
        <v>-3242000</v>
      </c>
      <c r="AB66" s="1029"/>
      <c r="AC66" s="367"/>
      <c r="AD66" s="365"/>
      <c r="AE66" s="364"/>
      <c r="AF66" s="589">
        <v>77</v>
      </c>
      <c r="AG66" s="590">
        <v>78</v>
      </c>
      <c r="AH66" s="590">
        <v>79</v>
      </c>
      <c r="AI66" s="590">
        <v>80</v>
      </c>
      <c r="AJ66" s="590">
        <v>81</v>
      </c>
      <c r="AK66" s="829"/>
    </row>
    <row r="67" spans="1:37" ht="15.75" thickBot="1" x14ac:dyDescent="0.25">
      <c r="A67" s="14"/>
      <c r="B67" s="2"/>
      <c r="C67" s="18"/>
      <c r="D67" s="49"/>
      <c r="E67" s="127"/>
      <c r="F67" s="127"/>
      <c r="G67" s="127"/>
      <c r="H67" s="127"/>
      <c r="I67" s="127"/>
      <c r="J67" s="2"/>
      <c r="K67" s="2"/>
      <c r="L67" s="2"/>
      <c r="M67" s="350"/>
      <c r="N67" s="2"/>
      <c r="O67" s="2"/>
      <c r="P67" s="2"/>
      <c r="Q67" s="2"/>
      <c r="R67" s="2"/>
      <c r="S67" s="2"/>
      <c r="T67" s="2"/>
      <c r="U67" s="350"/>
      <c r="V67" s="2"/>
      <c r="W67" s="2"/>
      <c r="X67" s="2"/>
      <c r="Y67" s="350"/>
      <c r="Z67" s="2"/>
      <c r="AA67" s="2"/>
      <c r="AB67" s="2"/>
      <c r="AC67" s="2"/>
      <c r="AD67" s="8"/>
      <c r="AE67" s="6"/>
      <c r="AF67" s="588"/>
    </row>
    <row r="68" spans="1:37" ht="15.75" thickBot="1" x14ac:dyDescent="0.25">
      <c r="A68" s="455"/>
      <c r="B68" s="456"/>
      <c r="C68" s="416"/>
      <c r="D68" s="416"/>
      <c r="E68" s="456"/>
      <c r="F68" s="456"/>
      <c r="G68" s="456"/>
      <c r="H68" s="456"/>
      <c r="I68" s="456"/>
      <c r="J68" s="456"/>
      <c r="K68" s="456"/>
      <c r="L68" s="456"/>
      <c r="M68" s="457"/>
      <c r="N68" s="456"/>
      <c r="O68" s="456"/>
      <c r="P68" s="456"/>
      <c r="Q68" s="456"/>
      <c r="R68" s="456"/>
      <c r="S68" s="456"/>
      <c r="T68" s="456"/>
      <c r="U68" s="456"/>
      <c r="V68" s="456"/>
      <c r="W68" s="456"/>
      <c r="X68" s="456"/>
      <c r="Y68" s="456"/>
      <c r="Z68" s="456"/>
      <c r="AA68" s="456"/>
      <c r="AB68" s="456"/>
      <c r="AC68" s="456"/>
      <c r="AD68" s="458"/>
      <c r="AE68" s="6"/>
      <c r="AF68" s="588"/>
    </row>
    <row r="69" spans="1:37" x14ac:dyDescent="0.2">
      <c r="A69" s="14"/>
      <c r="B69" s="2"/>
      <c r="C69" s="459"/>
      <c r="D69" s="460"/>
      <c r="E69" s="461"/>
      <c r="F69" s="461"/>
      <c r="G69" s="461"/>
      <c r="H69" s="461"/>
      <c r="I69" s="461"/>
      <c r="J69" s="461"/>
      <c r="K69" s="461"/>
      <c r="L69" s="461"/>
      <c r="M69" s="462"/>
      <c r="N69" s="461"/>
      <c r="O69" s="461"/>
      <c r="P69" s="461"/>
      <c r="Q69" s="461"/>
      <c r="R69" s="461"/>
      <c r="S69" s="461"/>
      <c r="T69" s="461"/>
      <c r="U69" s="461"/>
      <c r="V69" s="461"/>
      <c r="W69" s="461"/>
      <c r="X69" s="461"/>
      <c r="Y69" s="461"/>
      <c r="Z69" s="461"/>
      <c r="AA69" s="461"/>
      <c r="AB69" s="461"/>
      <c r="AC69" s="463"/>
      <c r="AD69" s="8"/>
      <c r="AE69" s="6"/>
      <c r="AF69" s="588"/>
    </row>
    <row r="70" spans="1:37" ht="15.75" x14ac:dyDescent="0.25">
      <c r="A70" s="14"/>
      <c r="B70" s="2"/>
      <c r="C70" s="464" t="s">
        <v>974</v>
      </c>
      <c r="D70" s="465"/>
      <c r="E70" s="466"/>
      <c r="F70" s="466"/>
      <c r="G70" s="466"/>
      <c r="H70" s="466"/>
      <c r="I70" s="466"/>
      <c r="J70" s="466"/>
      <c r="K70" s="466"/>
      <c r="L70" s="466"/>
      <c r="M70" s="467"/>
      <c r="N70" s="466"/>
      <c r="O70" s="466"/>
      <c r="P70" s="466"/>
      <c r="Q70" s="466"/>
      <c r="R70" s="466"/>
      <c r="S70" s="466"/>
      <c r="T70" s="466"/>
      <c r="U70" s="466"/>
      <c r="V70" s="466"/>
      <c r="W70" s="466"/>
      <c r="X70" s="466"/>
      <c r="Y70" s="466"/>
      <c r="Z70" s="466"/>
      <c r="AA70" s="466"/>
      <c r="AB70" s="466"/>
      <c r="AC70" s="468"/>
      <c r="AD70" s="8"/>
      <c r="AE70" s="6"/>
      <c r="AF70" s="588"/>
    </row>
    <row r="71" spans="1:37" ht="15.75" x14ac:dyDescent="0.25">
      <c r="A71" s="14"/>
      <c r="B71" s="2"/>
      <c r="C71" s="464"/>
      <c r="D71" s="465"/>
      <c r="E71" s="466"/>
      <c r="F71" s="466"/>
      <c r="G71" s="466"/>
      <c r="H71" s="466"/>
      <c r="I71" s="466"/>
      <c r="J71" s="466"/>
      <c r="K71" s="466"/>
      <c r="L71" s="466"/>
      <c r="M71" s="467"/>
      <c r="N71" s="466"/>
      <c r="O71" s="466"/>
      <c r="P71" s="466"/>
      <c r="Q71" s="466"/>
      <c r="R71" s="466"/>
      <c r="S71" s="466"/>
      <c r="T71" s="466"/>
      <c r="U71" s="466"/>
      <c r="V71" s="466"/>
      <c r="W71" s="466"/>
      <c r="X71" s="466"/>
      <c r="Y71" s="466"/>
      <c r="Z71" s="466"/>
      <c r="AA71" s="466"/>
      <c r="AB71" s="466"/>
      <c r="AC71" s="468"/>
      <c r="AD71" s="8"/>
      <c r="AE71" s="6"/>
      <c r="AF71" s="588"/>
    </row>
    <row r="72" spans="1:37" ht="15.75" x14ac:dyDescent="0.25">
      <c r="A72" s="14"/>
      <c r="B72" s="2"/>
      <c r="C72" s="464"/>
      <c r="D72" s="465"/>
      <c r="E72" s="466"/>
      <c r="F72" s="466"/>
      <c r="G72" s="466"/>
      <c r="H72" s="466"/>
      <c r="I72" s="466"/>
      <c r="J72" s="466"/>
      <c r="K72" s="1045" t="s">
        <v>6</v>
      </c>
      <c r="L72" s="1046"/>
      <c r="M72" s="570"/>
      <c r="N72" s="571"/>
      <c r="O72" s="1045" t="str">
        <f>VLOOKUP('Part 1'!$L$16,Datasheet1!$C$5:$S$331,15,FALSE)</f>
        <v>York UA</v>
      </c>
      <c r="P72" s="1046"/>
      <c r="Q72" s="570"/>
      <c r="R72" s="572"/>
      <c r="S72" s="1045" t="str">
        <f>VLOOKUP('Part 1'!$L$16,Datasheet1!$C$5:$S$331,16,FALSE)</f>
        <v>UA</v>
      </c>
      <c r="T72" s="1046"/>
      <c r="U72" s="570"/>
      <c r="V72" s="572"/>
      <c r="W72" s="1045" t="str">
        <f>VLOOKUP('Part 1'!$L$16,Datasheet1!$C$5:$S$331,17,FALSE)</f>
        <v>North Yorkshire Fire Authority</v>
      </c>
      <c r="X72" s="1046"/>
      <c r="Y72" s="570"/>
      <c r="Z72" s="571"/>
      <c r="AA72" s="1045" t="s">
        <v>7</v>
      </c>
      <c r="AB72" s="1045"/>
      <c r="AC72" s="468"/>
      <c r="AD72" s="8"/>
      <c r="AE72" s="6"/>
      <c r="AF72" s="588"/>
    </row>
    <row r="73" spans="1:37" ht="15.75" x14ac:dyDescent="0.25">
      <c r="A73" s="14"/>
      <c r="B73" s="2"/>
      <c r="C73" s="469"/>
      <c r="D73" s="465"/>
      <c r="E73" s="466"/>
      <c r="F73" s="466"/>
      <c r="G73" s="466"/>
      <c r="H73" s="466"/>
      <c r="I73" s="466"/>
      <c r="J73" s="466"/>
      <c r="K73" s="1046"/>
      <c r="L73" s="1046"/>
      <c r="M73" s="570"/>
      <c r="N73" s="571"/>
      <c r="O73" s="1046"/>
      <c r="P73" s="1046"/>
      <c r="Q73" s="570"/>
      <c r="R73" s="572"/>
      <c r="S73" s="1046"/>
      <c r="T73" s="1046"/>
      <c r="U73" s="570"/>
      <c r="V73" s="572"/>
      <c r="W73" s="1046"/>
      <c r="X73" s="1046"/>
      <c r="Y73" s="570"/>
      <c r="Z73" s="572"/>
      <c r="AA73" s="572"/>
      <c r="AB73" s="572"/>
      <c r="AC73" s="468"/>
      <c r="AD73" s="8"/>
      <c r="AE73" s="6"/>
      <c r="AF73" s="588"/>
    </row>
    <row r="74" spans="1:37" ht="16.5" thickBot="1" x14ac:dyDescent="0.3">
      <c r="A74" s="14"/>
      <c r="B74" s="2"/>
      <c r="C74" s="469"/>
      <c r="D74" s="470" t="s">
        <v>975</v>
      </c>
      <c r="E74" s="466"/>
      <c r="F74" s="466"/>
      <c r="G74" s="466"/>
      <c r="H74" s="466"/>
      <c r="I74" s="466"/>
      <c r="J74" s="466"/>
      <c r="K74" s="1047" t="s">
        <v>20</v>
      </c>
      <c r="L74" s="1047"/>
      <c r="M74" s="467"/>
      <c r="N74" s="466"/>
      <c r="O74" s="1047" t="s">
        <v>20</v>
      </c>
      <c r="P74" s="1047"/>
      <c r="Q74" s="466"/>
      <c r="R74" s="466"/>
      <c r="S74" s="1047" t="s">
        <v>20</v>
      </c>
      <c r="T74" s="1047"/>
      <c r="U74" s="466"/>
      <c r="V74" s="466"/>
      <c r="W74" s="1047" t="s">
        <v>20</v>
      </c>
      <c r="X74" s="1047"/>
      <c r="Y74" s="466"/>
      <c r="Z74" s="466"/>
      <c r="AA74" s="1047" t="s">
        <v>20</v>
      </c>
      <c r="AB74" s="1047"/>
      <c r="AC74" s="468"/>
      <c r="AD74" s="8"/>
      <c r="AE74" s="6"/>
      <c r="AF74" s="588"/>
    </row>
    <row r="75" spans="1:37" ht="16.5" thickBot="1" x14ac:dyDescent="0.25">
      <c r="A75" s="14"/>
      <c r="B75" s="2"/>
      <c r="C75" s="469"/>
      <c r="D75" s="471" t="s">
        <v>1470</v>
      </c>
      <c r="E75" s="472"/>
      <c r="F75" s="472"/>
      <c r="G75" s="472"/>
      <c r="H75" s="472"/>
      <c r="I75" s="472"/>
      <c r="J75" s="472"/>
      <c r="K75" s="1042">
        <f>VLOOKUP('Part 1'!$L$16,Datasheet5!$B$5:$DR$331,AF75,FALSE)</f>
        <v>-1165168</v>
      </c>
      <c r="L75" s="1043"/>
      <c r="M75" s="467"/>
      <c r="N75" s="466"/>
      <c r="O75" s="1038">
        <f>VLOOKUP('Part 1'!$L$16,Datasheet5!$B$5:$DR$331,AG75,FALSE)</f>
        <v>-1141864</v>
      </c>
      <c r="P75" s="1039"/>
      <c r="Q75" s="466"/>
      <c r="R75" s="466"/>
      <c r="S75" s="1038">
        <f>VLOOKUP('Part 1'!$L$16,Datasheet5!$B$5:$DR$331,AH75,FALSE)</f>
        <v>0</v>
      </c>
      <c r="T75" s="1039"/>
      <c r="U75" s="466"/>
      <c r="V75" s="466"/>
      <c r="W75" s="1038">
        <f>VLOOKUP('Part 1'!$L$16,Datasheet5!$B$5:$DR$331,AI75,FALSE)</f>
        <v>-23304</v>
      </c>
      <c r="X75" s="1039"/>
      <c r="Y75" s="466"/>
      <c r="Z75" s="466"/>
      <c r="AA75" s="1040">
        <f>VLOOKUP('Part 1'!$L$16,Datasheet5!$B$5:$DR$331,AJ75,FALSE)</f>
        <v>-2330336</v>
      </c>
      <c r="AB75" s="1041"/>
      <c r="AC75" s="468"/>
      <c r="AD75" s="8"/>
      <c r="AE75" s="6"/>
      <c r="AF75" s="588">
        <v>82</v>
      </c>
      <c r="AG75" s="587">
        <v>83</v>
      </c>
      <c r="AH75" s="587">
        <v>84</v>
      </c>
      <c r="AI75" s="587">
        <v>85</v>
      </c>
      <c r="AJ75" s="587">
        <v>86</v>
      </c>
    </row>
    <row r="76" spans="1:37" ht="15.75" thickBot="1" x14ac:dyDescent="0.25">
      <c r="A76" s="14"/>
      <c r="B76" s="2"/>
      <c r="C76" s="469"/>
      <c r="D76" s="465"/>
      <c r="E76" s="466"/>
      <c r="F76" s="466"/>
      <c r="G76" s="466"/>
      <c r="H76" s="466"/>
      <c r="I76" s="466"/>
      <c r="J76" s="466"/>
      <c r="K76" s="466"/>
      <c r="L76" s="466"/>
      <c r="M76" s="467"/>
      <c r="N76" s="466"/>
      <c r="O76" s="466"/>
      <c r="P76" s="466"/>
      <c r="Q76" s="466"/>
      <c r="R76" s="466"/>
      <c r="S76" s="466"/>
      <c r="T76" s="466"/>
      <c r="U76" s="466"/>
      <c r="V76" s="466"/>
      <c r="W76" s="466"/>
      <c r="X76" s="466"/>
      <c r="Y76" s="466"/>
      <c r="Z76" s="466"/>
      <c r="AA76" s="466"/>
      <c r="AB76" s="466"/>
      <c r="AC76" s="468"/>
      <c r="AD76" s="8"/>
      <c r="AE76" s="6"/>
      <c r="AF76" s="588"/>
    </row>
    <row r="77" spans="1:37" ht="16.5" thickBot="1" x14ac:dyDescent="0.25">
      <c r="A77" s="14"/>
      <c r="B77" s="2"/>
      <c r="C77" s="469"/>
      <c r="D77" s="471" t="s">
        <v>1471</v>
      </c>
      <c r="E77" s="472"/>
      <c r="F77" s="472"/>
      <c r="G77" s="472"/>
      <c r="H77" s="472"/>
      <c r="I77" s="472"/>
      <c r="J77" s="472"/>
      <c r="K77" s="1042">
        <f>VLOOKUP('Part 1'!$L$16,Datasheet5!$B$5:$DR$331,AF77,FALSE)</f>
        <v>-1473484</v>
      </c>
      <c r="L77" s="1043"/>
      <c r="M77" s="467"/>
      <c r="N77" s="466"/>
      <c r="O77" s="1038">
        <f>VLOOKUP('Part 1'!$L$16,Datasheet5!$B$5:$DR$331,AG77,FALSE)</f>
        <v>-1444015</v>
      </c>
      <c r="P77" s="1039"/>
      <c r="Q77" s="466"/>
      <c r="R77" s="466"/>
      <c r="S77" s="1038">
        <f>VLOOKUP('Part 1'!$L$16,Datasheet5!$B$5:$DR$331,AH77,FALSE)</f>
        <v>0</v>
      </c>
      <c r="T77" s="1039"/>
      <c r="U77" s="466"/>
      <c r="V77" s="466"/>
      <c r="W77" s="1038">
        <f>VLOOKUP('Part 1'!$L$16,Datasheet5!$B$5:$DR$331,AI77,FALSE)</f>
        <v>-29470</v>
      </c>
      <c r="X77" s="1039"/>
      <c r="Y77" s="466"/>
      <c r="Z77" s="466"/>
      <c r="AA77" s="1040">
        <f>VLOOKUP('Part 1'!$L$16,Datasheet5!$B$5:$DR$331,AJ77,FALSE)</f>
        <v>-2946969</v>
      </c>
      <c r="AB77" s="1041"/>
      <c r="AC77" s="468"/>
      <c r="AD77" s="8"/>
      <c r="AE77" s="6"/>
      <c r="AF77" s="588">
        <v>87</v>
      </c>
      <c r="AG77" s="587">
        <v>88</v>
      </c>
      <c r="AH77" s="587">
        <v>89</v>
      </c>
      <c r="AI77" s="587">
        <v>90</v>
      </c>
      <c r="AJ77" s="587">
        <v>91</v>
      </c>
    </row>
    <row r="78" spans="1:37" ht="15.75" thickBot="1" x14ac:dyDescent="0.25">
      <c r="A78" s="14"/>
      <c r="B78" s="2"/>
      <c r="C78" s="469"/>
      <c r="D78" s="465"/>
      <c r="E78" s="466"/>
      <c r="F78" s="466"/>
      <c r="G78" s="466"/>
      <c r="H78" s="466"/>
      <c r="I78" s="466"/>
      <c r="J78" s="466"/>
      <c r="K78" s="466"/>
      <c r="L78" s="466"/>
      <c r="M78" s="467"/>
      <c r="N78" s="466"/>
      <c r="O78" s="466"/>
      <c r="P78" s="466"/>
      <c r="Q78" s="466"/>
      <c r="R78" s="466"/>
      <c r="S78" s="466"/>
      <c r="T78" s="466"/>
      <c r="U78" s="466"/>
      <c r="V78" s="466"/>
      <c r="W78" s="466"/>
      <c r="X78" s="466"/>
      <c r="Y78" s="466"/>
      <c r="Z78" s="466"/>
      <c r="AA78" s="466"/>
      <c r="AB78" s="466"/>
      <c r="AC78" s="468"/>
      <c r="AD78" s="8"/>
      <c r="AE78" s="6"/>
      <c r="AF78" s="588"/>
    </row>
    <row r="79" spans="1:37" ht="16.5" thickBot="1" x14ac:dyDescent="0.25">
      <c r="A79" s="14"/>
      <c r="B79" s="2"/>
      <c r="C79" s="469"/>
      <c r="D79" s="1044" t="s">
        <v>1472</v>
      </c>
      <c r="E79" s="1037"/>
      <c r="F79" s="1037"/>
      <c r="G79" s="1037"/>
      <c r="H79" s="1037"/>
      <c r="I79" s="480"/>
      <c r="J79" s="472"/>
      <c r="K79" s="1038">
        <f>VLOOKUP('Part 1'!$L$16,Datasheet5!$B$5:$DR$331,AF79,FALSE)</f>
        <v>308316</v>
      </c>
      <c r="L79" s="1039"/>
      <c r="M79" s="467"/>
      <c r="N79" s="466"/>
      <c r="O79" s="1038">
        <f>VLOOKUP('Part 1'!$L$16,Datasheet5!$B$5:$DR$331,AG79,FALSE)</f>
        <v>302151</v>
      </c>
      <c r="P79" s="1039"/>
      <c r="Q79" s="466"/>
      <c r="R79" s="466"/>
      <c r="S79" s="1038">
        <f>VLOOKUP('Part 1'!$L$16,Datasheet5!$B$5:$DR$331,AH79,FALSE)</f>
        <v>0</v>
      </c>
      <c r="T79" s="1039"/>
      <c r="U79" s="466"/>
      <c r="V79" s="466"/>
      <c r="W79" s="1038">
        <f>VLOOKUP('Part 1'!$L$16,Datasheet5!$B$5:$DR$331,AI79,FALSE)</f>
        <v>6166</v>
      </c>
      <c r="X79" s="1039"/>
      <c r="Y79" s="466"/>
      <c r="Z79" s="466"/>
      <c r="AA79" s="1038">
        <f>VLOOKUP('Part 1'!$L$16,Datasheet5!$B$5:$DR$331,AJ79,FALSE)</f>
        <v>616633</v>
      </c>
      <c r="AB79" s="1039"/>
      <c r="AC79" s="468"/>
      <c r="AD79" s="8"/>
      <c r="AE79" s="6"/>
      <c r="AF79" s="588">
        <v>92</v>
      </c>
      <c r="AG79" s="587">
        <v>93</v>
      </c>
      <c r="AH79" s="587">
        <v>94</v>
      </c>
      <c r="AI79" s="587">
        <v>95</v>
      </c>
      <c r="AJ79" s="587">
        <v>96</v>
      </c>
    </row>
    <row r="80" spans="1:37" x14ac:dyDescent="0.2">
      <c r="A80" s="14"/>
      <c r="B80" s="2"/>
      <c r="C80" s="469"/>
      <c r="D80" s="1037"/>
      <c r="E80" s="1037"/>
      <c r="F80" s="1037"/>
      <c r="G80" s="1037"/>
      <c r="H80" s="1037"/>
      <c r="I80" s="480"/>
      <c r="J80" s="466"/>
      <c r="K80" s="466"/>
      <c r="L80" s="466"/>
      <c r="M80" s="467"/>
      <c r="N80" s="466"/>
      <c r="O80" s="466"/>
      <c r="P80" s="466"/>
      <c r="Q80" s="466"/>
      <c r="R80" s="466"/>
      <c r="S80" s="466"/>
      <c r="T80" s="466"/>
      <c r="U80" s="466"/>
      <c r="V80" s="466"/>
      <c r="W80" s="466"/>
      <c r="X80" s="466"/>
      <c r="Y80" s="466"/>
      <c r="Z80" s="466"/>
      <c r="AA80" s="466"/>
      <c r="AB80" s="466"/>
      <c r="AC80" s="468"/>
      <c r="AD80" s="8"/>
      <c r="AE80" s="6"/>
      <c r="AF80" s="588"/>
    </row>
    <row r="81" spans="1:36" ht="15.75" thickBot="1" x14ac:dyDescent="0.25">
      <c r="A81" s="14"/>
      <c r="B81" s="2"/>
      <c r="C81" s="469"/>
      <c r="D81" s="465"/>
      <c r="E81" s="466"/>
      <c r="F81" s="466"/>
      <c r="G81" s="466"/>
      <c r="H81" s="466"/>
      <c r="I81" s="466"/>
      <c r="J81" s="466"/>
      <c r="K81" s="466"/>
      <c r="L81" s="466"/>
      <c r="M81" s="467"/>
      <c r="N81" s="466"/>
      <c r="O81" s="466"/>
      <c r="P81" s="466"/>
      <c r="Q81" s="466"/>
      <c r="R81" s="466"/>
      <c r="S81" s="466"/>
      <c r="T81" s="466"/>
      <c r="U81" s="466"/>
      <c r="V81" s="466"/>
      <c r="W81" s="466"/>
      <c r="X81" s="466"/>
      <c r="Y81" s="466"/>
      <c r="Z81" s="466"/>
      <c r="AA81" s="466"/>
      <c r="AB81" s="466"/>
      <c r="AC81" s="468"/>
      <c r="AD81" s="8"/>
      <c r="AE81" s="6"/>
      <c r="AF81" s="588"/>
    </row>
    <row r="82" spans="1:36" ht="16.5" thickBot="1" x14ac:dyDescent="0.25">
      <c r="A82" s="14"/>
      <c r="B82" s="2"/>
      <c r="C82" s="469"/>
      <c r="D82" s="473" t="s">
        <v>1473</v>
      </c>
      <c r="E82" s="466"/>
      <c r="F82" s="466"/>
      <c r="G82" s="466"/>
      <c r="H82" s="466"/>
      <c r="I82" s="466"/>
      <c r="J82" s="466"/>
      <c r="K82" s="1042">
        <f>VLOOKUP('Part 1'!$L$16,Datasheet5!$B$5:$DR$331,AF82,FALSE)</f>
        <v>50178481</v>
      </c>
      <c r="L82" s="1043"/>
      <c r="M82" s="467"/>
      <c r="N82" s="466"/>
      <c r="O82" s="1038">
        <f>VLOOKUP('Part 1'!$L$16,Datasheet5!$B$5:$DR$331,AG82,FALSE)</f>
        <v>49174912</v>
      </c>
      <c r="P82" s="1039"/>
      <c r="Q82" s="466"/>
      <c r="R82" s="466"/>
      <c r="S82" s="1038">
        <f>VLOOKUP('Part 1'!$L$16,Datasheet5!$B$5:$DR$331,AH82,FALSE)</f>
        <v>0</v>
      </c>
      <c r="T82" s="1039"/>
      <c r="U82" s="466"/>
      <c r="V82" s="466"/>
      <c r="W82" s="1038">
        <f>VLOOKUP('Part 1'!$L$16,Datasheet5!$B$5:$DR$331,AI82,FALSE)</f>
        <v>1003570</v>
      </c>
      <c r="X82" s="1039"/>
      <c r="Y82" s="466"/>
      <c r="Z82" s="466"/>
      <c r="AA82" s="1040">
        <f>VLOOKUP('Part 1'!$L$16,Datasheet5!$B$5:$DR$331,AJ82,FALSE)</f>
        <v>100356963</v>
      </c>
      <c r="AB82" s="1041"/>
      <c r="AC82" s="468"/>
      <c r="AD82" s="8"/>
      <c r="AE82" s="6"/>
      <c r="AF82" s="588">
        <v>97</v>
      </c>
      <c r="AG82" s="587">
        <v>98</v>
      </c>
      <c r="AH82" s="587">
        <v>99</v>
      </c>
      <c r="AI82" s="587">
        <v>100</v>
      </c>
      <c r="AJ82" s="587">
        <v>101</v>
      </c>
    </row>
    <row r="83" spans="1:36" ht="15.75" thickBot="1" x14ac:dyDescent="0.25">
      <c r="A83" s="14"/>
      <c r="B83" s="2"/>
      <c r="C83" s="469"/>
      <c r="D83" s="465"/>
      <c r="E83" s="466"/>
      <c r="F83" s="466"/>
      <c r="G83" s="466"/>
      <c r="H83" s="466"/>
      <c r="I83" s="466"/>
      <c r="J83" s="466"/>
      <c r="K83" s="466"/>
      <c r="L83" s="466"/>
      <c r="M83" s="467"/>
      <c r="N83" s="466"/>
      <c r="O83" s="466"/>
      <c r="P83" s="466"/>
      <c r="Q83" s="466"/>
      <c r="R83" s="466"/>
      <c r="S83" s="466"/>
      <c r="T83" s="466"/>
      <c r="U83" s="466"/>
      <c r="V83" s="466"/>
      <c r="W83" s="466"/>
      <c r="X83" s="466"/>
      <c r="Y83" s="466"/>
      <c r="Z83" s="466"/>
      <c r="AA83" s="466"/>
      <c r="AB83" s="466"/>
      <c r="AC83" s="468"/>
      <c r="AD83" s="8"/>
      <c r="AE83" s="6"/>
      <c r="AF83" s="588"/>
    </row>
    <row r="84" spans="1:36" ht="16.5" thickBot="1" x14ac:dyDescent="0.25">
      <c r="A84" s="14"/>
      <c r="B84" s="2"/>
      <c r="C84" s="469"/>
      <c r="D84" s="473" t="s">
        <v>1474</v>
      </c>
      <c r="E84" s="466"/>
      <c r="F84" s="466"/>
      <c r="G84" s="466"/>
      <c r="H84" s="466"/>
      <c r="I84" s="466"/>
      <c r="J84" s="466"/>
      <c r="K84" s="1038">
        <f>VLOOKUP('Part 1'!$L$16,Datasheet5!$B$5:$DR$331,AF84,FALSE)</f>
        <v>49485682</v>
      </c>
      <c r="L84" s="1039"/>
      <c r="M84" s="467"/>
      <c r="N84" s="466"/>
      <c r="O84" s="1038">
        <f>VLOOKUP('Part 1'!$L$16,Datasheet5!$B$5:$DR$331,AG84,FALSE)</f>
        <v>48495969</v>
      </c>
      <c r="P84" s="1039"/>
      <c r="Q84" s="466"/>
      <c r="R84" s="466"/>
      <c r="S84" s="1038">
        <f>VLOOKUP('Part 1'!$L$16,Datasheet5!$B$5:$DR$331,AH84,FALSE)</f>
        <v>0</v>
      </c>
      <c r="T84" s="1039"/>
      <c r="U84" s="466"/>
      <c r="V84" s="466"/>
      <c r="W84" s="1038">
        <f>VLOOKUP('Part 1'!$L$16,Datasheet5!$B$5:$DR$331,AI84,FALSE)</f>
        <v>989714</v>
      </c>
      <c r="X84" s="1039"/>
      <c r="Y84" s="466"/>
      <c r="Z84" s="466"/>
      <c r="AA84" s="1038">
        <f>VLOOKUP('Part 1'!$L$16,Datasheet5!$B$5:$DR$331,AJ84,FALSE)</f>
        <v>98971365</v>
      </c>
      <c r="AB84" s="1039"/>
      <c r="AC84" s="468"/>
      <c r="AD84" s="8"/>
      <c r="AE84" s="6"/>
      <c r="AF84" s="588">
        <v>102</v>
      </c>
      <c r="AG84" s="587">
        <v>103</v>
      </c>
      <c r="AH84" s="587">
        <v>104</v>
      </c>
      <c r="AI84" s="587">
        <v>105</v>
      </c>
      <c r="AJ84" s="587">
        <v>106</v>
      </c>
    </row>
    <row r="85" spans="1:36" ht="15.75" thickBot="1" x14ac:dyDescent="0.25">
      <c r="A85" s="14"/>
      <c r="B85" s="2"/>
      <c r="C85" s="469"/>
      <c r="D85" s="465"/>
      <c r="E85" s="466"/>
      <c r="F85" s="466"/>
      <c r="G85" s="466"/>
      <c r="H85" s="466"/>
      <c r="I85" s="466"/>
      <c r="J85" s="466"/>
      <c r="K85" s="466"/>
      <c r="L85" s="466"/>
      <c r="M85" s="467"/>
      <c r="N85" s="466"/>
      <c r="O85" s="466"/>
      <c r="P85" s="466"/>
      <c r="Q85" s="466"/>
      <c r="R85" s="466"/>
      <c r="S85" s="466"/>
      <c r="T85" s="466"/>
      <c r="U85" s="466"/>
      <c r="V85" s="466"/>
      <c r="W85" s="466"/>
      <c r="X85" s="466"/>
      <c r="Y85" s="466"/>
      <c r="Z85" s="466"/>
      <c r="AA85" s="466"/>
      <c r="AB85" s="466"/>
      <c r="AC85" s="468"/>
      <c r="AD85" s="8"/>
      <c r="AE85" s="6"/>
      <c r="AF85" s="588"/>
    </row>
    <row r="86" spans="1:36" ht="16.5" thickBot="1" x14ac:dyDescent="0.25">
      <c r="A86" s="14"/>
      <c r="B86" s="2"/>
      <c r="C86" s="469"/>
      <c r="D86" s="481" t="s">
        <v>1475</v>
      </c>
      <c r="E86" s="466"/>
      <c r="F86" s="466"/>
      <c r="G86" s="466"/>
      <c r="H86" s="466"/>
      <c r="I86" s="466"/>
      <c r="J86" s="466"/>
      <c r="K86" s="1038">
        <f>VLOOKUP('Part 1'!$L$16,Datasheet5!$B$5:$DR$331,AF86,FALSE)</f>
        <v>-692799</v>
      </c>
      <c r="L86" s="1039"/>
      <c r="M86" s="467"/>
      <c r="N86" s="466"/>
      <c r="O86" s="1038">
        <f>VLOOKUP('Part 1'!$L$16,Datasheet5!$B$5:$DR$331,AG86,FALSE)</f>
        <v>-678943</v>
      </c>
      <c r="P86" s="1039"/>
      <c r="Q86" s="466"/>
      <c r="R86" s="466"/>
      <c r="S86" s="1038">
        <f>VLOOKUP('Part 1'!$L$16,Datasheet5!$B$5:$DR$331,AH86,FALSE)</f>
        <v>0</v>
      </c>
      <c r="T86" s="1039"/>
      <c r="U86" s="466"/>
      <c r="V86" s="466"/>
      <c r="W86" s="1038">
        <f>VLOOKUP('Part 1'!$L$16,Datasheet5!$B$5:$DR$331,AI86,FALSE)</f>
        <v>-13856</v>
      </c>
      <c r="X86" s="1039"/>
      <c r="Y86" s="466"/>
      <c r="Z86" s="466"/>
      <c r="AA86" s="1038">
        <f>VLOOKUP('Part 1'!$L$16,Datasheet5!$B$5:$DR$331,AJ86,FALSE)</f>
        <v>-1385598</v>
      </c>
      <c r="AB86" s="1039"/>
      <c r="AC86" s="468"/>
      <c r="AD86" s="8"/>
      <c r="AE86" s="6"/>
      <c r="AF86" s="587">
        <v>107</v>
      </c>
      <c r="AG86" s="587">
        <v>108</v>
      </c>
      <c r="AH86" s="587">
        <v>109</v>
      </c>
      <c r="AI86" s="587">
        <v>110</v>
      </c>
      <c r="AJ86" s="587">
        <v>111</v>
      </c>
    </row>
    <row r="87" spans="1:36" ht="15.75" thickBot="1" x14ac:dyDescent="0.25">
      <c r="A87" s="14"/>
      <c r="B87" s="2"/>
      <c r="C87" s="469"/>
      <c r="D87" s="465"/>
      <c r="E87" s="466"/>
      <c r="F87" s="466"/>
      <c r="G87" s="466"/>
      <c r="H87" s="466"/>
      <c r="I87" s="466"/>
      <c r="J87" s="466"/>
      <c r="K87" s="466"/>
      <c r="L87" s="466"/>
      <c r="M87" s="467"/>
      <c r="N87" s="466"/>
      <c r="O87" s="466"/>
      <c r="P87" s="466"/>
      <c r="Q87" s="466"/>
      <c r="R87" s="466"/>
      <c r="S87" s="466"/>
      <c r="T87" s="466"/>
      <c r="U87" s="466"/>
      <c r="V87" s="466"/>
      <c r="W87" s="466"/>
      <c r="X87" s="466"/>
      <c r="Y87" s="466"/>
      <c r="Z87" s="466"/>
      <c r="AA87" s="466"/>
      <c r="AB87" s="466"/>
      <c r="AC87" s="468"/>
      <c r="AD87" s="8"/>
      <c r="AE87" s="6"/>
      <c r="AF87" s="588"/>
    </row>
    <row r="88" spans="1:36" ht="16.5" thickBot="1" x14ac:dyDescent="0.25">
      <c r="A88" s="14"/>
      <c r="B88" s="2"/>
      <c r="C88" s="469"/>
      <c r="D88" s="473" t="s">
        <v>1476</v>
      </c>
      <c r="E88" s="466"/>
      <c r="F88" s="466"/>
      <c r="G88" s="466"/>
      <c r="H88" s="466"/>
      <c r="I88" s="466"/>
      <c r="J88" s="466"/>
      <c r="K88" s="1038">
        <f>VLOOKUP('Part 1'!$L$16,Datasheet5!$B$5:$DR$331,AF88,FALSE)</f>
        <v>-384483</v>
      </c>
      <c r="L88" s="1039"/>
      <c r="M88" s="467"/>
      <c r="N88" s="466"/>
      <c r="O88" s="1038">
        <f>VLOOKUP('Part 1'!$L$16,Datasheet5!$B$5:$DR$331,AG88,FALSE)</f>
        <v>-376792</v>
      </c>
      <c r="P88" s="1039"/>
      <c r="Q88" s="466"/>
      <c r="R88" s="466"/>
      <c r="S88" s="1038">
        <f>VLOOKUP('Part 1'!$L$16,Datasheet5!$B$5:$DR$331,AH88,FALSE)</f>
        <v>0</v>
      </c>
      <c r="T88" s="1039"/>
      <c r="U88" s="466"/>
      <c r="V88" s="466"/>
      <c r="W88" s="1038">
        <f>VLOOKUP('Part 1'!$L$16,Datasheet5!$B$5:$DR$331,AI88,FALSE)</f>
        <v>-7690</v>
      </c>
      <c r="X88" s="1039"/>
      <c r="Y88" s="466"/>
      <c r="Z88" s="466"/>
      <c r="AA88" s="1038">
        <f>VLOOKUP('Part 1'!$L$16,Datasheet5!$B$5:$DR$331,AJ88,FALSE)</f>
        <v>-768965</v>
      </c>
      <c r="AB88" s="1039"/>
      <c r="AC88" s="468"/>
      <c r="AD88" s="8"/>
      <c r="AE88" s="6"/>
      <c r="AF88" s="587">
        <v>112</v>
      </c>
      <c r="AG88" s="587">
        <v>113</v>
      </c>
      <c r="AH88" s="587">
        <v>114</v>
      </c>
      <c r="AI88" s="587">
        <v>115</v>
      </c>
      <c r="AJ88" s="587">
        <v>116</v>
      </c>
    </row>
    <row r="89" spans="1:36" ht="15.75" thickBot="1" x14ac:dyDescent="0.25">
      <c r="A89" s="14"/>
      <c r="B89" s="2"/>
      <c r="C89" s="474"/>
      <c r="D89" s="475"/>
      <c r="E89" s="476"/>
      <c r="F89" s="476"/>
      <c r="G89" s="476"/>
      <c r="H89" s="476"/>
      <c r="I89" s="476"/>
      <c r="J89" s="476"/>
      <c r="K89" s="476"/>
      <c r="L89" s="476"/>
      <c r="M89" s="477"/>
      <c r="N89" s="476"/>
      <c r="O89" s="476"/>
      <c r="P89" s="476"/>
      <c r="Q89" s="476"/>
      <c r="R89" s="476"/>
      <c r="S89" s="476"/>
      <c r="T89" s="476"/>
      <c r="U89" s="476"/>
      <c r="V89" s="476"/>
      <c r="W89" s="476"/>
      <c r="X89" s="476"/>
      <c r="Y89" s="476"/>
      <c r="Z89" s="476"/>
      <c r="AA89" s="476"/>
      <c r="AB89" s="476"/>
      <c r="AC89" s="478"/>
      <c r="AD89" s="8"/>
      <c r="AE89" s="6"/>
      <c r="AF89" s="588"/>
    </row>
    <row r="90" spans="1:36" ht="15.75" x14ac:dyDescent="0.2">
      <c r="A90" s="14"/>
      <c r="B90" s="2"/>
      <c r="C90" s="1050"/>
      <c r="D90" s="1050"/>
      <c r="E90" s="1050"/>
      <c r="F90" s="1050"/>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2"/>
      <c r="AC90" s="2"/>
      <c r="AD90" s="8"/>
      <c r="AE90" s="6"/>
      <c r="AF90" s="588"/>
    </row>
    <row r="91" spans="1:36" ht="15.75" thickBot="1" x14ac:dyDescent="0.25">
      <c r="A91" s="15"/>
      <c r="B91" s="16"/>
      <c r="C91" s="70"/>
      <c r="D91" s="70"/>
      <c r="E91" s="16"/>
      <c r="F91" s="16"/>
      <c r="G91" s="16"/>
      <c r="H91" s="16"/>
      <c r="I91" s="16"/>
      <c r="J91" s="16"/>
      <c r="K91" s="111"/>
      <c r="L91" s="111"/>
      <c r="M91" s="111"/>
      <c r="N91" s="111"/>
      <c r="O91" s="111"/>
      <c r="P91" s="111"/>
      <c r="Q91" s="111"/>
      <c r="R91" s="111"/>
      <c r="S91" s="111"/>
      <c r="T91" s="111"/>
      <c r="U91" s="111"/>
      <c r="V91" s="111"/>
      <c r="W91" s="111"/>
      <c r="X91" s="111"/>
      <c r="Y91" s="111"/>
      <c r="Z91" s="111"/>
      <c r="AA91" s="111"/>
      <c r="AB91" s="111"/>
      <c r="AC91" s="111"/>
      <c r="AD91" s="564"/>
      <c r="AE91" s="6"/>
    </row>
    <row r="94" spans="1:36" x14ac:dyDescent="0.2">
      <c r="K94" s="1048"/>
      <c r="L94" s="1049"/>
      <c r="M94" s="1049"/>
      <c r="N94" s="1049"/>
      <c r="O94" s="1049"/>
      <c r="P94" s="1049"/>
      <c r="Q94" s="1049"/>
      <c r="R94" s="1049"/>
      <c r="S94" s="1049"/>
    </row>
  </sheetData>
  <mergeCells count="158">
    <mergeCell ref="AA88:AB88"/>
    <mergeCell ref="K88:L88"/>
    <mergeCell ref="K74:L74"/>
    <mergeCell ref="K94:S94"/>
    <mergeCell ref="K66:L66"/>
    <mergeCell ref="O66:P66"/>
    <mergeCell ref="S66:T66"/>
    <mergeCell ref="O84:P84"/>
    <mergeCell ref="S84:T84"/>
    <mergeCell ref="K72:L73"/>
    <mergeCell ref="O72:P73"/>
    <mergeCell ref="S72:T73"/>
    <mergeCell ref="O79:P79"/>
    <mergeCell ref="S79:T79"/>
    <mergeCell ref="O82:P82"/>
    <mergeCell ref="S82:T82"/>
    <mergeCell ref="O86:P86"/>
    <mergeCell ref="S86:T86"/>
    <mergeCell ref="O74:P74"/>
    <mergeCell ref="S74:T74"/>
    <mergeCell ref="O88:P88"/>
    <mergeCell ref="S88:T88"/>
    <mergeCell ref="C90:AA90"/>
    <mergeCell ref="W88:X88"/>
    <mergeCell ref="S77:T77"/>
    <mergeCell ref="D79:H80"/>
    <mergeCell ref="W72:X73"/>
    <mergeCell ref="AA72:AB72"/>
    <mergeCell ref="W74:X74"/>
    <mergeCell ref="AA74:AB74"/>
    <mergeCell ref="O60:P60"/>
    <mergeCell ref="O56:P56"/>
    <mergeCell ref="S56:T56"/>
    <mergeCell ref="S60:T60"/>
    <mergeCell ref="S64:T64"/>
    <mergeCell ref="AA66:AB66"/>
    <mergeCell ref="W66:X66"/>
    <mergeCell ref="K75:L75"/>
    <mergeCell ref="K62:L62"/>
    <mergeCell ref="K56:L56"/>
    <mergeCell ref="K64:L64"/>
    <mergeCell ref="O75:P75"/>
    <mergeCell ref="S75:T75"/>
    <mergeCell ref="W75:X75"/>
    <mergeCell ref="AA75:AB75"/>
    <mergeCell ref="W77:X77"/>
    <mergeCell ref="AA77:AB77"/>
    <mergeCell ref="W79:X79"/>
    <mergeCell ref="AA79:AB79"/>
    <mergeCell ref="W82:X82"/>
    <mergeCell ref="AA82:AB82"/>
    <mergeCell ref="W84:X84"/>
    <mergeCell ref="AA84:AB84"/>
    <mergeCell ref="W86:X86"/>
    <mergeCell ref="AA86:AB86"/>
    <mergeCell ref="O15:P15"/>
    <mergeCell ref="K54:L54"/>
    <mergeCell ref="K52:L52"/>
    <mergeCell ref="O52:P52"/>
    <mergeCell ref="K50:L50"/>
    <mergeCell ref="K47:L47"/>
    <mergeCell ref="K86:L86"/>
    <mergeCell ref="K82:L82"/>
    <mergeCell ref="K84:L84"/>
    <mergeCell ref="K77:L77"/>
    <mergeCell ref="K79:L79"/>
    <mergeCell ref="O77:P77"/>
    <mergeCell ref="K45:L45"/>
    <mergeCell ref="O62:P62"/>
    <mergeCell ref="K23:L23"/>
    <mergeCell ref="O30:P30"/>
    <mergeCell ref="S54:T54"/>
    <mergeCell ref="K25:L25"/>
    <mergeCell ref="O28:P28"/>
    <mergeCell ref="K60:L60"/>
    <mergeCell ref="O45:P45"/>
    <mergeCell ref="S45:T45"/>
    <mergeCell ref="S34:T34"/>
    <mergeCell ref="O34:P34"/>
    <mergeCell ref="K44:L44"/>
    <mergeCell ref="O44:P44"/>
    <mergeCell ref="S44:T44"/>
    <mergeCell ref="S32:T32"/>
    <mergeCell ref="O32:P32"/>
    <mergeCell ref="O36:P36"/>
    <mergeCell ref="S36:T36"/>
    <mergeCell ref="O38:P38"/>
    <mergeCell ref="O40:P40"/>
    <mergeCell ref="S40:T40"/>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S12:T12"/>
    <mergeCell ref="AA34:AB34"/>
    <mergeCell ref="W45:X45"/>
    <mergeCell ref="AA32:AB32"/>
    <mergeCell ref="AA44:AB44"/>
    <mergeCell ref="AA13:AB13"/>
    <mergeCell ref="AA23:AB23"/>
    <mergeCell ref="W15:X15"/>
    <mergeCell ref="AA28:AB28"/>
    <mergeCell ref="AA30:AB30"/>
    <mergeCell ref="AA15:AB15"/>
    <mergeCell ref="W21:X21"/>
    <mergeCell ref="AA45:AB45"/>
    <mergeCell ref="W44:X44"/>
    <mergeCell ref="W34:X34"/>
    <mergeCell ref="S17:T17"/>
    <mergeCell ref="W36:X36"/>
    <mergeCell ref="AA36:AB36"/>
    <mergeCell ref="AA38:AB38"/>
    <mergeCell ref="W40:X40"/>
    <mergeCell ref="AA40:AB40"/>
    <mergeCell ref="AA50:AB50"/>
    <mergeCell ref="S62:T62"/>
    <mergeCell ref="W62:X62"/>
    <mergeCell ref="S47:T47"/>
    <mergeCell ref="AA52:AB52"/>
    <mergeCell ref="S52:T52"/>
    <mergeCell ref="W52:X52"/>
    <mergeCell ref="W50:X50"/>
    <mergeCell ref="O64:P64"/>
    <mergeCell ref="W64:X64"/>
    <mergeCell ref="AA64:AB64"/>
    <mergeCell ref="W54:X54"/>
    <mergeCell ref="W56:X56"/>
    <mergeCell ref="AA54:AB54"/>
    <mergeCell ref="AA56:AB56"/>
    <mergeCell ref="AA62:AB62"/>
    <mergeCell ref="AA60:AB60"/>
    <mergeCell ref="W60:X60"/>
    <mergeCell ref="W47:X47"/>
    <mergeCell ref="O50:P50"/>
    <mergeCell ref="S50:T50"/>
    <mergeCell ref="O54:P54"/>
    <mergeCell ref="O47:P47"/>
    <mergeCell ref="AA47:AB47"/>
  </mergeCells>
  <phoneticPr fontId="5" type="noConversion"/>
  <dataValidations count="1">
    <dataValidation type="whole" operator="equal" allowBlank="1" showInputMessage="1" showErrorMessage="1" error="Line 14 Column 5 Total is no the sum of Columns 1 to 4" sqref="AA60:AB60" xr:uid="{00000000-0002-0000-0600-000000000000}">
      <formula1>K60+O60+S60+W60</formula1>
    </dataValidation>
  </dataValidation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1016"/>
  <sheetViews>
    <sheetView workbookViewId="0">
      <selection sqref="A1:J1"/>
    </sheetView>
  </sheetViews>
  <sheetFormatPr defaultRowHeight="15" x14ac:dyDescent="0.2"/>
  <cols>
    <col min="1" max="1" width="8.42578125" style="5" customWidth="1"/>
    <col min="2" max="2" width="33.140625" style="5" customWidth="1"/>
    <col min="3" max="3" width="12.28515625" style="5" customWidth="1"/>
    <col min="4" max="28" width="9.140625" style="214"/>
    <col min="29" max="30" width="9.140625" style="214" customWidth="1"/>
    <col min="31" max="45" width="9.140625" style="214"/>
  </cols>
  <sheetData>
    <row r="1" spans="1:45" s="212" customFormat="1" ht="12.75" x14ac:dyDescent="0.2">
      <c r="A1" s="219"/>
      <c r="B1" s="220"/>
      <c r="C1" s="221">
        <v>1516</v>
      </c>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569" t="s">
        <v>1048</v>
      </c>
      <c r="AE1" s="569" t="s">
        <v>1046</v>
      </c>
      <c r="AF1" s="215"/>
      <c r="AG1" s="215"/>
      <c r="AH1" s="215"/>
      <c r="AI1" s="215"/>
      <c r="AJ1" s="215"/>
      <c r="AK1" s="215"/>
      <c r="AL1" s="215"/>
      <c r="AM1" s="215"/>
      <c r="AN1" s="215"/>
      <c r="AO1" s="215"/>
      <c r="AP1" s="215"/>
      <c r="AQ1" s="215"/>
      <c r="AR1" s="215"/>
      <c r="AS1" s="215"/>
    </row>
    <row r="2" spans="1:45" ht="12.75" x14ac:dyDescent="0.2">
      <c r="A2" s="222"/>
      <c r="B2" s="223"/>
      <c r="C2" s="224"/>
    </row>
    <row r="3" spans="1:45" ht="12.75" x14ac:dyDescent="0.2">
      <c r="A3" s="225">
        <v>1</v>
      </c>
      <c r="B3" s="226">
        <v>2</v>
      </c>
      <c r="C3" s="227">
        <v>3</v>
      </c>
    </row>
    <row r="4" spans="1:45" ht="12.75" x14ac:dyDescent="0.2">
      <c r="A4" s="228"/>
      <c r="B4" s="229"/>
      <c r="C4" s="224"/>
    </row>
    <row r="5" spans="1:45" ht="12.75" x14ac:dyDescent="0.2">
      <c r="A5" s="230" t="s">
        <v>87</v>
      </c>
      <c r="B5" s="231" t="s">
        <v>88</v>
      </c>
      <c r="C5" s="232" t="s">
        <v>89</v>
      </c>
    </row>
    <row r="6" spans="1:45" ht="13.5" thickBot="1" x14ac:dyDescent="0.25">
      <c r="A6" s="233"/>
      <c r="B6" s="234"/>
      <c r="C6" s="235" t="s">
        <v>973</v>
      </c>
    </row>
    <row r="7" spans="1:45" s="400" customFormat="1" ht="13.5" thickBot="1" x14ac:dyDescent="0.25">
      <c r="A7" s="398"/>
      <c r="B7" s="398"/>
      <c r="C7" s="398" t="s">
        <v>970</v>
      </c>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row>
    <row r="8" spans="1:45" s="400" customFormat="1" ht="13.5" thickBot="1" x14ac:dyDescent="0.25">
      <c r="A8" s="479"/>
      <c r="B8" s="592"/>
      <c r="C8" s="593"/>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row>
    <row r="9" spans="1:45" ht="12.75" x14ac:dyDescent="0.2">
      <c r="A9" s="236">
        <v>1</v>
      </c>
      <c r="B9" s="237" t="s">
        <v>92</v>
      </c>
      <c r="C9" s="238" t="s">
        <v>93</v>
      </c>
    </row>
    <row r="10" spans="1:45" ht="12.75" x14ac:dyDescent="0.2">
      <c r="A10" s="236">
        <v>2</v>
      </c>
      <c r="B10" s="240" t="s">
        <v>94</v>
      </c>
      <c r="C10" s="241" t="s">
        <v>95</v>
      </c>
    </row>
    <row r="11" spans="1:45" ht="12.75" x14ac:dyDescent="0.2">
      <c r="A11" s="236">
        <v>3</v>
      </c>
      <c r="B11" s="240" t="s">
        <v>96</v>
      </c>
      <c r="C11" s="241" t="s">
        <v>97</v>
      </c>
    </row>
    <row r="12" spans="1:45" ht="12.75" x14ac:dyDescent="0.2">
      <c r="A12" s="236">
        <v>4</v>
      </c>
      <c r="B12" s="240" t="s">
        <v>98</v>
      </c>
      <c r="C12" s="241" t="s">
        <v>99</v>
      </c>
    </row>
    <row r="13" spans="1:45" ht="12.75" x14ac:dyDescent="0.2">
      <c r="A13" s="236">
        <v>5</v>
      </c>
      <c r="B13" s="240" t="s">
        <v>100</v>
      </c>
      <c r="C13" s="241" t="s">
        <v>101</v>
      </c>
    </row>
    <row r="14" spans="1:45" ht="12.75" x14ac:dyDescent="0.2">
      <c r="A14" s="236">
        <v>6</v>
      </c>
      <c r="B14" s="240" t="s">
        <v>102</v>
      </c>
      <c r="C14" s="241" t="s">
        <v>103</v>
      </c>
    </row>
    <row r="15" spans="1:45" ht="12.75" x14ac:dyDescent="0.2">
      <c r="A15" s="236">
        <v>7</v>
      </c>
      <c r="B15" s="240" t="s">
        <v>104</v>
      </c>
      <c r="C15" s="241" t="s">
        <v>105</v>
      </c>
    </row>
    <row r="16" spans="1:45" ht="12.75" x14ac:dyDescent="0.2">
      <c r="A16" s="236">
        <v>8</v>
      </c>
      <c r="B16" s="240" t="s">
        <v>106</v>
      </c>
      <c r="C16" s="241" t="s">
        <v>107</v>
      </c>
    </row>
    <row r="17" spans="1:3" ht="12.75" x14ac:dyDescent="0.2">
      <c r="A17" s="236">
        <v>9</v>
      </c>
      <c r="B17" s="240" t="s">
        <v>108</v>
      </c>
      <c r="C17" s="241" t="s">
        <v>109</v>
      </c>
    </row>
    <row r="18" spans="1:3" ht="12.75" x14ac:dyDescent="0.2">
      <c r="A18" s="236">
        <v>10</v>
      </c>
      <c r="B18" s="240" t="s">
        <v>110</v>
      </c>
      <c r="C18" s="241" t="s">
        <v>111</v>
      </c>
    </row>
    <row r="19" spans="1:3" ht="12.75" x14ac:dyDescent="0.2">
      <c r="A19" s="236">
        <v>11</v>
      </c>
      <c r="B19" s="240" t="s">
        <v>112</v>
      </c>
      <c r="C19" s="241" t="s">
        <v>113</v>
      </c>
    </row>
    <row r="20" spans="1:3" ht="12.75" x14ac:dyDescent="0.2">
      <c r="A20" s="236">
        <v>12</v>
      </c>
      <c r="B20" s="240" t="s">
        <v>114</v>
      </c>
      <c r="C20" s="241" t="s">
        <v>115</v>
      </c>
    </row>
    <row r="21" spans="1:3" ht="12.75" x14ac:dyDescent="0.2">
      <c r="A21" s="236">
        <v>13</v>
      </c>
      <c r="B21" s="240" t="s">
        <v>116</v>
      </c>
      <c r="C21" s="241" t="s">
        <v>117</v>
      </c>
    </row>
    <row r="22" spans="1:3" ht="12.75" x14ac:dyDescent="0.2">
      <c r="A22" s="236">
        <v>14</v>
      </c>
      <c r="B22" s="240" t="s">
        <v>118</v>
      </c>
      <c r="C22" s="241" t="s">
        <v>119</v>
      </c>
    </row>
    <row r="23" spans="1:3" ht="12.75" x14ac:dyDescent="0.2">
      <c r="A23" s="236">
        <v>15</v>
      </c>
      <c r="B23" s="240" t="s">
        <v>120</v>
      </c>
      <c r="C23" s="241" t="s">
        <v>121</v>
      </c>
    </row>
    <row r="24" spans="1:3" ht="12.75" x14ac:dyDescent="0.2">
      <c r="A24" s="236">
        <v>16</v>
      </c>
      <c r="B24" s="240" t="s">
        <v>122</v>
      </c>
      <c r="C24" s="241" t="s">
        <v>123</v>
      </c>
    </row>
    <row r="25" spans="1:3" ht="12.75" x14ac:dyDescent="0.2">
      <c r="A25" s="236">
        <v>17</v>
      </c>
      <c r="B25" s="240" t="s">
        <v>124</v>
      </c>
      <c r="C25" s="241" t="s">
        <v>125</v>
      </c>
    </row>
    <row r="26" spans="1:3" ht="12.75" x14ac:dyDescent="0.2">
      <c r="A26" s="236">
        <v>18</v>
      </c>
      <c r="B26" s="240" t="s">
        <v>126</v>
      </c>
      <c r="C26" s="241" t="s">
        <v>127</v>
      </c>
    </row>
    <row r="27" spans="1:3" ht="12.75" x14ac:dyDescent="0.2">
      <c r="A27" s="236">
        <v>19</v>
      </c>
      <c r="B27" s="240" t="s">
        <v>128</v>
      </c>
      <c r="C27" s="241" t="s">
        <v>129</v>
      </c>
    </row>
    <row r="28" spans="1:3" ht="12.75" x14ac:dyDescent="0.2">
      <c r="A28" s="236">
        <v>20</v>
      </c>
      <c r="B28" s="240" t="s">
        <v>130</v>
      </c>
      <c r="C28" s="241" t="s">
        <v>131</v>
      </c>
    </row>
    <row r="29" spans="1:3" ht="12.75" x14ac:dyDescent="0.2">
      <c r="A29" s="236">
        <v>21</v>
      </c>
      <c r="B29" s="240" t="s">
        <v>132</v>
      </c>
      <c r="C29" s="241" t="s">
        <v>133</v>
      </c>
    </row>
    <row r="30" spans="1:3" ht="12.75" x14ac:dyDescent="0.2">
      <c r="A30" s="236">
        <v>22</v>
      </c>
      <c r="B30" s="240" t="s">
        <v>134</v>
      </c>
      <c r="C30" s="241" t="s">
        <v>135</v>
      </c>
    </row>
    <row r="31" spans="1:3" ht="12.75" x14ac:dyDescent="0.2">
      <c r="A31" s="236">
        <v>23</v>
      </c>
      <c r="B31" s="240" t="s">
        <v>136</v>
      </c>
      <c r="C31" s="241" t="s">
        <v>137</v>
      </c>
    </row>
    <row r="32" spans="1:3" ht="12.75" x14ac:dyDescent="0.2">
      <c r="A32" s="236">
        <v>24</v>
      </c>
      <c r="B32" s="240" t="s">
        <v>138</v>
      </c>
      <c r="C32" s="241" t="s">
        <v>139</v>
      </c>
    </row>
    <row r="33" spans="1:3" ht="12.75" x14ac:dyDescent="0.2">
      <c r="A33" s="236">
        <v>25</v>
      </c>
      <c r="B33" s="240" t="s">
        <v>140</v>
      </c>
      <c r="C33" s="241" t="s">
        <v>141</v>
      </c>
    </row>
    <row r="34" spans="1:3" ht="12.75" x14ac:dyDescent="0.2">
      <c r="A34" s="236">
        <v>26</v>
      </c>
      <c r="B34" s="240" t="s">
        <v>142</v>
      </c>
      <c r="C34" s="241" t="s">
        <v>143</v>
      </c>
    </row>
    <row r="35" spans="1:3" ht="12.75" x14ac:dyDescent="0.2">
      <c r="A35" s="236">
        <v>27</v>
      </c>
      <c r="B35" s="240" t="s">
        <v>144</v>
      </c>
      <c r="C35" s="241" t="s">
        <v>145</v>
      </c>
    </row>
    <row r="36" spans="1:3" ht="12.75" x14ac:dyDescent="0.2">
      <c r="A36" s="236">
        <v>28</v>
      </c>
      <c r="B36" s="240" t="s">
        <v>146</v>
      </c>
      <c r="C36" s="241" t="s">
        <v>147</v>
      </c>
    </row>
    <row r="37" spans="1:3" ht="12.75" x14ac:dyDescent="0.2">
      <c r="A37" s="236">
        <v>29</v>
      </c>
      <c r="B37" s="240" t="s">
        <v>148</v>
      </c>
      <c r="C37" s="241" t="s">
        <v>149</v>
      </c>
    </row>
    <row r="38" spans="1:3" ht="12.75" x14ac:dyDescent="0.2">
      <c r="A38" s="236">
        <v>30</v>
      </c>
      <c r="B38" s="240" t="s">
        <v>150</v>
      </c>
      <c r="C38" s="241" t="s">
        <v>151</v>
      </c>
    </row>
    <row r="39" spans="1:3" ht="12.75" x14ac:dyDescent="0.2">
      <c r="A39" s="236">
        <v>31</v>
      </c>
      <c r="B39" s="240" t="s">
        <v>152</v>
      </c>
      <c r="C39" s="241" t="s">
        <v>153</v>
      </c>
    </row>
    <row r="40" spans="1:3" ht="12.75" x14ac:dyDescent="0.2">
      <c r="A40" s="236">
        <v>32</v>
      </c>
      <c r="B40" s="240" t="s">
        <v>154</v>
      </c>
      <c r="C40" s="241" t="s">
        <v>155</v>
      </c>
    </row>
    <row r="41" spans="1:3" ht="12.75" x14ac:dyDescent="0.2">
      <c r="A41" s="236">
        <v>33</v>
      </c>
      <c r="B41" s="240" t="s">
        <v>156</v>
      </c>
      <c r="C41" s="241" t="s">
        <v>157</v>
      </c>
    </row>
    <row r="42" spans="1:3" ht="12.75" x14ac:dyDescent="0.2">
      <c r="A42" s="236">
        <v>34</v>
      </c>
      <c r="B42" s="240" t="s">
        <v>158</v>
      </c>
      <c r="C42" s="241" t="s">
        <v>159</v>
      </c>
    </row>
    <row r="43" spans="1:3" ht="12.75" x14ac:dyDescent="0.2">
      <c r="A43" s="236">
        <v>35</v>
      </c>
      <c r="B43" s="240" t="s">
        <v>160</v>
      </c>
      <c r="C43" s="241" t="s">
        <v>161</v>
      </c>
    </row>
    <row r="44" spans="1:3" ht="12.75" x14ac:dyDescent="0.2">
      <c r="A44" s="236">
        <v>36</v>
      </c>
      <c r="B44" s="240" t="s">
        <v>162</v>
      </c>
      <c r="C44" s="241" t="s">
        <v>163</v>
      </c>
    </row>
    <row r="45" spans="1:3" ht="12.75" x14ac:dyDescent="0.2">
      <c r="A45" s="236">
        <v>37</v>
      </c>
      <c r="B45" s="240" t="s">
        <v>164</v>
      </c>
      <c r="C45" s="241" t="s">
        <v>165</v>
      </c>
    </row>
    <row r="46" spans="1:3" ht="12.75" x14ac:dyDescent="0.2">
      <c r="A46" s="236">
        <v>38</v>
      </c>
      <c r="B46" s="240" t="s">
        <v>166</v>
      </c>
      <c r="C46" s="241" t="s">
        <v>167</v>
      </c>
    </row>
    <row r="47" spans="1:3" ht="12.75" x14ac:dyDescent="0.2">
      <c r="A47" s="236">
        <v>39</v>
      </c>
      <c r="B47" s="240" t="s">
        <v>168</v>
      </c>
      <c r="C47" s="241" t="s">
        <v>169</v>
      </c>
    </row>
    <row r="48" spans="1:3" ht="12.75" x14ac:dyDescent="0.2">
      <c r="A48" s="236">
        <v>40</v>
      </c>
      <c r="B48" s="240" t="s">
        <v>170</v>
      </c>
      <c r="C48" s="241" t="s">
        <v>171</v>
      </c>
    </row>
    <row r="49" spans="1:3" ht="12.75" x14ac:dyDescent="0.2">
      <c r="A49" s="236">
        <v>41</v>
      </c>
      <c r="B49" s="240" t="s">
        <v>172</v>
      </c>
      <c r="C49" s="241" t="s">
        <v>173</v>
      </c>
    </row>
    <row r="50" spans="1:3" ht="12.75" x14ac:dyDescent="0.2">
      <c r="A50" s="236">
        <v>42</v>
      </c>
      <c r="B50" s="240" t="s">
        <v>174</v>
      </c>
      <c r="C50" s="241" t="s">
        <v>175</v>
      </c>
    </row>
    <row r="51" spans="1:3" ht="12.75" x14ac:dyDescent="0.2">
      <c r="A51" s="236">
        <v>43</v>
      </c>
      <c r="B51" s="240" t="s">
        <v>176</v>
      </c>
      <c r="C51" s="241" t="s">
        <v>177</v>
      </c>
    </row>
    <row r="52" spans="1:3" ht="12.75" x14ac:dyDescent="0.2">
      <c r="A52" s="236">
        <v>44</v>
      </c>
      <c r="B52" s="240" t="s">
        <v>178</v>
      </c>
      <c r="C52" s="241" t="s">
        <v>179</v>
      </c>
    </row>
    <row r="53" spans="1:3" ht="12.75" x14ac:dyDescent="0.2">
      <c r="A53" s="236">
        <v>45</v>
      </c>
      <c r="B53" s="240" t="s">
        <v>180</v>
      </c>
      <c r="C53" s="241" t="s">
        <v>181</v>
      </c>
    </row>
    <row r="54" spans="1:3" ht="12.75" x14ac:dyDescent="0.2">
      <c r="A54" s="236">
        <v>46</v>
      </c>
      <c r="B54" s="240" t="s">
        <v>182</v>
      </c>
      <c r="C54" s="241" t="s">
        <v>183</v>
      </c>
    </row>
    <row r="55" spans="1:3" ht="12.75" x14ac:dyDescent="0.2">
      <c r="A55" s="236">
        <v>47</v>
      </c>
      <c r="B55" s="240" t="s">
        <v>184</v>
      </c>
      <c r="C55" s="241" t="s">
        <v>185</v>
      </c>
    </row>
    <row r="56" spans="1:3" ht="12.75" x14ac:dyDescent="0.2">
      <c r="A56" s="236">
        <v>48</v>
      </c>
      <c r="B56" s="240" t="s">
        <v>186</v>
      </c>
      <c r="C56" s="241" t="s">
        <v>187</v>
      </c>
    </row>
    <row r="57" spans="1:3" ht="12.75" x14ac:dyDescent="0.2">
      <c r="A57" s="236">
        <v>49</v>
      </c>
      <c r="B57" s="242" t="s">
        <v>188</v>
      </c>
      <c r="C57" s="243" t="s">
        <v>189</v>
      </c>
    </row>
    <row r="58" spans="1:3" ht="12.75" x14ac:dyDescent="0.2">
      <c r="A58" s="236">
        <v>50</v>
      </c>
      <c r="B58" s="240" t="s">
        <v>190</v>
      </c>
      <c r="C58" s="241" t="s">
        <v>191</v>
      </c>
    </row>
    <row r="59" spans="1:3" ht="12.75" x14ac:dyDescent="0.2">
      <c r="A59" s="236">
        <v>51</v>
      </c>
      <c r="B59" s="240" t="s">
        <v>192</v>
      </c>
      <c r="C59" s="241" t="s">
        <v>193</v>
      </c>
    </row>
    <row r="60" spans="1:3" ht="12.75" x14ac:dyDescent="0.2">
      <c r="A60" s="236">
        <v>52</v>
      </c>
      <c r="B60" s="240" t="s">
        <v>194</v>
      </c>
      <c r="C60" s="241" t="s">
        <v>195</v>
      </c>
    </row>
    <row r="61" spans="1:3" ht="12.75" x14ac:dyDescent="0.2">
      <c r="A61" s="236">
        <v>53</v>
      </c>
      <c r="B61" s="240" t="s">
        <v>196</v>
      </c>
      <c r="C61" s="241" t="s">
        <v>197</v>
      </c>
    </row>
    <row r="62" spans="1:3" ht="12.75" x14ac:dyDescent="0.2">
      <c r="A62" s="236">
        <v>54</v>
      </c>
      <c r="B62" s="240" t="s">
        <v>198</v>
      </c>
      <c r="C62" s="241" t="s">
        <v>199</v>
      </c>
    </row>
    <row r="63" spans="1:3" ht="12.75" x14ac:dyDescent="0.2">
      <c r="A63" s="236">
        <v>55</v>
      </c>
      <c r="B63" s="240" t="s">
        <v>200</v>
      </c>
      <c r="C63" s="241" t="s">
        <v>201</v>
      </c>
    </row>
    <row r="64" spans="1:3" ht="12.75" x14ac:dyDescent="0.2">
      <c r="A64" s="236">
        <v>56</v>
      </c>
      <c r="B64" s="240" t="s">
        <v>202</v>
      </c>
      <c r="C64" s="241" t="s">
        <v>203</v>
      </c>
    </row>
    <row r="65" spans="1:3" ht="12.75" x14ac:dyDescent="0.2">
      <c r="A65" s="236">
        <v>57</v>
      </c>
      <c r="B65" s="240" t="s">
        <v>204</v>
      </c>
      <c r="C65" s="241" t="s">
        <v>205</v>
      </c>
    </row>
    <row r="66" spans="1:3" ht="12.75" x14ac:dyDescent="0.2">
      <c r="A66" s="236">
        <v>58</v>
      </c>
      <c r="B66" s="240" t="s">
        <v>206</v>
      </c>
      <c r="C66" s="241" t="s">
        <v>207</v>
      </c>
    </row>
    <row r="67" spans="1:3" ht="12.75" x14ac:dyDescent="0.2">
      <c r="A67" s="236">
        <v>59</v>
      </c>
      <c r="B67" s="240" t="s">
        <v>208</v>
      </c>
      <c r="C67" s="241" t="s">
        <v>209</v>
      </c>
    </row>
    <row r="68" spans="1:3" ht="12.75" x14ac:dyDescent="0.2">
      <c r="A68" s="236">
        <v>60</v>
      </c>
      <c r="B68" s="240" t="s">
        <v>210</v>
      </c>
      <c r="C68" s="241" t="s">
        <v>211</v>
      </c>
    </row>
    <row r="69" spans="1:3" ht="12.75" x14ac:dyDescent="0.2">
      <c r="A69" s="236">
        <v>61</v>
      </c>
      <c r="B69" s="240" t="s">
        <v>212</v>
      </c>
      <c r="C69" s="241" t="s">
        <v>213</v>
      </c>
    </row>
    <row r="70" spans="1:3" ht="12.75" x14ac:dyDescent="0.2">
      <c r="A70" s="236">
        <v>62</v>
      </c>
      <c r="B70" s="240" t="s">
        <v>214</v>
      </c>
      <c r="C70" s="241" t="s">
        <v>215</v>
      </c>
    </row>
    <row r="71" spans="1:3" ht="12.75" x14ac:dyDescent="0.2">
      <c r="A71" s="236">
        <v>63</v>
      </c>
      <c r="B71" s="240" t="s">
        <v>216</v>
      </c>
      <c r="C71" s="241" t="s">
        <v>217</v>
      </c>
    </row>
    <row r="72" spans="1:3" ht="12.75" x14ac:dyDescent="0.2">
      <c r="A72" s="236">
        <v>64</v>
      </c>
      <c r="B72" s="240" t="s">
        <v>218</v>
      </c>
      <c r="C72" s="241" t="s">
        <v>219</v>
      </c>
    </row>
    <row r="73" spans="1:3" ht="12.75" x14ac:dyDescent="0.2">
      <c r="A73" s="236">
        <v>65</v>
      </c>
      <c r="B73" s="240" t="s">
        <v>220</v>
      </c>
      <c r="C73" s="241" t="s">
        <v>221</v>
      </c>
    </row>
    <row r="74" spans="1:3" ht="12.75" x14ac:dyDescent="0.2">
      <c r="A74" s="236">
        <v>66</v>
      </c>
      <c r="B74" s="240" t="s">
        <v>222</v>
      </c>
      <c r="C74" s="241" t="s">
        <v>223</v>
      </c>
    </row>
    <row r="75" spans="1:3" ht="12.75" x14ac:dyDescent="0.2">
      <c r="A75" s="236">
        <v>67</v>
      </c>
      <c r="B75" s="240" t="s">
        <v>224</v>
      </c>
      <c r="C75" s="241" t="s">
        <v>225</v>
      </c>
    </row>
    <row r="76" spans="1:3" ht="12.75" x14ac:dyDescent="0.2">
      <c r="A76" s="236">
        <v>68</v>
      </c>
      <c r="B76" s="240" t="s">
        <v>226</v>
      </c>
      <c r="C76" s="241" t="s">
        <v>227</v>
      </c>
    </row>
    <row r="77" spans="1:3" ht="12.75" x14ac:dyDescent="0.2">
      <c r="A77" s="236">
        <v>69</v>
      </c>
      <c r="B77" s="240" t="s">
        <v>228</v>
      </c>
      <c r="C77" s="241" t="s">
        <v>229</v>
      </c>
    </row>
    <row r="78" spans="1:3" ht="12.75" x14ac:dyDescent="0.2">
      <c r="A78" s="236">
        <v>70</v>
      </c>
      <c r="B78" s="240" t="s">
        <v>230</v>
      </c>
      <c r="C78" s="241" t="s">
        <v>231</v>
      </c>
    </row>
    <row r="79" spans="1:3" ht="12.75" x14ac:dyDescent="0.2">
      <c r="A79" s="236">
        <v>71</v>
      </c>
      <c r="B79" s="240" t="s">
        <v>232</v>
      </c>
      <c r="C79" s="241" t="s">
        <v>233</v>
      </c>
    </row>
    <row r="80" spans="1:3" ht="12.75" x14ac:dyDescent="0.2">
      <c r="A80" s="236">
        <v>72</v>
      </c>
      <c r="B80" s="240" t="s">
        <v>234</v>
      </c>
      <c r="C80" s="241" t="s">
        <v>235</v>
      </c>
    </row>
    <row r="81" spans="1:3" ht="12.75" x14ac:dyDescent="0.2">
      <c r="A81" s="236">
        <v>73</v>
      </c>
      <c r="B81" s="240" t="s">
        <v>236</v>
      </c>
      <c r="C81" s="241" t="s">
        <v>237</v>
      </c>
    </row>
    <row r="82" spans="1:3" ht="12.75" x14ac:dyDescent="0.2">
      <c r="A82" s="236">
        <v>74</v>
      </c>
      <c r="B82" s="240" t="s">
        <v>238</v>
      </c>
      <c r="C82" s="241" t="s">
        <v>239</v>
      </c>
    </row>
    <row r="83" spans="1:3" ht="12.75" x14ac:dyDescent="0.2">
      <c r="A83" s="236">
        <v>75</v>
      </c>
      <c r="B83" s="240" t="s">
        <v>240</v>
      </c>
      <c r="C83" s="241" t="s">
        <v>241</v>
      </c>
    </row>
    <row r="84" spans="1:3" ht="12.75" x14ac:dyDescent="0.2">
      <c r="A84" s="236">
        <v>76</v>
      </c>
      <c r="B84" s="240" t="s">
        <v>242</v>
      </c>
      <c r="C84" s="241" t="s">
        <v>243</v>
      </c>
    </row>
    <row r="85" spans="1:3" ht="12.75" x14ac:dyDescent="0.2">
      <c r="A85" s="236">
        <v>77</v>
      </c>
      <c r="B85" s="240" t="s">
        <v>244</v>
      </c>
      <c r="C85" s="241" t="s">
        <v>245</v>
      </c>
    </row>
    <row r="86" spans="1:3" ht="12.75" x14ac:dyDescent="0.2">
      <c r="A86" s="236">
        <v>78</v>
      </c>
      <c r="B86" s="240" t="s">
        <v>246</v>
      </c>
      <c r="C86" s="241" t="s">
        <v>247</v>
      </c>
    </row>
    <row r="87" spans="1:3" ht="12.75" x14ac:dyDescent="0.2">
      <c r="A87" s="236">
        <v>79</v>
      </c>
      <c r="B87" s="240" t="s">
        <v>248</v>
      </c>
      <c r="C87" s="241" t="s">
        <v>249</v>
      </c>
    </row>
    <row r="88" spans="1:3" ht="12.75" x14ac:dyDescent="0.2">
      <c r="A88" s="236">
        <v>80</v>
      </c>
      <c r="B88" s="240" t="s">
        <v>250</v>
      </c>
      <c r="C88" s="241" t="s">
        <v>251</v>
      </c>
    </row>
    <row r="89" spans="1:3" ht="12.75" x14ac:dyDescent="0.2">
      <c r="A89" s="236">
        <v>81</v>
      </c>
      <c r="B89" s="240" t="s">
        <v>252</v>
      </c>
      <c r="C89" s="241" t="s">
        <v>253</v>
      </c>
    </row>
    <row r="90" spans="1:3" ht="12.75" x14ac:dyDescent="0.2">
      <c r="A90" s="236">
        <v>82</v>
      </c>
      <c r="B90" s="240" t="s">
        <v>254</v>
      </c>
      <c r="C90" s="241" t="s">
        <v>255</v>
      </c>
    </row>
    <row r="91" spans="1:3" ht="12.75" x14ac:dyDescent="0.2">
      <c r="A91" s="236">
        <v>83</v>
      </c>
      <c r="B91" s="240" t="s">
        <v>256</v>
      </c>
      <c r="C91" s="241" t="s">
        <v>257</v>
      </c>
    </row>
    <row r="92" spans="1:3" ht="12.75" x14ac:dyDescent="0.2">
      <c r="A92" s="236">
        <v>84</v>
      </c>
      <c r="B92" s="240" t="s">
        <v>258</v>
      </c>
      <c r="C92" s="241" t="s">
        <v>259</v>
      </c>
    </row>
    <row r="93" spans="1:3" ht="12.75" x14ac:dyDescent="0.2">
      <c r="A93" s="236">
        <v>85</v>
      </c>
      <c r="B93" s="240" t="s">
        <v>260</v>
      </c>
      <c r="C93" s="241" t="s">
        <v>261</v>
      </c>
    </row>
    <row r="94" spans="1:3" ht="12.75" x14ac:dyDescent="0.2">
      <c r="A94" s="236">
        <v>86</v>
      </c>
      <c r="B94" s="240" t="s">
        <v>262</v>
      </c>
      <c r="C94" s="241" t="s">
        <v>263</v>
      </c>
    </row>
    <row r="95" spans="1:3" ht="12.75" x14ac:dyDescent="0.2">
      <c r="A95" s="236">
        <v>87</v>
      </c>
      <c r="B95" s="240" t="s">
        <v>264</v>
      </c>
      <c r="C95" s="241" t="s">
        <v>265</v>
      </c>
    </row>
    <row r="96" spans="1:3" ht="12.75" x14ac:dyDescent="0.2">
      <c r="A96" s="236">
        <v>88</v>
      </c>
      <c r="B96" s="240" t="s">
        <v>266</v>
      </c>
      <c r="C96" s="241" t="s">
        <v>267</v>
      </c>
    </row>
    <row r="97" spans="1:3" ht="12.75" x14ac:dyDescent="0.2">
      <c r="A97" s="236">
        <v>89</v>
      </c>
      <c r="B97" s="240" t="s">
        <v>268</v>
      </c>
      <c r="C97" s="241" t="s">
        <v>269</v>
      </c>
    </row>
    <row r="98" spans="1:3" ht="12.75" x14ac:dyDescent="0.2">
      <c r="A98" s="236">
        <v>90</v>
      </c>
      <c r="B98" s="240" t="s">
        <v>270</v>
      </c>
      <c r="C98" s="241" t="s">
        <v>271</v>
      </c>
    </row>
    <row r="99" spans="1:3" ht="12.75" x14ac:dyDescent="0.2">
      <c r="A99" s="236">
        <v>91</v>
      </c>
      <c r="B99" s="240" t="s">
        <v>272</v>
      </c>
      <c r="C99" s="241" t="s">
        <v>273</v>
      </c>
    </row>
    <row r="100" spans="1:3" ht="12.75" x14ac:dyDescent="0.2">
      <c r="A100" s="236">
        <v>92</v>
      </c>
      <c r="B100" s="240" t="s">
        <v>274</v>
      </c>
      <c r="C100" s="241" t="s">
        <v>275</v>
      </c>
    </row>
    <row r="101" spans="1:3" ht="12.75" x14ac:dyDescent="0.2">
      <c r="A101" s="236">
        <v>93</v>
      </c>
      <c r="B101" s="240" t="s">
        <v>276</v>
      </c>
      <c r="C101" s="241" t="s">
        <v>277</v>
      </c>
    </row>
    <row r="102" spans="1:3" ht="12.75" x14ac:dyDescent="0.2">
      <c r="A102" s="236">
        <v>94</v>
      </c>
      <c r="B102" s="240" t="s">
        <v>278</v>
      </c>
      <c r="C102" s="241" t="s">
        <v>279</v>
      </c>
    </row>
    <row r="103" spans="1:3" ht="12.75" x14ac:dyDescent="0.2">
      <c r="A103" s="236">
        <v>95</v>
      </c>
      <c r="B103" s="240" t="s">
        <v>280</v>
      </c>
      <c r="C103" s="241" t="s">
        <v>281</v>
      </c>
    </row>
    <row r="104" spans="1:3" ht="12.75" x14ac:dyDescent="0.2">
      <c r="A104" s="236">
        <v>96</v>
      </c>
      <c r="B104" s="240" t="s">
        <v>282</v>
      </c>
      <c r="C104" s="241" t="s">
        <v>283</v>
      </c>
    </row>
    <row r="105" spans="1:3" ht="12.75" x14ac:dyDescent="0.2">
      <c r="A105" s="236">
        <v>97</v>
      </c>
      <c r="B105" s="240" t="s">
        <v>284</v>
      </c>
      <c r="C105" s="241" t="s">
        <v>285</v>
      </c>
    </row>
    <row r="106" spans="1:3" ht="12.75" x14ac:dyDescent="0.2">
      <c r="A106" s="236">
        <v>98</v>
      </c>
      <c r="B106" s="240" t="s">
        <v>286</v>
      </c>
      <c r="C106" s="241" t="s">
        <v>287</v>
      </c>
    </row>
    <row r="107" spans="1:3" ht="12.75" x14ac:dyDescent="0.2">
      <c r="A107" s="236">
        <v>99</v>
      </c>
      <c r="B107" s="240" t="s">
        <v>288</v>
      </c>
      <c r="C107" s="241" t="s">
        <v>289</v>
      </c>
    </row>
    <row r="108" spans="1:3" ht="12.75" x14ac:dyDescent="0.2">
      <c r="A108" s="236">
        <v>100</v>
      </c>
      <c r="B108" s="240" t="s">
        <v>290</v>
      </c>
      <c r="C108" s="241" t="s">
        <v>291</v>
      </c>
    </row>
    <row r="109" spans="1:3" ht="12.75" x14ac:dyDescent="0.2">
      <c r="A109" s="236">
        <v>101</v>
      </c>
      <c r="B109" s="240" t="s">
        <v>292</v>
      </c>
      <c r="C109" s="241" t="s">
        <v>293</v>
      </c>
    </row>
    <row r="110" spans="1:3" ht="12.75" x14ac:dyDescent="0.2">
      <c r="A110" s="236">
        <v>102</v>
      </c>
      <c r="B110" s="240" t="s">
        <v>294</v>
      </c>
      <c r="C110" s="241" t="s">
        <v>295</v>
      </c>
    </row>
    <row r="111" spans="1:3" ht="12.75" x14ac:dyDescent="0.2">
      <c r="A111" s="236">
        <v>103</v>
      </c>
      <c r="B111" s="240" t="s">
        <v>296</v>
      </c>
      <c r="C111" s="241" t="s">
        <v>297</v>
      </c>
    </row>
    <row r="112" spans="1:3" ht="12.75" x14ac:dyDescent="0.2">
      <c r="A112" s="236">
        <v>104</v>
      </c>
      <c r="B112" s="240" t="s">
        <v>298</v>
      </c>
      <c r="C112" s="241" t="s">
        <v>299</v>
      </c>
    </row>
    <row r="113" spans="1:3" ht="12.75" x14ac:dyDescent="0.2">
      <c r="A113" s="236">
        <v>105</v>
      </c>
      <c r="B113" s="240" t="s">
        <v>300</v>
      </c>
      <c r="C113" s="241" t="s">
        <v>301</v>
      </c>
    </row>
    <row r="114" spans="1:3" ht="12.75" x14ac:dyDescent="0.2">
      <c r="A114" s="236">
        <v>106</v>
      </c>
      <c r="B114" s="240" t="s">
        <v>302</v>
      </c>
      <c r="C114" s="241" t="s">
        <v>303</v>
      </c>
    </row>
    <row r="115" spans="1:3" ht="12.75" x14ac:dyDescent="0.2">
      <c r="A115" s="236">
        <v>107</v>
      </c>
      <c r="B115" s="240" t="s">
        <v>304</v>
      </c>
      <c r="C115" s="241" t="s">
        <v>305</v>
      </c>
    </row>
    <row r="116" spans="1:3" ht="12.75" x14ac:dyDescent="0.2">
      <c r="A116" s="236">
        <v>108</v>
      </c>
      <c r="B116" s="240" t="s">
        <v>306</v>
      </c>
      <c r="C116" s="241" t="s">
        <v>307</v>
      </c>
    </row>
    <row r="117" spans="1:3" ht="12.75" x14ac:dyDescent="0.2">
      <c r="A117" s="236">
        <v>109</v>
      </c>
      <c r="B117" s="240" t="s">
        <v>308</v>
      </c>
      <c r="C117" s="241" t="s">
        <v>309</v>
      </c>
    </row>
    <row r="118" spans="1:3" ht="12.75" x14ac:dyDescent="0.2">
      <c r="A118" s="236">
        <v>110</v>
      </c>
      <c r="B118" s="240" t="s">
        <v>310</v>
      </c>
      <c r="C118" s="241" t="s">
        <v>311</v>
      </c>
    </row>
    <row r="119" spans="1:3" ht="12.75" x14ac:dyDescent="0.2">
      <c r="A119" s="236">
        <v>111</v>
      </c>
      <c r="B119" s="240" t="s">
        <v>312</v>
      </c>
      <c r="C119" s="241" t="s">
        <v>313</v>
      </c>
    </row>
    <row r="120" spans="1:3" ht="12.75" x14ac:dyDescent="0.2">
      <c r="A120" s="236">
        <v>112</v>
      </c>
      <c r="B120" s="240" t="s">
        <v>314</v>
      </c>
      <c r="C120" s="241" t="s">
        <v>315</v>
      </c>
    </row>
    <row r="121" spans="1:3" ht="12.75" x14ac:dyDescent="0.2">
      <c r="A121" s="236">
        <v>113</v>
      </c>
      <c r="B121" s="240" t="s">
        <v>316</v>
      </c>
      <c r="C121" s="241" t="s">
        <v>317</v>
      </c>
    </row>
    <row r="122" spans="1:3" ht="12.75" x14ac:dyDescent="0.2">
      <c r="A122" s="236">
        <v>114</v>
      </c>
      <c r="B122" s="240" t="s">
        <v>318</v>
      </c>
      <c r="C122" s="241" t="s">
        <v>319</v>
      </c>
    </row>
    <row r="123" spans="1:3" ht="12.75" x14ac:dyDescent="0.2">
      <c r="A123" s="236">
        <v>115</v>
      </c>
      <c r="B123" s="240" t="s">
        <v>320</v>
      </c>
      <c r="C123" s="241" t="s">
        <v>321</v>
      </c>
    </row>
    <row r="124" spans="1:3" ht="12.75" x14ac:dyDescent="0.2">
      <c r="A124" s="236">
        <v>116</v>
      </c>
      <c r="B124" s="240" t="s">
        <v>322</v>
      </c>
      <c r="C124" s="241" t="s">
        <v>323</v>
      </c>
    </row>
    <row r="125" spans="1:3" ht="12.75" x14ac:dyDescent="0.2">
      <c r="A125" s="236">
        <v>117</v>
      </c>
      <c r="B125" s="240" t="s">
        <v>324</v>
      </c>
      <c r="C125" s="241" t="s">
        <v>325</v>
      </c>
    </row>
    <row r="126" spans="1:3" ht="12.75" x14ac:dyDescent="0.2">
      <c r="A126" s="236">
        <v>118</v>
      </c>
      <c r="B126" s="240" t="s">
        <v>326</v>
      </c>
      <c r="C126" s="241" t="s">
        <v>327</v>
      </c>
    </row>
    <row r="127" spans="1:3" ht="12.75" x14ac:dyDescent="0.2">
      <c r="A127" s="236">
        <v>119</v>
      </c>
      <c r="B127" s="240" t="s">
        <v>328</v>
      </c>
      <c r="C127" s="241" t="s">
        <v>329</v>
      </c>
    </row>
    <row r="128" spans="1:3" ht="12.75" x14ac:dyDescent="0.2">
      <c r="A128" s="236">
        <v>120</v>
      </c>
      <c r="B128" s="240" t="s">
        <v>330</v>
      </c>
      <c r="C128" s="241" t="s">
        <v>331</v>
      </c>
    </row>
    <row r="129" spans="1:3" ht="12.75" x14ac:dyDescent="0.2">
      <c r="A129" s="236">
        <v>121</v>
      </c>
      <c r="B129" s="240" t="s">
        <v>332</v>
      </c>
      <c r="C129" s="241" t="s">
        <v>333</v>
      </c>
    </row>
    <row r="130" spans="1:3" ht="12.75" x14ac:dyDescent="0.2">
      <c r="A130" s="236">
        <v>122</v>
      </c>
      <c r="B130" s="240" t="s">
        <v>334</v>
      </c>
      <c r="C130" s="241" t="s">
        <v>335</v>
      </c>
    </row>
    <row r="131" spans="1:3" ht="12.75" x14ac:dyDescent="0.2">
      <c r="A131" s="236">
        <v>123</v>
      </c>
      <c r="B131" s="240" t="s">
        <v>336</v>
      </c>
      <c r="C131" s="241" t="s">
        <v>337</v>
      </c>
    </row>
    <row r="132" spans="1:3" ht="12.75" x14ac:dyDescent="0.2">
      <c r="A132" s="236">
        <v>124</v>
      </c>
      <c r="B132" s="240" t="s">
        <v>338</v>
      </c>
      <c r="C132" s="241" t="s">
        <v>339</v>
      </c>
    </row>
    <row r="133" spans="1:3" ht="12.75" x14ac:dyDescent="0.2">
      <c r="A133" s="236">
        <v>125</v>
      </c>
      <c r="B133" s="240" t="s">
        <v>340</v>
      </c>
      <c r="C133" s="241" t="s">
        <v>341</v>
      </c>
    </row>
    <row r="134" spans="1:3" ht="12.75" x14ac:dyDescent="0.2">
      <c r="A134" s="236">
        <v>126</v>
      </c>
      <c r="B134" s="240" t="s">
        <v>342</v>
      </c>
      <c r="C134" s="241" t="s">
        <v>343</v>
      </c>
    </row>
    <row r="135" spans="1:3" ht="12.75" x14ac:dyDescent="0.2">
      <c r="A135" s="236">
        <v>127</v>
      </c>
      <c r="B135" s="240" t="s">
        <v>344</v>
      </c>
      <c r="C135" s="241" t="s">
        <v>345</v>
      </c>
    </row>
    <row r="136" spans="1:3" ht="12.75" x14ac:dyDescent="0.2">
      <c r="A136" s="236">
        <v>128</v>
      </c>
      <c r="B136" s="240" t="s">
        <v>346</v>
      </c>
      <c r="C136" s="241" t="s">
        <v>347</v>
      </c>
    </row>
    <row r="137" spans="1:3" ht="12.75" x14ac:dyDescent="0.2">
      <c r="A137" s="236">
        <v>129</v>
      </c>
      <c r="B137" s="240" t="s">
        <v>348</v>
      </c>
      <c r="C137" s="241" t="s">
        <v>349</v>
      </c>
    </row>
    <row r="138" spans="1:3" ht="12.75" x14ac:dyDescent="0.2">
      <c r="A138" s="236">
        <v>130</v>
      </c>
      <c r="B138" s="240" t="s">
        <v>350</v>
      </c>
      <c r="C138" s="241" t="s">
        <v>351</v>
      </c>
    </row>
    <row r="139" spans="1:3" ht="12.75" x14ac:dyDescent="0.2">
      <c r="A139" s="236">
        <v>131</v>
      </c>
      <c r="B139" s="240" t="s">
        <v>352</v>
      </c>
      <c r="C139" s="241" t="s">
        <v>353</v>
      </c>
    </row>
    <row r="140" spans="1:3" ht="12.75" x14ac:dyDescent="0.2">
      <c r="A140" s="236">
        <v>132</v>
      </c>
      <c r="B140" s="240" t="s">
        <v>354</v>
      </c>
      <c r="C140" s="241" t="s">
        <v>355</v>
      </c>
    </row>
    <row r="141" spans="1:3" ht="12.75" x14ac:dyDescent="0.2">
      <c r="A141" s="236">
        <v>133</v>
      </c>
      <c r="B141" s="240" t="s">
        <v>356</v>
      </c>
      <c r="C141" s="241" t="s">
        <v>357</v>
      </c>
    </row>
    <row r="142" spans="1:3" ht="12.75" x14ac:dyDescent="0.2">
      <c r="A142" s="236">
        <v>134</v>
      </c>
      <c r="B142" s="240" t="s">
        <v>358</v>
      </c>
      <c r="C142" s="241" t="s">
        <v>359</v>
      </c>
    </row>
    <row r="143" spans="1:3" ht="12.75" x14ac:dyDescent="0.2">
      <c r="A143" s="236">
        <v>135</v>
      </c>
      <c r="B143" s="240" t="s">
        <v>360</v>
      </c>
      <c r="C143" s="241" t="s">
        <v>361</v>
      </c>
    </row>
    <row r="144" spans="1:3" ht="12.75" x14ac:dyDescent="0.2">
      <c r="A144" s="236">
        <v>136</v>
      </c>
      <c r="B144" s="240" t="s">
        <v>362</v>
      </c>
      <c r="C144" s="241" t="s">
        <v>363</v>
      </c>
    </row>
    <row r="145" spans="1:3" ht="12.75" x14ac:dyDescent="0.2">
      <c r="A145" s="236">
        <v>137</v>
      </c>
      <c r="B145" s="240" t="s">
        <v>364</v>
      </c>
      <c r="C145" s="241" t="s">
        <v>365</v>
      </c>
    </row>
    <row r="146" spans="1:3" ht="12.75" x14ac:dyDescent="0.2">
      <c r="A146" s="236">
        <v>138</v>
      </c>
      <c r="B146" s="240" t="s">
        <v>366</v>
      </c>
      <c r="C146" s="241" t="s">
        <v>367</v>
      </c>
    </row>
    <row r="147" spans="1:3" ht="12.75" x14ac:dyDescent="0.2">
      <c r="A147" s="236">
        <v>139</v>
      </c>
      <c r="B147" s="240" t="s">
        <v>368</v>
      </c>
      <c r="C147" s="241" t="s">
        <v>369</v>
      </c>
    </row>
    <row r="148" spans="1:3" ht="12.75" x14ac:dyDescent="0.2">
      <c r="A148" s="236">
        <v>140</v>
      </c>
      <c r="B148" s="240" t="s">
        <v>370</v>
      </c>
      <c r="C148" s="241" t="s">
        <v>371</v>
      </c>
    </row>
    <row r="149" spans="1:3" ht="12.75" x14ac:dyDescent="0.2">
      <c r="A149" s="236">
        <v>141</v>
      </c>
      <c r="B149" s="240" t="s">
        <v>372</v>
      </c>
      <c r="C149" s="241" t="s">
        <v>373</v>
      </c>
    </row>
    <row r="150" spans="1:3" ht="12.75" x14ac:dyDescent="0.2">
      <c r="A150" s="236">
        <v>142</v>
      </c>
      <c r="B150" s="240" t="s">
        <v>374</v>
      </c>
      <c r="C150" s="241" t="s">
        <v>375</v>
      </c>
    </row>
    <row r="151" spans="1:3" ht="12.75" x14ac:dyDescent="0.2">
      <c r="A151" s="236">
        <v>143</v>
      </c>
      <c r="B151" s="240" t="s">
        <v>376</v>
      </c>
      <c r="C151" s="241" t="s">
        <v>377</v>
      </c>
    </row>
    <row r="152" spans="1:3" ht="12.75" x14ac:dyDescent="0.2">
      <c r="A152" s="236">
        <v>144</v>
      </c>
      <c r="B152" s="240" t="s">
        <v>378</v>
      </c>
      <c r="C152" s="241" t="s">
        <v>379</v>
      </c>
    </row>
    <row r="153" spans="1:3" ht="12.75" x14ac:dyDescent="0.2">
      <c r="A153" s="236">
        <v>145</v>
      </c>
      <c r="B153" s="240" t="s">
        <v>380</v>
      </c>
      <c r="C153" s="241" t="s">
        <v>381</v>
      </c>
    </row>
    <row r="154" spans="1:3" ht="12.75" x14ac:dyDescent="0.2">
      <c r="A154" s="236">
        <v>146</v>
      </c>
      <c r="B154" s="240" t="s">
        <v>382</v>
      </c>
      <c r="C154" s="241" t="s">
        <v>383</v>
      </c>
    </row>
    <row r="155" spans="1:3" ht="12.75" x14ac:dyDescent="0.2">
      <c r="A155" s="236">
        <v>147</v>
      </c>
      <c r="B155" s="240" t="s">
        <v>384</v>
      </c>
      <c r="C155" s="241" t="s">
        <v>385</v>
      </c>
    </row>
    <row r="156" spans="1:3" ht="12.75" x14ac:dyDescent="0.2">
      <c r="A156" s="236">
        <v>148</v>
      </c>
      <c r="B156" s="240" t="s">
        <v>386</v>
      </c>
      <c r="C156" s="241" t="s">
        <v>387</v>
      </c>
    </row>
    <row r="157" spans="1:3" ht="12.75" x14ac:dyDescent="0.2">
      <c r="A157" s="236">
        <v>149</v>
      </c>
      <c r="B157" s="240" t="s">
        <v>388</v>
      </c>
      <c r="C157" s="241" t="s">
        <v>389</v>
      </c>
    </row>
    <row r="158" spans="1:3" ht="12.75" x14ac:dyDescent="0.2">
      <c r="A158" s="236">
        <v>150</v>
      </c>
      <c r="B158" s="240" t="s">
        <v>390</v>
      </c>
      <c r="C158" s="241" t="s">
        <v>391</v>
      </c>
    </row>
    <row r="159" spans="1:3" ht="12.75" x14ac:dyDescent="0.2">
      <c r="A159" s="236">
        <v>151</v>
      </c>
      <c r="B159" s="240" t="s">
        <v>392</v>
      </c>
      <c r="C159" s="241" t="s">
        <v>393</v>
      </c>
    </row>
    <row r="160" spans="1:3" ht="12.75" x14ac:dyDescent="0.2">
      <c r="A160" s="236">
        <v>152</v>
      </c>
      <c r="B160" s="240" t="s">
        <v>394</v>
      </c>
      <c r="C160" s="241" t="s">
        <v>395</v>
      </c>
    </row>
    <row r="161" spans="1:3" ht="12.75" x14ac:dyDescent="0.2">
      <c r="A161" s="236">
        <v>153</v>
      </c>
      <c r="B161" s="240" t="s">
        <v>396</v>
      </c>
      <c r="C161" s="241" t="s">
        <v>397</v>
      </c>
    </row>
    <row r="162" spans="1:3" ht="12.75" x14ac:dyDescent="0.2">
      <c r="A162" s="236">
        <v>154</v>
      </c>
      <c r="B162" s="240" t="s">
        <v>398</v>
      </c>
      <c r="C162" s="241" t="s">
        <v>399</v>
      </c>
    </row>
    <row r="163" spans="1:3" ht="12.75" x14ac:dyDescent="0.2">
      <c r="A163" s="236">
        <v>155</v>
      </c>
      <c r="B163" s="240" t="s">
        <v>400</v>
      </c>
      <c r="C163" s="241" t="s">
        <v>401</v>
      </c>
    </row>
    <row r="164" spans="1:3" ht="12.75" x14ac:dyDescent="0.2">
      <c r="A164" s="236">
        <v>156</v>
      </c>
      <c r="B164" s="240" t="s">
        <v>402</v>
      </c>
      <c r="C164" s="241" t="s">
        <v>403</v>
      </c>
    </row>
    <row r="165" spans="1:3" ht="12.75" x14ac:dyDescent="0.2">
      <c r="A165" s="236">
        <v>157</v>
      </c>
      <c r="B165" s="240" t="s">
        <v>404</v>
      </c>
      <c r="C165" s="241" t="s">
        <v>405</v>
      </c>
    </row>
    <row r="166" spans="1:3" ht="12.75" x14ac:dyDescent="0.2">
      <c r="A166" s="236">
        <v>158</v>
      </c>
      <c r="B166" s="240" t="s">
        <v>406</v>
      </c>
      <c r="C166" s="241" t="s">
        <v>407</v>
      </c>
    </row>
    <row r="167" spans="1:3" ht="12.75" x14ac:dyDescent="0.2">
      <c r="A167" s="236">
        <v>159</v>
      </c>
      <c r="B167" s="240" t="s">
        <v>408</v>
      </c>
      <c r="C167" s="241" t="s">
        <v>409</v>
      </c>
    </row>
    <row r="168" spans="1:3" ht="12.75" x14ac:dyDescent="0.2">
      <c r="A168" s="236">
        <v>160</v>
      </c>
      <c r="B168" s="240" t="s">
        <v>410</v>
      </c>
      <c r="C168" s="241" t="s">
        <v>411</v>
      </c>
    </row>
    <row r="169" spans="1:3" ht="12.75" x14ac:dyDescent="0.2">
      <c r="A169" s="236">
        <v>161</v>
      </c>
      <c r="B169" s="240" t="s">
        <v>412</v>
      </c>
      <c r="C169" s="241" t="s">
        <v>413</v>
      </c>
    </row>
    <row r="170" spans="1:3" ht="12.75" x14ac:dyDescent="0.2">
      <c r="A170" s="236">
        <v>162</v>
      </c>
      <c r="B170" s="240" t="s">
        <v>414</v>
      </c>
      <c r="C170" s="241" t="s">
        <v>415</v>
      </c>
    </row>
    <row r="171" spans="1:3" ht="12.75" x14ac:dyDescent="0.2">
      <c r="A171" s="236">
        <v>163</v>
      </c>
      <c r="B171" s="240" t="s">
        <v>416</v>
      </c>
      <c r="C171" s="241" t="s">
        <v>417</v>
      </c>
    </row>
    <row r="172" spans="1:3" ht="12.75" x14ac:dyDescent="0.2">
      <c r="A172" s="236">
        <v>164</v>
      </c>
      <c r="B172" s="240" t="s">
        <v>418</v>
      </c>
      <c r="C172" s="241" t="s">
        <v>419</v>
      </c>
    </row>
    <row r="173" spans="1:3" ht="12.75" x14ac:dyDescent="0.2">
      <c r="A173" s="236">
        <v>165</v>
      </c>
      <c r="B173" s="240" t="s">
        <v>420</v>
      </c>
      <c r="C173" s="241" t="s">
        <v>421</v>
      </c>
    </row>
    <row r="174" spans="1:3" ht="12.75" x14ac:dyDescent="0.2">
      <c r="A174" s="236">
        <v>166</v>
      </c>
      <c r="B174" s="240" t="s">
        <v>422</v>
      </c>
      <c r="C174" s="241" t="s">
        <v>423</v>
      </c>
    </row>
    <row r="175" spans="1:3" ht="12.75" x14ac:dyDescent="0.2">
      <c r="A175" s="236">
        <v>167</v>
      </c>
      <c r="B175" s="240" t="s">
        <v>424</v>
      </c>
      <c r="C175" s="241" t="s">
        <v>425</v>
      </c>
    </row>
    <row r="176" spans="1:3" ht="12.75" x14ac:dyDescent="0.2">
      <c r="A176" s="236">
        <v>168</v>
      </c>
      <c r="B176" s="240" t="s">
        <v>426</v>
      </c>
      <c r="C176" s="241" t="s">
        <v>427</v>
      </c>
    </row>
    <row r="177" spans="1:3" ht="12.75" x14ac:dyDescent="0.2">
      <c r="A177" s="236">
        <v>169</v>
      </c>
      <c r="B177" s="240" t="s">
        <v>428</v>
      </c>
      <c r="C177" s="241" t="s">
        <v>429</v>
      </c>
    </row>
    <row r="178" spans="1:3" ht="12.75" x14ac:dyDescent="0.2">
      <c r="A178" s="236">
        <v>170</v>
      </c>
      <c r="B178" s="240" t="s">
        <v>430</v>
      </c>
      <c r="C178" s="241" t="s">
        <v>431</v>
      </c>
    </row>
    <row r="179" spans="1:3" ht="12.75" x14ac:dyDescent="0.2">
      <c r="A179" s="236">
        <v>171</v>
      </c>
      <c r="B179" s="240" t="s">
        <v>432</v>
      </c>
      <c r="C179" s="241" t="s">
        <v>433</v>
      </c>
    </row>
    <row r="180" spans="1:3" ht="12.75" x14ac:dyDescent="0.2">
      <c r="A180" s="236">
        <v>172</v>
      </c>
      <c r="B180" s="240" t="s">
        <v>434</v>
      </c>
      <c r="C180" s="241" t="s">
        <v>435</v>
      </c>
    </row>
    <row r="181" spans="1:3" ht="12.75" x14ac:dyDescent="0.2">
      <c r="A181" s="236">
        <v>173</v>
      </c>
      <c r="B181" s="240" t="s">
        <v>436</v>
      </c>
      <c r="C181" s="241" t="s">
        <v>437</v>
      </c>
    </row>
    <row r="182" spans="1:3" ht="12.75" x14ac:dyDescent="0.2">
      <c r="A182" s="236">
        <v>174</v>
      </c>
      <c r="B182" s="240" t="s">
        <v>438</v>
      </c>
      <c r="C182" s="241" t="s">
        <v>439</v>
      </c>
    </row>
    <row r="183" spans="1:3" ht="12.75" x14ac:dyDescent="0.2">
      <c r="A183" s="236">
        <v>175</v>
      </c>
      <c r="B183" s="240" t="s">
        <v>440</v>
      </c>
      <c r="C183" s="241" t="s">
        <v>441</v>
      </c>
    </row>
    <row r="184" spans="1:3" ht="12.75" x14ac:dyDescent="0.2">
      <c r="A184" s="236">
        <v>176</v>
      </c>
      <c r="B184" s="240" t="s">
        <v>442</v>
      </c>
      <c r="C184" s="241" t="s">
        <v>443</v>
      </c>
    </row>
    <row r="185" spans="1:3" ht="12.75" x14ac:dyDescent="0.2">
      <c r="A185" s="236">
        <v>177</v>
      </c>
      <c r="B185" s="240" t="s">
        <v>444</v>
      </c>
      <c r="C185" s="241" t="s">
        <v>445</v>
      </c>
    </row>
    <row r="186" spans="1:3" ht="12.75" x14ac:dyDescent="0.2">
      <c r="A186" s="236">
        <v>178</v>
      </c>
      <c r="B186" s="240" t="s">
        <v>446</v>
      </c>
      <c r="C186" s="241" t="s">
        <v>447</v>
      </c>
    </row>
    <row r="187" spans="1:3" ht="12.75" x14ac:dyDescent="0.2">
      <c r="A187" s="236">
        <v>179</v>
      </c>
      <c r="B187" s="240" t="s">
        <v>448</v>
      </c>
      <c r="C187" s="241" t="s">
        <v>449</v>
      </c>
    </row>
    <row r="188" spans="1:3" ht="12.75" x14ac:dyDescent="0.2">
      <c r="A188" s="236">
        <v>180</v>
      </c>
      <c r="B188" s="240" t="s">
        <v>450</v>
      </c>
      <c r="C188" s="241" t="s">
        <v>451</v>
      </c>
    </row>
    <row r="189" spans="1:3" ht="12.75" x14ac:dyDescent="0.2">
      <c r="A189" s="236">
        <v>181</v>
      </c>
      <c r="B189" s="240" t="s">
        <v>452</v>
      </c>
      <c r="C189" s="241" t="s">
        <v>453</v>
      </c>
    </row>
    <row r="190" spans="1:3" ht="12.75" x14ac:dyDescent="0.2">
      <c r="A190" s="236">
        <v>182</v>
      </c>
      <c r="B190" s="240" t="s">
        <v>454</v>
      </c>
      <c r="C190" s="241" t="s">
        <v>455</v>
      </c>
    </row>
    <row r="191" spans="1:3" ht="12.75" x14ac:dyDescent="0.2">
      <c r="A191" s="236">
        <v>183</v>
      </c>
      <c r="B191" s="240" t="s">
        <v>456</v>
      </c>
      <c r="C191" s="241" t="s">
        <v>457</v>
      </c>
    </row>
    <row r="192" spans="1:3" ht="12.75" x14ac:dyDescent="0.2">
      <c r="A192" s="236">
        <v>184</v>
      </c>
      <c r="B192" s="240" t="s">
        <v>458</v>
      </c>
      <c r="C192" s="241" t="s">
        <v>459</v>
      </c>
    </row>
    <row r="193" spans="1:3" ht="12.75" x14ac:dyDescent="0.2">
      <c r="A193" s="236">
        <v>185</v>
      </c>
      <c r="B193" s="240" t="s">
        <v>460</v>
      </c>
      <c r="C193" s="241" t="s">
        <v>461</v>
      </c>
    </row>
    <row r="194" spans="1:3" ht="12.75" x14ac:dyDescent="0.2">
      <c r="A194" s="236">
        <v>186</v>
      </c>
      <c r="B194" s="240" t="s">
        <v>462</v>
      </c>
      <c r="C194" s="241" t="s">
        <v>463</v>
      </c>
    </row>
    <row r="195" spans="1:3" ht="12.75" x14ac:dyDescent="0.2">
      <c r="A195" s="236">
        <v>187</v>
      </c>
      <c r="B195" s="240" t="s">
        <v>464</v>
      </c>
      <c r="C195" s="241" t="s">
        <v>465</v>
      </c>
    </row>
    <row r="196" spans="1:3" ht="12.75" x14ac:dyDescent="0.2">
      <c r="A196" s="236">
        <v>188</v>
      </c>
      <c r="B196" s="240" t="s">
        <v>466</v>
      </c>
      <c r="C196" s="241" t="s">
        <v>467</v>
      </c>
    </row>
    <row r="197" spans="1:3" ht="12.75" x14ac:dyDescent="0.2">
      <c r="A197" s="236">
        <v>189</v>
      </c>
      <c r="B197" s="240" t="s">
        <v>468</v>
      </c>
      <c r="C197" s="241" t="s">
        <v>469</v>
      </c>
    </row>
    <row r="198" spans="1:3" ht="12.75" x14ac:dyDescent="0.2">
      <c r="A198" s="236">
        <v>190</v>
      </c>
      <c r="B198" s="240" t="s">
        <v>470</v>
      </c>
      <c r="C198" s="241" t="s">
        <v>471</v>
      </c>
    </row>
    <row r="199" spans="1:3" ht="12.75" x14ac:dyDescent="0.2">
      <c r="A199" s="236">
        <v>191</v>
      </c>
      <c r="B199" s="240" t="s">
        <v>472</v>
      </c>
      <c r="C199" s="241" t="s">
        <v>473</v>
      </c>
    </row>
    <row r="200" spans="1:3" ht="12.75" x14ac:dyDescent="0.2">
      <c r="A200" s="236">
        <v>192</v>
      </c>
      <c r="B200" s="240" t="s">
        <v>474</v>
      </c>
      <c r="C200" s="241" t="s">
        <v>475</v>
      </c>
    </row>
    <row r="201" spans="1:3" ht="12.75" x14ac:dyDescent="0.2">
      <c r="A201" s="236">
        <v>193</v>
      </c>
      <c r="B201" s="240" t="s">
        <v>476</v>
      </c>
      <c r="C201" s="241" t="s">
        <v>477</v>
      </c>
    </row>
    <row r="202" spans="1:3" ht="12.75" x14ac:dyDescent="0.2">
      <c r="A202" s="236">
        <v>194</v>
      </c>
      <c r="B202" s="240" t="s">
        <v>478</v>
      </c>
      <c r="C202" s="241" t="s">
        <v>479</v>
      </c>
    </row>
    <row r="203" spans="1:3" ht="12.75" x14ac:dyDescent="0.2">
      <c r="A203" s="236">
        <v>195</v>
      </c>
      <c r="B203" s="240" t="s">
        <v>480</v>
      </c>
      <c r="C203" s="241" t="s">
        <v>481</v>
      </c>
    </row>
    <row r="204" spans="1:3" ht="12.75" x14ac:dyDescent="0.2">
      <c r="A204" s="236">
        <v>196</v>
      </c>
      <c r="B204" s="240" t="s">
        <v>482</v>
      </c>
      <c r="C204" s="241" t="s">
        <v>483</v>
      </c>
    </row>
    <row r="205" spans="1:3" ht="12.75" x14ac:dyDescent="0.2">
      <c r="A205" s="236">
        <v>197</v>
      </c>
      <c r="B205" s="240" t="s">
        <v>484</v>
      </c>
      <c r="C205" s="241" t="s">
        <v>485</v>
      </c>
    </row>
    <row r="206" spans="1:3" ht="12.75" x14ac:dyDescent="0.2">
      <c r="A206" s="236">
        <v>198</v>
      </c>
      <c r="B206" s="240" t="s">
        <v>486</v>
      </c>
      <c r="C206" s="241" t="s">
        <v>487</v>
      </c>
    </row>
    <row r="207" spans="1:3" ht="12.75" x14ac:dyDescent="0.2">
      <c r="A207" s="236">
        <v>199</v>
      </c>
      <c r="B207" s="240" t="s">
        <v>488</v>
      </c>
      <c r="C207" s="241" t="s">
        <v>489</v>
      </c>
    </row>
    <row r="208" spans="1:3" ht="12.75" x14ac:dyDescent="0.2">
      <c r="A208" s="236">
        <v>200</v>
      </c>
      <c r="B208" s="240" t="s">
        <v>490</v>
      </c>
      <c r="C208" s="241" t="s">
        <v>491</v>
      </c>
    </row>
    <row r="209" spans="1:3" ht="12.75" x14ac:dyDescent="0.2">
      <c r="A209" s="236">
        <v>201</v>
      </c>
      <c r="B209" s="240" t="s">
        <v>492</v>
      </c>
      <c r="C209" s="241" t="s">
        <v>493</v>
      </c>
    </row>
    <row r="210" spans="1:3" ht="12.75" x14ac:dyDescent="0.2">
      <c r="A210" s="236">
        <v>202</v>
      </c>
      <c r="B210" s="240" t="s">
        <v>494</v>
      </c>
      <c r="C210" s="241" t="s">
        <v>495</v>
      </c>
    </row>
    <row r="211" spans="1:3" ht="12.75" x14ac:dyDescent="0.2">
      <c r="A211" s="236">
        <v>203</v>
      </c>
      <c r="B211" s="240" t="s">
        <v>496</v>
      </c>
      <c r="C211" s="241" t="s">
        <v>497</v>
      </c>
    </row>
    <row r="212" spans="1:3" ht="12.75" x14ac:dyDescent="0.2">
      <c r="A212" s="236">
        <v>204</v>
      </c>
      <c r="B212" s="240" t="s">
        <v>498</v>
      </c>
      <c r="C212" s="241" t="s">
        <v>499</v>
      </c>
    </row>
    <row r="213" spans="1:3" ht="12.75" x14ac:dyDescent="0.2">
      <c r="A213" s="236">
        <v>205</v>
      </c>
      <c r="B213" s="240" t="s">
        <v>500</v>
      </c>
      <c r="C213" s="241" t="s">
        <v>501</v>
      </c>
    </row>
    <row r="214" spans="1:3" ht="12.75" x14ac:dyDescent="0.2">
      <c r="A214" s="236">
        <v>206</v>
      </c>
      <c r="B214" s="240" t="s">
        <v>502</v>
      </c>
      <c r="C214" s="241" t="s">
        <v>503</v>
      </c>
    </row>
    <row r="215" spans="1:3" ht="12.75" x14ac:dyDescent="0.2">
      <c r="A215" s="236">
        <v>207</v>
      </c>
      <c r="B215" s="240" t="s">
        <v>504</v>
      </c>
      <c r="C215" s="241" t="s">
        <v>505</v>
      </c>
    </row>
    <row r="216" spans="1:3" ht="12.75" x14ac:dyDescent="0.2">
      <c r="A216" s="236">
        <v>208</v>
      </c>
      <c r="B216" s="240" t="s">
        <v>506</v>
      </c>
      <c r="C216" s="241" t="s">
        <v>507</v>
      </c>
    </row>
    <row r="217" spans="1:3" ht="12.75" x14ac:dyDescent="0.2">
      <c r="A217" s="236">
        <v>209</v>
      </c>
      <c r="B217" s="240" t="s">
        <v>508</v>
      </c>
      <c r="C217" s="241" t="s">
        <v>509</v>
      </c>
    </row>
    <row r="218" spans="1:3" ht="12.75" x14ac:dyDescent="0.2">
      <c r="A218" s="236">
        <v>210</v>
      </c>
      <c r="B218" s="240" t="s">
        <v>510</v>
      </c>
      <c r="C218" s="241" t="s">
        <v>511</v>
      </c>
    </row>
    <row r="219" spans="1:3" ht="12.75" x14ac:dyDescent="0.2">
      <c r="A219" s="236">
        <v>211</v>
      </c>
      <c r="B219" s="240" t="s">
        <v>512</v>
      </c>
      <c r="C219" s="241" t="s">
        <v>513</v>
      </c>
    </row>
    <row r="220" spans="1:3" ht="12.75" x14ac:dyDescent="0.2">
      <c r="A220" s="236">
        <v>212</v>
      </c>
      <c r="B220" s="240" t="s">
        <v>514</v>
      </c>
      <c r="C220" s="241" t="s">
        <v>515</v>
      </c>
    </row>
    <row r="221" spans="1:3" ht="12.75" x14ac:dyDescent="0.2">
      <c r="A221" s="236">
        <v>213</v>
      </c>
      <c r="B221" s="240" t="s">
        <v>516</v>
      </c>
      <c r="C221" s="241" t="s">
        <v>517</v>
      </c>
    </row>
    <row r="222" spans="1:3" ht="12.75" x14ac:dyDescent="0.2">
      <c r="A222" s="236">
        <v>214</v>
      </c>
      <c r="B222" s="240" t="s">
        <v>518</v>
      </c>
      <c r="C222" s="241" t="s">
        <v>519</v>
      </c>
    </row>
    <row r="223" spans="1:3" ht="12.75" x14ac:dyDescent="0.2">
      <c r="A223" s="236">
        <v>215</v>
      </c>
      <c r="B223" s="240" t="s">
        <v>520</v>
      </c>
      <c r="C223" s="241" t="s">
        <v>521</v>
      </c>
    </row>
    <row r="224" spans="1:3" ht="12.75" x14ac:dyDescent="0.2">
      <c r="A224" s="236">
        <v>216</v>
      </c>
      <c r="B224" s="240" t="s">
        <v>522</v>
      </c>
      <c r="C224" s="241" t="s">
        <v>523</v>
      </c>
    </row>
    <row r="225" spans="1:3" ht="12.75" x14ac:dyDescent="0.2">
      <c r="A225" s="236">
        <v>217</v>
      </c>
      <c r="B225" s="240" t="s">
        <v>524</v>
      </c>
      <c r="C225" s="241" t="s">
        <v>525</v>
      </c>
    </row>
    <row r="226" spans="1:3" ht="12.75" x14ac:dyDescent="0.2">
      <c r="A226" s="236">
        <v>218</v>
      </c>
      <c r="B226" s="240" t="s">
        <v>526</v>
      </c>
      <c r="C226" s="241" t="s">
        <v>527</v>
      </c>
    </row>
    <row r="227" spans="1:3" ht="12.75" x14ac:dyDescent="0.2">
      <c r="A227" s="236">
        <v>219</v>
      </c>
      <c r="B227" s="240" t="s">
        <v>528</v>
      </c>
      <c r="C227" s="241" t="s">
        <v>529</v>
      </c>
    </row>
    <row r="228" spans="1:3" ht="12.75" x14ac:dyDescent="0.2">
      <c r="A228" s="236">
        <v>220</v>
      </c>
      <c r="B228" s="240" t="s">
        <v>530</v>
      </c>
      <c r="C228" s="241" t="s">
        <v>531</v>
      </c>
    </row>
    <row r="229" spans="1:3" ht="12.75" x14ac:dyDescent="0.2">
      <c r="A229" s="236">
        <v>221</v>
      </c>
      <c r="B229" s="240" t="s">
        <v>532</v>
      </c>
      <c r="C229" s="241" t="s">
        <v>533</v>
      </c>
    </row>
    <row r="230" spans="1:3" ht="12.75" x14ac:dyDescent="0.2">
      <c r="A230" s="236">
        <v>222</v>
      </c>
      <c r="B230" s="240" t="s">
        <v>534</v>
      </c>
      <c r="C230" s="241" t="s">
        <v>535</v>
      </c>
    </row>
    <row r="231" spans="1:3" ht="12.75" x14ac:dyDescent="0.2">
      <c r="A231" s="236">
        <v>223</v>
      </c>
      <c r="B231" s="240" t="s">
        <v>536</v>
      </c>
      <c r="C231" s="241" t="s">
        <v>537</v>
      </c>
    </row>
    <row r="232" spans="1:3" ht="12.75" x14ac:dyDescent="0.2">
      <c r="A232" s="236">
        <v>224</v>
      </c>
      <c r="B232" s="240" t="s">
        <v>538</v>
      </c>
      <c r="C232" s="241" t="s">
        <v>539</v>
      </c>
    </row>
    <row r="233" spans="1:3" ht="12.75" x14ac:dyDescent="0.2">
      <c r="A233" s="236">
        <v>225</v>
      </c>
      <c r="B233" s="240" t="s">
        <v>540</v>
      </c>
      <c r="C233" s="241" t="s">
        <v>541</v>
      </c>
    </row>
    <row r="234" spans="1:3" ht="12.75" x14ac:dyDescent="0.2">
      <c r="A234" s="236">
        <v>226</v>
      </c>
      <c r="B234" s="240" t="s">
        <v>542</v>
      </c>
      <c r="C234" s="241" t="s">
        <v>543</v>
      </c>
    </row>
    <row r="235" spans="1:3" ht="12.75" x14ac:dyDescent="0.2">
      <c r="A235" s="236">
        <v>227</v>
      </c>
      <c r="B235" s="240" t="s">
        <v>544</v>
      </c>
      <c r="C235" s="241" t="s">
        <v>545</v>
      </c>
    </row>
    <row r="236" spans="1:3" ht="12.75" x14ac:dyDescent="0.2">
      <c r="A236" s="236">
        <v>228</v>
      </c>
      <c r="B236" s="240" t="s">
        <v>546</v>
      </c>
      <c r="C236" s="241" t="s">
        <v>547</v>
      </c>
    </row>
    <row r="237" spans="1:3" ht="12.75" x14ac:dyDescent="0.2">
      <c r="A237" s="236">
        <v>229</v>
      </c>
      <c r="B237" s="240" t="s">
        <v>548</v>
      </c>
      <c r="C237" s="241" t="s">
        <v>549</v>
      </c>
    </row>
    <row r="238" spans="1:3" ht="12.75" x14ac:dyDescent="0.2">
      <c r="A238" s="236">
        <v>230</v>
      </c>
      <c r="B238" s="240" t="s">
        <v>550</v>
      </c>
      <c r="C238" s="241" t="s">
        <v>551</v>
      </c>
    </row>
    <row r="239" spans="1:3" ht="12.75" x14ac:dyDescent="0.2">
      <c r="A239" s="236">
        <v>231</v>
      </c>
      <c r="B239" s="240" t="s">
        <v>552</v>
      </c>
      <c r="C239" s="241" t="s">
        <v>553</v>
      </c>
    </row>
    <row r="240" spans="1:3" ht="12.75" x14ac:dyDescent="0.2">
      <c r="A240" s="236">
        <v>232</v>
      </c>
      <c r="B240" s="240" t="s">
        <v>554</v>
      </c>
      <c r="C240" s="241" t="s">
        <v>555</v>
      </c>
    </row>
    <row r="241" spans="1:6" ht="12.75" x14ac:dyDescent="0.2">
      <c r="A241" s="236">
        <v>233</v>
      </c>
      <c r="B241" s="240" t="s">
        <v>556</v>
      </c>
      <c r="C241" s="241" t="s">
        <v>557</v>
      </c>
    </row>
    <row r="242" spans="1:6" ht="12.75" x14ac:dyDescent="0.2">
      <c r="A242" s="236">
        <v>234</v>
      </c>
      <c r="B242" s="240" t="s">
        <v>558</v>
      </c>
      <c r="C242" s="241" t="s">
        <v>559</v>
      </c>
    </row>
    <row r="243" spans="1:6" ht="12.75" x14ac:dyDescent="0.2">
      <c r="A243" s="236">
        <v>235</v>
      </c>
      <c r="B243" s="240" t="s">
        <v>560</v>
      </c>
      <c r="C243" s="241" t="s">
        <v>561</v>
      </c>
    </row>
    <row r="244" spans="1:6" ht="12.75" x14ac:dyDescent="0.2">
      <c r="A244" s="236">
        <v>236</v>
      </c>
      <c r="B244" s="240" t="s">
        <v>562</v>
      </c>
      <c r="C244" s="241" t="s">
        <v>563</v>
      </c>
    </row>
    <row r="245" spans="1:6" ht="12.75" x14ac:dyDescent="0.2">
      <c r="A245" s="236">
        <v>237</v>
      </c>
      <c r="B245" s="240" t="s">
        <v>564</v>
      </c>
      <c r="C245" s="241" t="s">
        <v>565</v>
      </c>
    </row>
    <row r="246" spans="1:6" ht="12.75" x14ac:dyDescent="0.2">
      <c r="A246" s="236">
        <v>238</v>
      </c>
      <c r="B246" s="240" t="s">
        <v>566</v>
      </c>
      <c r="C246" s="241" t="s">
        <v>567</v>
      </c>
    </row>
    <row r="247" spans="1:6" ht="12.75" x14ac:dyDescent="0.2">
      <c r="A247" s="236">
        <v>239</v>
      </c>
      <c r="B247" s="240" t="s">
        <v>568</v>
      </c>
      <c r="C247" s="241" t="s">
        <v>569</v>
      </c>
    </row>
    <row r="248" spans="1:6" ht="12.75" x14ac:dyDescent="0.2">
      <c r="A248" s="236">
        <v>240</v>
      </c>
      <c r="B248" s="240" t="s">
        <v>570</v>
      </c>
      <c r="C248" s="241" t="s">
        <v>571</v>
      </c>
    </row>
    <row r="249" spans="1:6" ht="12.75" x14ac:dyDescent="0.2">
      <c r="A249" s="236">
        <v>241</v>
      </c>
      <c r="B249" s="240" t="s">
        <v>572</v>
      </c>
      <c r="C249" s="241" t="s">
        <v>573</v>
      </c>
    </row>
    <row r="250" spans="1:6" ht="12.75" x14ac:dyDescent="0.2">
      <c r="A250" s="236">
        <v>242</v>
      </c>
      <c r="B250" s="240" t="s">
        <v>574</v>
      </c>
      <c r="C250" s="241" t="s">
        <v>575</v>
      </c>
    </row>
    <row r="251" spans="1:6" ht="12.75" x14ac:dyDescent="0.2">
      <c r="A251" s="236">
        <v>243</v>
      </c>
      <c r="B251" s="240" t="s">
        <v>576</v>
      </c>
      <c r="C251" s="241" t="s">
        <v>577</v>
      </c>
    </row>
    <row r="252" spans="1:6" ht="12.75" x14ac:dyDescent="0.2">
      <c r="A252" s="236">
        <v>244</v>
      </c>
      <c r="B252" s="240" t="s">
        <v>578</v>
      </c>
      <c r="C252" s="241" t="s">
        <v>579</v>
      </c>
    </row>
    <row r="253" spans="1:6" ht="12.75" x14ac:dyDescent="0.2">
      <c r="A253" s="236">
        <v>245</v>
      </c>
      <c r="B253" s="240" t="s">
        <v>580</v>
      </c>
      <c r="C253" s="241" t="s">
        <v>581</v>
      </c>
    </row>
    <row r="254" spans="1:6" ht="12.75" x14ac:dyDescent="0.2">
      <c r="A254" s="236">
        <v>246</v>
      </c>
      <c r="B254" s="240" t="s">
        <v>582</v>
      </c>
      <c r="C254" s="241" t="s">
        <v>583</v>
      </c>
      <c r="D254" s="239"/>
      <c r="E254" s="239"/>
      <c r="F254" s="239"/>
    </row>
    <row r="255" spans="1:6" ht="12.75" x14ac:dyDescent="0.2">
      <c r="A255" s="236">
        <v>247</v>
      </c>
      <c r="B255" s="240" t="s">
        <v>584</v>
      </c>
      <c r="C255" s="241" t="s">
        <v>585</v>
      </c>
    </row>
    <row r="256" spans="1:6" ht="12.75" x14ac:dyDescent="0.2">
      <c r="A256" s="236">
        <v>248</v>
      </c>
      <c r="B256" s="240" t="s">
        <v>586</v>
      </c>
      <c r="C256" s="241" t="s">
        <v>587</v>
      </c>
    </row>
    <row r="257" spans="1:3" ht="12.75" x14ac:dyDescent="0.2">
      <c r="A257" s="236">
        <v>249</v>
      </c>
      <c r="B257" s="240" t="s">
        <v>588</v>
      </c>
      <c r="C257" s="241" t="s">
        <v>589</v>
      </c>
    </row>
    <row r="258" spans="1:3" ht="12.75" x14ac:dyDescent="0.2">
      <c r="A258" s="236">
        <v>250</v>
      </c>
      <c r="B258" s="240" t="s">
        <v>590</v>
      </c>
      <c r="C258" s="241" t="s">
        <v>591</v>
      </c>
    </row>
    <row r="259" spans="1:3" ht="12.75" x14ac:dyDescent="0.2">
      <c r="A259" s="236">
        <v>251</v>
      </c>
      <c r="B259" s="240" t="s">
        <v>592</v>
      </c>
      <c r="C259" s="241" t="s">
        <v>593</v>
      </c>
    </row>
    <row r="260" spans="1:3" ht="12.75" x14ac:dyDescent="0.2">
      <c r="A260" s="236">
        <v>252</v>
      </c>
      <c r="B260" s="240" t="s">
        <v>594</v>
      </c>
      <c r="C260" s="241" t="s">
        <v>595</v>
      </c>
    </row>
    <row r="261" spans="1:3" ht="12.75" x14ac:dyDescent="0.2">
      <c r="A261" s="236">
        <v>253</v>
      </c>
      <c r="B261" s="240" t="s">
        <v>596</v>
      </c>
      <c r="C261" s="241" t="s">
        <v>597</v>
      </c>
    </row>
    <row r="262" spans="1:3" ht="12.75" x14ac:dyDescent="0.2">
      <c r="A262" s="236">
        <v>254</v>
      </c>
      <c r="B262" s="240" t="s">
        <v>598</v>
      </c>
      <c r="C262" s="241" t="s">
        <v>599</v>
      </c>
    </row>
    <row r="263" spans="1:3" ht="12.75" x14ac:dyDescent="0.2">
      <c r="A263" s="236">
        <v>255</v>
      </c>
      <c r="B263" s="240" t="s">
        <v>600</v>
      </c>
      <c r="C263" s="241" t="s">
        <v>601</v>
      </c>
    </row>
    <row r="264" spans="1:3" ht="12.75" x14ac:dyDescent="0.2">
      <c r="A264" s="236">
        <v>256</v>
      </c>
      <c r="B264" s="240" t="s">
        <v>602</v>
      </c>
      <c r="C264" s="241" t="s">
        <v>603</v>
      </c>
    </row>
    <row r="265" spans="1:3" ht="12.75" x14ac:dyDescent="0.2">
      <c r="A265" s="236">
        <v>257</v>
      </c>
      <c r="B265" s="240" t="s">
        <v>604</v>
      </c>
      <c r="C265" s="241" t="s">
        <v>605</v>
      </c>
    </row>
    <row r="266" spans="1:3" ht="12.75" x14ac:dyDescent="0.2">
      <c r="A266" s="236">
        <v>258</v>
      </c>
      <c r="B266" s="240" t="s">
        <v>606</v>
      </c>
      <c r="C266" s="241" t="s">
        <v>607</v>
      </c>
    </row>
    <row r="267" spans="1:3" ht="12.75" x14ac:dyDescent="0.2">
      <c r="A267" s="236">
        <v>259</v>
      </c>
      <c r="B267" s="240" t="s">
        <v>608</v>
      </c>
      <c r="C267" s="241" t="s">
        <v>609</v>
      </c>
    </row>
    <row r="268" spans="1:3" ht="12.75" x14ac:dyDescent="0.2">
      <c r="A268" s="236">
        <v>260</v>
      </c>
      <c r="B268" s="240" t="s">
        <v>610</v>
      </c>
      <c r="C268" s="241" t="s">
        <v>611</v>
      </c>
    </row>
    <row r="269" spans="1:3" ht="12.75" x14ac:dyDescent="0.2">
      <c r="A269" s="236">
        <v>261</v>
      </c>
      <c r="B269" s="240" t="s">
        <v>612</v>
      </c>
      <c r="C269" s="241" t="s">
        <v>613</v>
      </c>
    </row>
    <row r="270" spans="1:3" ht="12.75" x14ac:dyDescent="0.2">
      <c r="A270" s="236">
        <v>262</v>
      </c>
      <c r="B270" s="240" t="s">
        <v>614</v>
      </c>
      <c r="C270" s="241" t="s">
        <v>615</v>
      </c>
    </row>
    <row r="271" spans="1:3" ht="12.75" x14ac:dyDescent="0.2">
      <c r="A271" s="236">
        <v>263</v>
      </c>
      <c r="B271" s="240" t="s">
        <v>616</v>
      </c>
      <c r="C271" s="241" t="s">
        <v>617</v>
      </c>
    </row>
    <row r="272" spans="1:3" ht="12.75" x14ac:dyDescent="0.2">
      <c r="A272" s="236">
        <v>264</v>
      </c>
      <c r="B272" s="240" t="s">
        <v>618</v>
      </c>
      <c r="C272" s="241" t="s">
        <v>619</v>
      </c>
    </row>
    <row r="273" spans="1:3" ht="12.75" x14ac:dyDescent="0.2">
      <c r="A273" s="236">
        <v>265</v>
      </c>
      <c r="B273" s="240" t="s">
        <v>620</v>
      </c>
      <c r="C273" s="241" t="s">
        <v>621</v>
      </c>
    </row>
    <row r="274" spans="1:3" ht="12.75" x14ac:dyDescent="0.2">
      <c r="A274" s="236">
        <v>266</v>
      </c>
      <c r="B274" s="240" t="s">
        <v>622</v>
      </c>
      <c r="C274" s="241" t="s">
        <v>623</v>
      </c>
    </row>
    <row r="275" spans="1:3" ht="12.75" x14ac:dyDescent="0.2">
      <c r="A275" s="236">
        <v>267</v>
      </c>
      <c r="B275" s="240" t="s">
        <v>624</v>
      </c>
      <c r="C275" s="241" t="s">
        <v>625</v>
      </c>
    </row>
    <row r="276" spans="1:3" ht="12.75" x14ac:dyDescent="0.2">
      <c r="A276" s="236">
        <v>268</v>
      </c>
      <c r="B276" s="240" t="s">
        <v>626</v>
      </c>
      <c r="C276" s="241" t="s">
        <v>627</v>
      </c>
    </row>
    <row r="277" spans="1:3" ht="12.75" x14ac:dyDescent="0.2">
      <c r="A277" s="236">
        <v>269</v>
      </c>
      <c r="B277" s="240" t="s">
        <v>628</v>
      </c>
      <c r="C277" s="241" t="s">
        <v>629</v>
      </c>
    </row>
    <row r="278" spans="1:3" ht="12.75" x14ac:dyDescent="0.2">
      <c r="A278" s="236">
        <v>270</v>
      </c>
      <c r="B278" s="240" t="s">
        <v>630</v>
      </c>
      <c r="C278" s="241" t="s">
        <v>631</v>
      </c>
    </row>
    <row r="279" spans="1:3" ht="12.75" x14ac:dyDescent="0.2">
      <c r="A279" s="236">
        <v>271</v>
      </c>
      <c r="B279" s="240" t="s">
        <v>632</v>
      </c>
      <c r="C279" s="241" t="s">
        <v>633</v>
      </c>
    </row>
    <row r="280" spans="1:3" ht="12.75" x14ac:dyDescent="0.2">
      <c r="A280" s="236">
        <v>272</v>
      </c>
      <c r="B280" s="240" t="s">
        <v>634</v>
      </c>
      <c r="C280" s="241" t="s">
        <v>635</v>
      </c>
    </row>
    <row r="281" spans="1:3" ht="12.75" x14ac:dyDescent="0.2">
      <c r="A281" s="236">
        <v>273</v>
      </c>
      <c r="B281" s="240" t="s">
        <v>636</v>
      </c>
      <c r="C281" s="241" t="s">
        <v>637</v>
      </c>
    </row>
    <row r="282" spans="1:3" ht="12.75" x14ac:dyDescent="0.2">
      <c r="A282" s="236">
        <v>274</v>
      </c>
      <c r="B282" s="240" t="s">
        <v>638</v>
      </c>
      <c r="C282" s="241" t="s">
        <v>639</v>
      </c>
    </row>
    <row r="283" spans="1:3" ht="12.75" x14ac:dyDescent="0.2">
      <c r="A283" s="236">
        <v>275</v>
      </c>
      <c r="B283" s="240" t="s">
        <v>640</v>
      </c>
      <c r="C283" s="241" t="s">
        <v>641</v>
      </c>
    </row>
    <row r="284" spans="1:3" ht="12.75" x14ac:dyDescent="0.2">
      <c r="A284" s="236">
        <v>276</v>
      </c>
      <c r="B284" s="240" t="s">
        <v>642</v>
      </c>
      <c r="C284" s="241" t="s">
        <v>643</v>
      </c>
    </row>
    <row r="285" spans="1:3" ht="12.75" x14ac:dyDescent="0.2">
      <c r="A285" s="236">
        <v>277</v>
      </c>
      <c r="B285" s="240" t="s">
        <v>644</v>
      </c>
      <c r="C285" s="241" t="s">
        <v>645</v>
      </c>
    </row>
    <row r="286" spans="1:3" ht="12.75" x14ac:dyDescent="0.2">
      <c r="A286" s="236">
        <v>278</v>
      </c>
      <c r="B286" s="240" t="s">
        <v>646</v>
      </c>
      <c r="C286" s="241" t="s">
        <v>647</v>
      </c>
    </row>
    <row r="287" spans="1:3" ht="12.75" x14ac:dyDescent="0.2">
      <c r="A287" s="236">
        <v>279</v>
      </c>
      <c r="B287" s="240" t="s">
        <v>648</v>
      </c>
      <c r="C287" s="241" t="s">
        <v>649</v>
      </c>
    </row>
    <row r="288" spans="1:3" ht="12.75" x14ac:dyDescent="0.2">
      <c r="A288" s="236">
        <v>280</v>
      </c>
      <c r="B288" s="240" t="s">
        <v>650</v>
      </c>
      <c r="C288" s="241" t="s">
        <v>651</v>
      </c>
    </row>
    <row r="289" spans="1:3" ht="12.75" x14ac:dyDescent="0.2">
      <c r="A289" s="236">
        <v>281</v>
      </c>
      <c r="B289" s="240" t="s">
        <v>652</v>
      </c>
      <c r="C289" s="241" t="s">
        <v>653</v>
      </c>
    </row>
    <row r="290" spans="1:3" ht="12.75" x14ac:dyDescent="0.2">
      <c r="A290" s="236">
        <v>282</v>
      </c>
      <c r="B290" s="240" t="s">
        <v>654</v>
      </c>
      <c r="C290" s="241" t="s">
        <v>655</v>
      </c>
    </row>
    <row r="291" spans="1:3" ht="12.75" x14ac:dyDescent="0.2">
      <c r="A291" s="236">
        <v>283</v>
      </c>
      <c r="B291" s="240" t="s">
        <v>656</v>
      </c>
      <c r="C291" s="241" t="s">
        <v>657</v>
      </c>
    </row>
    <row r="292" spans="1:3" ht="12.75" x14ac:dyDescent="0.2">
      <c r="A292" s="236">
        <v>284</v>
      </c>
      <c r="B292" s="240" t="s">
        <v>658</v>
      </c>
      <c r="C292" s="241" t="s">
        <v>659</v>
      </c>
    </row>
    <row r="293" spans="1:3" ht="12.75" x14ac:dyDescent="0.2">
      <c r="A293" s="236">
        <v>285</v>
      </c>
      <c r="B293" s="240" t="s">
        <v>660</v>
      </c>
      <c r="C293" s="241" t="s">
        <v>661</v>
      </c>
    </row>
    <row r="294" spans="1:3" ht="12.75" x14ac:dyDescent="0.2">
      <c r="A294" s="236">
        <v>286</v>
      </c>
      <c r="B294" s="240" t="s">
        <v>662</v>
      </c>
      <c r="C294" s="241" t="s">
        <v>663</v>
      </c>
    </row>
    <row r="295" spans="1:3" ht="12.75" x14ac:dyDescent="0.2">
      <c r="A295" s="236">
        <v>287</v>
      </c>
      <c r="B295" s="240" t="s">
        <v>664</v>
      </c>
      <c r="C295" s="241" t="s">
        <v>665</v>
      </c>
    </row>
    <row r="296" spans="1:3" ht="12.75" x14ac:dyDescent="0.2">
      <c r="A296" s="236">
        <v>288</v>
      </c>
      <c r="B296" s="240" t="s">
        <v>666</v>
      </c>
      <c r="C296" s="241" t="s">
        <v>667</v>
      </c>
    </row>
    <row r="297" spans="1:3" ht="12.75" x14ac:dyDescent="0.2">
      <c r="A297" s="236">
        <v>289</v>
      </c>
      <c r="B297" s="240" t="s">
        <v>668</v>
      </c>
      <c r="C297" s="241" t="s">
        <v>669</v>
      </c>
    </row>
    <row r="298" spans="1:3" ht="12.75" x14ac:dyDescent="0.2">
      <c r="A298" s="236">
        <v>290</v>
      </c>
      <c r="B298" s="240" t="s">
        <v>670</v>
      </c>
      <c r="C298" s="241" t="s">
        <v>671</v>
      </c>
    </row>
    <row r="299" spans="1:3" ht="12.75" x14ac:dyDescent="0.2">
      <c r="A299" s="236">
        <v>291</v>
      </c>
      <c r="B299" s="240" t="s">
        <v>672</v>
      </c>
      <c r="C299" s="241" t="s">
        <v>673</v>
      </c>
    </row>
    <row r="300" spans="1:3" ht="12.75" x14ac:dyDescent="0.2">
      <c r="A300" s="236">
        <v>292</v>
      </c>
      <c r="B300" s="240" t="s">
        <v>674</v>
      </c>
      <c r="C300" s="241" t="s">
        <v>675</v>
      </c>
    </row>
    <row r="301" spans="1:3" ht="12.75" x14ac:dyDescent="0.2">
      <c r="A301" s="236">
        <v>293</v>
      </c>
      <c r="B301" s="240" t="s">
        <v>676</v>
      </c>
      <c r="C301" s="241" t="s">
        <v>677</v>
      </c>
    </row>
    <row r="302" spans="1:3" ht="12.75" x14ac:dyDescent="0.2">
      <c r="A302" s="236">
        <v>294</v>
      </c>
      <c r="B302" s="240" t="s">
        <v>678</v>
      </c>
      <c r="C302" s="241" t="s">
        <v>679</v>
      </c>
    </row>
    <row r="303" spans="1:3" ht="12.75" x14ac:dyDescent="0.2">
      <c r="A303" s="236">
        <v>295</v>
      </c>
      <c r="B303" s="240" t="s">
        <v>680</v>
      </c>
      <c r="C303" s="241" t="s">
        <v>681</v>
      </c>
    </row>
    <row r="304" spans="1:3" ht="12.75" x14ac:dyDescent="0.2">
      <c r="A304" s="236">
        <v>296</v>
      </c>
      <c r="B304" s="240" t="s">
        <v>682</v>
      </c>
      <c r="C304" s="241" t="s">
        <v>683</v>
      </c>
    </row>
    <row r="305" spans="1:3" ht="12.75" x14ac:dyDescent="0.2">
      <c r="A305" s="236">
        <v>297</v>
      </c>
      <c r="B305" s="240" t="s">
        <v>684</v>
      </c>
      <c r="C305" s="241" t="s">
        <v>685</v>
      </c>
    </row>
    <row r="306" spans="1:3" ht="12.75" x14ac:dyDescent="0.2">
      <c r="A306" s="236">
        <v>298</v>
      </c>
      <c r="B306" s="240" t="s">
        <v>686</v>
      </c>
      <c r="C306" s="241" t="s">
        <v>687</v>
      </c>
    </row>
    <row r="307" spans="1:3" ht="12.75" x14ac:dyDescent="0.2">
      <c r="A307" s="236">
        <v>299</v>
      </c>
      <c r="B307" s="240" t="s">
        <v>688</v>
      </c>
      <c r="C307" s="241" t="s">
        <v>689</v>
      </c>
    </row>
    <row r="308" spans="1:3" ht="12.75" x14ac:dyDescent="0.2">
      <c r="A308" s="236">
        <v>300</v>
      </c>
      <c r="B308" s="240" t="s">
        <v>690</v>
      </c>
      <c r="C308" s="241" t="s">
        <v>691</v>
      </c>
    </row>
    <row r="309" spans="1:3" ht="12.75" x14ac:dyDescent="0.2">
      <c r="A309" s="236">
        <v>301</v>
      </c>
      <c r="B309" s="240" t="s">
        <v>692</v>
      </c>
      <c r="C309" s="241" t="s">
        <v>693</v>
      </c>
    </row>
    <row r="310" spans="1:3" ht="12.75" x14ac:dyDescent="0.2">
      <c r="A310" s="236">
        <v>302</v>
      </c>
      <c r="B310" s="240" t="s">
        <v>694</v>
      </c>
      <c r="C310" s="241" t="s">
        <v>695</v>
      </c>
    </row>
    <row r="311" spans="1:3" ht="12.75" x14ac:dyDescent="0.2">
      <c r="A311" s="236">
        <v>303</v>
      </c>
      <c r="B311" s="240" t="s">
        <v>696</v>
      </c>
      <c r="C311" s="241" t="s">
        <v>697</v>
      </c>
    </row>
    <row r="312" spans="1:3" ht="12.75" x14ac:dyDescent="0.2">
      <c r="A312" s="236">
        <v>304</v>
      </c>
      <c r="B312" s="240" t="s">
        <v>698</v>
      </c>
      <c r="C312" s="241" t="s">
        <v>699</v>
      </c>
    </row>
    <row r="313" spans="1:3" ht="12.75" x14ac:dyDescent="0.2">
      <c r="A313" s="236">
        <v>305</v>
      </c>
      <c r="B313" s="240" t="s">
        <v>700</v>
      </c>
      <c r="C313" s="241" t="s">
        <v>701</v>
      </c>
    </row>
    <row r="314" spans="1:3" ht="12.75" x14ac:dyDescent="0.2">
      <c r="A314" s="236">
        <v>306</v>
      </c>
      <c r="B314" s="240" t="s">
        <v>702</v>
      </c>
      <c r="C314" s="241" t="s">
        <v>703</v>
      </c>
    </row>
    <row r="315" spans="1:3" ht="12.75" x14ac:dyDescent="0.2">
      <c r="A315" s="236">
        <v>307</v>
      </c>
      <c r="B315" s="240" t="s">
        <v>704</v>
      </c>
      <c r="C315" s="241" t="s">
        <v>705</v>
      </c>
    </row>
    <row r="316" spans="1:3" ht="12.75" x14ac:dyDescent="0.2">
      <c r="A316" s="236">
        <v>308</v>
      </c>
      <c r="B316" s="240" t="s">
        <v>706</v>
      </c>
      <c r="C316" s="241" t="s">
        <v>707</v>
      </c>
    </row>
    <row r="317" spans="1:3" ht="12.75" x14ac:dyDescent="0.2">
      <c r="A317" s="236">
        <v>309</v>
      </c>
      <c r="B317" s="240" t="s">
        <v>708</v>
      </c>
      <c r="C317" s="241" t="s">
        <v>709</v>
      </c>
    </row>
    <row r="318" spans="1:3" ht="12.75" x14ac:dyDescent="0.2">
      <c r="A318" s="236">
        <v>310</v>
      </c>
      <c r="B318" s="240" t="s">
        <v>710</v>
      </c>
      <c r="C318" s="241" t="s">
        <v>711</v>
      </c>
    </row>
    <row r="319" spans="1:3" ht="12.75" x14ac:dyDescent="0.2">
      <c r="A319" s="236">
        <v>311</v>
      </c>
      <c r="B319" s="240" t="s">
        <v>712</v>
      </c>
      <c r="C319" s="241" t="s">
        <v>713</v>
      </c>
    </row>
    <row r="320" spans="1:3" ht="12.75" x14ac:dyDescent="0.2">
      <c r="A320" s="236">
        <v>312</v>
      </c>
      <c r="B320" s="240" t="s">
        <v>714</v>
      </c>
      <c r="C320" s="241" t="s">
        <v>715</v>
      </c>
    </row>
    <row r="321" spans="1:3" ht="12.75" x14ac:dyDescent="0.2">
      <c r="A321" s="236">
        <v>313</v>
      </c>
      <c r="B321" s="240" t="s">
        <v>716</v>
      </c>
      <c r="C321" s="241" t="s">
        <v>717</v>
      </c>
    </row>
    <row r="322" spans="1:3" ht="12.75" x14ac:dyDescent="0.2">
      <c r="A322" s="236">
        <v>314</v>
      </c>
      <c r="B322" s="240" t="s">
        <v>718</v>
      </c>
      <c r="C322" s="241" t="s">
        <v>719</v>
      </c>
    </row>
    <row r="323" spans="1:3" ht="12.75" x14ac:dyDescent="0.2">
      <c r="A323" s="236">
        <v>315</v>
      </c>
      <c r="B323" s="240" t="s">
        <v>720</v>
      </c>
      <c r="C323" s="241" t="s">
        <v>721</v>
      </c>
    </row>
    <row r="324" spans="1:3" ht="12.75" x14ac:dyDescent="0.2">
      <c r="A324" s="236">
        <v>316</v>
      </c>
      <c r="B324" s="240" t="s">
        <v>722</v>
      </c>
      <c r="C324" s="241" t="s">
        <v>723</v>
      </c>
    </row>
    <row r="325" spans="1:3" ht="12.75" x14ac:dyDescent="0.2">
      <c r="A325" s="236">
        <v>317</v>
      </c>
      <c r="B325" s="240" t="s">
        <v>724</v>
      </c>
      <c r="C325" s="241" t="s">
        <v>725</v>
      </c>
    </row>
    <row r="326" spans="1:3" ht="12.75" x14ac:dyDescent="0.2">
      <c r="A326" s="236">
        <v>318</v>
      </c>
      <c r="B326" s="240" t="s">
        <v>726</v>
      </c>
      <c r="C326" s="241" t="s">
        <v>727</v>
      </c>
    </row>
    <row r="327" spans="1:3" ht="12.75" x14ac:dyDescent="0.2">
      <c r="A327" s="236">
        <v>319</v>
      </c>
      <c r="B327" s="240" t="s">
        <v>728</v>
      </c>
      <c r="C327" s="241" t="s">
        <v>729</v>
      </c>
    </row>
    <row r="328" spans="1:3" ht="12.75" x14ac:dyDescent="0.2">
      <c r="A328" s="236">
        <v>320</v>
      </c>
      <c r="B328" s="240" t="s">
        <v>730</v>
      </c>
      <c r="C328" s="241" t="s">
        <v>731</v>
      </c>
    </row>
    <row r="329" spans="1:3" ht="12.75" x14ac:dyDescent="0.2">
      <c r="A329" s="236">
        <v>321</v>
      </c>
      <c r="B329" s="240" t="s">
        <v>732</v>
      </c>
      <c r="C329" s="241" t="s">
        <v>733</v>
      </c>
    </row>
    <row r="330" spans="1:3" ht="12.75" x14ac:dyDescent="0.2">
      <c r="A330" s="236">
        <v>322</v>
      </c>
      <c r="B330" s="240" t="s">
        <v>734</v>
      </c>
      <c r="C330" s="241" t="s">
        <v>735</v>
      </c>
    </row>
    <row r="331" spans="1:3" ht="12.75" x14ac:dyDescent="0.2">
      <c r="A331" s="236">
        <v>323</v>
      </c>
      <c r="B331" s="240" t="s">
        <v>736</v>
      </c>
      <c r="C331" s="241" t="s">
        <v>737</v>
      </c>
    </row>
    <row r="332" spans="1:3" ht="12.75" x14ac:dyDescent="0.2">
      <c r="A332" s="236">
        <v>324</v>
      </c>
      <c r="B332" s="240" t="s">
        <v>738</v>
      </c>
      <c r="C332" s="241" t="s">
        <v>739</v>
      </c>
    </row>
    <row r="333" spans="1:3" ht="12.75" x14ac:dyDescent="0.2">
      <c r="A333" s="236">
        <v>325</v>
      </c>
      <c r="B333" s="240" t="s">
        <v>740</v>
      </c>
      <c r="C333" s="241" t="s">
        <v>741</v>
      </c>
    </row>
    <row r="334" spans="1:3" ht="13.5" thickBot="1" x14ac:dyDescent="0.25">
      <c r="A334" s="244">
        <v>326</v>
      </c>
      <c r="B334" s="245" t="s">
        <v>742</v>
      </c>
      <c r="C334" s="246" t="s">
        <v>743</v>
      </c>
    </row>
    <row r="335" spans="1:3" ht="12.75" x14ac:dyDescent="0.2">
      <c r="A335" s="247">
        <v>327</v>
      </c>
      <c r="B335" s="248" t="s">
        <v>1142</v>
      </c>
      <c r="C335" s="249" t="s">
        <v>1150</v>
      </c>
    </row>
    <row r="336" spans="1:3" s="251" customFormat="1" ht="12.75" x14ac:dyDescent="0.2">
      <c r="A336" s="250"/>
      <c r="B336" s="250"/>
      <c r="C336" s="250"/>
    </row>
    <row r="337" spans="1:3" s="251" customFormat="1" x14ac:dyDescent="0.2">
      <c r="A337" s="114"/>
      <c r="B337" s="114"/>
      <c r="C337" s="114"/>
    </row>
    <row r="338" spans="1:3" s="251" customFormat="1" x14ac:dyDescent="0.2">
      <c r="A338" s="114"/>
      <c r="B338" s="114"/>
      <c r="C338" s="114"/>
    </row>
    <row r="339" spans="1:3" s="251" customFormat="1" x14ac:dyDescent="0.2">
      <c r="A339" s="114"/>
      <c r="B339" s="114"/>
      <c r="C339" s="114"/>
    </row>
    <row r="340" spans="1:3" s="251" customFormat="1" x14ac:dyDescent="0.2">
      <c r="A340" s="114"/>
      <c r="B340" s="114"/>
      <c r="C340" s="114"/>
    </row>
    <row r="341" spans="1:3" s="251" customFormat="1" x14ac:dyDescent="0.2">
      <c r="A341" s="114"/>
      <c r="B341" s="114"/>
      <c r="C341" s="114"/>
    </row>
    <row r="342" spans="1:3" s="251" customFormat="1" x14ac:dyDescent="0.2">
      <c r="A342" s="114"/>
      <c r="B342" s="114"/>
      <c r="C342" s="114"/>
    </row>
    <row r="343" spans="1:3" s="251" customFormat="1" x14ac:dyDescent="0.2">
      <c r="A343" s="114"/>
      <c r="B343" s="114"/>
      <c r="C343" s="114"/>
    </row>
    <row r="344" spans="1:3" s="251" customFormat="1" x14ac:dyDescent="0.2">
      <c r="A344" s="114"/>
      <c r="B344" s="114"/>
      <c r="C344" s="114"/>
    </row>
    <row r="345" spans="1:3" s="251" customFormat="1" x14ac:dyDescent="0.2">
      <c r="A345" s="114"/>
      <c r="B345" s="114"/>
      <c r="C345" s="114"/>
    </row>
    <row r="346" spans="1:3" s="251" customFormat="1" x14ac:dyDescent="0.2">
      <c r="A346" s="114"/>
      <c r="B346" s="114"/>
      <c r="C346" s="114"/>
    </row>
    <row r="347" spans="1:3" s="251" customFormat="1" x14ac:dyDescent="0.2">
      <c r="A347" s="114"/>
      <c r="B347" s="114"/>
      <c r="C347" s="114"/>
    </row>
    <row r="348" spans="1:3" s="251" customFormat="1" x14ac:dyDescent="0.2">
      <c r="A348" s="114"/>
      <c r="B348" s="114"/>
      <c r="C348" s="114"/>
    </row>
    <row r="349" spans="1:3" s="251" customFormat="1" x14ac:dyDescent="0.2">
      <c r="A349" s="114"/>
      <c r="B349" s="114"/>
      <c r="C349" s="114"/>
    </row>
    <row r="350" spans="1:3" s="251" customFormat="1" x14ac:dyDescent="0.2">
      <c r="A350" s="114"/>
      <c r="B350" s="114"/>
      <c r="C350" s="114"/>
    </row>
    <row r="351" spans="1:3" s="251" customFormat="1" x14ac:dyDescent="0.2">
      <c r="A351" s="114"/>
      <c r="B351" s="114"/>
      <c r="C351" s="114"/>
    </row>
    <row r="352" spans="1:3" s="251" customFormat="1" x14ac:dyDescent="0.2">
      <c r="A352" s="114"/>
      <c r="B352" s="114"/>
      <c r="C352" s="114"/>
    </row>
    <row r="353" spans="1:3" s="251" customFormat="1" x14ac:dyDescent="0.2">
      <c r="A353" s="114"/>
      <c r="B353" s="114"/>
      <c r="C353" s="114"/>
    </row>
    <row r="354" spans="1:3" s="251" customFormat="1" x14ac:dyDescent="0.2">
      <c r="A354" s="114"/>
      <c r="B354" s="114"/>
      <c r="C354" s="114"/>
    </row>
    <row r="355" spans="1:3" s="251" customFormat="1" x14ac:dyDescent="0.2">
      <c r="A355" s="114"/>
      <c r="B355" s="114"/>
      <c r="C355" s="114"/>
    </row>
    <row r="356" spans="1:3" s="251" customFormat="1" x14ac:dyDescent="0.2">
      <c r="A356" s="114"/>
      <c r="B356" s="114"/>
      <c r="C356" s="114"/>
    </row>
    <row r="357" spans="1:3" s="251" customFormat="1" x14ac:dyDescent="0.2">
      <c r="A357" s="114"/>
      <c r="B357" s="114"/>
      <c r="C357" s="114"/>
    </row>
    <row r="358" spans="1:3" s="251" customFormat="1" x14ac:dyDescent="0.2">
      <c r="A358" s="114"/>
      <c r="B358" s="114"/>
      <c r="C358" s="114"/>
    </row>
    <row r="359" spans="1:3" s="251" customFormat="1" x14ac:dyDescent="0.2">
      <c r="A359" s="114"/>
      <c r="B359" s="114"/>
      <c r="C359" s="114"/>
    </row>
    <row r="360" spans="1:3" s="251" customFormat="1" x14ac:dyDescent="0.2">
      <c r="A360" s="114"/>
      <c r="B360" s="114"/>
      <c r="C360" s="114"/>
    </row>
    <row r="361" spans="1:3" s="251" customFormat="1" x14ac:dyDescent="0.2">
      <c r="A361" s="114"/>
      <c r="B361" s="114"/>
      <c r="C361" s="114"/>
    </row>
    <row r="362" spans="1:3" s="251" customFormat="1" x14ac:dyDescent="0.2">
      <c r="A362" s="114"/>
      <c r="B362" s="114"/>
      <c r="C362" s="114"/>
    </row>
    <row r="363" spans="1:3" s="251" customFormat="1" x14ac:dyDescent="0.2">
      <c r="A363" s="114"/>
      <c r="B363" s="114"/>
      <c r="C363" s="114"/>
    </row>
    <row r="364" spans="1:3" s="251" customFormat="1" x14ac:dyDescent="0.2">
      <c r="A364" s="114"/>
      <c r="B364" s="114"/>
      <c r="C364" s="114"/>
    </row>
    <row r="365" spans="1:3" s="251" customFormat="1" x14ac:dyDescent="0.2">
      <c r="A365" s="114"/>
      <c r="B365" s="114"/>
      <c r="C365" s="114"/>
    </row>
    <row r="366" spans="1:3" s="251" customFormat="1" x14ac:dyDescent="0.2">
      <c r="A366" s="114"/>
      <c r="B366" s="114"/>
      <c r="C366" s="114"/>
    </row>
    <row r="367" spans="1:3" s="251" customFormat="1" x14ac:dyDescent="0.2">
      <c r="A367" s="114"/>
      <c r="B367" s="114"/>
      <c r="C367" s="114"/>
    </row>
    <row r="368" spans="1:3" s="251" customFormat="1" x14ac:dyDescent="0.2">
      <c r="A368" s="114"/>
      <c r="B368" s="114"/>
      <c r="C368" s="114"/>
    </row>
    <row r="369" spans="1:3" s="251" customFormat="1" x14ac:dyDescent="0.2">
      <c r="A369" s="114"/>
      <c r="B369" s="114"/>
      <c r="C369" s="114"/>
    </row>
    <row r="370" spans="1:3" s="251" customFormat="1" x14ac:dyDescent="0.2">
      <c r="A370" s="114"/>
      <c r="B370" s="114"/>
      <c r="C370" s="114"/>
    </row>
    <row r="371" spans="1:3" s="251" customFormat="1" x14ac:dyDescent="0.2">
      <c r="A371" s="114"/>
      <c r="B371" s="114"/>
      <c r="C371" s="114"/>
    </row>
    <row r="372" spans="1:3" s="251" customFormat="1" x14ac:dyDescent="0.2">
      <c r="A372" s="114"/>
      <c r="B372" s="114"/>
      <c r="C372" s="114"/>
    </row>
    <row r="373" spans="1:3" s="251" customFormat="1" x14ac:dyDescent="0.2">
      <c r="A373" s="114"/>
      <c r="B373" s="114"/>
      <c r="C373" s="114"/>
    </row>
    <row r="374" spans="1:3" s="251" customFormat="1" x14ac:dyDescent="0.2">
      <c r="A374" s="114"/>
      <c r="B374" s="114"/>
      <c r="C374" s="114"/>
    </row>
    <row r="375" spans="1:3" s="251" customFormat="1" x14ac:dyDescent="0.2">
      <c r="A375" s="114"/>
      <c r="B375" s="114"/>
      <c r="C375" s="114"/>
    </row>
    <row r="376" spans="1:3" s="251" customFormat="1" x14ac:dyDescent="0.2">
      <c r="A376" s="114"/>
      <c r="B376" s="114"/>
      <c r="C376" s="114"/>
    </row>
    <row r="377" spans="1:3" s="251" customFormat="1" x14ac:dyDescent="0.2">
      <c r="A377" s="114"/>
      <c r="B377" s="114"/>
      <c r="C377" s="114"/>
    </row>
    <row r="378" spans="1:3" s="251" customFormat="1" x14ac:dyDescent="0.2">
      <c r="A378" s="114"/>
      <c r="B378" s="114"/>
      <c r="C378" s="114"/>
    </row>
    <row r="379" spans="1:3" s="251" customFormat="1" x14ac:dyDescent="0.2">
      <c r="A379" s="114"/>
      <c r="B379" s="114"/>
      <c r="C379" s="114"/>
    </row>
    <row r="380" spans="1:3" s="251" customFormat="1" x14ac:dyDescent="0.2">
      <c r="A380" s="114"/>
      <c r="B380" s="114"/>
      <c r="C380" s="114"/>
    </row>
    <row r="381" spans="1:3" s="251" customFormat="1" x14ac:dyDescent="0.2">
      <c r="A381" s="114"/>
      <c r="B381" s="114"/>
      <c r="C381" s="114"/>
    </row>
    <row r="382" spans="1:3" s="251" customFormat="1" x14ac:dyDescent="0.2">
      <c r="A382" s="114"/>
      <c r="B382" s="114"/>
      <c r="C382" s="114"/>
    </row>
    <row r="383" spans="1:3" s="251" customFormat="1" x14ac:dyDescent="0.2">
      <c r="A383" s="114"/>
      <c r="B383" s="114"/>
      <c r="C383" s="114"/>
    </row>
    <row r="384" spans="1:3" s="251" customFormat="1" x14ac:dyDescent="0.2">
      <c r="A384" s="114"/>
      <c r="B384" s="114"/>
      <c r="C384" s="114"/>
    </row>
    <row r="385" spans="1:3" s="251" customFormat="1" x14ac:dyDescent="0.2">
      <c r="A385" s="114"/>
      <c r="B385" s="114"/>
      <c r="C385" s="114"/>
    </row>
    <row r="386" spans="1:3" s="251" customFormat="1" x14ac:dyDescent="0.2">
      <c r="A386" s="114"/>
      <c r="B386" s="114"/>
      <c r="C386" s="114"/>
    </row>
    <row r="387" spans="1:3" s="251" customFormat="1" x14ac:dyDescent="0.2">
      <c r="A387" s="114"/>
      <c r="B387" s="114"/>
      <c r="C387" s="114"/>
    </row>
    <row r="388" spans="1:3" s="251" customFormat="1" x14ac:dyDescent="0.2">
      <c r="A388" s="114"/>
      <c r="B388" s="114"/>
      <c r="C388" s="114"/>
    </row>
    <row r="389" spans="1:3" s="251" customFormat="1" x14ac:dyDescent="0.2">
      <c r="A389" s="114"/>
      <c r="B389" s="114"/>
      <c r="C389" s="114"/>
    </row>
    <row r="390" spans="1:3" s="251" customFormat="1" x14ac:dyDescent="0.2">
      <c r="A390" s="114"/>
      <c r="B390" s="114"/>
      <c r="C390" s="114"/>
    </row>
    <row r="391" spans="1:3" s="251" customFormat="1" x14ac:dyDescent="0.2">
      <c r="A391" s="114"/>
      <c r="B391" s="114"/>
      <c r="C391" s="114"/>
    </row>
    <row r="392" spans="1:3" s="251" customFormat="1" x14ac:dyDescent="0.2">
      <c r="A392" s="114"/>
      <c r="B392" s="114"/>
      <c r="C392" s="114"/>
    </row>
    <row r="393" spans="1:3" s="251" customFormat="1" x14ac:dyDescent="0.2">
      <c r="A393" s="114"/>
      <c r="B393" s="114"/>
      <c r="C393" s="114"/>
    </row>
    <row r="394" spans="1:3" s="251" customFormat="1" x14ac:dyDescent="0.2">
      <c r="A394" s="114"/>
      <c r="B394" s="114"/>
      <c r="C394" s="114"/>
    </row>
    <row r="395" spans="1:3" s="251" customFormat="1" x14ac:dyDescent="0.2">
      <c r="A395" s="114"/>
      <c r="B395" s="114"/>
      <c r="C395" s="114"/>
    </row>
    <row r="396" spans="1:3" s="251" customFormat="1" x14ac:dyDescent="0.2">
      <c r="A396" s="114"/>
      <c r="B396" s="114"/>
      <c r="C396" s="114"/>
    </row>
    <row r="397" spans="1:3" s="251" customFormat="1" x14ac:dyDescent="0.2">
      <c r="A397" s="114"/>
      <c r="B397" s="114"/>
      <c r="C397" s="114"/>
    </row>
    <row r="398" spans="1:3" s="251" customFormat="1" x14ac:dyDescent="0.2">
      <c r="A398" s="114"/>
      <c r="B398" s="114"/>
      <c r="C398" s="114"/>
    </row>
    <row r="399" spans="1:3" s="251" customFormat="1" x14ac:dyDescent="0.2">
      <c r="A399" s="114"/>
      <c r="B399" s="114"/>
      <c r="C399" s="114"/>
    </row>
    <row r="400" spans="1:3" s="251" customFormat="1" x14ac:dyDescent="0.2">
      <c r="A400" s="114"/>
      <c r="B400" s="114"/>
      <c r="C400" s="114"/>
    </row>
    <row r="401" spans="1:3" s="251" customFormat="1" x14ac:dyDescent="0.2">
      <c r="A401" s="114"/>
      <c r="B401" s="114"/>
      <c r="C401" s="114"/>
    </row>
    <row r="402" spans="1:3" s="251" customFormat="1" x14ac:dyDescent="0.2">
      <c r="A402" s="114"/>
      <c r="B402" s="114"/>
      <c r="C402" s="114"/>
    </row>
    <row r="403" spans="1:3" s="251" customFormat="1" x14ac:dyDescent="0.2">
      <c r="A403" s="114"/>
      <c r="B403" s="114"/>
      <c r="C403" s="114"/>
    </row>
    <row r="404" spans="1:3" s="251" customFormat="1" x14ac:dyDescent="0.2">
      <c r="A404" s="114"/>
      <c r="B404" s="114"/>
      <c r="C404" s="114"/>
    </row>
    <row r="405" spans="1:3" s="251" customFormat="1" x14ac:dyDescent="0.2">
      <c r="A405" s="114"/>
      <c r="B405" s="114"/>
      <c r="C405" s="114"/>
    </row>
    <row r="406" spans="1:3" s="251" customFormat="1" x14ac:dyDescent="0.2">
      <c r="A406" s="114"/>
      <c r="B406" s="114"/>
      <c r="C406" s="114"/>
    </row>
    <row r="407" spans="1:3" s="251" customFormat="1" x14ac:dyDescent="0.2">
      <c r="A407" s="114"/>
      <c r="B407" s="114"/>
      <c r="C407" s="114"/>
    </row>
    <row r="408" spans="1:3" s="251" customFormat="1" x14ac:dyDescent="0.2">
      <c r="A408" s="114"/>
      <c r="B408" s="114"/>
      <c r="C408" s="114"/>
    </row>
    <row r="409" spans="1:3" s="251" customFormat="1" x14ac:dyDescent="0.2">
      <c r="A409" s="114"/>
      <c r="B409" s="114"/>
      <c r="C409" s="114"/>
    </row>
    <row r="410" spans="1:3" s="251" customFormat="1" x14ac:dyDescent="0.2">
      <c r="A410" s="114"/>
      <c r="B410" s="114"/>
      <c r="C410" s="114"/>
    </row>
    <row r="411" spans="1:3" s="251" customFormat="1" x14ac:dyDescent="0.2">
      <c r="A411" s="114"/>
      <c r="B411" s="114"/>
      <c r="C411" s="114"/>
    </row>
    <row r="412" spans="1:3" s="251" customFormat="1" x14ac:dyDescent="0.2">
      <c r="A412" s="114"/>
      <c r="B412" s="114"/>
      <c r="C412" s="114"/>
    </row>
    <row r="413" spans="1:3" s="251" customFormat="1" x14ac:dyDescent="0.2">
      <c r="A413" s="114"/>
      <c r="B413" s="114"/>
      <c r="C413" s="114"/>
    </row>
    <row r="414" spans="1:3" s="251" customFormat="1" x14ac:dyDescent="0.2">
      <c r="A414" s="114"/>
      <c r="B414" s="114"/>
      <c r="C414" s="114"/>
    </row>
    <row r="415" spans="1:3" s="251" customFormat="1" x14ac:dyDescent="0.2">
      <c r="A415" s="114"/>
      <c r="B415" s="114"/>
      <c r="C415" s="114"/>
    </row>
    <row r="416" spans="1:3" s="251" customFormat="1" x14ac:dyDescent="0.2">
      <c r="A416" s="114"/>
      <c r="B416" s="114"/>
      <c r="C416" s="114"/>
    </row>
    <row r="417" spans="1:3" s="251" customFormat="1" x14ac:dyDescent="0.2">
      <c r="A417" s="114"/>
      <c r="B417" s="114"/>
      <c r="C417" s="114"/>
    </row>
    <row r="418" spans="1:3" s="251" customFormat="1" x14ac:dyDescent="0.2">
      <c r="A418" s="114"/>
      <c r="B418" s="114"/>
      <c r="C418" s="114"/>
    </row>
    <row r="419" spans="1:3" s="251" customFormat="1" x14ac:dyDescent="0.2">
      <c r="A419" s="114"/>
      <c r="B419" s="114"/>
      <c r="C419" s="114"/>
    </row>
    <row r="420" spans="1:3" s="251" customFormat="1" x14ac:dyDescent="0.2">
      <c r="A420" s="114"/>
      <c r="B420" s="114"/>
      <c r="C420" s="114"/>
    </row>
    <row r="421" spans="1:3" s="251" customFormat="1" x14ac:dyDescent="0.2">
      <c r="A421" s="114"/>
      <c r="B421" s="114"/>
      <c r="C421" s="114"/>
    </row>
    <row r="422" spans="1:3" s="251" customFormat="1" x14ac:dyDescent="0.2">
      <c r="A422" s="114"/>
      <c r="B422" s="114"/>
      <c r="C422" s="114"/>
    </row>
    <row r="423" spans="1:3" s="251" customFormat="1" x14ac:dyDescent="0.2">
      <c r="A423" s="114"/>
      <c r="B423" s="114"/>
      <c r="C423" s="114"/>
    </row>
    <row r="424" spans="1:3" s="251" customFormat="1" x14ac:dyDescent="0.2">
      <c r="A424" s="114"/>
      <c r="B424" s="114"/>
      <c r="C424" s="114"/>
    </row>
    <row r="425" spans="1:3" s="251" customFormat="1" x14ac:dyDescent="0.2">
      <c r="A425" s="114"/>
      <c r="B425" s="114"/>
      <c r="C425" s="114"/>
    </row>
    <row r="426" spans="1:3" s="251" customFormat="1" x14ac:dyDescent="0.2">
      <c r="A426" s="114"/>
      <c r="B426" s="114"/>
      <c r="C426" s="114"/>
    </row>
    <row r="427" spans="1:3" s="251" customFormat="1" x14ac:dyDescent="0.2">
      <c r="A427" s="114"/>
      <c r="B427" s="114"/>
      <c r="C427" s="114"/>
    </row>
    <row r="428" spans="1:3" s="251" customFormat="1" x14ac:dyDescent="0.2">
      <c r="A428" s="114"/>
      <c r="B428" s="114"/>
      <c r="C428" s="114"/>
    </row>
    <row r="429" spans="1:3" s="251" customFormat="1" x14ac:dyDescent="0.2">
      <c r="A429" s="114"/>
      <c r="B429" s="114"/>
      <c r="C429" s="114"/>
    </row>
    <row r="430" spans="1:3" s="251" customFormat="1" x14ac:dyDescent="0.2">
      <c r="A430" s="114"/>
      <c r="B430" s="114"/>
      <c r="C430" s="114"/>
    </row>
    <row r="431" spans="1:3" s="251" customFormat="1" x14ac:dyDescent="0.2">
      <c r="A431" s="114"/>
      <c r="B431" s="114"/>
      <c r="C431" s="114"/>
    </row>
    <row r="432" spans="1:3" s="251" customFormat="1" x14ac:dyDescent="0.2">
      <c r="A432" s="114"/>
      <c r="B432" s="114"/>
      <c r="C432" s="114"/>
    </row>
    <row r="433" spans="1:3" s="251" customFormat="1" x14ac:dyDescent="0.2">
      <c r="A433" s="114"/>
      <c r="B433" s="114"/>
      <c r="C433" s="114"/>
    </row>
    <row r="434" spans="1:3" s="251" customFormat="1" x14ac:dyDescent="0.2">
      <c r="A434" s="114"/>
      <c r="B434" s="114"/>
      <c r="C434" s="114"/>
    </row>
    <row r="435" spans="1:3" s="251" customFormat="1" x14ac:dyDescent="0.2">
      <c r="A435" s="114"/>
      <c r="B435" s="114"/>
      <c r="C435" s="114"/>
    </row>
    <row r="436" spans="1:3" s="251" customFormat="1" x14ac:dyDescent="0.2">
      <c r="A436" s="114"/>
      <c r="B436" s="114"/>
      <c r="C436" s="114"/>
    </row>
    <row r="437" spans="1:3" s="251" customFormat="1" x14ac:dyDescent="0.2">
      <c r="A437" s="114"/>
      <c r="B437" s="114"/>
      <c r="C437" s="114"/>
    </row>
    <row r="438" spans="1:3" s="251" customFormat="1" x14ac:dyDescent="0.2">
      <c r="A438" s="114"/>
      <c r="B438" s="114"/>
      <c r="C438" s="114"/>
    </row>
    <row r="439" spans="1:3" s="251" customFormat="1" x14ac:dyDescent="0.2">
      <c r="A439" s="114"/>
      <c r="B439" s="114"/>
      <c r="C439" s="114"/>
    </row>
    <row r="440" spans="1:3" s="251" customFormat="1" x14ac:dyDescent="0.2">
      <c r="A440" s="114"/>
      <c r="B440" s="114"/>
      <c r="C440" s="114"/>
    </row>
    <row r="441" spans="1:3" s="251" customFormat="1" x14ac:dyDescent="0.2">
      <c r="A441" s="114"/>
      <c r="B441" s="114"/>
      <c r="C441" s="114"/>
    </row>
    <row r="442" spans="1:3" s="251" customFormat="1" x14ac:dyDescent="0.2">
      <c r="A442" s="114"/>
      <c r="B442" s="114"/>
      <c r="C442" s="114"/>
    </row>
    <row r="443" spans="1:3" s="251" customFormat="1" x14ac:dyDescent="0.2">
      <c r="A443" s="114"/>
      <c r="B443" s="114"/>
      <c r="C443" s="114"/>
    </row>
    <row r="444" spans="1:3" s="251" customFormat="1" x14ac:dyDescent="0.2">
      <c r="A444" s="114"/>
      <c r="B444" s="114"/>
      <c r="C444" s="114"/>
    </row>
    <row r="445" spans="1:3" s="251" customFormat="1" x14ac:dyDescent="0.2">
      <c r="A445" s="114"/>
      <c r="B445" s="114"/>
      <c r="C445" s="114"/>
    </row>
    <row r="446" spans="1:3" s="251" customFormat="1" x14ac:dyDescent="0.2">
      <c r="A446" s="114"/>
      <c r="B446" s="114"/>
      <c r="C446" s="114"/>
    </row>
    <row r="447" spans="1:3" s="251" customFormat="1" x14ac:dyDescent="0.2">
      <c r="A447" s="114"/>
      <c r="B447" s="114"/>
      <c r="C447" s="114"/>
    </row>
    <row r="448" spans="1:3" s="251" customFormat="1" x14ac:dyDescent="0.2">
      <c r="A448" s="114"/>
      <c r="B448" s="114"/>
      <c r="C448" s="114"/>
    </row>
    <row r="449" spans="1:3" s="251" customFormat="1" x14ac:dyDescent="0.2">
      <c r="A449" s="114"/>
      <c r="B449" s="114"/>
      <c r="C449" s="114"/>
    </row>
    <row r="450" spans="1:3" s="251" customFormat="1" x14ac:dyDescent="0.2">
      <c r="A450" s="114"/>
      <c r="B450" s="114"/>
      <c r="C450" s="114"/>
    </row>
    <row r="451" spans="1:3" s="251" customFormat="1" x14ac:dyDescent="0.2">
      <c r="A451" s="114"/>
      <c r="B451" s="114"/>
      <c r="C451" s="114"/>
    </row>
    <row r="452" spans="1:3" s="251" customFormat="1" x14ac:dyDescent="0.2">
      <c r="A452" s="114"/>
      <c r="B452" s="114"/>
      <c r="C452" s="114"/>
    </row>
    <row r="453" spans="1:3" s="251" customFormat="1" x14ac:dyDescent="0.2">
      <c r="A453" s="114"/>
      <c r="B453" s="114"/>
      <c r="C453" s="114"/>
    </row>
    <row r="454" spans="1:3" s="251" customFormat="1" x14ac:dyDescent="0.2">
      <c r="A454" s="114"/>
      <c r="B454" s="114"/>
      <c r="C454" s="114"/>
    </row>
    <row r="455" spans="1:3" s="251" customFormat="1" x14ac:dyDescent="0.2">
      <c r="A455" s="114"/>
      <c r="B455" s="114"/>
      <c r="C455" s="114"/>
    </row>
    <row r="456" spans="1:3" s="251" customFormat="1" x14ac:dyDescent="0.2">
      <c r="A456" s="114"/>
      <c r="B456" s="114"/>
      <c r="C456" s="114"/>
    </row>
    <row r="457" spans="1:3" s="251" customFormat="1" x14ac:dyDescent="0.2">
      <c r="A457" s="114"/>
      <c r="B457" s="114"/>
      <c r="C457" s="114"/>
    </row>
    <row r="458" spans="1:3" s="251" customFormat="1" x14ac:dyDescent="0.2">
      <c r="A458" s="114"/>
      <c r="B458" s="114"/>
      <c r="C458" s="114"/>
    </row>
    <row r="459" spans="1:3" s="251" customFormat="1" x14ac:dyDescent="0.2">
      <c r="A459" s="114"/>
      <c r="B459" s="114"/>
      <c r="C459" s="114"/>
    </row>
    <row r="460" spans="1:3" s="251" customFormat="1" x14ac:dyDescent="0.2">
      <c r="A460" s="114"/>
      <c r="B460" s="114"/>
      <c r="C460" s="114"/>
    </row>
    <row r="461" spans="1:3" s="251" customFormat="1" x14ac:dyDescent="0.2">
      <c r="A461" s="114"/>
      <c r="B461" s="114"/>
      <c r="C461" s="114"/>
    </row>
    <row r="462" spans="1:3" s="251" customFormat="1" x14ac:dyDescent="0.2">
      <c r="A462" s="114"/>
      <c r="B462" s="114"/>
      <c r="C462" s="114"/>
    </row>
    <row r="463" spans="1:3" s="251" customFormat="1" x14ac:dyDescent="0.2">
      <c r="A463" s="114"/>
      <c r="B463" s="114"/>
      <c r="C463" s="114"/>
    </row>
    <row r="464" spans="1:3" s="251" customFormat="1" x14ac:dyDescent="0.2">
      <c r="A464" s="114"/>
      <c r="B464" s="114"/>
      <c r="C464" s="114"/>
    </row>
    <row r="465" spans="1:3" s="251" customFormat="1" x14ac:dyDescent="0.2">
      <c r="A465" s="114"/>
      <c r="B465" s="114"/>
      <c r="C465" s="114"/>
    </row>
    <row r="466" spans="1:3" s="251" customFormat="1" x14ac:dyDescent="0.2">
      <c r="A466" s="114"/>
      <c r="B466" s="114"/>
      <c r="C466" s="114"/>
    </row>
    <row r="467" spans="1:3" s="251" customFormat="1" x14ac:dyDescent="0.2">
      <c r="A467" s="114"/>
      <c r="B467" s="114"/>
      <c r="C467" s="114"/>
    </row>
    <row r="468" spans="1:3" s="251" customFormat="1" x14ac:dyDescent="0.2">
      <c r="A468" s="114"/>
      <c r="B468" s="114"/>
      <c r="C468" s="114"/>
    </row>
    <row r="469" spans="1:3" s="251" customFormat="1" x14ac:dyDescent="0.2">
      <c r="A469" s="114"/>
      <c r="B469" s="114"/>
      <c r="C469" s="114"/>
    </row>
    <row r="470" spans="1:3" s="251" customFormat="1" x14ac:dyDescent="0.2">
      <c r="A470" s="114"/>
      <c r="B470" s="114"/>
      <c r="C470" s="114"/>
    </row>
    <row r="471" spans="1:3" s="251" customFormat="1" x14ac:dyDescent="0.2">
      <c r="A471" s="114"/>
      <c r="B471" s="114"/>
      <c r="C471" s="114"/>
    </row>
    <row r="472" spans="1:3" s="251" customFormat="1" x14ac:dyDescent="0.2">
      <c r="A472" s="114"/>
      <c r="B472" s="114"/>
      <c r="C472" s="114"/>
    </row>
    <row r="473" spans="1:3" s="251" customFormat="1" x14ac:dyDescent="0.2">
      <c r="A473" s="114"/>
      <c r="B473" s="114"/>
      <c r="C473" s="114"/>
    </row>
    <row r="474" spans="1:3" s="251" customFormat="1" x14ac:dyDescent="0.2">
      <c r="A474" s="114"/>
      <c r="B474" s="114"/>
      <c r="C474" s="114"/>
    </row>
    <row r="475" spans="1:3" s="251" customFormat="1" x14ac:dyDescent="0.2">
      <c r="A475" s="114"/>
      <c r="B475" s="114"/>
      <c r="C475" s="114"/>
    </row>
    <row r="476" spans="1:3" s="251" customFormat="1" x14ac:dyDescent="0.2">
      <c r="A476" s="114"/>
      <c r="B476" s="114"/>
      <c r="C476" s="114"/>
    </row>
    <row r="477" spans="1:3" s="251" customFormat="1" x14ac:dyDescent="0.2">
      <c r="A477" s="114"/>
      <c r="B477" s="114"/>
      <c r="C477" s="114"/>
    </row>
    <row r="478" spans="1:3" s="251" customFormat="1" x14ac:dyDescent="0.2">
      <c r="A478" s="114"/>
      <c r="B478" s="114"/>
      <c r="C478" s="114"/>
    </row>
    <row r="479" spans="1:3" s="251" customFormat="1" x14ac:dyDescent="0.2">
      <c r="A479" s="114"/>
      <c r="B479" s="114"/>
      <c r="C479" s="114"/>
    </row>
    <row r="480" spans="1:3" s="251" customFormat="1" x14ac:dyDescent="0.2">
      <c r="A480" s="114"/>
      <c r="B480" s="114"/>
      <c r="C480" s="114"/>
    </row>
    <row r="481" spans="1:3" s="251" customFormat="1" x14ac:dyDescent="0.2">
      <c r="A481" s="114"/>
      <c r="B481" s="114"/>
      <c r="C481" s="114"/>
    </row>
    <row r="482" spans="1:3" s="251" customFormat="1" x14ac:dyDescent="0.2">
      <c r="A482" s="114"/>
      <c r="B482" s="114"/>
      <c r="C482" s="114"/>
    </row>
    <row r="483" spans="1:3" s="251" customFormat="1" x14ac:dyDescent="0.2">
      <c r="A483" s="114"/>
      <c r="B483" s="114"/>
      <c r="C483" s="114"/>
    </row>
    <row r="484" spans="1:3" s="251" customFormat="1" x14ac:dyDescent="0.2">
      <c r="A484" s="114"/>
      <c r="B484" s="114"/>
      <c r="C484" s="114"/>
    </row>
    <row r="485" spans="1:3" s="251" customFormat="1" x14ac:dyDescent="0.2">
      <c r="A485" s="114"/>
      <c r="B485" s="114"/>
      <c r="C485" s="114"/>
    </row>
    <row r="486" spans="1:3" s="251" customFormat="1" x14ac:dyDescent="0.2">
      <c r="A486" s="114"/>
      <c r="B486" s="114"/>
      <c r="C486" s="114"/>
    </row>
    <row r="487" spans="1:3" s="251" customFormat="1" x14ac:dyDescent="0.2">
      <c r="A487" s="114"/>
      <c r="B487" s="114"/>
      <c r="C487" s="114"/>
    </row>
    <row r="488" spans="1:3" s="251" customFormat="1" x14ac:dyDescent="0.2">
      <c r="A488" s="114"/>
      <c r="B488" s="114"/>
      <c r="C488" s="114"/>
    </row>
    <row r="489" spans="1:3" s="251" customFormat="1" x14ac:dyDescent="0.2">
      <c r="A489" s="114"/>
      <c r="B489" s="114"/>
      <c r="C489" s="114"/>
    </row>
    <row r="490" spans="1:3" s="251" customFormat="1" x14ac:dyDescent="0.2">
      <c r="A490" s="114"/>
      <c r="B490" s="114"/>
      <c r="C490" s="114"/>
    </row>
    <row r="491" spans="1:3" s="251" customFormat="1" x14ac:dyDescent="0.2">
      <c r="A491" s="114"/>
      <c r="B491" s="114"/>
      <c r="C491" s="114"/>
    </row>
    <row r="492" spans="1:3" s="251" customFormat="1" x14ac:dyDescent="0.2">
      <c r="A492" s="114"/>
      <c r="B492" s="114"/>
      <c r="C492" s="114"/>
    </row>
    <row r="493" spans="1:3" s="251" customFormat="1" x14ac:dyDescent="0.2">
      <c r="A493" s="114"/>
      <c r="B493" s="114"/>
      <c r="C493" s="114"/>
    </row>
    <row r="494" spans="1:3" s="251" customFormat="1" x14ac:dyDescent="0.2">
      <c r="A494" s="114"/>
      <c r="B494" s="114"/>
      <c r="C494" s="114"/>
    </row>
    <row r="495" spans="1:3" s="251" customFormat="1" x14ac:dyDescent="0.2">
      <c r="A495" s="114"/>
      <c r="B495" s="114"/>
      <c r="C495" s="114"/>
    </row>
    <row r="496" spans="1:3" s="251" customFormat="1" x14ac:dyDescent="0.2">
      <c r="A496" s="114"/>
      <c r="B496" s="114"/>
      <c r="C496" s="114"/>
    </row>
    <row r="497" spans="1:3" s="251" customFormat="1" x14ac:dyDescent="0.2">
      <c r="A497" s="114"/>
      <c r="B497" s="114"/>
      <c r="C497" s="114"/>
    </row>
    <row r="498" spans="1:3" s="251" customFormat="1" x14ac:dyDescent="0.2">
      <c r="A498" s="114"/>
      <c r="B498" s="114"/>
      <c r="C498" s="114"/>
    </row>
    <row r="499" spans="1:3" s="251" customFormat="1" x14ac:dyDescent="0.2">
      <c r="A499" s="114"/>
      <c r="B499" s="114"/>
      <c r="C499" s="114"/>
    </row>
    <row r="500" spans="1:3" s="251" customFormat="1" x14ac:dyDescent="0.2">
      <c r="A500" s="114"/>
      <c r="B500" s="114"/>
      <c r="C500" s="114"/>
    </row>
    <row r="501" spans="1:3" s="251" customFormat="1" x14ac:dyDescent="0.2">
      <c r="A501" s="114"/>
      <c r="B501" s="114"/>
      <c r="C501" s="114"/>
    </row>
    <row r="502" spans="1:3" s="251" customFormat="1" x14ac:dyDescent="0.2">
      <c r="A502" s="114"/>
      <c r="B502" s="114"/>
      <c r="C502" s="114"/>
    </row>
    <row r="503" spans="1:3" s="251" customFormat="1" x14ac:dyDescent="0.2">
      <c r="A503" s="114"/>
      <c r="B503" s="114"/>
      <c r="C503" s="114"/>
    </row>
    <row r="504" spans="1:3" s="251" customFormat="1" x14ac:dyDescent="0.2">
      <c r="A504" s="114"/>
      <c r="B504" s="114"/>
      <c r="C504" s="114"/>
    </row>
    <row r="505" spans="1:3" s="251" customFormat="1" x14ac:dyDescent="0.2">
      <c r="A505" s="114"/>
      <c r="B505" s="114"/>
      <c r="C505" s="114"/>
    </row>
    <row r="506" spans="1:3" s="251" customFormat="1" x14ac:dyDescent="0.2">
      <c r="A506" s="114"/>
      <c r="B506" s="114"/>
      <c r="C506" s="114"/>
    </row>
    <row r="507" spans="1:3" s="251" customFormat="1" x14ac:dyDescent="0.2">
      <c r="A507" s="114"/>
      <c r="B507" s="114"/>
      <c r="C507" s="114"/>
    </row>
    <row r="508" spans="1:3" s="251" customFormat="1" x14ac:dyDescent="0.2">
      <c r="A508" s="114"/>
      <c r="B508" s="114"/>
      <c r="C508" s="114"/>
    </row>
    <row r="509" spans="1:3" s="251" customFormat="1" x14ac:dyDescent="0.2">
      <c r="A509" s="114"/>
      <c r="B509" s="114"/>
      <c r="C509" s="114"/>
    </row>
    <row r="510" spans="1:3" s="251" customFormat="1" x14ac:dyDescent="0.2">
      <c r="A510" s="114"/>
      <c r="B510" s="114"/>
      <c r="C510" s="114"/>
    </row>
    <row r="511" spans="1:3" s="251" customFormat="1" x14ac:dyDescent="0.2">
      <c r="A511" s="114"/>
      <c r="B511" s="114"/>
      <c r="C511" s="114"/>
    </row>
    <row r="512" spans="1:3" s="251" customFormat="1" x14ac:dyDescent="0.2">
      <c r="A512" s="114"/>
      <c r="B512" s="114"/>
      <c r="C512" s="114"/>
    </row>
    <row r="513" spans="1:3" s="251" customFormat="1" x14ac:dyDescent="0.2">
      <c r="A513" s="114"/>
      <c r="B513" s="114"/>
      <c r="C513" s="114"/>
    </row>
    <row r="514" spans="1:3" s="251" customFormat="1" x14ac:dyDescent="0.2">
      <c r="A514" s="114"/>
      <c r="B514" s="114"/>
      <c r="C514" s="114"/>
    </row>
    <row r="515" spans="1:3" s="251" customFormat="1" x14ac:dyDescent="0.2">
      <c r="A515" s="114"/>
      <c r="B515" s="114"/>
      <c r="C515" s="114"/>
    </row>
    <row r="516" spans="1:3" s="251" customFormat="1" x14ac:dyDescent="0.2">
      <c r="A516" s="114"/>
      <c r="B516" s="114"/>
      <c r="C516" s="114"/>
    </row>
    <row r="517" spans="1:3" s="251" customFormat="1" x14ac:dyDescent="0.2">
      <c r="A517" s="114"/>
      <c r="B517" s="114"/>
      <c r="C517" s="114"/>
    </row>
    <row r="518" spans="1:3" s="251" customFormat="1" x14ac:dyDescent="0.2">
      <c r="A518" s="114"/>
      <c r="B518" s="114"/>
      <c r="C518" s="114"/>
    </row>
    <row r="519" spans="1:3" s="251" customFormat="1" x14ac:dyDescent="0.2">
      <c r="A519" s="114"/>
      <c r="B519" s="114"/>
      <c r="C519" s="114"/>
    </row>
    <row r="520" spans="1:3" s="251" customFormat="1" x14ac:dyDescent="0.2">
      <c r="A520" s="114"/>
      <c r="B520" s="114"/>
      <c r="C520" s="114"/>
    </row>
    <row r="521" spans="1:3" s="251" customFormat="1" x14ac:dyDescent="0.2">
      <c r="A521" s="114"/>
      <c r="B521" s="114"/>
      <c r="C521" s="114"/>
    </row>
    <row r="522" spans="1:3" s="251" customFormat="1" x14ac:dyDescent="0.2">
      <c r="A522" s="114"/>
      <c r="B522" s="114"/>
      <c r="C522" s="114"/>
    </row>
    <row r="523" spans="1:3" s="251" customFormat="1" x14ac:dyDescent="0.2">
      <c r="A523" s="114"/>
      <c r="B523" s="114"/>
      <c r="C523" s="114"/>
    </row>
    <row r="524" spans="1:3" s="251" customFormat="1" x14ac:dyDescent="0.2">
      <c r="A524" s="114"/>
      <c r="B524" s="114"/>
      <c r="C524" s="114"/>
    </row>
    <row r="525" spans="1:3" s="251" customFormat="1" x14ac:dyDescent="0.2">
      <c r="A525" s="114"/>
      <c r="B525" s="114"/>
      <c r="C525" s="114"/>
    </row>
    <row r="526" spans="1:3" s="251" customFormat="1" x14ac:dyDescent="0.2">
      <c r="A526" s="114"/>
      <c r="B526" s="114"/>
      <c r="C526" s="114"/>
    </row>
    <row r="527" spans="1:3" s="251" customFormat="1" x14ac:dyDescent="0.2">
      <c r="A527" s="114"/>
      <c r="B527" s="114"/>
      <c r="C527" s="114"/>
    </row>
    <row r="528" spans="1:3" s="251" customFormat="1" x14ac:dyDescent="0.2">
      <c r="A528" s="114"/>
      <c r="B528" s="114"/>
      <c r="C528" s="114"/>
    </row>
    <row r="529" spans="1:3" s="251" customFormat="1" x14ac:dyDescent="0.2">
      <c r="A529" s="114"/>
      <c r="B529" s="114"/>
      <c r="C529" s="114"/>
    </row>
    <row r="530" spans="1:3" s="251" customFormat="1" x14ac:dyDescent="0.2">
      <c r="A530" s="114"/>
      <c r="B530" s="114"/>
      <c r="C530" s="114"/>
    </row>
    <row r="531" spans="1:3" s="251" customFormat="1" x14ac:dyDescent="0.2">
      <c r="A531" s="114"/>
      <c r="B531" s="114"/>
      <c r="C531" s="114"/>
    </row>
    <row r="532" spans="1:3" s="251" customFormat="1" x14ac:dyDescent="0.2">
      <c r="A532" s="114"/>
      <c r="B532" s="114"/>
      <c r="C532" s="114"/>
    </row>
    <row r="533" spans="1:3" s="251" customFormat="1" x14ac:dyDescent="0.2">
      <c r="A533" s="114"/>
      <c r="B533" s="114"/>
      <c r="C533" s="114"/>
    </row>
    <row r="534" spans="1:3" s="251" customFormat="1" x14ac:dyDescent="0.2">
      <c r="A534" s="114"/>
      <c r="B534" s="114"/>
      <c r="C534" s="114"/>
    </row>
    <row r="535" spans="1:3" s="251" customFormat="1" x14ac:dyDescent="0.2">
      <c r="A535" s="114"/>
      <c r="B535" s="114"/>
      <c r="C535" s="114"/>
    </row>
    <row r="536" spans="1:3" s="251" customFormat="1" x14ac:dyDescent="0.2">
      <c r="A536" s="114"/>
      <c r="B536" s="114"/>
      <c r="C536" s="114"/>
    </row>
    <row r="537" spans="1:3" s="251" customFormat="1" x14ac:dyDescent="0.2">
      <c r="A537" s="114"/>
      <c r="B537" s="114"/>
      <c r="C537" s="114"/>
    </row>
    <row r="538" spans="1:3" s="251" customFormat="1" x14ac:dyDescent="0.2">
      <c r="A538" s="114"/>
      <c r="B538" s="114"/>
      <c r="C538" s="114"/>
    </row>
    <row r="539" spans="1:3" s="251" customFormat="1" x14ac:dyDescent="0.2">
      <c r="A539" s="114"/>
      <c r="B539" s="114"/>
      <c r="C539" s="114"/>
    </row>
    <row r="540" spans="1:3" s="251" customFormat="1" x14ac:dyDescent="0.2">
      <c r="A540" s="114"/>
      <c r="B540" s="114"/>
      <c r="C540" s="114"/>
    </row>
    <row r="541" spans="1:3" s="251" customFormat="1" x14ac:dyDescent="0.2">
      <c r="A541" s="114"/>
      <c r="B541" s="114"/>
      <c r="C541" s="114"/>
    </row>
    <row r="542" spans="1:3" s="251" customFormat="1" x14ac:dyDescent="0.2">
      <c r="A542" s="114"/>
      <c r="B542" s="114"/>
      <c r="C542" s="114"/>
    </row>
    <row r="543" spans="1:3" s="251" customFormat="1" x14ac:dyDescent="0.2">
      <c r="A543" s="114"/>
      <c r="B543" s="114"/>
      <c r="C543" s="114"/>
    </row>
    <row r="544" spans="1:3" s="251" customFormat="1" x14ac:dyDescent="0.2">
      <c r="A544" s="114"/>
      <c r="B544" s="114"/>
      <c r="C544" s="114"/>
    </row>
    <row r="545" spans="1:3" s="251" customFormat="1" x14ac:dyDescent="0.2">
      <c r="A545" s="114"/>
      <c r="B545" s="114"/>
      <c r="C545" s="114"/>
    </row>
    <row r="546" spans="1:3" s="251" customFormat="1" x14ac:dyDescent="0.2">
      <c r="A546" s="114"/>
      <c r="B546" s="114"/>
      <c r="C546" s="114"/>
    </row>
    <row r="547" spans="1:3" s="251" customFormat="1" x14ac:dyDescent="0.2">
      <c r="A547" s="114"/>
      <c r="B547" s="114"/>
      <c r="C547" s="114"/>
    </row>
    <row r="548" spans="1:3" s="251" customFormat="1" x14ac:dyDescent="0.2">
      <c r="A548" s="114"/>
      <c r="B548" s="114"/>
      <c r="C548" s="114"/>
    </row>
    <row r="549" spans="1:3" s="251" customFormat="1" x14ac:dyDescent="0.2">
      <c r="A549" s="114"/>
      <c r="B549" s="114"/>
      <c r="C549" s="114"/>
    </row>
    <row r="550" spans="1:3" s="251" customFormat="1" x14ac:dyDescent="0.2">
      <c r="A550" s="114"/>
      <c r="B550" s="114"/>
      <c r="C550" s="114"/>
    </row>
    <row r="551" spans="1:3" s="251" customFormat="1" x14ac:dyDescent="0.2">
      <c r="A551" s="114"/>
      <c r="B551" s="114"/>
      <c r="C551" s="114"/>
    </row>
    <row r="552" spans="1:3" s="251" customFormat="1" x14ac:dyDescent="0.2">
      <c r="A552" s="114"/>
      <c r="B552" s="114"/>
      <c r="C552" s="114"/>
    </row>
    <row r="553" spans="1:3" s="251" customFormat="1" x14ac:dyDescent="0.2">
      <c r="A553" s="114"/>
      <c r="B553" s="114"/>
      <c r="C553" s="114"/>
    </row>
    <row r="554" spans="1:3" s="251" customFormat="1" x14ac:dyDescent="0.2">
      <c r="A554" s="114"/>
      <c r="B554" s="114"/>
      <c r="C554" s="114"/>
    </row>
    <row r="555" spans="1:3" s="251" customFormat="1" x14ac:dyDescent="0.2">
      <c r="A555" s="114"/>
      <c r="B555" s="114"/>
      <c r="C555" s="114"/>
    </row>
    <row r="556" spans="1:3" s="251" customFormat="1" x14ac:dyDescent="0.2">
      <c r="A556" s="114"/>
      <c r="B556" s="114"/>
      <c r="C556" s="114"/>
    </row>
    <row r="557" spans="1:3" s="251" customFormat="1" x14ac:dyDescent="0.2">
      <c r="A557" s="114"/>
      <c r="B557" s="114"/>
      <c r="C557" s="114"/>
    </row>
    <row r="558" spans="1:3" s="251" customFormat="1" x14ac:dyDescent="0.2">
      <c r="A558" s="114"/>
      <c r="B558" s="114"/>
      <c r="C558" s="114"/>
    </row>
    <row r="559" spans="1:3" s="251" customFormat="1" x14ac:dyDescent="0.2">
      <c r="A559" s="114"/>
      <c r="B559" s="114"/>
      <c r="C559" s="114"/>
    </row>
    <row r="560" spans="1:3" s="251" customFormat="1" x14ac:dyDescent="0.2">
      <c r="A560" s="114"/>
      <c r="B560" s="114"/>
      <c r="C560" s="114"/>
    </row>
    <row r="561" spans="1:3" s="251" customFormat="1" x14ac:dyDescent="0.2">
      <c r="A561" s="114"/>
      <c r="B561" s="114"/>
      <c r="C561" s="114"/>
    </row>
    <row r="562" spans="1:3" s="251" customFormat="1" x14ac:dyDescent="0.2">
      <c r="A562" s="114"/>
      <c r="B562" s="114"/>
      <c r="C562" s="114"/>
    </row>
    <row r="563" spans="1:3" s="251" customFormat="1" x14ac:dyDescent="0.2">
      <c r="A563" s="114"/>
      <c r="B563" s="114"/>
      <c r="C563" s="114"/>
    </row>
    <row r="564" spans="1:3" s="251" customFormat="1" x14ac:dyDescent="0.2">
      <c r="A564" s="114"/>
      <c r="B564" s="114"/>
      <c r="C564" s="114"/>
    </row>
    <row r="565" spans="1:3" s="251" customFormat="1" x14ac:dyDescent="0.2">
      <c r="A565" s="114"/>
      <c r="B565" s="114"/>
      <c r="C565" s="114"/>
    </row>
    <row r="566" spans="1:3" s="251" customFormat="1" x14ac:dyDescent="0.2">
      <c r="A566" s="114"/>
      <c r="B566" s="114"/>
      <c r="C566" s="114"/>
    </row>
    <row r="567" spans="1:3" s="251" customFormat="1" x14ac:dyDescent="0.2">
      <c r="A567" s="114"/>
      <c r="B567" s="114"/>
      <c r="C567" s="114"/>
    </row>
    <row r="568" spans="1:3" s="251" customFormat="1" x14ac:dyDescent="0.2">
      <c r="A568" s="114"/>
      <c r="B568" s="114"/>
      <c r="C568" s="114"/>
    </row>
    <row r="569" spans="1:3" s="251" customFormat="1" x14ac:dyDescent="0.2">
      <c r="A569" s="114"/>
      <c r="B569" s="114"/>
      <c r="C569" s="114"/>
    </row>
    <row r="570" spans="1:3" s="251" customFormat="1" x14ac:dyDescent="0.2">
      <c r="A570" s="114"/>
      <c r="B570" s="114"/>
      <c r="C570" s="114"/>
    </row>
    <row r="571" spans="1:3" s="251" customFormat="1" x14ac:dyDescent="0.2">
      <c r="A571" s="114"/>
      <c r="B571" s="114"/>
      <c r="C571" s="114"/>
    </row>
    <row r="572" spans="1:3" s="251" customFormat="1" x14ac:dyDescent="0.2">
      <c r="A572" s="114"/>
      <c r="B572" s="114"/>
      <c r="C572" s="114"/>
    </row>
    <row r="573" spans="1:3" s="251" customFormat="1" x14ac:dyDescent="0.2">
      <c r="A573" s="114"/>
      <c r="B573" s="114"/>
      <c r="C573" s="114"/>
    </row>
    <row r="574" spans="1:3" s="251" customFormat="1" x14ac:dyDescent="0.2">
      <c r="A574" s="114"/>
      <c r="B574" s="114"/>
      <c r="C574" s="114"/>
    </row>
    <row r="575" spans="1:3" s="251" customFormat="1" x14ac:dyDescent="0.2">
      <c r="A575" s="114"/>
      <c r="B575" s="114"/>
      <c r="C575" s="114"/>
    </row>
    <row r="576" spans="1:3" s="251" customFormat="1" x14ac:dyDescent="0.2">
      <c r="A576" s="114"/>
      <c r="B576" s="114"/>
      <c r="C576" s="114"/>
    </row>
    <row r="577" spans="1:45" s="251" customFormat="1" x14ac:dyDescent="0.2">
      <c r="A577" s="114"/>
      <c r="B577" s="114"/>
      <c r="C577" s="114"/>
    </row>
    <row r="578" spans="1:45" s="251" customFormat="1" x14ac:dyDescent="0.2">
      <c r="A578" s="114"/>
      <c r="B578" s="114"/>
      <c r="C578" s="114"/>
    </row>
    <row r="579" spans="1:45" s="251" customFormat="1" x14ac:dyDescent="0.2">
      <c r="A579" s="114"/>
      <c r="B579" s="114"/>
      <c r="C579" s="114"/>
    </row>
    <row r="580" spans="1:45" s="251" customFormat="1" x14ac:dyDescent="0.2">
      <c r="A580" s="114"/>
      <c r="B580" s="114"/>
      <c r="C580" s="114"/>
    </row>
    <row r="581" spans="1:45" s="44" customFormat="1" x14ac:dyDescent="0.2">
      <c r="A581" s="71"/>
      <c r="B581" s="71"/>
      <c r="C581" s="7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251"/>
      <c r="AH581" s="251"/>
      <c r="AI581" s="251"/>
      <c r="AJ581" s="251"/>
      <c r="AK581" s="251"/>
      <c r="AL581" s="251"/>
      <c r="AM581" s="251"/>
      <c r="AN581" s="251"/>
      <c r="AO581" s="251"/>
      <c r="AP581" s="251"/>
      <c r="AQ581" s="251"/>
      <c r="AR581" s="251"/>
      <c r="AS581" s="251"/>
    </row>
    <row r="582" spans="1:45" s="44" customFormat="1" x14ac:dyDescent="0.2">
      <c r="A582" s="71"/>
      <c r="B582" s="71"/>
      <c r="C582" s="7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c r="AC582" s="251"/>
      <c r="AD582" s="251"/>
      <c r="AE582" s="251"/>
      <c r="AF582" s="251"/>
      <c r="AG582" s="251"/>
      <c r="AH582" s="251"/>
      <c r="AI582" s="251"/>
      <c r="AJ582" s="251"/>
      <c r="AK582" s="251"/>
      <c r="AL582" s="251"/>
      <c r="AM582" s="251"/>
      <c r="AN582" s="251"/>
      <c r="AO582" s="251"/>
      <c r="AP582" s="251"/>
      <c r="AQ582" s="251"/>
      <c r="AR582" s="251"/>
      <c r="AS582" s="251"/>
    </row>
    <row r="583" spans="1:45" s="44" customFormat="1" x14ac:dyDescent="0.2">
      <c r="A583" s="71"/>
      <c r="B583" s="71"/>
      <c r="C583" s="7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51"/>
      <c r="AE583" s="251"/>
      <c r="AF583" s="251"/>
      <c r="AG583" s="251"/>
      <c r="AH583" s="251"/>
      <c r="AI583" s="251"/>
      <c r="AJ583" s="251"/>
      <c r="AK583" s="251"/>
      <c r="AL583" s="251"/>
      <c r="AM583" s="251"/>
      <c r="AN583" s="251"/>
      <c r="AO583" s="251"/>
      <c r="AP583" s="251"/>
      <c r="AQ583" s="251"/>
      <c r="AR583" s="251"/>
      <c r="AS583" s="251"/>
    </row>
    <row r="584" spans="1:45" s="44" customFormat="1" x14ac:dyDescent="0.2">
      <c r="A584" s="71"/>
      <c r="B584" s="71"/>
      <c r="C584" s="7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251"/>
      <c r="AH584" s="251"/>
      <c r="AI584" s="251"/>
      <c r="AJ584" s="251"/>
      <c r="AK584" s="251"/>
      <c r="AL584" s="251"/>
      <c r="AM584" s="251"/>
      <c r="AN584" s="251"/>
      <c r="AO584" s="251"/>
      <c r="AP584" s="251"/>
      <c r="AQ584" s="251"/>
      <c r="AR584" s="251"/>
      <c r="AS584" s="251"/>
    </row>
    <row r="585" spans="1:45" s="44" customFormat="1" x14ac:dyDescent="0.2">
      <c r="A585" s="71"/>
      <c r="B585" s="71"/>
      <c r="C585" s="7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row>
    <row r="586" spans="1:45" s="44" customFormat="1" x14ac:dyDescent="0.2">
      <c r="A586" s="71"/>
      <c r="B586" s="71"/>
      <c r="C586" s="7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251"/>
      <c r="AE586" s="251"/>
      <c r="AF586" s="251"/>
      <c r="AG586" s="251"/>
      <c r="AH586" s="251"/>
      <c r="AI586" s="251"/>
      <c r="AJ586" s="251"/>
      <c r="AK586" s="251"/>
      <c r="AL586" s="251"/>
      <c r="AM586" s="251"/>
      <c r="AN586" s="251"/>
      <c r="AO586" s="251"/>
      <c r="AP586" s="251"/>
      <c r="AQ586" s="251"/>
      <c r="AR586" s="251"/>
      <c r="AS586" s="251"/>
    </row>
    <row r="587" spans="1:45" s="44" customFormat="1" x14ac:dyDescent="0.2">
      <c r="A587" s="71"/>
      <c r="B587" s="71"/>
      <c r="C587" s="7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251"/>
      <c r="AE587" s="251"/>
      <c r="AF587" s="251"/>
      <c r="AG587" s="251"/>
      <c r="AH587" s="251"/>
      <c r="AI587" s="251"/>
      <c r="AJ587" s="251"/>
      <c r="AK587" s="251"/>
      <c r="AL587" s="251"/>
      <c r="AM587" s="251"/>
      <c r="AN587" s="251"/>
      <c r="AO587" s="251"/>
      <c r="AP587" s="251"/>
      <c r="AQ587" s="251"/>
      <c r="AR587" s="251"/>
      <c r="AS587" s="251"/>
    </row>
    <row r="588" spans="1:45" s="44" customFormat="1" x14ac:dyDescent="0.2">
      <c r="A588" s="71"/>
      <c r="B588" s="71"/>
      <c r="C588" s="7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251"/>
      <c r="AH588" s="251"/>
      <c r="AI588" s="251"/>
      <c r="AJ588" s="251"/>
      <c r="AK588" s="251"/>
      <c r="AL588" s="251"/>
      <c r="AM588" s="251"/>
      <c r="AN588" s="251"/>
      <c r="AO588" s="251"/>
      <c r="AP588" s="251"/>
      <c r="AQ588" s="251"/>
      <c r="AR588" s="251"/>
      <c r="AS588" s="251"/>
    </row>
    <row r="589" spans="1:45" s="44" customFormat="1" x14ac:dyDescent="0.2">
      <c r="A589" s="71"/>
      <c r="B589" s="71"/>
      <c r="C589" s="7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251"/>
      <c r="AH589" s="251"/>
      <c r="AI589" s="251"/>
      <c r="AJ589" s="251"/>
      <c r="AK589" s="251"/>
      <c r="AL589" s="251"/>
      <c r="AM589" s="251"/>
      <c r="AN589" s="251"/>
      <c r="AO589" s="251"/>
      <c r="AP589" s="251"/>
      <c r="AQ589" s="251"/>
      <c r="AR589" s="251"/>
      <c r="AS589" s="251"/>
    </row>
    <row r="590" spans="1:45" s="44" customFormat="1" x14ac:dyDescent="0.2">
      <c r="A590" s="71"/>
      <c r="B590" s="71"/>
      <c r="C590" s="7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251"/>
      <c r="AE590" s="251"/>
      <c r="AF590" s="251"/>
      <c r="AG590" s="251"/>
      <c r="AH590" s="251"/>
      <c r="AI590" s="251"/>
      <c r="AJ590" s="251"/>
      <c r="AK590" s="251"/>
      <c r="AL590" s="251"/>
      <c r="AM590" s="251"/>
      <c r="AN590" s="251"/>
      <c r="AO590" s="251"/>
      <c r="AP590" s="251"/>
      <c r="AQ590" s="251"/>
      <c r="AR590" s="251"/>
      <c r="AS590" s="251"/>
    </row>
    <row r="591" spans="1:45" s="44" customFormat="1" x14ac:dyDescent="0.2">
      <c r="A591" s="71"/>
      <c r="B591" s="71"/>
      <c r="C591" s="7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251"/>
      <c r="AE591" s="251"/>
      <c r="AF591" s="251"/>
      <c r="AG591" s="251"/>
      <c r="AH591" s="251"/>
      <c r="AI591" s="251"/>
      <c r="AJ591" s="251"/>
      <c r="AK591" s="251"/>
      <c r="AL591" s="251"/>
      <c r="AM591" s="251"/>
      <c r="AN591" s="251"/>
      <c r="AO591" s="251"/>
      <c r="AP591" s="251"/>
      <c r="AQ591" s="251"/>
      <c r="AR591" s="251"/>
      <c r="AS591" s="251"/>
    </row>
    <row r="592" spans="1:45" s="44" customFormat="1" x14ac:dyDescent="0.2">
      <c r="A592" s="71"/>
      <c r="B592" s="71"/>
      <c r="C592" s="7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row>
    <row r="593" spans="1:45" s="44" customFormat="1" x14ac:dyDescent="0.2">
      <c r="A593" s="71"/>
      <c r="B593" s="71"/>
      <c r="C593" s="7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row>
    <row r="594" spans="1:45" s="44" customFormat="1" x14ac:dyDescent="0.2">
      <c r="A594" s="71"/>
      <c r="B594" s="71"/>
      <c r="C594" s="7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251"/>
      <c r="AE594" s="251"/>
      <c r="AF594" s="251"/>
      <c r="AG594" s="251"/>
      <c r="AH594" s="251"/>
      <c r="AI594" s="251"/>
      <c r="AJ594" s="251"/>
      <c r="AK594" s="251"/>
      <c r="AL594" s="251"/>
      <c r="AM594" s="251"/>
      <c r="AN594" s="251"/>
      <c r="AO594" s="251"/>
      <c r="AP594" s="251"/>
      <c r="AQ594" s="251"/>
      <c r="AR594" s="251"/>
      <c r="AS594" s="251"/>
    </row>
    <row r="595" spans="1:45" s="44" customFormat="1" x14ac:dyDescent="0.2">
      <c r="A595" s="71"/>
      <c r="B595" s="71"/>
      <c r="C595" s="7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51"/>
      <c r="AH595" s="251"/>
      <c r="AI595" s="251"/>
      <c r="AJ595" s="251"/>
      <c r="AK595" s="251"/>
      <c r="AL595" s="251"/>
      <c r="AM595" s="251"/>
      <c r="AN595" s="251"/>
      <c r="AO595" s="251"/>
      <c r="AP595" s="251"/>
      <c r="AQ595" s="251"/>
      <c r="AR595" s="251"/>
      <c r="AS595" s="251"/>
    </row>
    <row r="596" spans="1:45" s="44" customFormat="1" x14ac:dyDescent="0.2">
      <c r="A596" s="71"/>
      <c r="B596" s="71"/>
      <c r="C596" s="7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251"/>
      <c r="AE596" s="251"/>
      <c r="AF596" s="251"/>
      <c r="AG596" s="251"/>
      <c r="AH596" s="251"/>
      <c r="AI596" s="251"/>
      <c r="AJ596" s="251"/>
      <c r="AK596" s="251"/>
      <c r="AL596" s="251"/>
      <c r="AM596" s="251"/>
      <c r="AN596" s="251"/>
      <c r="AO596" s="251"/>
      <c r="AP596" s="251"/>
      <c r="AQ596" s="251"/>
      <c r="AR596" s="251"/>
      <c r="AS596" s="251"/>
    </row>
    <row r="597" spans="1:45" s="44" customFormat="1" x14ac:dyDescent="0.2">
      <c r="A597" s="71"/>
      <c r="B597" s="71"/>
      <c r="C597" s="7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251"/>
      <c r="AE597" s="251"/>
      <c r="AF597" s="251"/>
      <c r="AG597" s="251"/>
      <c r="AH597" s="251"/>
      <c r="AI597" s="251"/>
      <c r="AJ597" s="251"/>
      <c r="AK597" s="251"/>
      <c r="AL597" s="251"/>
      <c r="AM597" s="251"/>
      <c r="AN597" s="251"/>
      <c r="AO597" s="251"/>
      <c r="AP597" s="251"/>
      <c r="AQ597" s="251"/>
      <c r="AR597" s="251"/>
      <c r="AS597" s="251"/>
    </row>
    <row r="598" spans="1:45" s="44" customFormat="1" x14ac:dyDescent="0.2">
      <c r="A598" s="71"/>
      <c r="B598" s="71"/>
      <c r="C598" s="7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row>
    <row r="599" spans="1:45" s="44" customFormat="1" x14ac:dyDescent="0.2">
      <c r="A599" s="71"/>
      <c r="B599" s="71"/>
      <c r="C599" s="7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s="251"/>
      <c r="AG599" s="251"/>
      <c r="AH599" s="251"/>
      <c r="AI599" s="251"/>
      <c r="AJ599" s="251"/>
      <c r="AK599" s="251"/>
      <c r="AL599" s="251"/>
      <c r="AM599" s="251"/>
      <c r="AN599" s="251"/>
      <c r="AO599" s="251"/>
      <c r="AP599" s="251"/>
      <c r="AQ599" s="251"/>
      <c r="AR599" s="251"/>
      <c r="AS599" s="251"/>
    </row>
    <row r="600" spans="1:45" s="44" customFormat="1" x14ac:dyDescent="0.2">
      <c r="A600" s="71"/>
      <c r="B600" s="71"/>
      <c r="C600" s="7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251"/>
      <c r="AE600" s="251"/>
      <c r="AF600" s="251"/>
      <c r="AG600" s="251"/>
      <c r="AH600" s="251"/>
      <c r="AI600" s="251"/>
      <c r="AJ600" s="251"/>
      <c r="AK600" s="251"/>
      <c r="AL600" s="251"/>
      <c r="AM600" s="251"/>
      <c r="AN600" s="251"/>
      <c r="AO600" s="251"/>
      <c r="AP600" s="251"/>
      <c r="AQ600" s="251"/>
      <c r="AR600" s="251"/>
      <c r="AS600" s="251"/>
    </row>
    <row r="601" spans="1:45" s="44" customFormat="1" x14ac:dyDescent="0.2">
      <c r="A601" s="71"/>
      <c r="B601" s="71"/>
      <c r="C601" s="7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row>
    <row r="602" spans="1:45" s="44" customFormat="1" x14ac:dyDescent="0.2">
      <c r="A602" s="71"/>
      <c r="B602" s="71"/>
      <c r="C602" s="7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251"/>
      <c r="AE602" s="251"/>
      <c r="AF602" s="251"/>
      <c r="AG602" s="251"/>
      <c r="AH602" s="251"/>
      <c r="AI602" s="251"/>
      <c r="AJ602" s="251"/>
      <c r="AK602" s="251"/>
      <c r="AL602" s="251"/>
      <c r="AM602" s="251"/>
      <c r="AN602" s="251"/>
      <c r="AO602" s="251"/>
      <c r="AP602" s="251"/>
      <c r="AQ602" s="251"/>
      <c r="AR602" s="251"/>
      <c r="AS602" s="251"/>
    </row>
    <row r="603" spans="1:45" s="44" customFormat="1" x14ac:dyDescent="0.2">
      <c r="A603" s="71"/>
      <c r="B603" s="71"/>
      <c r="C603" s="7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251"/>
      <c r="AE603" s="251"/>
      <c r="AF603" s="251"/>
      <c r="AG603" s="251"/>
      <c r="AH603" s="251"/>
      <c r="AI603" s="251"/>
      <c r="AJ603" s="251"/>
      <c r="AK603" s="251"/>
      <c r="AL603" s="251"/>
      <c r="AM603" s="251"/>
      <c r="AN603" s="251"/>
      <c r="AO603" s="251"/>
      <c r="AP603" s="251"/>
      <c r="AQ603" s="251"/>
      <c r="AR603" s="251"/>
      <c r="AS603" s="251"/>
    </row>
    <row r="604" spans="1:45" s="44" customFormat="1" x14ac:dyDescent="0.2">
      <c r="A604" s="71"/>
      <c r="B604" s="71"/>
      <c r="C604" s="7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251"/>
      <c r="AE604" s="251"/>
      <c r="AF604" s="251"/>
      <c r="AG604" s="251"/>
      <c r="AH604" s="251"/>
      <c r="AI604" s="251"/>
      <c r="AJ604" s="251"/>
      <c r="AK604" s="251"/>
      <c r="AL604" s="251"/>
      <c r="AM604" s="251"/>
      <c r="AN604" s="251"/>
      <c r="AO604" s="251"/>
      <c r="AP604" s="251"/>
      <c r="AQ604" s="251"/>
      <c r="AR604" s="251"/>
      <c r="AS604" s="251"/>
    </row>
    <row r="605" spans="1:45" s="44" customFormat="1" x14ac:dyDescent="0.2">
      <c r="A605" s="71"/>
      <c r="B605" s="71"/>
      <c r="C605" s="7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row>
    <row r="606" spans="1:45" s="44" customFormat="1" x14ac:dyDescent="0.2">
      <c r="A606" s="71"/>
      <c r="B606" s="71"/>
      <c r="C606" s="7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251"/>
      <c r="AE606" s="251"/>
      <c r="AF606" s="251"/>
      <c r="AG606" s="251"/>
      <c r="AH606" s="251"/>
      <c r="AI606" s="251"/>
      <c r="AJ606" s="251"/>
      <c r="AK606" s="251"/>
      <c r="AL606" s="251"/>
      <c r="AM606" s="251"/>
      <c r="AN606" s="251"/>
      <c r="AO606" s="251"/>
      <c r="AP606" s="251"/>
      <c r="AQ606" s="251"/>
      <c r="AR606" s="251"/>
      <c r="AS606" s="251"/>
    </row>
    <row r="607" spans="1:45" s="44" customFormat="1" x14ac:dyDescent="0.2">
      <c r="A607" s="71"/>
      <c r="B607" s="71"/>
      <c r="C607" s="7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row>
    <row r="608" spans="1:45" s="44" customFormat="1" x14ac:dyDescent="0.2">
      <c r="A608" s="71"/>
      <c r="B608" s="71"/>
      <c r="C608" s="7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251"/>
      <c r="AE608" s="251"/>
      <c r="AF608" s="251"/>
      <c r="AG608" s="251"/>
      <c r="AH608" s="251"/>
      <c r="AI608" s="251"/>
      <c r="AJ608" s="251"/>
      <c r="AK608" s="251"/>
      <c r="AL608" s="251"/>
      <c r="AM608" s="251"/>
      <c r="AN608" s="251"/>
      <c r="AO608" s="251"/>
      <c r="AP608" s="251"/>
      <c r="AQ608" s="251"/>
      <c r="AR608" s="251"/>
      <c r="AS608" s="251"/>
    </row>
    <row r="609" spans="1:45" s="44" customFormat="1" x14ac:dyDescent="0.2">
      <c r="A609" s="71"/>
      <c r="B609" s="71"/>
      <c r="C609" s="7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251"/>
      <c r="AE609" s="251"/>
      <c r="AF609" s="251"/>
      <c r="AG609" s="251"/>
      <c r="AH609" s="251"/>
      <c r="AI609" s="251"/>
      <c r="AJ609" s="251"/>
      <c r="AK609" s="251"/>
      <c r="AL609" s="251"/>
      <c r="AM609" s="251"/>
      <c r="AN609" s="251"/>
      <c r="AO609" s="251"/>
      <c r="AP609" s="251"/>
      <c r="AQ609" s="251"/>
      <c r="AR609" s="251"/>
      <c r="AS609" s="251"/>
    </row>
    <row r="610" spans="1:45" s="44" customFormat="1" x14ac:dyDescent="0.2">
      <c r="A610" s="71"/>
      <c r="B610" s="71"/>
      <c r="C610" s="7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row>
    <row r="611" spans="1:45" s="44" customFormat="1" x14ac:dyDescent="0.2">
      <c r="A611" s="71"/>
      <c r="B611" s="71"/>
      <c r="C611" s="7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row>
    <row r="612" spans="1:45" s="44" customFormat="1" x14ac:dyDescent="0.2">
      <c r="A612" s="71"/>
      <c r="B612" s="71"/>
      <c r="C612" s="7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51"/>
      <c r="AE612" s="251"/>
      <c r="AF612" s="251"/>
      <c r="AG612" s="251"/>
      <c r="AH612" s="251"/>
      <c r="AI612" s="251"/>
      <c r="AJ612" s="251"/>
      <c r="AK612" s="251"/>
      <c r="AL612" s="251"/>
      <c r="AM612" s="251"/>
      <c r="AN612" s="251"/>
      <c r="AO612" s="251"/>
      <c r="AP612" s="251"/>
      <c r="AQ612" s="251"/>
      <c r="AR612" s="251"/>
      <c r="AS612" s="251"/>
    </row>
    <row r="613" spans="1:45" s="44" customFormat="1" x14ac:dyDescent="0.2">
      <c r="A613" s="71"/>
      <c r="B613" s="71"/>
      <c r="C613" s="7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51"/>
      <c r="AE613" s="251"/>
      <c r="AF613" s="251"/>
      <c r="AG613" s="251"/>
      <c r="AH613" s="251"/>
      <c r="AI613" s="251"/>
      <c r="AJ613" s="251"/>
      <c r="AK613" s="251"/>
      <c r="AL613" s="251"/>
      <c r="AM613" s="251"/>
      <c r="AN613" s="251"/>
      <c r="AO613" s="251"/>
      <c r="AP613" s="251"/>
      <c r="AQ613" s="251"/>
      <c r="AR613" s="251"/>
      <c r="AS613" s="251"/>
    </row>
    <row r="614" spans="1:45" s="44" customFormat="1" x14ac:dyDescent="0.2">
      <c r="A614" s="71"/>
      <c r="B614" s="71"/>
      <c r="C614" s="7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row>
    <row r="615" spans="1:45" s="44" customFormat="1" x14ac:dyDescent="0.2">
      <c r="A615" s="71"/>
      <c r="B615" s="71"/>
      <c r="C615" s="7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c r="AA615" s="251"/>
      <c r="AB615" s="251"/>
      <c r="AC615" s="251"/>
      <c r="AD615" s="251"/>
      <c r="AE615" s="251"/>
      <c r="AF615" s="251"/>
      <c r="AG615" s="251"/>
      <c r="AH615" s="251"/>
      <c r="AI615" s="251"/>
      <c r="AJ615" s="251"/>
      <c r="AK615" s="251"/>
      <c r="AL615" s="251"/>
      <c r="AM615" s="251"/>
      <c r="AN615" s="251"/>
      <c r="AO615" s="251"/>
      <c r="AP615" s="251"/>
      <c r="AQ615" s="251"/>
      <c r="AR615" s="251"/>
      <c r="AS615" s="251"/>
    </row>
    <row r="616" spans="1:45" s="44" customFormat="1" x14ac:dyDescent="0.2">
      <c r="A616" s="71"/>
      <c r="B616" s="71"/>
      <c r="C616" s="7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251"/>
      <c r="AF616" s="251"/>
      <c r="AG616" s="251"/>
      <c r="AH616" s="251"/>
      <c r="AI616" s="251"/>
      <c r="AJ616" s="251"/>
      <c r="AK616" s="251"/>
      <c r="AL616" s="251"/>
      <c r="AM616" s="251"/>
      <c r="AN616" s="251"/>
      <c r="AO616" s="251"/>
      <c r="AP616" s="251"/>
      <c r="AQ616" s="251"/>
      <c r="AR616" s="251"/>
      <c r="AS616" s="251"/>
    </row>
    <row r="617" spans="1:45" s="44" customFormat="1" x14ac:dyDescent="0.2">
      <c r="A617" s="71"/>
      <c r="B617" s="71"/>
      <c r="C617" s="7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row>
    <row r="618" spans="1:45" s="44" customFormat="1" x14ac:dyDescent="0.2">
      <c r="A618" s="71"/>
      <c r="B618" s="71"/>
      <c r="C618" s="7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row>
    <row r="619" spans="1:45" s="44" customFormat="1" x14ac:dyDescent="0.2">
      <c r="A619" s="71"/>
      <c r="B619" s="71"/>
      <c r="C619" s="7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row>
    <row r="620" spans="1:45" s="44" customFormat="1" x14ac:dyDescent="0.2">
      <c r="A620" s="71"/>
      <c r="B620" s="71"/>
      <c r="C620" s="7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251"/>
      <c r="AE620" s="251"/>
      <c r="AF620" s="251"/>
      <c r="AG620" s="251"/>
      <c r="AH620" s="251"/>
      <c r="AI620" s="251"/>
      <c r="AJ620" s="251"/>
      <c r="AK620" s="251"/>
      <c r="AL620" s="251"/>
      <c r="AM620" s="251"/>
      <c r="AN620" s="251"/>
      <c r="AO620" s="251"/>
      <c r="AP620" s="251"/>
      <c r="AQ620" s="251"/>
      <c r="AR620" s="251"/>
      <c r="AS620" s="251"/>
    </row>
    <row r="621" spans="1:45" s="44" customFormat="1" x14ac:dyDescent="0.2">
      <c r="A621" s="71"/>
      <c r="B621" s="71"/>
      <c r="C621" s="7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c r="AA621" s="251"/>
      <c r="AB621" s="251"/>
      <c r="AC621" s="251"/>
      <c r="AD621" s="251"/>
      <c r="AE621" s="251"/>
      <c r="AF621" s="251"/>
      <c r="AG621" s="251"/>
      <c r="AH621" s="251"/>
      <c r="AI621" s="251"/>
      <c r="AJ621" s="251"/>
      <c r="AK621" s="251"/>
      <c r="AL621" s="251"/>
      <c r="AM621" s="251"/>
      <c r="AN621" s="251"/>
      <c r="AO621" s="251"/>
      <c r="AP621" s="251"/>
      <c r="AQ621" s="251"/>
      <c r="AR621" s="251"/>
      <c r="AS621" s="251"/>
    </row>
    <row r="622" spans="1:45" s="44" customFormat="1" x14ac:dyDescent="0.2">
      <c r="A622" s="71"/>
      <c r="B622" s="71"/>
      <c r="C622" s="7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251"/>
      <c r="AF622" s="251"/>
      <c r="AG622" s="251"/>
      <c r="AH622" s="251"/>
      <c r="AI622" s="251"/>
      <c r="AJ622" s="251"/>
      <c r="AK622" s="251"/>
      <c r="AL622" s="251"/>
      <c r="AM622" s="251"/>
      <c r="AN622" s="251"/>
      <c r="AO622" s="251"/>
      <c r="AP622" s="251"/>
      <c r="AQ622" s="251"/>
      <c r="AR622" s="251"/>
      <c r="AS622" s="251"/>
    </row>
    <row r="623" spans="1:45" s="44" customFormat="1" x14ac:dyDescent="0.2">
      <c r="A623" s="71"/>
      <c r="B623" s="71"/>
      <c r="C623" s="7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c r="AC623" s="251"/>
      <c r="AD623" s="251"/>
      <c r="AE623" s="251"/>
      <c r="AF623" s="251"/>
      <c r="AG623" s="251"/>
      <c r="AH623" s="251"/>
      <c r="AI623" s="251"/>
      <c r="AJ623" s="251"/>
      <c r="AK623" s="251"/>
      <c r="AL623" s="251"/>
      <c r="AM623" s="251"/>
      <c r="AN623" s="251"/>
      <c r="AO623" s="251"/>
      <c r="AP623" s="251"/>
      <c r="AQ623" s="251"/>
      <c r="AR623" s="251"/>
      <c r="AS623" s="251"/>
    </row>
    <row r="624" spans="1:45" s="44" customFormat="1" x14ac:dyDescent="0.2">
      <c r="A624" s="71"/>
      <c r="B624" s="71"/>
      <c r="C624" s="7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row>
    <row r="625" spans="1:45" s="44" customFormat="1" x14ac:dyDescent="0.2">
      <c r="A625" s="71"/>
      <c r="B625" s="71"/>
      <c r="C625" s="7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c r="AA625" s="251"/>
      <c r="AB625" s="251"/>
      <c r="AC625" s="251"/>
      <c r="AD625" s="251"/>
      <c r="AE625" s="251"/>
      <c r="AF625" s="251"/>
      <c r="AG625" s="251"/>
      <c r="AH625" s="251"/>
      <c r="AI625" s="251"/>
      <c r="AJ625" s="251"/>
      <c r="AK625" s="251"/>
      <c r="AL625" s="251"/>
      <c r="AM625" s="251"/>
      <c r="AN625" s="251"/>
      <c r="AO625" s="251"/>
      <c r="AP625" s="251"/>
      <c r="AQ625" s="251"/>
      <c r="AR625" s="251"/>
      <c r="AS625" s="251"/>
    </row>
    <row r="626" spans="1:45" s="44" customFormat="1" x14ac:dyDescent="0.2">
      <c r="A626" s="71"/>
      <c r="B626" s="71"/>
      <c r="C626" s="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251"/>
      <c r="AF626" s="251"/>
      <c r="AG626" s="251"/>
      <c r="AH626" s="251"/>
      <c r="AI626" s="251"/>
      <c r="AJ626" s="251"/>
      <c r="AK626" s="251"/>
      <c r="AL626" s="251"/>
      <c r="AM626" s="251"/>
      <c r="AN626" s="251"/>
      <c r="AO626" s="251"/>
      <c r="AP626" s="251"/>
      <c r="AQ626" s="251"/>
      <c r="AR626" s="251"/>
      <c r="AS626" s="251"/>
    </row>
    <row r="627" spans="1:45" s="44" customFormat="1" x14ac:dyDescent="0.2">
      <c r="A627" s="71"/>
      <c r="B627" s="71"/>
      <c r="C627" s="7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row>
    <row r="628" spans="1:45" s="44" customFormat="1" x14ac:dyDescent="0.2">
      <c r="A628" s="71"/>
      <c r="B628" s="71"/>
      <c r="C628" s="7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251"/>
      <c r="AE628" s="251"/>
      <c r="AF628" s="251"/>
      <c r="AG628" s="251"/>
      <c r="AH628" s="251"/>
      <c r="AI628" s="251"/>
      <c r="AJ628" s="251"/>
      <c r="AK628" s="251"/>
      <c r="AL628" s="251"/>
      <c r="AM628" s="251"/>
      <c r="AN628" s="251"/>
      <c r="AO628" s="251"/>
      <c r="AP628" s="251"/>
      <c r="AQ628" s="251"/>
      <c r="AR628" s="251"/>
      <c r="AS628" s="251"/>
    </row>
    <row r="629" spans="1:45" s="44" customFormat="1" x14ac:dyDescent="0.2">
      <c r="A629" s="71"/>
      <c r="B629" s="71"/>
      <c r="C629" s="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251"/>
      <c r="AF629" s="251"/>
      <c r="AG629" s="251"/>
      <c r="AH629" s="251"/>
      <c r="AI629" s="251"/>
      <c r="AJ629" s="251"/>
      <c r="AK629" s="251"/>
      <c r="AL629" s="251"/>
      <c r="AM629" s="251"/>
      <c r="AN629" s="251"/>
      <c r="AO629" s="251"/>
      <c r="AP629" s="251"/>
      <c r="AQ629" s="251"/>
      <c r="AR629" s="251"/>
      <c r="AS629" s="251"/>
    </row>
    <row r="630" spans="1:45" s="44" customFormat="1" x14ac:dyDescent="0.2">
      <c r="A630" s="71"/>
      <c r="B630" s="71"/>
      <c r="C630" s="7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s="251"/>
      <c r="AG630" s="251"/>
      <c r="AH630" s="251"/>
      <c r="AI630" s="251"/>
      <c r="AJ630" s="251"/>
      <c r="AK630" s="251"/>
      <c r="AL630" s="251"/>
      <c r="AM630" s="251"/>
      <c r="AN630" s="251"/>
      <c r="AO630" s="251"/>
      <c r="AP630" s="251"/>
      <c r="AQ630" s="251"/>
      <c r="AR630" s="251"/>
      <c r="AS630" s="251"/>
    </row>
    <row r="631" spans="1:45" s="44" customFormat="1" x14ac:dyDescent="0.2">
      <c r="A631" s="71"/>
      <c r="B631" s="71"/>
      <c r="C631" s="7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251"/>
      <c r="AE631" s="251"/>
      <c r="AF631" s="251"/>
      <c r="AG631" s="251"/>
      <c r="AH631" s="251"/>
      <c r="AI631" s="251"/>
      <c r="AJ631" s="251"/>
      <c r="AK631" s="251"/>
      <c r="AL631" s="251"/>
      <c r="AM631" s="251"/>
      <c r="AN631" s="251"/>
      <c r="AO631" s="251"/>
      <c r="AP631" s="251"/>
      <c r="AQ631" s="251"/>
      <c r="AR631" s="251"/>
      <c r="AS631" s="251"/>
    </row>
    <row r="632" spans="1:45" s="44" customFormat="1" x14ac:dyDescent="0.2">
      <c r="A632" s="71"/>
      <c r="B632" s="71"/>
      <c r="C632" s="7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251"/>
      <c r="AE632" s="251"/>
      <c r="AF632" s="251"/>
      <c r="AG632" s="251"/>
      <c r="AH632" s="251"/>
      <c r="AI632" s="251"/>
      <c r="AJ632" s="251"/>
      <c r="AK632" s="251"/>
      <c r="AL632" s="251"/>
      <c r="AM632" s="251"/>
      <c r="AN632" s="251"/>
      <c r="AO632" s="251"/>
      <c r="AP632" s="251"/>
      <c r="AQ632" s="251"/>
      <c r="AR632" s="251"/>
      <c r="AS632" s="251"/>
    </row>
    <row r="633" spans="1:45" s="44" customFormat="1" x14ac:dyDescent="0.2">
      <c r="A633" s="71"/>
      <c r="B633" s="71"/>
      <c r="C633" s="7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251"/>
      <c r="AE633" s="251"/>
      <c r="AF633" s="251"/>
      <c r="AG633" s="251"/>
      <c r="AH633" s="251"/>
      <c r="AI633" s="251"/>
      <c r="AJ633" s="251"/>
      <c r="AK633" s="251"/>
      <c r="AL633" s="251"/>
      <c r="AM633" s="251"/>
      <c r="AN633" s="251"/>
      <c r="AO633" s="251"/>
      <c r="AP633" s="251"/>
      <c r="AQ633" s="251"/>
      <c r="AR633" s="251"/>
      <c r="AS633" s="251"/>
    </row>
    <row r="634" spans="1:45" s="44" customFormat="1" x14ac:dyDescent="0.2">
      <c r="A634" s="71"/>
      <c r="B634" s="71"/>
      <c r="C634" s="7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row>
    <row r="635" spans="1:45" s="44" customFormat="1" x14ac:dyDescent="0.2">
      <c r="A635" s="71"/>
      <c r="B635" s="71"/>
      <c r="C635" s="7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251"/>
      <c r="AE635" s="251"/>
      <c r="AF635" s="251"/>
      <c r="AG635" s="251"/>
      <c r="AH635" s="251"/>
      <c r="AI635" s="251"/>
      <c r="AJ635" s="251"/>
      <c r="AK635" s="251"/>
      <c r="AL635" s="251"/>
      <c r="AM635" s="251"/>
      <c r="AN635" s="251"/>
      <c r="AO635" s="251"/>
      <c r="AP635" s="251"/>
      <c r="AQ635" s="251"/>
      <c r="AR635" s="251"/>
      <c r="AS635" s="251"/>
    </row>
    <row r="636" spans="1:45" s="44" customFormat="1" x14ac:dyDescent="0.2">
      <c r="A636" s="71"/>
      <c r="B636" s="71"/>
      <c r="C636" s="7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251"/>
      <c r="AE636" s="251"/>
      <c r="AF636" s="251"/>
      <c r="AG636" s="251"/>
      <c r="AH636" s="251"/>
      <c r="AI636" s="251"/>
      <c r="AJ636" s="251"/>
      <c r="AK636" s="251"/>
      <c r="AL636" s="251"/>
      <c r="AM636" s="251"/>
      <c r="AN636" s="251"/>
      <c r="AO636" s="251"/>
      <c r="AP636" s="251"/>
      <c r="AQ636" s="251"/>
      <c r="AR636" s="251"/>
      <c r="AS636" s="251"/>
    </row>
    <row r="637" spans="1:45" s="44" customFormat="1" x14ac:dyDescent="0.2">
      <c r="A637" s="71"/>
      <c r="B637" s="71"/>
      <c r="C637" s="7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row>
    <row r="638" spans="1:45" s="44" customFormat="1" x14ac:dyDescent="0.2">
      <c r="A638" s="71"/>
      <c r="B638" s="71"/>
      <c r="C638" s="7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251"/>
      <c r="AE638" s="251"/>
      <c r="AF638" s="251"/>
      <c r="AG638" s="251"/>
      <c r="AH638" s="251"/>
      <c r="AI638" s="251"/>
      <c r="AJ638" s="251"/>
      <c r="AK638" s="251"/>
      <c r="AL638" s="251"/>
      <c r="AM638" s="251"/>
      <c r="AN638" s="251"/>
      <c r="AO638" s="251"/>
      <c r="AP638" s="251"/>
      <c r="AQ638" s="251"/>
      <c r="AR638" s="251"/>
      <c r="AS638" s="251"/>
    </row>
    <row r="639" spans="1:45" s="44" customFormat="1" x14ac:dyDescent="0.2">
      <c r="A639" s="71"/>
      <c r="B639" s="71"/>
      <c r="C639" s="7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251"/>
      <c r="AH639" s="251"/>
      <c r="AI639" s="251"/>
      <c r="AJ639" s="251"/>
      <c r="AK639" s="251"/>
      <c r="AL639" s="251"/>
      <c r="AM639" s="251"/>
      <c r="AN639" s="251"/>
      <c r="AO639" s="251"/>
      <c r="AP639" s="251"/>
      <c r="AQ639" s="251"/>
      <c r="AR639" s="251"/>
      <c r="AS639" s="251"/>
    </row>
    <row r="640" spans="1:45" s="44" customFormat="1" x14ac:dyDescent="0.2">
      <c r="A640" s="71"/>
      <c r="B640" s="71"/>
      <c r="C640" s="7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251"/>
      <c r="AE640" s="251"/>
      <c r="AF640" s="251"/>
      <c r="AG640" s="251"/>
      <c r="AH640" s="251"/>
      <c r="AI640" s="251"/>
      <c r="AJ640" s="251"/>
      <c r="AK640" s="251"/>
      <c r="AL640" s="251"/>
      <c r="AM640" s="251"/>
      <c r="AN640" s="251"/>
      <c r="AO640" s="251"/>
      <c r="AP640" s="251"/>
      <c r="AQ640" s="251"/>
      <c r="AR640" s="251"/>
      <c r="AS640" s="251"/>
    </row>
    <row r="641" spans="1:45" s="44" customFormat="1" x14ac:dyDescent="0.2">
      <c r="A641" s="71"/>
      <c r="B641" s="71"/>
      <c r="C641" s="7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251"/>
      <c r="AE641" s="251"/>
      <c r="AF641" s="251"/>
      <c r="AG641" s="251"/>
      <c r="AH641" s="251"/>
      <c r="AI641" s="251"/>
      <c r="AJ641" s="251"/>
      <c r="AK641" s="251"/>
      <c r="AL641" s="251"/>
      <c r="AM641" s="251"/>
      <c r="AN641" s="251"/>
      <c r="AO641" s="251"/>
      <c r="AP641" s="251"/>
      <c r="AQ641" s="251"/>
      <c r="AR641" s="251"/>
      <c r="AS641" s="251"/>
    </row>
    <row r="642" spans="1:45" s="44" customFormat="1" x14ac:dyDescent="0.2">
      <c r="A642" s="71"/>
      <c r="B642" s="71"/>
      <c r="C642" s="7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251"/>
      <c r="AF642" s="251"/>
      <c r="AG642" s="251"/>
      <c r="AH642" s="251"/>
      <c r="AI642" s="251"/>
      <c r="AJ642" s="251"/>
      <c r="AK642" s="251"/>
      <c r="AL642" s="251"/>
      <c r="AM642" s="251"/>
      <c r="AN642" s="251"/>
      <c r="AO642" s="251"/>
      <c r="AP642" s="251"/>
      <c r="AQ642" s="251"/>
      <c r="AR642" s="251"/>
      <c r="AS642" s="251"/>
    </row>
    <row r="643" spans="1:45" s="44" customFormat="1" x14ac:dyDescent="0.2">
      <c r="A643" s="71"/>
      <c r="B643" s="71"/>
      <c r="C643" s="7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251"/>
      <c r="AE643" s="251"/>
      <c r="AF643" s="251"/>
      <c r="AG643" s="251"/>
      <c r="AH643" s="251"/>
      <c r="AI643" s="251"/>
      <c r="AJ643" s="251"/>
      <c r="AK643" s="251"/>
      <c r="AL643" s="251"/>
      <c r="AM643" s="251"/>
      <c r="AN643" s="251"/>
      <c r="AO643" s="251"/>
      <c r="AP643" s="251"/>
      <c r="AQ643" s="251"/>
      <c r="AR643" s="251"/>
      <c r="AS643" s="251"/>
    </row>
    <row r="644" spans="1:45" s="44" customFormat="1" x14ac:dyDescent="0.2">
      <c r="A644" s="71"/>
      <c r="B644" s="71"/>
      <c r="C644" s="7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row>
    <row r="645" spans="1:45" s="44" customFormat="1" x14ac:dyDescent="0.2">
      <c r="A645" s="71"/>
      <c r="B645" s="71"/>
      <c r="C645" s="7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251"/>
      <c r="AH645" s="251"/>
      <c r="AI645" s="251"/>
      <c r="AJ645" s="251"/>
      <c r="AK645" s="251"/>
      <c r="AL645" s="251"/>
      <c r="AM645" s="251"/>
      <c r="AN645" s="251"/>
      <c r="AO645" s="251"/>
      <c r="AP645" s="251"/>
      <c r="AQ645" s="251"/>
      <c r="AR645" s="251"/>
      <c r="AS645" s="251"/>
    </row>
    <row r="646" spans="1:45" s="44" customFormat="1" x14ac:dyDescent="0.2">
      <c r="A646" s="71"/>
      <c r="B646" s="71"/>
      <c r="C646" s="7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row>
    <row r="647" spans="1:45" s="44" customFormat="1" x14ac:dyDescent="0.2">
      <c r="A647" s="71"/>
      <c r="B647" s="71"/>
      <c r="C647" s="7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51"/>
      <c r="AL647" s="251"/>
      <c r="AM647" s="251"/>
      <c r="AN647" s="251"/>
      <c r="AO647" s="251"/>
      <c r="AP647" s="251"/>
      <c r="AQ647" s="251"/>
      <c r="AR647" s="251"/>
      <c r="AS647" s="251"/>
    </row>
    <row r="648" spans="1:45" s="44" customFormat="1" x14ac:dyDescent="0.2">
      <c r="A648" s="71"/>
      <c r="B648" s="71"/>
      <c r="C648" s="7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251"/>
      <c r="AF648" s="251"/>
      <c r="AG648" s="251"/>
      <c r="AH648" s="251"/>
      <c r="AI648" s="251"/>
      <c r="AJ648" s="251"/>
      <c r="AK648" s="251"/>
      <c r="AL648" s="251"/>
      <c r="AM648" s="251"/>
      <c r="AN648" s="251"/>
      <c r="AO648" s="251"/>
      <c r="AP648" s="251"/>
      <c r="AQ648" s="251"/>
      <c r="AR648" s="251"/>
      <c r="AS648" s="251"/>
    </row>
    <row r="649" spans="1:45" s="44" customFormat="1" x14ac:dyDescent="0.2">
      <c r="A649" s="71"/>
      <c r="B649" s="71"/>
      <c r="C649" s="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251"/>
      <c r="AH649" s="251"/>
      <c r="AI649" s="251"/>
      <c r="AJ649" s="251"/>
      <c r="AK649" s="251"/>
      <c r="AL649" s="251"/>
      <c r="AM649" s="251"/>
      <c r="AN649" s="251"/>
      <c r="AO649" s="251"/>
      <c r="AP649" s="251"/>
      <c r="AQ649" s="251"/>
      <c r="AR649" s="251"/>
      <c r="AS649" s="251"/>
    </row>
    <row r="650" spans="1:45" s="44" customFormat="1" x14ac:dyDescent="0.2">
      <c r="A650" s="71"/>
      <c r="B650" s="71"/>
      <c r="C650" s="7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row>
    <row r="651" spans="1:45" s="44" customFormat="1" x14ac:dyDescent="0.2">
      <c r="A651" s="71"/>
      <c r="B651" s="71"/>
      <c r="C651" s="7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251"/>
      <c r="AE651" s="251"/>
      <c r="AF651" s="251"/>
      <c r="AG651" s="251"/>
      <c r="AH651" s="251"/>
      <c r="AI651" s="251"/>
      <c r="AJ651" s="251"/>
      <c r="AK651" s="251"/>
      <c r="AL651" s="251"/>
      <c r="AM651" s="251"/>
      <c r="AN651" s="251"/>
      <c r="AO651" s="251"/>
      <c r="AP651" s="251"/>
      <c r="AQ651" s="251"/>
      <c r="AR651" s="251"/>
      <c r="AS651" s="251"/>
    </row>
    <row r="652" spans="1:45" s="44" customFormat="1" x14ac:dyDescent="0.2">
      <c r="A652" s="71"/>
      <c r="B652" s="71"/>
      <c r="C652" s="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251"/>
      <c r="AH652" s="251"/>
      <c r="AI652" s="251"/>
      <c r="AJ652" s="251"/>
      <c r="AK652" s="251"/>
      <c r="AL652" s="251"/>
      <c r="AM652" s="251"/>
      <c r="AN652" s="251"/>
      <c r="AO652" s="251"/>
      <c r="AP652" s="251"/>
      <c r="AQ652" s="251"/>
      <c r="AR652" s="251"/>
      <c r="AS652" s="251"/>
    </row>
    <row r="653" spans="1:45" s="44" customFormat="1" x14ac:dyDescent="0.2">
      <c r="A653" s="71"/>
      <c r="B653" s="71"/>
      <c r="C653" s="7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51"/>
      <c r="AL653" s="251"/>
      <c r="AM653" s="251"/>
      <c r="AN653" s="251"/>
      <c r="AO653" s="251"/>
      <c r="AP653" s="251"/>
      <c r="AQ653" s="251"/>
      <c r="AR653" s="251"/>
      <c r="AS653" s="251"/>
    </row>
    <row r="654" spans="1:45" s="44" customFormat="1" x14ac:dyDescent="0.2">
      <c r="A654" s="71"/>
      <c r="B654" s="71"/>
      <c r="C654" s="7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251"/>
      <c r="AF654" s="251"/>
      <c r="AG654" s="251"/>
      <c r="AH654" s="251"/>
      <c r="AI654" s="251"/>
      <c r="AJ654" s="251"/>
      <c r="AK654" s="251"/>
      <c r="AL654" s="251"/>
      <c r="AM654" s="251"/>
      <c r="AN654" s="251"/>
      <c r="AO654" s="251"/>
      <c r="AP654" s="251"/>
      <c r="AQ654" s="251"/>
      <c r="AR654" s="251"/>
      <c r="AS654" s="251"/>
    </row>
    <row r="655" spans="1:45" s="44" customFormat="1" x14ac:dyDescent="0.2">
      <c r="A655" s="71"/>
      <c r="B655" s="71"/>
      <c r="C655" s="7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c r="AC655" s="251"/>
      <c r="AD655" s="251"/>
      <c r="AE655" s="251"/>
      <c r="AF655" s="251"/>
      <c r="AG655" s="251"/>
      <c r="AH655" s="251"/>
      <c r="AI655" s="251"/>
      <c r="AJ655" s="251"/>
      <c r="AK655" s="251"/>
      <c r="AL655" s="251"/>
      <c r="AM655" s="251"/>
      <c r="AN655" s="251"/>
      <c r="AO655" s="251"/>
      <c r="AP655" s="251"/>
      <c r="AQ655" s="251"/>
      <c r="AR655" s="251"/>
      <c r="AS655" s="251"/>
    </row>
    <row r="656" spans="1:45" s="44" customFormat="1" x14ac:dyDescent="0.2">
      <c r="A656" s="71"/>
      <c r="B656" s="71"/>
      <c r="C656" s="7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251"/>
      <c r="AF656" s="251"/>
      <c r="AG656" s="251"/>
      <c r="AH656" s="251"/>
      <c r="AI656" s="251"/>
      <c r="AJ656" s="251"/>
      <c r="AK656" s="251"/>
      <c r="AL656" s="251"/>
      <c r="AM656" s="251"/>
      <c r="AN656" s="251"/>
      <c r="AO656" s="251"/>
      <c r="AP656" s="251"/>
      <c r="AQ656" s="251"/>
      <c r="AR656" s="251"/>
      <c r="AS656" s="251"/>
    </row>
    <row r="657" spans="1:45" s="44" customFormat="1" x14ac:dyDescent="0.2">
      <c r="A657" s="71"/>
      <c r="B657" s="71"/>
      <c r="C657" s="7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row>
    <row r="658" spans="1:45" s="44" customFormat="1" x14ac:dyDescent="0.2">
      <c r="A658" s="71"/>
      <c r="B658" s="71"/>
      <c r="C658" s="7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row>
    <row r="659" spans="1:45" s="44" customFormat="1" x14ac:dyDescent="0.2">
      <c r="A659" s="71"/>
      <c r="B659" s="71"/>
      <c r="C659" s="7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row>
    <row r="660" spans="1:45" s="44" customFormat="1" x14ac:dyDescent="0.2">
      <c r="A660" s="71"/>
      <c r="B660" s="71"/>
      <c r="C660" s="7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row>
    <row r="661" spans="1:45" s="44" customFormat="1" x14ac:dyDescent="0.2">
      <c r="A661" s="71"/>
      <c r="B661" s="71"/>
      <c r="C661" s="7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row>
    <row r="662" spans="1:45" s="44" customFormat="1" x14ac:dyDescent="0.2">
      <c r="A662" s="71"/>
      <c r="B662" s="71"/>
      <c r="C662" s="7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row>
    <row r="663" spans="1:45" s="44" customFormat="1" x14ac:dyDescent="0.2">
      <c r="A663" s="71"/>
      <c r="B663" s="71"/>
      <c r="C663" s="7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row>
    <row r="664" spans="1:45" s="44" customFormat="1" x14ac:dyDescent="0.2">
      <c r="A664" s="71"/>
      <c r="B664" s="71"/>
      <c r="C664" s="7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251"/>
      <c r="AE664" s="251"/>
      <c r="AF664" s="251"/>
      <c r="AG664" s="251"/>
      <c r="AH664" s="251"/>
      <c r="AI664" s="251"/>
      <c r="AJ664" s="251"/>
      <c r="AK664" s="251"/>
      <c r="AL664" s="251"/>
      <c r="AM664" s="251"/>
      <c r="AN664" s="251"/>
      <c r="AO664" s="251"/>
      <c r="AP664" s="251"/>
      <c r="AQ664" s="251"/>
      <c r="AR664" s="251"/>
      <c r="AS664" s="251"/>
    </row>
    <row r="665" spans="1:45" s="44" customFormat="1" x14ac:dyDescent="0.2">
      <c r="A665" s="71"/>
      <c r="B665" s="71"/>
      <c r="C665" s="7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251"/>
      <c r="AH665" s="251"/>
      <c r="AI665" s="251"/>
      <c r="AJ665" s="251"/>
      <c r="AK665" s="251"/>
      <c r="AL665" s="251"/>
      <c r="AM665" s="251"/>
      <c r="AN665" s="251"/>
      <c r="AO665" s="251"/>
      <c r="AP665" s="251"/>
      <c r="AQ665" s="251"/>
      <c r="AR665" s="251"/>
      <c r="AS665" s="251"/>
    </row>
    <row r="666" spans="1:45" s="44" customFormat="1" x14ac:dyDescent="0.2">
      <c r="A666" s="71"/>
      <c r="B666" s="71"/>
      <c r="C666" s="7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251"/>
      <c r="AF666" s="251"/>
      <c r="AG666" s="251"/>
      <c r="AH666" s="251"/>
      <c r="AI666" s="251"/>
      <c r="AJ666" s="251"/>
      <c r="AK666" s="251"/>
      <c r="AL666" s="251"/>
      <c r="AM666" s="251"/>
      <c r="AN666" s="251"/>
      <c r="AO666" s="251"/>
      <c r="AP666" s="251"/>
      <c r="AQ666" s="251"/>
      <c r="AR666" s="251"/>
      <c r="AS666" s="251"/>
    </row>
    <row r="667" spans="1:45" s="44" customFormat="1" x14ac:dyDescent="0.2">
      <c r="A667" s="71"/>
      <c r="B667" s="71"/>
      <c r="C667" s="7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51"/>
      <c r="AE667" s="251"/>
      <c r="AF667" s="251"/>
      <c r="AG667" s="251"/>
      <c r="AH667" s="251"/>
      <c r="AI667" s="251"/>
      <c r="AJ667" s="251"/>
      <c r="AK667" s="251"/>
      <c r="AL667" s="251"/>
      <c r="AM667" s="251"/>
      <c r="AN667" s="251"/>
      <c r="AO667" s="251"/>
      <c r="AP667" s="251"/>
      <c r="AQ667" s="251"/>
      <c r="AR667" s="251"/>
      <c r="AS667" s="251"/>
    </row>
    <row r="668" spans="1:45" s="44" customFormat="1" x14ac:dyDescent="0.2">
      <c r="A668" s="71"/>
      <c r="B668" s="71"/>
      <c r="C668" s="7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row>
    <row r="669" spans="1:45" s="44" customFormat="1" x14ac:dyDescent="0.2">
      <c r="A669" s="71"/>
      <c r="B669" s="71"/>
      <c r="C669" s="7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row>
    <row r="670" spans="1:45" s="44" customFormat="1" x14ac:dyDescent="0.2">
      <c r="A670" s="71"/>
      <c r="B670" s="71"/>
      <c r="C670" s="7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row>
    <row r="671" spans="1:45" s="44" customFormat="1" x14ac:dyDescent="0.2">
      <c r="A671" s="71"/>
      <c r="B671" s="71"/>
      <c r="C671" s="7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251"/>
      <c r="AH671" s="251"/>
      <c r="AI671" s="251"/>
      <c r="AJ671" s="251"/>
      <c r="AK671" s="251"/>
      <c r="AL671" s="251"/>
      <c r="AM671" s="251"/>
      <c r="AN671" s="251"/>
      <c r="AO671" s="251"/>
      <c r="AP671" s="251"/>
      <c r="AQ671" s="251"/>
      <c r="AR671" s="251"/>
      <c r="AS671" s="251"/>
    </row>
    <row r="672" spans="1:45" s="44" customFormat="1" x14ac:dyDescent="0.2">
      <c r="A672" s="71"/>
      <c r="B672" s="71"/>
      <c r="C672" s="7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row>
    <row r="673" spans="1:45" s="44" customFormat="1" x14ac:dyDescent="0.2">
      <c r="A673" s="71"/>
      <c r="B673" s="71"/>
      <c r="C673" s="7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s="251"/>
      <c r="AG673" s="251"/>
      <c r="AH673" s="251"/>
      <c r="AI673" s="251"/>
      <c r="AJ673" s="251"/>
      <c r="AK673" s="251"/>
      <c r="AL673" s="251"/>
      <c r="AM673" s="251"/>
      <c r="AN673" s="251"/>
      <c r="AO673" s="251"/>
      <c r="AP673" s="251"/>
      <c r="AQ673" s="251"/>
      <c r="AR673" s="251"/>
      <c r="AS673" s="251"/>
    </row>
    <row r="674" spans="1:45" s="44" customFormat="1" x14ac:dyDescent="0.2">
      <c r="A674" s="71"/>
      <c r="B674" s="71"/>
      <c r="C674" s="7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251"/>
      <c r="AF674" s="251"/>
      <c r="AG674" s="251"/>
      <c r="AH674" s="251"/>
      <c r="AI674" s="251"/>
      <c r="AJ674" s="251"/>
      <c r="AK674" s="251"/>
      <c r="AL674" s="251"/>
      <c r="AM674" s="251"/>
      <c r="AN674" s="251"/>
      <c r="AO674" s="251"/>
      <c r="AP674" s="251"/>
      <c r="AQ674" s="251"/>
      <c r="AR674" s="251"/>
      <c r="AS674" s="251"/>
    </row>
    <row r="675" spans="1:45" s="44" customFormat="1" x14ac:dyDescent="0.2">
      <c r="A675" s="71"/>
      <c r="B675" s="71"/>
      <c r="C675" s="7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251"/>
      <c r="AE675" s="251"/>
      <c r="AF675" s="251"/>
      <c r="AG675" s="251"/>
      <c r="AH675" s="251"/>
      <c r="AI675" s="251"/>
      <c r="AJ675" s="251"/>
      <c r="AK675" s="251"/>
      <c r="AL675" s="251"/>
      <c r="AM675" s="251"/>
      <c r="AN675" s="251"/>
      <c r="AO675" s="251"/>
      <c r="AP675" s="251"/>
      <c r="AQ675" s="251"/>
      <c r="AR675" s="251"/>
      <c r="AS675" s="251"/>
    </row>
    <row r="676" spans="1:45" s="44" customFormat="1" x14ac:dyDescent="0.2">
      <c r="A676" s="71"/>
      <c r="B676" s="71"/>
      <c r="C676" s="7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row>
    <row r="677" spans="1:45" s="44" customFormat="1" x14ac:dyDescent="0.2">
      <c r="A677" s="71"/>
      <c r="B677" s="71"/>
      <c r="C677" s="7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251"/>
      <c r="AF677" s="251"/>
      <c r="AG677" s="251"/>
      <c r="AH677" s="251"/>
      <c r="AI677" s="251"/>
      <c r="AJ677" s="251"/>
      <c r="AK677" s="251"/>
      <c r="AL677" s="251"/>
      <c r="AM677" s="251"/>
      <c r="AN677" s="251"/>
      <c r="AO677" s="251"/>
      <c r="AP677" s="251"/>
      <c r="AQ677" s="251"/>
      <c r="AR677" s="251"/>
      <c r="AS677" s="251"/>
    </row>
    <row r="678" spans="1:45" s="44" customFormat="1" x14ac:dyDescent="0.2">
      <c r="A678" s="71"/>
      <c r="B678" s="71"/>
      <c r="C678" s="7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row>
    <row r="679" spans="1:45" s="44" customFormat="1" x14ac:dyDescent="0.2">
      <c r="A679" s="71"/>
      <c r="B679" s="71"/>
      <c r="C679" s="7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251"/>
      <c r="AH679" s="251"/>
      <c r="AI679" s="251"/>
      <c r="AJ679" s="251"/>
      <c r="AK679" s="251"/>
      <c r="AL679" s="251"/>
      <c r="AM679" s="251"/>
      <c r="AN679" s="251"/>
      <c r="AO679" s="251"/>
      <c r="AP679" s="251"/>
      <c r="AQ679" s="251"/>
      <c r="AR679" s="251"/>
      <c r="AS679" s="251"/>
    </row>
    <row r="680" spans="1:45" s="44" customFormat="1" x14ac:dyDescent="0.2">
      <c r="A680" s="71"/>
      <c r="B680" s="71"/>
      <c r="C680" s="7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row>
    <row r="681" spans="1:45" s="44" customFormat="1" x14ac:dyDescent="0.2">
      <c r="A681" s="71"/>
      <c r="B681" s="71"/>
      <c r="C681" s="7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251"/>
      <c r="AE681" s="251"/>
      <c r="AF681" s="251"/>
      <c r="AG681" s="251"/>
      <c r="AH681" s="251"/>
      <c r="AI681" s="251"/>
      <c r="AJ681" s="251"/>
      <c r="AK681" s="251"/>
      <c r="AL681" s="251"/>
      <c r="AM681" s="251"/>
      <c r="AN681" s="251"/>
      <c r="AO681" s="251"/>
      <c r="AP681" s="251"/>
      <c r="AQ681" s="251"/>
      <c r="AR681" s="251"/>
      <c r="AS681" s="251"/>
    </row>
    <row r="682" spans="1:45" s="44" customFormat="1" x14ac:dyDescent="0.2">
      <c r="A682" s="71"/>
      <c r="B682" s="71"/>
      <c r="C682" s="7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251"/>
      <c r="AH682" s="251"/>
      <c r="AI682" s="251"/>
      <c r="AJ682" s="251"/>
      <c r="AK682" s="251"/>
      <c r="AL682" s="251"/>
      <c r="AM682" s="251"/>
      <c r="AN682" s="251"/>
      <c r="AO682" s="251"/>
      <c r="AP682" s="251"/>
      <c r="AQ682" s="251"/>
      <c r="AR682" s="251"/>
      <c r="AS682" s="251"/>
    </row>
    <row r="683" spans="1:45" s="44" customFormat="1" x14ac:dyDescent="0.2">
      <c r="A683" s="71"/>
      <c r="B683" s="71"/>
      <c r="C683" s="7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251"/>
      <c r="AF683" s="251"/>
      <c r="AG683" s="251"/>
      <c r="AH683" s="251"/>
      <c r="AI683" s="251"/>
      <c r="AJ683" s="251"/>
      <c r="AK683" s="251"/>
      <c r="AL683" s="251"/>
      <c r="AM683" s="251"/>
      <c r="AN683" s="251"/>
      <c r="AO683" s="251"/>
      <c r="AP683" s="251"/>
      <c r="AQ683" s="251"/>
      <c r="AR683" s="251"/>
      <c r="AS683" s="251"/>
    </row>
    <row r="684" spans="1:45" s="44" customFormat="1" x14ac:dyDescent="0.2">
      <c r="A684" s="71"/>
      <c r="B684" s="71"/>
      <c r="C684" s="7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251"/>
      <c r="AE684" s="251"/>
      <c r="AF684" s="251"/>
      <c r="AG684" s="251"/>
      <c r="AH684" s="251"/>
      <c r="AI684" s="251"/>
      <c r="AJ684" s="251"/>
      <c r="AK684" s="251"/>
      <c r="AL684" s="251"/>
      <c r="AM684" s="251"/>
      <c r="AN684" s="251"/>
      <c r="AO684" s="251"/>
      <c r="AP684" s="251"/>
      <c r="AQ684" s="251"/>
      <c r="AR684" s="251"/>
      <c r="AS684" s="251"/>
    </row>
    <row r="685" spans="1:45" s="44" customFormat="1" x14ac:dyDescent="0.2">
      <c r="A685" s="71"/>
      <c r="B685" s="71"/>
      <c r="C685" s="7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251"/>
      <c r="AE685" s="251"/>
      <c r="AF685" s="251"/>
      <c r="AG685" s="251"/>
      <c r="AH685" s="251"/>
      <c r="AI685" s="251"/>
      <c r="AJ685" s="251"/>
      <c r="AK685" s="251"/>
      <c r="AL685" s="251"/>
      <c r="AM685" s="251"/>
      <c r="AN685" s="251"/>
      <c r="AO685" s="251"/>
      <c r="AP685" s="251"/>
      <c r="AQ685" s="251"/>
      <c r="AR685" s="251"/>
      <c r="AS685" s="251"/>
    </row>
    <row r="686" spans="1:45" s="44" customFormat="1" x14ac:dyDescent="0.2">
      <c r="A686" s="71"/>
      <c r="B686" s="71"/>
      <c r="C686" s="7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251"/>
      <c r="AH686" s="251"/>
      <c r="AI686" s="251"/>
      <c r="AJ686" s="251"/>
      <c r="AK686" s="251"/>
      <c r="AL686" s="251"/>
      <c r="AM686" s="251"/>
      <c r="AN686" s="251"/>
      <c r="AO686" s="251"/>
      <c r="AP686" s="251"/>
      <c r="AQ686" s="251"/>
      <c r="AR686" s="251"/>
      <c r="AS686" s="251"/>
    </row>
    <row r="687" spans="1:45" s="44" customFormat="1" x14ac:dyDescent="0.2">
      <c r="A687" s="71"/>
      <c r="B687" s="71"/>
      <c r="C687" s="7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251"/>
      <c r="AF687" s="251"/>
      <c r="AG687" s="251"/>
      <c r="AH687" s="251"/>
      <c r="AI687" s="251"/>
      <c r="AJ687" s="251"/>
      <c r="AK687" s="251"/>
      <c r="AL687" s="251"/>
      <c r="AM687" s="251"/>
      <c r="AN687" s="251"/>
      <c r="AO687" s="251"/>
      <c r="AP687" s="251"/>
      <c r="AQ687" s="251"/>
      <c r="AR687" s="251"/>
      <c r="AS687" s="251"/>
    </row>
    <row r="688" spans="1:45" s="44" customFormat="1" x14ac:dyDescent="0.2">
      <c r="A688" s="71"/>
      <c r="B688" s="71"/>
      <c r="C688" s="7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251"/>
      <c r="AF688" s="251"/>
      <c r="AG688" s="251"/>
      <c r="AH688" s="251"/>
      <c r="AI688" s="251"/>
      <c r="AJ688" s="251"/>
      <c r="AK688" s="251"/>
      <c r="AL688" s="251"/>
      <c r="AM688" s="251"/>
      <c r="AN688" s="251"/>
      <c r="AO688" s="251"/>
      <c r="AP688" s="251"/>
      <c r="AQ688" s="251"/>
      <c r="AR688" s="251"/>
      <c r="AS688" s="251"/>
    </row>
    <row r="689" spans="1:45" s="44" customFormat="1" x14ac:dyDescent="0.2">
      <c r="A689" s="71"/>
      <c r="B689" s="71"/>
      <c r="C689" s="7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row>
    <row r="690" spans="1:45" s="44" customFormat="1" x14ac:dyDescent="0.2">
      <c r="A690" s="71"/>
      <c r="B690" s="71"/>
      <c r="C690" s="7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row>
    <row r="691" spans="1:45" s="44" customFormat="1" x14ac:dyDescent="0.2">
      <c r="A691" s="71"/>
      <c r="B691" s="71"/>
      <c r="C691" s="7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251"/>
      <c r="AF691" s="251"/>
      <c r="AG691" s="251"/>
      <c r="AH691" s="251"/>
      <c r="AI691" s="251"/>
      <c r="AJ691" s="251"/>
      <c r="AK691" s="251"/>
      <c r="AL691" s="251"/>
      <c r="AM691" s="251"/>
      <c r="AN691" s="251"/>
      <c r="AO691" s="251"/>
      <c r="AP691" s="251"/>
      <c r="AQ691" s="251"/>
      <c r="AR691" s="251"/>
      <c r="AS691" s="251"/>
    </row>
    <row r="692" spans="1:45" s="44" customFormat="1" x14ac:dyDescent="0.2">
      <c r="A692" s="71"/>
      <c r="B692" s="71"/>
      <c r="C692" s="7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251"/>
      <c r="AH692" s="251"/>
      <c r="AI692" s="251"/>
      <c r="AJ692" s="251"/>
      <c r="AK692" s="251"/>
      <c r="AL692" s="251"/>
      <c r="AM692" s="251"/>
      <c r="AN692" s="251"/>
      <c r="AO692" s="251"/>
      <c r="AP692" s="251"/>
      <c r="AQ692" s="251"/>
      <c r="AR692" s="251"/>
      <c r="AS692" s="251"/>
    </row>
    <row r="693" spans="1:45" s="44" customFormat="1" x14ac:dyDescent="0.2">
      <c r="A693" s="71"/>
      <c r="B693" s="71"/>
      <c r="C693" s="7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251"/>
      <c r="AF693" s="251"/>
      <c r="AG693" s="251"/>
      <c r="AH693" s="251"/>
      <c r="AI693" s="251"/>
      <c r="AJ693" s="251"/>
      <c r="AK693" s="251"/>
      <c r="AL693" s="251"/>
      <c r="AM693" s="251"/>
      <c r="AN693" s="251"/>
      <c r="AO693" s="251"/>
      <c r="AP693" s="251"/>
      <c r="AQ693" s="251"/>
      <c r="AR693" s="251"/>
      <c r="AS693" s="251"/>
    </row>
    <row r="694" spans="1:45" s="44" customFormat="1" x14ac:dyDescent="0.2">
      <c r="A694" s="71"/>
      <c r="B694" s="71"/>
      <c r="C694" s="7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251"/>
      <c r="AE694" s="251"/>
      <c r="AF694" s="251"/>
      <c r="AG694" s="251"/>
      <c r="AH694" s="251"/>
      <c r="AI694" s="251"/>
      <c r="AJ694" s="251"/>
      <c r="AK694" s="251"/>
      <c r="AL694" s="251"/>
      <c r="AM694" s="251"/>
      <c r="AN694" s="251"/>
      <c r="AO694" s="251"/>
      <c r="AP694" s="251"/>
      <c r="AQ694" s="251"/>
      <c r="AR694" s="251"/>
      <c r="AS694" s="251"/>
    </row>
    <row r="695" spans="1:45" s="44" customFormat="1" x14ac:dyDescent="0.2">
      <c r="A695" s="71"/>
      <c r="B695" s="71"/>
      <c r="C695" s="7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row>
    <row r="696" spans="1:45" s="44" customFormat="1" x14ac:dyDescent="0.2">
      <c r="A696" s="71"/>
      <c r="B696" s="71"/>
      <c r="C696" s="7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251"/>
      <c r="AH696" s="251"/>
      <c r="AI696" s="251"/>
      <c r="AJ696" s="251"/>
      <c r="AK696" s="251"/>
      <c r="AL696" s="251"/>
      <c r="AM696" s="251"/>
      <c r="AN696" s="251"/>
      <c r="AO696" s="251"/>
      <c r="AP696" s="251"/>
      <c r="AQ696" s="251"/>
      <c r="AR696" s="251"/>
      <c r="AS696" s="251"/>
    </row>
    <row r="697" spans="1:45" s="44" customFormat="1" x14ac:dyDescent="0.2">
      <c r="A697" s="71"/>
      <c r="B697" s="71"/>
      <c r="C697" s="7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251"/>
      <c r="AH697" s="251"/>
      <c r="AI697" s="251"/>
      <c r="AJ697" s="251"/>
      <c r="AK697" s="251"/>
      <c r="AL697" s="251"/>
      <c r="AM697" s="251"/>
      <c r="AN697" s="251"/>
      <c r="AO697" s="251"/>
      <c r="AP697" s="251"/>
      <c r="AQ697" s="251"/>
      <c r="AR697" s="251"/>
      <c r="AS697" s="251"/>
    </row>
    <row r="698" spans="1:45" s="44" customFormat="1" x14ac:dyDescent="0.2">
      <c r="A698" s="71"/>
      <c r="B698" s="71"/>
      <c r="C698" s="7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51"/>
      <c r="AE698" s="251"/>
      <c r="AF698" s="251"/>
      <c r="AG698" s="251"/>
      <c r="AH698" s="251"/>
      <c r="AI698" s="251"/>
      <c r="AJ698" s="251"/>
      <c r="AK698" s="251"/>
      <c r="AL698" s="251"/>
      <c r="AM698" s="251"/>
      <c r="AN698" s="251"/>
      <c r="AO698" s="251"/>
      <c r="AP698" s="251"/>
      <c r="AQ698" s="251"/>
      <c r="AR698" s="251"/>
      <c r="AS698" s="251"/>
    </row>
    <row r="699" spans="1:45" s="44" customFormat="1" x14ac:dyDescent="0.2">
      <c r="A699" s="71"/>
      <c r="B699" s="71"/>
      <c r="C699" s="7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row>
    <row r="700" spans="1:45" s="44" customFormat="1" x14ac:dyDescent="0.2">
      <c r="A700" s="71"/>
      <c r="B700" s="71"/>
      <c r="C700" s="7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c r="AC700" s="251"/>
      <c r="AD700" s="251"/>
      <c r="AE700" s="251"/>
      <c r="AF700" s="251"/>
      <c r="AG700" s="251"/>
      <c r="AH700" s="251"/>
      <c r="AI700" s="251"/>
      <c r="AJ700" s="251"/>
      <c r="AK700" s="251"/>
      <c r="AL700" s="251"/>
      <c r="AM700" s="251"/>
      <c r="AN700" s="251"/>
      <c r="AO700" s="251"/>
      <c r="AP700" s="251"/>
      <c r="AQ700" s="251"/>
      <c r="AR700" s="251"/>
      <c r="AS700" s="251"/>
    </row>
    <row r="701" spans="1:45" s="44" customFormat="1" x14ac:dyDescent="0.2">
      <c r="A701" s="71"/>
      <c r="B701" s="71"/>
      <c r="C701" s="7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c r="AC701" s="251"/>
      <c r="AD701" s="251"/>
      <c r="AE701" s="251"/>
      <c r="AF701" s="251"/>
      <c r="AG701" s="251"/>
      <c r="AH701" s="251"/>
      <c r="AI701" s="251"/>
      <c r="AJ701" s="251"/>
      <c r="AK701" s="251"/>
      <c r="AL701" s="251"/>
      <c r="AM701" s="251"/>
      <c r="AN701" s="251"/>
      <c r="AO701" s="251"/>
      <c r="AP701" s="251"/>
      <c r="AQ701" s="251"/>
      <c r="AR701" s="251"/>
      <c r="AS701" s="251"/>
    </row>
    <row r="702" spans="1:45" s="44" customFormat="1" x14ac:dyDescent="0.2">
      <c r="A702" s="71"/>
      <c r="B702" s="71"/>
      <c r="C702" s="7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row>
    <row r="703" spans="1:45" s="44" customFormat="1" x14ac:dyDescent="0.2">
      <c r="A703" s="71"/>
      <c r="B703" s="71"/>
      <c r="C703" s="7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251"/>
      <c r="AH703" s="251"/>
      <c r="AI703" s="251"/>
      <c r="AJ703" s="251"/>
      <c r="AK703" s="251"/>
      <c r="AL703" s="251"/>
      <c r="AM703" s="251"/>
      <c r="AN703" s="251"/>
      <c r="AO703" s="251"/>
      <c r="AP703" s="251"/>
      <c r="AQ703" s="251"/>
      <c r="AR703" s="251"/>
      <c r="AS703" s="251"/>
    </row>
    <row r="704" spans="1:45" s="44" customFormat="1" x14ac:dyDescent="0.2">
      <c r="A704" s="71"/>
      <c r="B704" s="71"/>
      <c r="C704" s="7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c r="AA704" s="251"/>
      <c r="AB704" s="251"/>
      <c r="AC704" s="251"/>
      <c r="AD704" s="251"/>
      <c r="AE704" s="251"/>
      <c r="AF704" s="251"/>
      <c r="AG704" s="251"/>
      <c r="AH704" s="251"/>
      <c r="AI704" s="251"/>
      <c r="AJ704" s="251"/>
      <c r="AK704" s="251"/>
      <c r="AL704" s="251"/>
      <c r="AM704" s="251"/>
      <c r="AN704" s="251"/>
      <c r="AO704" s="251"/>
      <c r="AP704" s="251"/>
      <c r="AQ704" s="251"/>
      <c r="AR704" s="251"/>
      <c r="AS704" s="251"/>
    </row>
    <row r="705" spans="1:45" s="44" customFormat="1" x14ac:dyDescent="0.2">
      <c r="A705" s="71"/>
      <c r="B705" s="71"/>
      <c r="C705" s="7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251"/>
      <c r="AF705" s="251"/>
      <c r="AG705" s="251"/>
      <c r="AH705" s="251"/>
      <c r="AI705" s="251"/>
      <c r="AJ705" s="251"/>
      <c r="AK705" s="251"/>
      <c r="AL705" s="251"/>
      <c r="AM705" s="251"/>
      <c r="AN705" s="251"/>
      <c r="AO705" s="251"/>
      <c r="AP705" s="251"/>
      <c r="AQ705" s="251"/>
      <c r="AR705" s="251"/>
      <c r="AS705" s="251"/>
    </row>
    <row r="706" spans="1:45" s="44" customFormat="1" x14ac:dyDescent="0.2">
      <c r="A706" s="71"/>
      <c r="B706" s="71"/>
      <c r="C706" s="7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251"/>
      <c r="AH706" s="251"/>
      <c r="AI706" s="251"/>
      <c r="AJ706" s="251"/>
      <c r="AK706" s="251"/>
      <c r="AL706" s="251"/>
      <c r="AM706" s="251"/>
      <c r="AN706" s="251"/>
      <c r="AO706" s="251"/>
      <c r="AP706" s="251"/>
      <c r="AQ706" s="251"/>
      <c r="AR706" s="251"/>
      <c r="AS706" s="251"/>
    </row>
    <row r="707" spans="1:45" s="44" customFormat="1" x14ac:dyDescent="0.2">
      <c r="A707" s="71"/>
      <c r="B707" s="71"/>
      <c r="C707" s="7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251"/>
      <c r="AE707" s="251"/>
      <c r="AF707" s="251"/>
      <c r="AG707" s="251"/>
      <c r="AH707" s="251"/>
      <c r="AI707" s="251"/>
      <c r="AJ707" s="251"/>
      <c r="AK707" s="251"/>
      <c r="AL707" s="251"/>
      <c r="AM707" s="251"/>
      <c r="AN707" s="251"/>
      <c r="AO707" s="251"/>
      <c r="AP707" s="251"/>
      <c r="AQ707" s="251"/>
      <c r="AR707" s="251"/>
      <c r="AS707" s="251"/>
    </row>
    <row r="708" spans="1:45" s="44" customFormat="1" x14ac:dyDescent="0.2">
      <c r="A708" s="71"/>
      <c r="B708" s="71"/>
      <c r="C708" s="7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251"/>
      <c r="AF708" s="251"/>
      <c r="AG708" s="251"/>
      <c r="AH708" s="251"/>
      <c r="AI708" s="251"/>
      <c r="AJ708" s="251"/>
      <c r="AK708" s="251"/>
      <c r="AL708" s="251"/>
      <c r="AM708" s="251"/>
      <c r="AN708" s="251"/>
      <c r="AO708" s="251"/>
      <c r="AP708" s="251"/>
      <c r="AQ708" s="251"/>
      <c r="AR708" s="251"/>
      <c r="AS708" s="251"/>
    </row>
    <row r="709" spans="1:45" s="44" customFormat="1" x14ac:dyDescent="0.2">
      <c r="A709" s="71"/>
      <c r="B709" s="71"/>
      <c r="C709" s="7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251"/>
      <c r="AH709" s="251"/>
      <c r="AI709" s="251"/>
      <c r="AJ709" s="251"/>
      <c r="AK709" s="251"/>
      <c r="AL709" s="251"/>
      <c r="AM709" s="251"/>
      <c r="AN709" s="251"/>
      <c r="AO709" s="251"/>
      <c r="AP709" s="251"/>
      <c r="AQ709" s="251"/>
      <c r="AR709" s="251"/>
      <c r="AS709" s="251"/>
    </row>
    <row r="710" spans="1:45" s="44" customFormat="1" x14ac:dyDescent="0.2">
      <c r="A710" s="71"/>
      <c r="B710" s="71"/>
      <c r="C710" s="7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251"/>
      <c r="AE710" s="251"/>
      <c r="AF710" s="251"/>
      <c r="AG710" s="251"/>
      <c r="AH710" s="251"/>
      <c r="AI710" s="251"/>
      <c r="AJ710" s="251"/>
      <c r="AK710" s="251"/>
      <c r="AL710" s="251"/>
      <c r="AM710" s="251"/>
      <c r="AN710" s="251"/>
      <c r="AO710" s="251"/>
      <c r="AP710" s="251"/>
      <c r="AQ710" s="251"/>
      <c r="AR710" s="251"/>
      <c r="AS710" s="251"/>
    </row>
    <row r="711" spans="1:45" s="44" customFormat="1" x14ac:dyDescent="0.2">
      <c r="A711" s="71"/>
      <c r="B711" s="71"/>
      <c r="C711" s="7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251"/>
      <c r="AF711" s="251"/>
      <c r="AG711" s="251"/>
      <c r="AH711" s="251"/>
      <c r="AI711" s="251"/>
      <c r="AJ711" s="251"/>
      <c r="AK711" s="251"/>
      <c r="AL711" s="251"/>
      <c r="AM711" s="251"/>
      <c r="AN711" s="251"/>
      <c r="AO711" s="251"/>
      <c r="AP711" s="251"/>
      <c r="AQ711" s="251"/>
      <c r="AR711" s="251"/>
      <c r="AS711" s="251"/>
    </row>
    <row r="712" spans="1:45" s="44" customFormat="1" x14ac:dyDescent="0.2">
      <c r="A712" s="71"/>
      <c r="B712" s="71"/>
      <c r="C712" s="7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row>
    <row r="713" spans="1:45" s="44" customFormat="1" x14ac:dyDescent="0.2">
      <c r="A713" s="71"/>
      <c r="B713" s="71"/>
      <c r="C713" s="7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251"/>
      <c r="AH713" s="251"/>
      <c r="AI713" s="251"/>
      <c r="AJ713" s="251"/>
      <c r="AK713" s="251"/>
      <c r="AL713" s="251"/>
      <c r="AM713" s="251"/>
      <c r="AN713" s="251"/>
      <c r="AO713" s="251"/>
      <c r="AP713" s="251"/>
      <c r="AQ713" s="251"/>
      <c r="AR713" s="251"/>
      <c r="AS713" s="251"/>
    </row>
    <row r="714" spans="1:45" s="44" customFormat="1" x14ac:dyDescent="0.2">
      <c r="A714" s="71"/>
      <c r="B714" s="71"/>
      <c r="C714" s="7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251"/>
      <c r="AE714" s="251"/>
      <c r="AF714" s="251"/>
      <c r="AG714" s="251"/>
      <c r="AH714" s="251"/>
      <c r="AI714" s="251"/>
      <c r="AJ714" s="251"/>
      <c r="AK714" s="251"/>
      <c r="AL714" s="251"/>
      <c r="AM714" s="251"/>
      <c r="AN714" s="251"/>
      <c r="AO714" s="251"/>
      <c r="AP714" s="251"/>
      <c r="AQ714" s="251"/>
      <c r="AR714" s="251"/>
      <c r="AS714" s="251"/>
    </row>
    <row r="715" spans="1:45" s="44" customFormat="1" x14ac:dyDescent="0.2">
      <c r="A715" s="71"/>
      <c r="B715" s="71"/>
      <c r="C715" s="7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row>
    <row r="716" spans="1:45" s="44" customFormat="1" x14ac:dyDescent="0.2">
      <c r="A716" s="71"/>
      <c r="B716" s="71"/>
      <c r="C716" s="7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251"/>
      <c r="AH716" s="251"/>
      <c r="AI716" s="251"/>
      <c r="AJ716" s="251"/>
      <c r="AK716" s="251"/>
      <c r="AL716" s="251"/>
      <c r="AM716" s="251"/>
      <c r="AN716" s="251"/>
      <c r="AO716" s="251"/>
      <c r="AP716" s="251"/>
      <c r="AQ716" s="251"/>
      <c r="AR716" s="251"/>
      <c r="AS716" s="251"/>
    </row>
    <row r="717" spans="1:45" s="44" customFormat="1" x14ac:dyDescent="0.2">
      <c r="A717" s="71"/>
      <c r="B717" s="71"/>
      <c r="C717" s="7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s="251"/>
      <c r="AG717" s="251"/>
      <c r="AH717" s="251"/>
      <c r="AI717" s="251"/>
      <c r="AJ717" s="251"/>
      <c r="AK717" s="251"/>
      <c r="AL717" s="251"/>
      <c r="AM717" s="251"/>
      <c r="AN717" s="251"/>
      <c r="AO717" s="251"/>
      <c r="AP717" s="251"/>
      <c r="AQ717" s="251"/>
      <c r="AR717" s="251"/>
      <c r="AS717" s="251"/>
    </row>
    <row r="718" spans="1:45" s="44" customFormat="1" x14ac:dyDescent="0.2">
      <c r="A718" s="71"/>
      <c r="B718" s="71"/>
      <c r="C718" s="7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251"/>
      <c r="AF718" s="251"/>
      <c r="AG718" s="251"/>
      <c r="AH718" s="251"/>
      <c r="AI718" s="251"/>
      <c r="AJ718" s="251"/>
      <c r="AK718" s="251"/>
      <c r="AL718" s="251"/>
      <c r="AM718" s="251"/>
      <c r="AN718" s="251"/>
      <c r="AO718" s="251"/>
      <c r="AP718" s="251"/>
      <c r="AQ718" s="251"/>
      <c r="AR718" s="251"/>
      <c r="AS718" s="251"/>
    </row>
    <row r="719" spans="1:45" s="44" customFormat="1" x14ac:dyDescent="0.2">
      <c r="A719" s="71"/>
      <c r="B719" s="71"/>
      <c r="C719" s="7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row>
    <row r="720" spans="1:45" s="44" customFormat="1" x14ac:dyDescent="0.2">
      <c r="A720" s="71"/>
      <c r="B720" s="71"/>
      <c r="C720" s="7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row>
    <row r="721" spans="1:45" s="44" customFormat="1" x14ac:dyDescent="0.2">
      <c r="A721" s="71"/>
      <c r="B721" s="71"/>
      <c r="C721" s="7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row>
    <row r="722" spans="1:45" s="44" customFormat="1" x14ac:dyDescent="0.2">
      <c r="A722" s="71"/>
      <c r="B722" s="71"/>
      <c r="C722" s="7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251"/>
      <c r="AH722" s="251"/>
      <c r="AI722" s="251"/>
      <c r="AJ722" s="251"/>
      <c r="AK722" s="251"/>
      <c r="AL722" s="251"/>
      <c r="AM722" s="251"/>
      <c r="AN722" s="251"/>
      <c r="AO722" s="251"/>
      <c r="AP722" s="251"/>
      <c r="AQ722" s="251"/>
      <c r="AR722" s="251"/>
      <c r="AS722" s="251"/>
    </row>
    <row r="723" spans="1:45" s="44" customFormat="1" x14ac:dyDescent="0.2">
      <c r="A723" s="71"/>
      <c r="B723" s="71"/>
      <c r="C723" s="7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51"/>
      <c r="AE723" s="251"/>
      <c r="AF723" s="251"/>
      <c r="AG723" s="251"/>
      <c r="AH723" s="251"/>
      <c r="AI723" s="251"/>
      <c r="AJ723" s="251"/>
      <c r="AK723" s="251"/>
      <c r="AL723" s="251"/>
      <c r="AM723" s="251"/>
      <c r="AN723" s="251"/>
      <c r="AO723" s="251"/>
      <c r="AP723" s="251"/>
      <c r="AQ723" s="251"/>
      <c r="AR723" s="251"/>
      <c r="AS723" s="251"/>
    </row>
    <row r="724" spans="1:45" s="44" customFormat="1" x14ac:dyDescent="0.2">
      <c r="A724" s="71"/>
      <c r="B724" s="71"/>
      <c r="C724" s="7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51"/>
      <c r="AE724" s="251"/>
      <c r="AF724" s="251"/>
      <c r="AG724" s="251"/>
      <c r="AH724" s="251"/>
      <c r="AI724" s="251"/>
      <c r="AJ724" s="251"/>
      <c r="AK724" s="251"/>
      <c r="AL724" s="251"/>
      <c r="AM724" s="251"/>
      <c r="AN724" s="251"/>
      <c r="AO724" s="251"/>
      <c r="AP724" s="251"/>
      <c r="AQ724" s="251"/>
      <c r="AR724" s="251"/>
      <c r="AS724" s="251"/>
    </row>
    <row r="725" spans="1:45" s="44" customFormat="1" x14ac:dyDescent="0.2">
      <c r="A725" s="71"/>
      <c r="B725" s="71"/>
      <c r="C725" s="7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row>
    <row r="726" spans="1:45" s="44" customFormat="1" x14ac:dyDescent="0.2">
      <c r="A726" s="71"/>
      <c r="B726" s="71"/>
      <c r="C726" s="7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c r="AC726" s="251"/>
      <c r="AD726" s="251"/>
      <c r="AE726" s="251"/>
      <c r="AF726" s="251"/>
      <c r="AG726" s="251"/>
      <c r="AH726" s="251"/>
      <c r="AI726" s="251"/>
      <c r="AJ726" s="251"/>
      <c r="AK726" s="251"/>
      <c r="AL726" s="251"/>
      <c r="AM726" s="251"/>
      <c r="AN726" s="251"/>
      <c r="AO726" s="251"/>
      <c r="AP726" s="251"/>
      <c r="AQ726" s="251"/>
      <c r="AR726" s="251"/>
      <c r="AS726" s="251"/>
    </row>
    <row r="727" spans="1:45" s="44" customFormat="1" x14ac:dyDescent="0.2">
      <c r="A727" s="71"/>
      <c r="B727" s="71"/>
      <c r="C727" s="7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c r="AA727" s="251"/>
      <c r="AB727" s="251"/>
      <c r="AC727" s="251"/>
      <c r="AD727" s="251"/>
      <c r="AE727" s="251"/>
      <c r="AF727" s="251"/>
      <c r="AG727" s="251"/>
      <c r="AH727" s="251"/>
      <c r="AI727" s="251"/>
      <c r="AJ727" s="251"/>
      <c r="AK727" s="251"/>
      <c r="AL727" s="251"/>
      <c r="AM727" s="251"/>
      <c r="AN727" s="251"/>
      <c r="AO727" s="251"/>
      <c r="AP727" s="251"/>
      <c r="AQ727" s="251"/>
      <c r="AR727" s="251"/>
      <c r="AS727" s="251"/>
    </row>
    <row r="728" spans="1:45" s="44" customFormat="1" x14ac:dyDescent="0.2">
      <c r="A728" s="71"/>
      <c r="B728" s="71"/>
      <c r="C728" s="7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row>
    <row r="729" spans="1:45" s="44" customFormat="1" x14ac:dyDescent="0.2">
      <c r="A729" s="71"/>
      <c r="B729" s="71"/>
      <c r="C729" s="7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row>
    <row r="730" spans="1:45" s="44" customFormat="1" x14ac:dyDescent="0.2">
      <c r="A730" s="71"/>
      <c r="B730" s="71"/>
      <c r="C730" s="7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c r="AA730" s="251"/>
      <c r="AB730" s="251"/>
      <c r="AC730" s="251"/>
      <c r="AD730" s="251"/>
      <c r="AE730" s="251"/>
      <c r="AF730" s="251"/>
      <c r="AG730" s="251"/>
      <c r="AH730" s="251"/>
      <c r="AI730" s="251"/>
      <c r="AJ730" s="251"/>
      <c r="AK730" s="251"/>
      <c r="AL730" s="251"/>
      <c r="AM730" s="251"/>
      <c r="AN730" s="251"/>
      <c r="AO730" s="251"/>
      <c r="AP730" s="251"/>
      <c r="AQ730" s="251"/>
      <c r="AR730" s="251"/>
      <c r="AS730" s="251"/>
    </row>
    <row r="731" spans="1:45" s="44" customFormat="1" x14ac:dyDescent="0.2">
      <c r="A731" s="71"/>
      <c r="B731" s="71"/>
      <c r="C731" s="7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251"/>
      <c r="AH731" s="251"/>
      <c r="AI731" s="251"/>
      <c r="AJ731" s="251"/>
      <c r="AK731" s="251"/>
      <c r="AL731" s="251"/>
      <c r="AM731" s="251"/>
      <c r="AN731" s="251"/>
      <c r="AO731" s="251"/>
      <c r="AP731" s="251"/>
      <c r="AQ731" s="251"/>
      <c r="AR731" s="251"/>
      <c r="AS731" s="251"/>
    </row>
    <row r="732" spans="1:45" s="44" customFormat="1" x14ac:dyDescent="0.2">
      <c r="A732" s="71"/>
      <c r="B732" s="71"/>
      <c r="C732" s="7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c r="AC732" s="251"/>
      <c r="AD732" s="251"/>
      <c r="AE732" s="251"/>
      <c r="AF732" s="251"/>
      <c r="AG732" s="251"/>
      <c r="AH732" s="251"/>
      <c r="AI732" s="251"/>
      <c r="AJ732" s="251"/>
      <c r="AK732" s="251"/>
      <c r="AL732" s="251"/>
      <c r="AM732" s="251"/>
      <c r="AN732" s="251"/>
      <c r="AO732" s="251"/>
      <c r="AP732" s="251"/>
      <c r="AQ732" s="251"/>
      <c r="AR732" s="251"/>
      <c r="AS732" s="251"/>
    </row>
    <row r="733" spans="1:45" s="44" customFormat="1" x14ac:dyDescent="0.2">
      <c r="A733" s="71"/>
      <c r="B733" s="71"/>
      <c r="C733" s="7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c r="AA733" s="251"/>
      <c r="AB733" s="251"/>
      <c r="AC733" s="251"/>
      <c r="AD733" s="251"/>
      <c r="AE733" s="251"/>
      <c r="AF733" s="251"/>
      <c r="AG733" s="251"/>
      <c r="AH733" s="251"/>
      <c r="AI733" s="251"/>
      <c r="AJ733" s="251"/>
      <c r="AK733" s="251"/>
      <c r="AL733" s="251"/>
      <c r="AM733" s="251"/>
      <c r="AN733" s="251"/>
      <c r="AO733" s="251"/>
      <c r="AP733" s="251"/>
      <c r="AQ733" s="251"/>
      <c r="AR733" s="251"/>
      <c r="AS733" s="251"/>
    </row>
    <row r="734" spans="1:45" s="44" customFormat="1" x14ac:dyDescent="0.2">
      <c r="A734" s="71"/>
      <c r="B734" s="71"/>
      <c r="C734" s="7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251"/>
      <c r="AH734" s="251"/>
      <c r="AI734" s="251"/>
      <c r="AJ734" s="251"/>
      <c r="AK734" s="251"/>
      <c r="AL734" s="251"/>
      <c r="AM734" s="251"/>
      <c r="AN734" s="251"/>
      <c r="AO734" s="251"/>
      <c r="AP734" s="251"/>
      <c r="AQ734" s="251"/>
      <c r="AR734" s="251"/>
      <c r="AS734" s="251"/>
    </row>
    <row r="735" spans="1:45" s="44" customFormat="1" x14ac:dyDescent="0.2">
      <c r="A735" s="71"/>
      <c r="B735" s="71"/>
      <c r="C735" s="7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251"/>
      <c r="AF735" s="251"/>
      <c r="AG735" s="251"/>
      <c r="AH735" s="251"/>
      <c r="AI735" s="251"/>
      <c r="AJ735" s="251"/>
      <c r="AK735" s="251"/>
      <c r="AL735" s="251"/>
      <c r="AM735" s="251"/>
      <c r="AN735" s="251"/>
      <c r="AO735" s="251"/>
      <c r="AP735" s="251"/>
      <c r="AQ735" s="251"/>
      <c r="AR735" s="251"/>
      <c r="AS735" s="251"/>
    </row>
    <row r="736" spans="1:45" s="44" customFormat="1" x14ac:dyDescent="0.2">
      <c r="A736" s="71"/>
      <c r="B736" s="71"/>
      <c r="C736" s="7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c r="AA736" s="251"/>
      <c r="AB736" s="251"/>
      <c r="AC736" s="251"/>
      <c r="AD736" s="251"/>
      <c r="AE736" s="251"/>
      <c r="AF736" s="251"/>
      <c r="AG736" s="251"/>
      <c r="AH736" s="251"/>
      <c r="AI736" s="251"/>
      <c r="AJ736" s="251"/>
      <c r="AK736" s="251"/>
      <c r="AL736" s="251"/>
      <c r="AM736" s="251"/>
      <c r="AN736" s="251"/>
      <c r="AO736" s="251"/>
      <c r="AP736" s="251"/>
      <c r="AQ736" s="251"/>
      <c r="AR736" s="251"/>
      <c r="AS736" s="251"/>
    </row>
    <row r="737" spans="1:45" s="44" customFormat="1" x14ac:dyDescent="0.2">
      <c r="A737" s="71"/>
      <c r="B737" s="71"/>
      <c r="C737" s="7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row>
    <row r="738" spans="1:45" s="44" customFormat="1" x14ac:dyDescent="0.2">
      <c r="A738" s="71"/>
      <c r="B738" s="71"/>
      <c r="C738" s="7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251"/>
      <c r="AH738" s="251"/>
      <c r="AI738" s="251"/>
      <c r="AJ738" s="251"/>
      <c r="AK738" s="251"/>
      <c r="AL738" s="251"/>
      <c r="AM738" s="251"/>
      <c r="AN738" s="251"/>
      <c r="AO738" s="251"/>
      <c r="AP738" s="251"/>
      <c r="AQ738" s="251"/>
      <c r="AR738" s="251"/>
      <c r="AS738" s="251"/>
    </row>
    <row r="739" spans="1:45" s="44" customFormat="1" x14ac:dyDescent="0.2">
      <c r="A739" s="71"/>
      <c r="B739" s="71"/>
      <c r="C739" s="7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c r="AA739" s="251"/>
      <c r="AB739" s="251"/>
      <c r="AC739" s="251"/>
      <c r="AD739" s="251"/>
      <c r="AE739" s="251"/>
      <c r="AF739" s="251"/>
      <c r="AG739" s="251"/>
      <c r="AH739" s="251"/>
      <c r="AI739" s="251"/>
      <c r="AJ739" s="251"/>
      <c r="AK739" s="251"/>
      <c r="AL739" s="251"/>
      <c r="AM739" s="251"/>
      <c r="AN739" s="251"/>
      <c r="AO739" s="251"/>
      <c r="AP739" s="251"/>
      <c r="AQ739" s="251"/>
      <c r="AR739" s="251"/>
      <c r="AS739" s="251"/>
    </row>
    <row r="740" spans="1:45" s="44" customFormat="1" x14ac:dyDescent="0.2">
      <c r="A740" s="71"/>
      <c r="B740" s="71"/>
      <c r="C740" s="7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251"/>
      <c r="AF740" s="251"/>
      <c r="AG740" s="251"/>
      <c r="AH740" s="251"/>
      <c r="AI740" s="251"/>
      <c r="AJ740" s="251"/>
      <c r="AK740" s="251"/>
      <c r="AL740" s="251"/>
      <c r="AM740" s="251"/>
      <c r="AN740" s="251"/>
      <c r="AO740" s="251"/>
      <c r="AP740" s="251"/>
      <c r="AQ740" s="251"/>
      <c r="AR740" s="251"/>
      <c r="AS740" s="251"/>
    </row>
    <row r="741" spans="1:45" s="44" customFormat="1" x14ac:dyDescent="0.2">
      <c r="A741" s="71"/>
      <c r="B741" s="71"/>
      <c r="C741" s="7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row>
    <row r="742" spans="1:45" s="44" customFormat="1" x14ac:dyDescent="0.2">
      <c r="A742" s="71"/>
      <c r="B742" s="71"/>
      <c r="C742" s="7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251"/>
      <c r="AE742" s="251"/>
      <c r="AF742" s="251"/>
      <c r="AG742" s="251"/>
      <c r="AH742" s="251"/>
      <c r="AI742" s="251"/>
      <c r="AJ742" s="251"/>
      <c r="AK742" s="251"/>
      <c r="AL742" s="251"/>
      <c r="AM742" s="251"/>
      <c r="AN742" s="251"/>
      <c r="AO742" s="251"/>
      <c r="AP742" s="251"/>
      <c r="AQ742" s="251"/>
      <c r="AR742" s="251"/>
      <c r="AS742" s="251"/>
    </row>
    <row r="743" spans="1:45" s="44" customFormat="1" x14ac:dyDescent="0.2">
      <c r="A743" s="71"/>
      <c r="B743" s="71"/>
      <c r="C743" s="7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251"/>
      <c r="AF743" s="251"/>
      <c r="AG743" s="251"/>
      <c r="AH743" s="251"/>
      <c r="AI743" s="251"/>
      <c r="AJ743" s="251"/>
      <c r="AK743" s="251"/>
      <c r="AL743" s="251"/>
      <c r="AM743" s="251"/>
      <c r="AN743" s="251"/>
      <c r="AO743" s="251"/>
      <c r="AP743" s="251"/>
      <c r="AQ743" s="251"/>
      <c r="AR743" s="251"/>
      <c r="AS743" s="251"/>
    </row>
    <row r="744" spans="1:45" s="44" customFormat="1" x14ac:dyDescent="0.2">
      <c r="A744" s="71"/>
      <c r="B744" s="71"/>
      <c r="C744" s="7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251"/>
      <c r="AH744" s="251"/>
      <c r="AI744" s="251"/>
      <c r="AJ744" s="251"/>
      <c r="AK744" s="251"/>
      <c r="AL744" s="251"/>
      <c r="AM744" s="251"/>
      <c r="AN744" s="251"/>
      <c r="AO744" s="251"/>
      <c r="AP744" s="251"/>
      <c r="AQ744" s="251"/>
      <c r="AR744" s="251"/>
      <c r="AS744" s="251"/>
    </row>
    <row r="745" spans="1:45" s="44" customFormat="1" x14ac:dyDescent="0.2">
      <c r="A745" s="71"/>
      <c r="B745" s="71"/>
      <c r="C745" s="7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251"/>
      <c r="AH745" s="251"/>
      <c r="AI745" s="251"/>
      <c r="AJ745" s="251"/>
      <c r="AK745" s="251"/>
      <c r="AL745" s="251"/>
      <c r="AM745" s="251"/>
      <c r="AN745" s="251"/>
      <c r="AO745" s="251"/>
      <c r="AP745" s="251"/>
      <c r="AQ745" s="251"/>
      <c r="AR745" s="251"/>
      <c r="AS745" s="251"/>
    </row>
    <row r="746" spans="1:45" s="44" customFormat="1" x14ac:dyDescent="0.2">
      <c r="A746" s="71"/>
      <c r="B746" s="71"/>
      <c r="C746" s="7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row>
    <row r="747" spans="1:45" s="44" customFormat="1" x14ac:dyDescent="0.2">
      <c r="A747" s="71"/>
      <c r="B747" s="71"/>
      <c r="C747" s="7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251"/>
      <c r="AH747" s="251"/>
      <c r="AI747" s="251"/>
      <c r="AJ747" s="251"/>
      <c r="AK747" s="251"/>
      <c r="AL747" s="251"/>
      <c r="AM747" s="251"/>
      <c r="AN747" s="251"/>
      <c r="AO747" s="251"/>
      <c r="AP747" s="251"/>
      <c r="AQ747" s="251"/>
      <c r="AR747" s="251"/>
      <c r="AS747" s="251"/>
    </row>
    <row r="748" spans="1:45" s="44" customFormat="1" x14ac:dyDescent="0.2">
      <c r="A748" s="71"/>
      <c r="B748" s="71"/>
      <c r="C748" s="7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c r="AA748" s="251"/>
      <c r="AB748" s="251"/>
      <c r="AC748" s="251"/>
      <c r="AD748" s="251"/>
      <c r="AE748" s="251"/>
      <c r="AF748" s="251"/>
      <c r="AG748" s="251"/>
      <c r="AH748" s="251"/>
      <c r="AI748" s="251"/>
      <c r="AJ748" s="251"/>
      <c r="AK748" s="251"/>
      <c r="AL748" s="251"/>
      <c r="AM748" s="251"/>
      <c r="AN748" s="251"/>
      <c r="AO748" s="251"/>
      <c r="AP748" s="251"/>
      <c r="AQ748" s="251"/>
      <c r="AR748" s="251"/>
      <c r="AS748" s="251"/>
    </row>
    <row r="749" spans="1:45" s="44" customFormat="1" x14ac:dyDescent="0.2">
      <c r="A749" s="71"/>
      <c r="B749" s="71"/>
      <c r="C749" s="7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251"/>
      <c r="AF749" s="251"/>
      <c r="AG749" s="251"/>
      <c r="AH749" s="251"/>
      <c r="AI749" s="251"/>
      <c r="AJ749" s="251"/>
      <c r="AK749" s="251"/>
      <c r="AL749" s="251"/>
      <c r="AM749" s="251"/>
      <c r="AN749" s="251"/>
      <c r="AO749" s="251"/>
      <c r="AP749" s="251"/>
      <c r="AQ749" s="251"/>
      <c r="AR749" s="251"/>
      <c r="AS749" s="251"/>
    </row>
    <row r="750" spans="1:45" s="44" customFormat="1" x14ac:dyDescent="0.2">
      <c r="A750" s="71"/>
      <c r="B750" s="71"/>
      <c r="C750" s="7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251"/>
      <c r="AH750" s="251"/>
      <c r="AI750" s="251"/>
      <c r="AJ750" s="251"/>
      <c r="AK750" s="251"/>
      <c r="AL750" s="251"/>
      <c r="AM750" s="251"/>
      <c r="AN750" s="251"/>
      <c r="AO750" s="251"/>
      <c r="AP750" s="251"/>
      <c r="AQ750" s="251"/>
      <c r="AR750" s="251"/>
      <c r="AS750" s="251"/>
    </row>
    <row r="751" spans="1:45" s="44" customFormat="1" x14ac:dyDescent="0.2">
      <c r="A751" s="71"/>
      <c r="B751" s="71"/>
      <c r="C751" s="7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c r="AC751" s="251"/>
      <c r="AD751" s="251"/>
      <c r="AE751" s="251"/>
      <c r="AF751" s="251"/>
      <c r="AG751" s="251"/>
      <c r="AH751" s="251"/>
      <c r="AI751" s="251"/>
      <c r="AJ751" s="251"/>
      <c r="AK751" s="251"/>
      <c r="AL751" s="251"/>
      <c r="AM751" s="251"/>
      <c r="AN751" s="251"/>
      <c r="AO751" s="251"/>
      <c r="AP751" s="251"/>
      <c r="AQ751" s="251"/>
      <c r="AR751" s="251"/>
      <c r="AS751" s="251"/>
    </row>
    <row r="752" spans="1:45" s="44" customFormat="1" x14ac:dyDescent="0.2">
      <c r="A752" s="71"/>
      <c r="B752" s="71"/>
      <c r="C752" s="7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251"/>
      <c r="AF752" s="251"/>
      <c r="AG752" s="251"/>
      <c r="AH752" s="251"/>
      <c r="AI752" s="251"/>
      <c r="AJ752" s="251"/>
      <c r="AK752" s="251"/>
      <c r="AL752" s="251"/>
      <c r="AM752" s="251"/>
      <c r="AN752" s="251"/>
      <c r="AO752" s="251"/>
      <c r="AP752" s="251"/>
      <c r="AQ752" s="251"/>
      <c r="AR752" s="251"/>
      <c r="AS752" s="251"/>
    </row>
    <row r="753" spans="1:45" s="44" customFormat="1" x14ac:dyDescent="0.2">
      <c r="A753" s="71"/>
      <c r="B753" s="71"/>
      <c r="C753" s="7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251"/>
      <c r="AH753" s="251"/>
      <c r="AI753" s="251"/>
      <c r="AJ753" s="251"/>
      <c r="AK753" s="251"/>
      <c r="AL753" s="251"/>
      <c r="AM753" s="251"/>
      <c r="AN753" s="251"/>
      <c r="AO753" s="251"/>
      <c r="AP753" s="251"/>
      <c r="AQ753" s="251"/>
      <c r="AR753" s="251"/>
      <c r="AS753" s="251"/>
    </row>
    <row r="754" spans="1:45" s="44" customFormat="1" x14ac:dyDescent="0.2">
      <c r="A754" s="71"/>
      <c r="B754" s="71"/>
      <c r="C754" s="7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row>
    <row r="755" spans="1:45" s="44" customFormat="1" x14ac:dyDescent="0.2">
      <c r="A755" s="71"/>
      <c r="B755" s="71"/>
      <c r="C755" s="7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251"/>
      <c r="AF755" s="251"/>
      <c r="AG755" s="251"/>
      <c r="AH755" s="251"/>
      <c r="AI755" s="251"/>
      <c r="AJ755" s="251"/>
      <c r="AK755" s="251"/>
      <c r="AL755" s="251"/>
      <c r="AM755" s="251"/>
      <c r="AN755" s="251"/>
      <c r="AO755" s="251"/>
      <c r="AP755" s="251"/>
      <c r="AQ755" s="251"/>
      <c r="AR755" s="251"/>
      <c r="AS755" s="251"/>
    </row>
    <row r="756" spans="1:45" s="44" customFormat="1" x14ac:dyDescent="0.2">
      <c r="A756" s="71"/>
      <c r="B756" s="71"/>
      <c r="C756" s="7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251"/>
      <c r="AH756" s="251"/>
      <c r="AI756" s="251"/>
      <c r="AJ756" s="251"/>
      <c r="AK756" s="251"/>
      <c r="AL756" s="251"/>
      <c r="AM756" s="251"/>
      <c r="AN756" s="251"/>
      <c r="AO756" s="251"/>
      <c r="AP756" s="251"/>
      <c r="AQ756" s="251"/>
      <c r="AR756" s="251"/>
      <c r="AS756" s="251"/>
    </row>
    <row r="757" spans="1:45" s="44" customFormat="1" x14ac:dyDescent="0.2">
      <c r="A757" s="71"/>
      <c r="B757" s="71"/>
      <c r="C757" s="7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251"/>
      <c r="AE757" s="251"/>
      <c r="AF757" s="251"/>
      <c r="AG757" s="251"/>
      <c r="AH757" s="251"/>
      <c r="AI757" s="251"/>
      <c r="AJ757" s="251"/>
      <c r="AK757" s="251"/>
      <c r="AL757" s="251"/>
      <c r="AM757" s="251"/>
      <c r="AN757" s="251"/>
      <c r="AO757" s="251"/>
      <c r="AP757" s="251"/>
      <c r="AQ757" s="251"/>
      <c r="AR757" s="251"/>
      <c r="AS757" s="251"/>
    </row>
    <row r="758" spans="1:45" s="44" customFormat="1" x14ac:dyDescent="0.2">
      <c r="A758" s="71"/>
      <c r="B758" s="71"/>
      <c r="C758" s="7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251"/>
      <c r="AF758" s="251"/>
      <c r="AG758" s="251"/>
      <c r="AH758" s="251"/>
      <c r="AI758" s="251"/>
      <c r="AJ758" s="251"/>
      <c r="AK758" s="251"/>
      <c r="AL758" s="251"/>
      <c r="AM758" s="251"/>
      <c r="AN758" s="251"/>
      <c r="AO758" s="251"/>
      <c r="AP758" s="251"/>
      <c r="AQ758" s="251"/>
      <c r="AR758" s="251"/>
      <c r="AS758" s="251"/>
    </row>
    <row r="759" spans="1:45" s="44" customFormat="1" x14ac:dyDescent="0.2">
      <c r="A759" s="71"/>
      <c r="B759" s="71"/>
      <c r="C759" s="7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251"/>
      <c r="AH759" s="251"/>
      <c r="AI759" s="251"/>
      <c r="AJ759" s="251"/>
      <c r="AK759" s="251"/>
      <c r="AL759" s="251"/>
      <c r="AM759" s="251"/>
      <c r="AN759" s="251"/>
      <c r="AO759" s="251"/>
      <c r="AP759" s="251"/>
      <c r="AQ759" s="251"/>
      <c r="AR759" s="251"/>
      <c r="AS759" s="251"/>
    </row>
    <row r="760" spans="1:45" s="44" customFormat="1" x14ac:dyDescent="0.2">
      <c r="A760" s="71"/>
      <c r="B760" s="71"/>
      <c r="C760" s="7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251"/>
      <c r="AH760" s="251"/>
      <c r="AI760" s="251"/>
      <c r="AJ760" s="251"/>
      <c r="AK760" s="251"/>
      <c r="AL760" s="251"/>
      <c r="AM760" s="251"/>
      <c r="AN760" s="251"/>
      <c r="AO760" s="251"/>
      <c r="AP760" s="251"/>
      <c r="AQ760" s="251"/>
      <c r="AR760" s="251"/>
      <c r="AS760" s="251"/>
    </row>
    <row r="761" spans="1:45" s="44" customFormat="1" x14ac:dyDescent="0.2">
      <c r="A761" s="71"/>
      <c r="B761" s="71"/>
      <c r="C761" s="7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row>
    <row r="762" spans="1:45" s="44" customFormat="1" x14ac:dyDescent="0.2">
      <c r="A762" s="71"/>
      <c r="B762" s="71"/>
      <c r="C762" s="7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251"/>
      <c r="AF762" s="251"/>
      <c r="AG762" s="251"/>
      <c r="AH762" s="251"/>
      <c r="AI762" s="251"/>
      <c r="AJ762" s="251"/>
      <c r="AK762" s="251"/>
      <c r="AL762" s="251"/>
      <c r="AM762" s="251"/>
      <c r="AN762" s="251"/>
      <c r="AO762" s="251"/>
      <c r="AP762" s="251"/>
      <c r="AQ762" s="251"/>
      <c r="AR762" s="251"/>
      <c r="AS762" s="251"/>
    </row>
    <row r="763" spans="1:45" s="44" customFormat="1" x14ac:dyDescent="0.2">
      <c r="A763" s="71"/>
      <c r="B763" s="71"/>
      <c r="C763" s="7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row>
    <row r="764" spans="1:45" s="44" customFormat="1" x14ac:dyDescent="0.2">
      <c r="A764" s="71"/>
      <c r="B764" s="71"/>
      <c r="C764" s="7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251"/>
      <c r="AF764" s="251"/>
      <c r="AG764" s="251"/>
      <c r="AH764" s="251"/>
      <c r="AI764" s="251"/>
      <c r="AJ764" s="251"/>
      <c r="AK764" s="251"/>
      <c r="AL764" s="251"/>
      <c r="AM764" s="251"/>
      <c r="AN764" s="251"/>
      <c r="AO764" s="251"/>
      <c r="AP764" s="251"/>
      <c r="AQ764" s="251"/>
      <c r="AR764" s="251"/>
      <c r="AS764" s="251"/>
    </row>
    <row r="765" spans="1:45" s="44" customFormat="1" x14ac:dyDescent="0.2">
      <c r="A765" s="71"/>
      <c r="B765" s="71"/>
      <c r="C765" s="7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251"/>
      <c r="AF765" s="251"/>
      <c r="AG765" s="251"/>
      <c r="AH765" s="251"/>
      <c r="AI765" s="251"/>
      <c r="AJ765" s="251"/>
      <c r="AK765" s="251"/>
      <c r="AL765" s="251"/>
      <c r="AM765" s="251"/>
      <c r="AN765" s="251"/>
      <c r="AO765" s="251"/>
      <c r="AP765" s="251"/>
      <c r="AQ765" s="251"/>
      <c r="AR765" s="251"/>
      <c r="AS765" s="251"/>
    </row>
    <row r="766" spans="1:45" s="44" customFormat="1" x14ac:dyDescent="0.2">
      <c r="A766" s="71"/>
      <c r="B766" s="71"/>
      <c r="C766" s="7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251"/>
      <c r="AH766" s="251"/>
      <c r="AI766" s="251"/>
      <c r="AJ766" s="251"/>
      <c r="AK766" s="251"/>
      <c r="AL766" s="251"/>
      <c r="AM766" s="251"/>
      <c r="AN766" s="251"/>
      <c r="AO766" s="251"/>
      <c r="AP766" s="251"/>
      <c r="AQ766" s="251"/>
      <c r="AR766" s="251"/>
      <c r="AS766" s="251"/>
    </row>
    <row r="767" spans="1:45" s="44" customFormat="1" x14ac:dyDescent="0.2">
      <c r="A767" s="71"/>
      <c r="B767" s="71"/>
      <c r="C767" s="7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251"/>
      <c r="AE767" s="251"/>
      <c r="AF767" s="251"/>
      <c r="AG767" s="251"/>
      <c r="AH767" s="251"/>
      <c r="AI767" s="251"/>
      <c r="AJ767" s="251"/>
      <c r="AK767" s="251"/>
      <c r="AL767" s="251"/>
      <c r="AM767" s="251"/>
      <c r="AN767" s="251"/>
      <c r="AO767" s="251"/>
      <c r="AP767" s="251"/>
      <c r="AQ767" s="251"/>
      <c r="AR767" s="251"/>
      <c r="AS767" s="251"/>
    </row>
    <row r="768" spans="1:45" s="44" customFormat="1" x14ac:dyDescent="0.2">
      <c r="A768" s="71"/>
      <c r="B768" s="71"/>
      <c r="C768" s="7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251"/>
      <c r="AE768" s="251"/>
      <c r="AF768" s="251"/>
      <c r="AG768" s="251"/>
      <c r="AH768" s="251"/>
      <c r="AI768" s="251"/>
      <c r="AJ768" s="251"/>
      <c r="AK768" s="251"/>
      <c r="AL768" s="251"/>
      <c r="AM768" s="251"/>
      <c r="AN768" s="251"/>
      <c r="AO768" s="251"/>
      <c r="AP768" s="251"/>
      <c r="AQ768" s="251"/>
      <c r="AR768" s="251"/>
      <c r="AS768" s="251"/>
    </row>
    <row r="769" spans="1:45" s="44" customFormat="1" x14ac:dyDescent="0.2">
      <c r="A769" s="71"/>
      <c r="B769" s="71"/>
      <c r="C769" s="7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251"/>
      <c r="AH769" s="251"/>
      <c r="AI769" s="251"/>
      <c r="AJ769" s="251"/>
      <c r="AK769" s="251"/>
      <c r="AL769" s="251"/>
      <c r="AM769" s="251"/>
      <c r="AN769" s="251"/>
      <c r="AO769" s="251"/>
      <c r="AP769" s="251"/>
      <c r="AQ769" s="251"/>
      <c r="AR769" s="251"/>
      <c r="AS769" s="251"/>
    </row>
    <row r="770" spans="1:45" s="44" customFormat="1" x14ac:dyDescent="0.2">
      <c r="A770" s="71"/>
      <c r="B770" s="71"/>
      <c r="C770" s="7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row>
    <row r="771" spans="1:45" s="44" customFormat="1" x14ac:dyDescent="0.2">
      <c r="A771" s="71"/>
      <c r="B771" s="71"/>
      <c r="C771" s="7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row>
    <row r="772" spans="1:45" s="44" customFormat="1" x14ac:dyDescent="0.2">
      <c r="A772" s="71"/>
      <c r="B772" s="71"/>
      <c r="C772" s="7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row>
    <row r="773" spans="1:45" s="44" customFormat="1" x14ac:dyDescent="0.2">
      <c r="A773" s="71"/>
      <c r="B773" s="71"/>
      <c r="C773" s="7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51"/>
      <c r="AE773" s="251"/>
      <c r="AF773" s="251"/>
      <c r="AG773" s="251"/>
      <c r="AH773" s="251"/>
      <c r="AI773" s="251"/>
      <c r="AJ773" s="251"/>
      <c r="AK773" s="251"/>
      <c r="AL773" s="251"/>
      <c r="AM773" s="251"/>
      <c r="AN773" s="251"/>
      <c r="AO773" s="251"/>
      <c r="AP773" s="251"/>
      <c r="AQ773" s="251"/>
      <c r="AR773" s="251"/>
      <c r="AS773" s="251"/>
    </row>
    <row r="774" spans="1:45" s="44" customFormat="1" x14ac:dyDescent="0.2">
      <c r="A774" s="71"/>
      <c r="B774" s="71"/>
      <c r="C774" s="7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51"/>
      <c r="AE774" s="251"/>
      <c r="AF774" s="251"/>
      <c r="AG774" s="251"/>
      <c r="AH774" s="251"/>
      <c r="AI774" s="251"/>
      <c r="AJ774" s="251"/>
      <c r="AK774" s="251"/>
      <c r="AL774" s="251"/>
      <c r="AM774" s="251"/>
      <c r="AN774" s="251"/>
      <c r="AO774" s="251"/>
      <c r="AP774" s="251"/>
      <c r="AQ774" s="251"/>
      <c r="AR774" s="251"/>
      <c r="AS774" s="251"/>
    </row>
    <row r="775" spans="1:45" s="44" customFormat="1" x14ac:dyDescent="0.2">
      <c r="A775" s="71"/>
      <c r="B775" s="71"/>
      <c r="C775" s="7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251"/>
      <c r="AH775" s="251"/>
      <c r="AI775" s="251"/>
      <c r="AJ775" s="251"/>
      <c r="AK775" s="251"/>
      <c r="AL775" s="251"/>
      <c r="AM775" s="251"/>
      <c r="AN775" s="251"/>
      <c r="AO775" s="251"/>
      <c r="AP775" s="251"/>
      <c r="AQ775" s="251"/>
      <c r="AR775" s="251"/>
      <c r="AS775" s="251"/>
    </row>
    <row r="776" spans="1:45" s="44" customFormat="1" x14ac:dyDescent="0.2">
      <c r="A776" s="71"/>
      <c r="B776" s="71"/>
      <c r="C776" s="7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251"/>
      <c r="AE776" s="251"/>
      <c r="AF776" s="251"/>
      <c r="AG776" s="251"/>
      <c r="AH776" s="251"/>
      <c r="AI776" s="251"/>
      <c r="AJ776" s="251"/>
      <c r="AK776" s="251"/>
      <c r="AL776" s="251"/>
      <c r="AM776" s="251"/>
      <c r="AN776" s="251"/>
      <c r="AO776" s="251"/>
      <c r="AP776" s="251"/>
      <c r="AQ776" s="251"/>
      <c r="AR776" s="251"/>
      <c r="AS776" s="251"/>
    </row>
    <row r="777" spans="1:45" s="44" customFormat="1" x14ac:dyDescent="0.2">
      <c r="A777" s="71"/>
      <c r="B777" s="71"/>
      <c r="C777" s="7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251"/>
      <c r="AE777" s="251"/>
      <c r="AF777" s="251"/>
      <c r="AG777" s="251"/>
      <c r="AH777" s="251"/>
      <c r="AI777" s="251"/>
      <c r="AJ777" s="251"/>
      <c r="AK777" s="251"/>
      <c r="AL777" s="251"/>
      <c r="AM777" s="251"/>
      <c r="AN777" s="251"/>
      <c r="AO777" s="251"/>
      <c r="AP777" s="251"/>
      <c r="AQ777" s="251"/>
      <c r="AR777" s="251"/>
      <c r="AS777" s="251"/>
    </row>
    <row r="778" spans="1:45" s="44" customFormat="1" x14ac:dyDescent="0.2">
      <c r="A778" s="71"/>
      <c r="B778" s="71"/>
      <c r="C778" s="7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251"/>
      <c r="AH778" s="251"/>
      <c r="AI778" s="251"/>
      <c r="AJ778" s="251"/>
      <c r="AK778" s="251"/>
      <c r="AL778" s="251"/>
      <c r="AM778" s="251"/>
      <c r="AN778" s="251"/>
      <c r="AO778" s="251"/>
      <c r="AP778" s="251"/>
      <c r="AQ778" s="251"/>
      <c r="AR778" s="251"/>
      <c r="AS778" s="251"/>
    </row>
    <row r="779" spans="1:45" s="44" customFormat="1" x14ac:dyDescent="0.2">
      <c r="A779" s="71"/>
      <c r="B779" s="71"/>
      <c r="C779" s="7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251"/>
      <c r="AE779" s="251"/>
      <c r="AF779" s="251"/>
      <c r="AG779" s="251"/>
      <c r="AH779" s="251"/>
      <c r="AI779" s="251"/>
      <c r="AJ779" s="251"/>
      <c r="AK779" s="251"/>
      <c r="AL779" s="251"/>
      <c r="AM779" s="251"/>
      <c r="AN779" s="251"/>
      <c r="AO779" s="251"/>
      <c r="AP779" s="251"/>
      <c r="AQ779" s="251"/>
      <c r="AR779" s="251"/>
      <c r="AS779" s="251"/>
    </row>
    <row r="780" spans="1:45" s="44" customFormat="1" x14ac:dyDescent="0.2">
      <c r="A780" s="71"/>
      <c r="B780" s="71"/>
      <c r="C780" s="7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row>
    <row r="781" spans="1:45" s="44" customFormat="1" x14ac:dyDescent="0.2">
      <c r="A781" s="71"/>
      <c r="B781" s="71"/>
      <c r="C781" s="7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row>
    <row r="782" spans="1:45" s="44" customFormat="1" x14ac:dyDescent="0.2">
      <c r="A782" s="71"/>
      <c r="B782" s="71"/>
      <c r="C782" s="7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251"/>
      <c r="AE782" s="251"/>
      <c r="AF782" s="251"/>
      <c r="AG782" s="251"/>
      <c r="AH782" s="251"/>
      <c r="AI782" s="251"/>
      <c r="AJ782" s="251"/>
      <c r="AK782" s="251"/>
      <c r="AL782" s="251"/>
      <c r="AM782" s="251"/>
      <c r="AN782" s="251"/>
      <c r="AO782" s="251"/>
      <c r="AP782" s="251"/>
      <c r="AQ782" s="251"/>
      <c r="AR782" s="251"/>
      <c r="AS782" s="251"/>
    </row>
    <row r="783" spans="1:45" s="44" customFormat="1" x14ac:dyDescent="0.2">
      <c r="A783" s="71"/>
      <c r="B783" s="71"/>
      <c r="C783" s="7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251"/>
      <c r="AE783" s="251"/>
      <c r="AF783" s="251"/>
      <c r="AG783" s="251"/>
      <c r="AH783" s="251"/>
      <c r="AI783" s="251"/>
      <c r="AJ783" s="251"/>
      <c r="AK783" s="251"/>
      <c r="AL783" s="251"/>
      <c r="AM783" s="251"/>
      <c r="AN783" s="251"/>
      <c r="AO783" s="251"/>
      <c r="AP783" s="251"/>
      <c r="AQ783" s="251"/>
      <c r="AR783" s="251"/>
      <c r="AS783" s="251"/>
    </row>
    <row r="784" spans="1:45" s="44" customFormat="1" x14ac:dyDescent="0.2">
      <c r="A784" s="71"/>
      <c r="B784" s="71"/>
      <c r="C784" s="7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251"/>
      <c r="AH784" s="251"/>
      <c r="AI784" s="251"/>
      <c r="AJ784" s="251"/>
      <c r="AK784" s="251"/>
      <c r="AL784" s="251"/>
      <c r="AM784" s="251"/>
      <c r="AN784" s="251"/>
      <c r="AO784" s="251"/>
      <c r="AP784" s="251"/>
      <c r="AQ784" s="251"/>
      <c r="AR784" s="251"/>
      <c r="AS784" s="251"/>
    </row>
    <row r="785" spans="1:45" s="44" customFormat="1" x14ac:dyDescent="0.2">
      <c r="A785" s="71"/>
      <c r="B785" s="71"/>
      <c r="C785" s="7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251"/>
      <c r="AE785" s="251"/>
      <c r="AF785" s="251"/>
      <c r="AG785" s="251"/>
      <c r="AH785" s="251"/>
      <c r="AI785" s="251"/>
      <c r="AJ785" s="251"/>
      <c r="AK785" s="251"/>
      <c r="AL785" s="251"/>
      <c r="AM785" s="251"/>
      <c r="AN785" s="251"/>
      <c r="AO785" s="251"/>
      <c r="AP785" s="251"/>
      <c r="AQ785" s="251"/>
      <c r="AR785" s="251"/>
      <c r="AS785" s="251"/>
    </row>
    <row r="786" spans="1:45" s="44" customFormat="1" x14ac:dyDescent="0.2">
      <c r="A786" s="71"/>
      <c r="B786" s="71"/>
      <c r="C786" s="7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251"/>
      <c r="AE786" s="251"/>
      <c r="AF786" s="251"/>
      <c r="AG786" s="251"/>
      <c r="AH786" s="251"/>
      <c r="AI786" s="251"/>
      <c r="AJ786" s="251"/>
      <c r="AK786" s="251"/>
      <c r="AL786" s="251"/>
      <c r="AM786" s="251"/>
      <c r="AN786" s="251"/>
      <c r="AO786" s="251"/>
      <c r="AP786" s="251"/>
      <c r="AQ786" s="251"/>
      <c r="AR786" s="251"/>
      <c r="AS786" s="251"/>
    </row>
    <row r="787" spans="1:45" s="44" customFormat="1" x14ac:dyDescent="0.2">
      <c r="A787" s="71"/>
      <c r="B787" s="71"/>
      <c r="C787" s="7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row>
    <row r="788" spans="1:45" s="44" customFormat="1" x14ac:dyDescent="0.2">
      <c r="A788" s="71"/>
      <c r="B788" s="71"/>
      <c r="C788" s="7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s="251"/>
      <c r="AG788" s="251"/>
      <c r="AH788" s="251"/>
      <c r="AI788" s="251"/>
      <c r="AJ788" s="251"/>
      <c r="AK788" s="251"/>
      <c r="AL788" s="251"/>
      <c r="AM788" s="251"/>
      <c r="AN788" s="251"/>
      <c r="AO788" s="251"/>
      <c r="AP788" s="251"/>
      <c r="AQ788" s="251"/>
      <c r="AR788" s="251"/>
      <c r="AS788" s="251"/>
    </row>
    <row r="789" spans="1:45" s="44" customFormat="1" x14ac:dyDescent="0.2">
      <c r="A789" s="71"/>
      <c r="B789" s="71"/>
      <c r="C789" s="7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251"/>
      <c r="AE789" s="251"/>
      <c r="AF789" s="251"/>
      <c r="AG789" s="251"/>
      <c r="AH789" s="251"/>
      <c r="AI789" s="251"/>
      <c r="AJ789" s="251"/>
      <c r="AK789" s="251"/>
      <c r="AL789" s="251"/>
      <c r="AM789" s="251"/>
      <c r="AN789" s="251"/>
      <c r="AO789" s="251"/>
      <c r="AP789" s="251"/>
      <c r="AQ789" s="251"/>
      <c r="AR789" s="251"/>
      <c r="AS789" s="251"/>
    </row>
    <row r="790" spans="1:45" s="44" customFormat="1" x14ac:dyDescent="0.2">
      <c r="A790" s="71"/>
      <c r="B790" s="71"/>
      <c r="C790" s="7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251"/>
      <c r="AE790" s="251"/>
      <c r="AF790" s="251"/>
      <c r="AG790" s="251"/>
      <c r="AH790" s="251"/>
      <c r="AI790" s="251"/>
      <c r="AJ790" s="251"/>
      <c r="AK790" s="251"/>
      <c r="AL790" s="251"/>
      <c r="AM790" s="251"/>
      <c r="AN790" s="251"/>
      <c r="AO790" s="251"/>
      <c r="AP790" s="251"/>
      <c r="AQ790" s="251"/>
      <c r="AR790" s="251"/>
      <c r="AS790" s="251"/>
    </row>
    <row r="791" spans="1:45" s="44" customFormat="1" x14ac:dyDescent="0.2">
      <c r="A791" s="71"/>
      <c r="B791" s="71"/>
      <c r="C791" s="7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251"/>
      <c r="AE791" s="251"/>
      <c r="AF791" s="251"/>
      <c r="AG791" s="251"/>
      <c r="AH791" s="251"/>
      <c r="AI791" s="251"/>
      <c r="AJ791" s="251"/>
      <c r="AK791" s="251"/>
      <c r="AL791" s="251"/>
      <c r="AM791" s="251"/>
      <c r="AN791" s="251"/>
      <c r="AO791" s="251"/>
      <c r="AP791" s="251"/>
      <c r="AQ791" s="251"/>
      <c r="AR791" s="251"/>
      <c r="AS791" s="251"/>
    </row>
    <row r="792" spans="1:45" s="44" customFormat="1" x14ac:dyDescent="0.2">
      <c r="A792" s="71"/>
      <c r="B792" s="71"/>
      <c r="C792" s="7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251"/>
      <c r="AE792" s="251"/>
      <c r="AF792" s="251"/>
      <c r="AG792" s="251"/>
      <c r="AH792" s="251"/>
      <c r="AI792" s="251"/>
      <c r="AJ792" s="251"/>
      <c r="AK792" s="251"/>
      <c r="AL792" s="251"/>
      <c r="AM792" s="251"/>
      <c r="AN792" s="251"/>
      <c r="AO792" s="251"/>
      <c r="AP792" s="251"/>
      <c r="AQ792" s="251"/>
      <c r="AR792" s="251"/>
      <c r="AS792" s="251"/>
    </row>
    <row r="793" spans="1:45" s="44" customFormat="1" x14ac:dyDescent="0.2">
      <c r="A793" s="71"/>
      <c r="B793" s="71"/>
      <c r="C793" s="7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251"/>
      <c r="AE793" s="251"/>
      <c r="AF793" s="251"/>
      <c r="AG793" s="251"/>
      <c r="AH793" s="251"/>
      <c r="AI793" s="251"/>
      <c r="AJ793" s="251"/>
      <c r="AK793" s="251"/>
      <c r="AL793" s="251"/>
      <c r="AM793" s="251"/>
      <c r="AN793" s="251"/>
      <c r="AO793" s="251"/>
      <c r="AP793" s="251"/>
      <c r="AQ793" s="251"/>
      <c r="AR793" s="251"/>
      <c r="AS793" s="251"/>
    </row>
    <row r="794" spans="1:45" s="44" customFormat="1" x14ac:dyDescent="0.2">
      <c r="A794" s="71"/>
      <c r="B794" s="71"/>
      <c r="C794" s="7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row>
    <row r="795" spans="1:45" s="44" customFormat="1" x14ac:dyDescent="0.2">
      <c r="A795" s="71"/>
      <c r="B795" s="71"/>
      <c r="C795" s="7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row>
    <row r="796" spans="1:45" s="44" customFormat="1" x14ac:dyDescent="0.2">
      <c r="A796" s="71"/>
      <c r="B796" s="71"/>
      <c r="C796" s="7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row>
    <row r="797" spans="1:45" s="44" customFormat="1" x14ac:dyDescent="0.2">
      <c r="A797" s="71"/>
      <c r="B797" s="71"/>
      <c r="C797" s="7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row>
    <row r="798" spans="1:45" s="44" customFormat="1" x14ac:dyDescent="0.2">
      <c r="A798" s="71"/>
      <c r="B798" s="71"/>
      <c r="C798" s="7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251"/>
      <c r="AE798" s="251"/>
      <c r="AF798" s="251"/>
      <c r="AG798" s="251"/>
      <c r="AH798" s="251"/>
      <c r="AI798" s="251"/>
      <c r="AJ798" s="251"/>
      <c r="AK798" s="251"/>
      <c r="AL798" s="251"/>
      <c r="AM798" s="251"/>
      <c r="AN798" s="251"/>
      <c r="AO798" s="251"/>
      <c r="AP798" s="251"/>
      <c r="AQ798" s="251"/>
      <c r="AR798" s="251"/>
      <c r="AS798" s="251"/>
    </row>
    <row r="799" spans="1:45" s="44" customFormat="1" x14ac:dyDescent="0.2">
      <c r="A799" s="71"/>
      <c r="B799" s="71"/>
      <c r="C799" s="7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251"/>
      <c r="AE799" s="251"/>
      <c r="AF799" s="251"/>
      <c r="AG799" s="251"/>
      <c r="AH799" s="251"/>
      <c r="AI799" s="251"/>
      <c r="AJ799" s="251"/>
      <c r="AK799" s="251"/>
      <c r="AL799" s="251"/>
      <c r="AM799" s="251"/>
      <c r="AN799" s="251"/>
      <c r="AO799" s="251"/>
      <c r="AP799" s="251"/>
      <c r="AQ799" s="251"/>
      <c r="AR799" s="251"/>
      <c r="AS799" s="251"/>
    </row>
    <row r="800" spans="1:45" s="44" customFormat="1" x14ac:dyDescent="0.2">
      <c r="A800" s="71"/>
      <c r="B800" s="71"/>
      <c r="C800" s="7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251"/>
      <c r="AE800" s="251"/>
      <c r="AF800" s="251"/>
      <c r="AG800" s="251"/>
      <c r="AH800" s="251"/>
      <c r="AI800" s="251"/>
      <c r="AJ800" s="251"/>
      <c r="AK800" s="251"/>
      <c r="AL800" s="251"/>
      <c r="AM800" s="251"/>
      <c r="AN800" s="251"/>
      <c r="AO800" s="251"/>
      <c r="AP800" s="251"/>
      <c r="AQ800" s="251"/>
      <c r="AR800" s="251"/>
      <c r="AS800" s="251"/>
    </row>
    <row r="801" spans="1:45" s="44" customFormat="1" x14ac:dyDescent="0.2">
      <c r="A801" s="71"/>
      <c r="B801" s="71"/>
      <c r="C801" s="7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251"/>
      <c r="AE801" s="251"/>
      <c r="AF801" s="251"/>
      <c r="AG801" s="251"/>
      <c r="AH801" s="251"/>
      <c r="AI801" s="251"/>
      <c r="AJ801" s="251"/>
      <c r="AK801" s="251"/>
      <c r="AL801" s="251"/>
      <c r="AM801" s="251"/>
      <c r="AN801" s="251"/>
      <c r="AO801" s="251"/>
      <c r="AP801" s="251"/>
      <c r="AQ801" s="251"/>
      <c r="AR801" s="251"/>
      <c r="AS801" s="251"/>
    </row>
    <row r="802" spans="1:45" s="44" customFormat="1" x14ac:dyDescent="0.2">
      <c r="A802" s="71"/>
      <c r="B802" s="71"/>
      <c r="C802" s="7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K802" s="251"/>
      <c r="AL802" s="251"/>
      <c r="AM802" s="251"/>
      <c r="AN802" s="251"/>
      <c r="AO802" s="251"/>
      <c r="AP802" s="251"/>
      <c r="AQ802" s="251"/>
      <c r="AR802" s="251"/>
      <c r="AS802" s="251"/>
    </row>
    <row r="803" spans="1:45" s="44" customFormat="1" x14ac:dyDescent="0.2">
      <c r="A803" s="71"/>
      <c r="B803" s="71"/>
      <c r="C803" s="7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51"/>
      <c r="AE803" s="251"/>
      <c r="AF803" s="251"/>
      <c r="AG803" s="251"/>
      <c r="AH803" s="251"/>
      <c r="AI803" s="251"/>
      <c r="AJ803" s="251"/>
      <c r="AK803" s="251"/>
      <c r="AL803" s="251"/>
      <c r="AM803" s="251"/>
      <c r="AN803" s="251"/>
      <c r="AO803" s="251"/>
      <c r="AP803" s="251"/>
      <c r="AQ803" s="251"/>
      <c r="AR803" s="251"/>
      <c r="AS803" s="251"/>
    </row>
    <row r="804" spans="1:45" s="44" customFormat="1" x14ac:dyDescent="0.2">
      <c r="A804" s="71"/>
      <c r="B804" s="71"/>
      <c r="C804" s="7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251"/>
      <c r="AE804" s="251"/>
      <c r="AF804" s="251"/>
      <c r="AG804" s="251"/>
      <c r="AH804" s="251"/>
      <c r="AI804" s="251"/>
      <c r="AJ804" s="251"/>
      <c r="AK804" s="251"/>
      <c r="AL804" s="251"/>
      <c r="AM804" s="251"/>
      <c r="AN804" s="251"/>
      <c r="AO804" s="251"/>
      <c r="AP804" s="251"/>
      <c r="AQ804" s="251"/>
      <c r="AR804" s="251"/>
      <c r="AS804" s="251"/>
    </row>
    <row r="805" spans="1:45" s="44" customFormat="1" x14ac:dyDescent="0.2">
      <c r="A805" s="71"/>
      <c r="B805" s="71"/>
      <c r="C805" s="7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251"/>
      <c r="AE805" s="251"/>
      <c r="AF805" s="251"/>
      <c r="AG805" s="251"/>
      <c r="AH805" s="251"/>
      <c r="AI805" s="251"/>
      <c r="AJ805" s="251"/>
      <c r="AK805" s="251"/>
      <c r="AL805" s="251"/>
      <c r="AM805" s="251"/>
      <c r="AN805" s="251"/>
      <c r="AO805" s="251"/>
      <c r="AP805" s="251"/>
      <c r="AQ805" s="251"/>
      <c r="AR805" s="251"/>
      <c r="AS805" s="251"/>
    </row>
    <row r="806" spans="1:45" s="44" customFormat="1" x14ac:dyDescent="0.2">
      <c r="A806" s="71"/>
      <c r="B806" s="71"/>
      <c r="C806" s="7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251"/>
      <c r="AF806" s="251"/>
      <c r="AG806" s="251"/>
      <c r="AH806" s="251"/>
      <c r="AI806" s="251"/>
      <c r="AJ806" s="251"/>
      <c r="AK806" s="251"/>
      <c r="AL806" s="251"/>
      <c r="AM806" s="251"/>
      <c r="AN806" s="251"/>
      <c r="AO806" s="251"/>
      <c r="AP806" s="251"/>
      <c r="AQ806" s="251"/>
      <c r="AR806" s="251"/>
      <c r="AS806" s="251"/>
    </row>
    <row r="807" spans="1:45" s="44" customFormat="1" x14ac:dyDescent="0.2">
      <c r="A807" s="71"/>
      <c r="B807" s="71"/>
      <c r="C807" s="7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row>
    <row r="808" spans="1:45" s="44" customFormat="1" x14ac:dyDescent="0.2">
      <c r="A808" s="71"/>
      <c r="B808" s="71"/>
      <c r="C808" s="7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251"/>
      <c r="AE808" s="251"/>
      <c r="AF808" s="251"/>
      <c r="AG808" s="251"/>
      <c r="AH808" s="251"/>
      <c r="AI808" s="251"/>
      <c r="AJ808" s="251"/>
      <c r="AK808" s="251"/>
      <c r="AL808" s="251"/>
      <c r="AM808" s="251"/>
      <c r="AN808" s="251"/>
      <c r="AO808" s="251"/>
      <c r="AP808" s="251"/>
      <c r="AQ808" s="251"/>
      <c r="AR808" s="251"/>
      <c r="AS808" s="251"/>
    </row>
    <row r="809" spans="1:45" s="44" customFormat="1" x14ac:dyDescent="0.2">
      <c r="A809" s="71"/>
      <c r="B809" s="71"/>
      <c r="C809" s="7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c r="AA809" s="251"/>
      <c r="AB809" s="251"/>
      <c r="AC809" s="251"/>
      <c r="AD809" s="251"/>
      <c r="AE809" s="251"/>
      <c r="AF809" s="251"/>
      <c r="AG809" s="251"/>
      <c r="AH809" s="251"/>
      <c r="AI809" s="251"/>
      <c r="AJ809" s="251"/>
      <c r="AK809" s="251"/>
      <c r="AL809" s="251"/>
      <c r="AM809" s="251"/>
      <c r="AN809" s="251"/>
      <c r="AO809" s="251"/>
      <c r="AP809" s="251"/>
      <c r="AQ809" s="251"/>
      <c r="AR809" s="251"/>
      <c r="AS809" s="251"/>
    </row>
    <row r="810" spans="1:45" s="44" customFormat="1" x14ac:dyDescent="0.2">
      <c r="A810" s="71"/>
      <c r="B810" s="71"/>
      <c r="C810" s="7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c r="AA810" s="251"/>
      <c r="AB810" s="251"/>
      <c r="AC810" s="251"/>
      <c r="AD810" s="251"/>
      <c r="AE810" s="251"/>
      <c r="AF810" s="251"/>
      <c r="AG810" s="251"/>
      <c r="AH810" s="251"/>
      <c r="AI810" s="251"/>
      <c r="AJ810" s="251"/>
      <c r="AK810" s="251"/>
      <c r="AL810" s="251"/>
      <c r="AM810" s="251"/>
      <c r="AN810" s="251"/>
      <c r="AO810" s="251"/>
      <c r="AP810" s="251"/>
      <c r="AQ810" s="251"/>
      <c r="AR810" s="251"/>
      <c r="AS810" s="251"/>
    </row>
    <row r="811" spans="1:45" s="44" customFormat="1" x14ac:dyDescent="0.2">
      <c r="A811" s="71"/>
      <c r="B811" s="71"/>
      <c r="C811" s="7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c r="AA811" s="251"/>
      <c r="AB811" s="251"/>
      <c r="AC811" s="251"/>
      <c r="AD811" s="251"/>
      <c r="AE811" s="251"/>
      <c r="AF811" s="251"/>
      <c r="AG811" s="251"/>
      <c r="AH811" s="251"/>
      <c r="AI811" s="251"/>
      <c r="AJ811" s="251"/>
      <c r="AK811" s="251"/>
      <c r="AL811" s="251"/>
      <c r="AM811" s="251"/>
      <c r="AN811" s="251"/>
      <c r="AO811" s="251"/>
      <c r="AP811" s="251"/>
      <c r="AQ811" s="251"/>
      <c r="AR811" s="251"/>
      <c r="AS811" s="251"/>
    </row>
    <row r="812" spans="1:45" s="44" customFormat="1" x14ac:dyDescent="0.2">
      <c r="A812" s="71"/>
      <c r="B812" s="71"/>
      <c r="C812" s="7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251"/>
      <c r="AF812" s="251"/>
      <c r="AG812" s="251"/>
      <c r="AH812" s="251"/>
      <c r="AI812" s="251"/>
      <c r="AJ812" s="251"/>
      <c r="AK812" s="251"/>
      <c r="AL812" s="251"/>
      <c r="AM812" s="251"/>
      <c r="AN812" s="251"/>
      <c r="AO812" s="251"/>
      <c r="AP812" s="251"/>
      <c r="AQ812" s="251"/>
      <c r="AR812" s="251"/>
      <c r="AS812" s="251"/>
    </row>
    <row r="813" spans="1:45" s="44" customFormat="1" x14ac:dyDescent="0.2">
      <c r="A813" s="71"/>
      <c r="B813" s="71"/>
      <c r="C813" s="7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s="251"/>
      <c r="AG813" s="251"/>
      <c r="AH813" s="251"/>
      <c r="AI813" s="251"/>
      <c r="AJ813" s="251"/>
      <c r="AK813" s="251"/>
      <c r="AL813" s="251"/>
      <c r="AM813" s="251"/>
      <c r="AN813" s="251"/>
      <c r="AO813" s="251"/>
      <c r="AP813" s="251"/>
      <c r="AQ813" s="251"/>
      <c r="AR813" s="251"/>
      <c r="AS813" s="251"/>
    </row>
    <row r="814" spans="1:45" s="44" customFormat="1" x14ac:dyDescent="0.2">
      <c r="A814" s="71"/>
      <c r="B814" s="71"/>
      <c r="C814" s="7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row>
    <row r="815" spans="1:45" s="44" customFormat="1" x14ac:dyDescent="0.2">
      <c r="A815" s="71"/>
      <c r="B815" s="71"/>
      <c r="C815" s="7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251"/>
      <c r="AE815" s="251"/>
      <c r="AF815" s="251"/>
      <c r="AG815" s="251"/>
      <c r="AH815" s="251"/>
      <c r="AI815" s="251"/>
      <c r="AJ815" s="251"/>
      <c r="AK815" s="251"/>
      <c r="AL815" s="251"/>
      <c r="AM815" s="251"/>
      <c r="AN815" s="251"/>
      <c r="AO815" s="251"/>
      <c r="AP815" s="251"/>
      <c r="AQ815" s="251"/>
      <c r="AR815" s="251"/>
      <c r="AS815" s="251"/>
    </row>
    <row r="816" spans="1:45" s="44" customFormat="1" x14ac:dyDescent="0.2">
      <c r="A816" s="71"/>
      <c r="B816" s="71"/>
      <c r="C816" s="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K816" s="251"/>
      <c r="AL816" s="251"/>
      <c r="AM816" s="251"/>
      <c r="AN816" s="251"/>
      <c r="AO816" s="251"/>
      <c r="AP816" s="251"/>
      <c r="AQ816" s="251"/>
      <c r="AR816" s="251"/>
      <c r="AS816" s="251"/>
    </row>
    <row r="817" spans="1:45" s="44" customFormat="1" x14ac:dyDescent="0.2">
      <c r="A817" s="71"/>
      <c r="B817" s="71"/>
      <c r="C817" s="7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251"/>
      <c r="AE817" s="251"/>
      <c r="AF817" s="251"/>
      <c r="AG817" s="251"/>
      <c r="AH817" s="251"/>
      <c r="AI817" s="251"/>
      <c r="AJ817" s="251"/>
      <c r="AK817" s="251"/>
      <c r="AL817" s="251"/>
      <c r="AM817" s="251"/>
      <c r="AN817" s="251"/>
      <c r="AO817" s="251"/>
      <c r="AP817" s="251"/>
      <c r="AQ817" s="251"/>
      <c r="AR817" s="251"/>
      <c r="AS817" s="251"/>
    </row>
    <row r="818" spans="1:45" s="44" customFormat="1" x14ac:dyDescent="0.2">
      <c r="A818" s="71"/>
      <c r="B818" s="71"/>
      <c r="C818" s="7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c r="AA818" s="251"/>
      <c r="AB818" s="251"/>
      <c r="AC818" s="251"/>
      <c r="AD818" s="251"/>
      <c r="AE818" s="251"/>
      <c r="AF818" s="251"/>
      <c r="AG818" s="251"/>
      <c r="AH818" s="251"/>
      <c r="AI818" s="251"/>
      <c r="AJ818" s="251"/>
      <c r="AK818" s="251"/>
      <c r="AL818" s="251"/>
      <c r="AM818" s="251"/>
      <c r="AN818" s="251"/>
      <c r="AO818" s="251"/>
      <c r="AP818" s="251"/>
      <c r="AQ818" s="251"/>
      <c r="AR818" s="251"/>
      <c r="AS818" s="251"/>
    </row>
    <row r="819" spans="1:45" s="44" customFormat="1" x14ac:dyDescent="0.2">
      <c r="A819" s="71"/>
      <c r="B819" s="71"/>
      <c r="C819" s="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251"/>
      <c r="AF819" s="251"/>
      <c r="AG819" s="251"/>
      <c r="AH819" s="251"/>
      <c r="AI819" s="251"/>
      <c r="AJ819" s="251"/>
      <c r="AK819" s="251"/>
      <c r="AL819" s="251"/>
      <c r="AM819" s="251"/>
      <c r="AN819" s="251"/>
      <c r="AO819" s="251"/>
      <c r="AP819" s="251"/>
      <c r="AQ819" s="251"/>
      <c r="AR819" s="251"/>
      <c r="AS819" s="251"/>
    </row>
    <row r="820" spans="1:45" s="44" customFormat="1" x14ac:dyDescent="0.2">
      <c r="A820" s="71"/>
      <c r="B820" s="71"/>
      <c r="C820" s="7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row>
    <row r="821" spans="1:45" s="44" customFormat="1" x14ac:dyDescent="0.2">
      <c r="A821" s="71"/>
      <c r="B821" s="71"/>
      <c r="C821" s="7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row>
    <row r="822" spans="1:45" s="44" customFormat="1" x14ac:dyDescent="0.2">
      <c r="A822" s="71"/>
      <c r="B822" s="71"/>
      <c r="C822" s="7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row>
    <row r="823" spans="1:45" s="44" customFormat="1" x14ac:dyDescent="0.2">
      <c r="A823" s="71"/>
      <c r="B823" s="71"/>
      <c r="C823" s="7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row>
    <row r="824" spans="1:45" s="44" customFormat="1" x14ac:dyDescent="0.2">
      <c r="A824" s="71"/>
      <c r="B824" s="71"/>
      <c r="C824" s="7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row>
    <row r="825" spans="1:45" s="44" customFormat="1" x14ac:dyDescent="0.2">
      <c r="A825" s="71"/>
      <c r="B825" s="71"/>
      <c r="C825" s="7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251"/>
      <c r="AE825" s="251"/>
      <c r="AF825" s="251"/>
      <c r="AG825" s="251"/>
      <c r="AH825" s="251"/>
      <c r="AI825" s="251"/>
      <c r="AJ825" s="251"/>
      <c r="AK825" s="251"/>
      <c r="AL825" s="251"/>
      <c r="AM825" s="251"/>
      <c r="AN825" s="251"/>
      <c r="AO825" s="251"/>
      <c r="AP825" s="251"/>
      <c r="AQ825" s="251"/>
      <c r="AR825" s="251"/>
      <c r="AS825" s="251"/>
    </row>
    <row r="826" spans="1:45" s="44" customFormat="1" x14ac:dyDescent="0.2">
      <c r="A826" s="71"/>
      <c r="B826" s="71"/>
      <c r="C826" s="7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251"/>
      <c r="AE826" s="251"/>
      <c r="AF826" s="251"/>
      <c r="AG826" s="251"/>
      <c r="AH826" s="251"/>
      <c r="AI826" s="251"/>
      <c r="AJ826" s="251"/>
      <c r="AK826" s="251"/>
      <c r="AL826" s="251"/>
      <c r="AM826" s="251"/>
      <c r="AN826" s="251"/>
      <c r="AO826" s="251"/>
      <c r="AP826" s="251"/>
      <c r="AQ826" s="251"/>
      <c r="AR826" s="251"/>
      <c r="AS826" s="251"/>
    </row>
    <row r="827" spans="1:45" s="44" customFormat="1" x14ac:dyDescent="0.2">
      <c r="A827" s="71"/>
      <c r="B827" s="71"/>
      <c r="C827" s="7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251"/>
      <c r="AE827" s="251"/>
      <c r="AF827" s="251"/>
      <c r="AG827" s="251"/>
      <c r="AH827" s="251"/>
      <c r="AI827" s="251"/>
      <c r="AJ827" s="251"/>
      <c r="AK827" s="251"/>
      <c r="AL827" s="251"/>
      <c r="AM827" s="251"/>
      <c r="AN827" s="251"/>
      <c r="AO827" s="251"/>
      <c r="AP827" s="251"/>
      <c r="AQ827" s="251"/>
      <c r="AR827" s="251"/>
      <c r="AS827" s="251"/>
    </row>
    <row r="828" spans="1:45" s="44" customFormat="1" x14ac:dyDescent="0.2">
      <c r="A828" s="71"/>
      <c r="B828" s="71"/>
      <c r="C828" s="7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251"/>
      <c r="AE828" s="251"/>
      <c r="AF828" s="251"/>
      <c r="AG828" s="251"/>
      <c r="AH828" s="251"/>
      <c r="AI828" s="251"/>
      <c r="AJ828" s="251"/>
      <c r="AK828" s="251"/>
      <c r="AL828" s="251"/>
      <c r="AM828" s="251"/>
      <c r="AN828" s="251"/>
      <c r="AO828" s="251"/>
      <c r="AP828" s="251"/>
      <c r="AQ828" s="251"/>
      <c r="AR828" s="251"/>
      <c r="AS828" s="251"/>
    </row>
    <row r="829" spans="1:45" s="44" customFormat="1" x14ac:dyDescent="0.2">
      <c r="A829" s="71"/>
      <c r="B829" s="71"/>
      <c r="C829" s="7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row>
    <row r="830" spans="1:45" s="44" customFormat="1" x14ac:dyDescent="0.2">
      <c r="A830" s="71"/>
      <c r="B830" s="71"/>
      <c r="C830" s="7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row>
    <row r="831" spans="1:45" s="44" customFormat="1" x14ac:dyDescent="0.2">
      <c r="A831" s="71"/>
      <c r="B831" s="71"/>
      <c r="C831" s="7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row>
    <row r="832" spans="1:45" s="44" customFormat="1" x14ac:dyDescent="0.2">
      <c r="A832" s="71"/>
      <c r="B832" s="71"/>
      <c r="C832" s="7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row>
    <row r="833" spans="1:45" s="44" customFormat="1" x14ac:dyDescent="0.2">
      <c r="A833" s="71"/>
      <c r="B833" s="71"/>
      <c r="C833" s="7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row>
    <row r="834" spans="1:45" s="44" customFormat="1" x14ac:dyDescent="0.2">
      <c r="A834" s="71"/>
      <c r="B834" s="71"/>
      <c r="C834" s="7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row>
    <row r="835" spans="1:45" s="44" customFormat="1" x14ac:dyDescent="0.2">
      <c r="A835" s="71"/>
      <c r="B835" s="71"/>
      <c r="C835" s="7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row>
    <row r="836" spans="1:45" s="44" customFormat="1" x14ac:dyDescent="0.2">
      <c r="A836" s="71"/>
      <c r="B836" s="71"/>
      <c r="C836" s="7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row>
    <row r="837" spans="1:45" s="44" customFormat="1" x14ac:dyDescent="0.2">
      <c r="A837" s="71"/>
      <c r="B837" s="71"/>
      <c r="C837" s="7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row>
    <row r="838" spans="1:45" s="44" customFormat="1" x14ac:dyDescent="0.2">
      <c r="A838" s="71"/>
      <c r="B838" s="71"/>
      <c r="C838" s="7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251"/>
      <c r="AF838" s="251"/>
      <c r="AG838" s="251"/>
      <c r="AH838" s="251"/>
      <c r="AI838" s="251"/>
      <c r="AJ838" s="251"/>
      <c r="AK838" s="251"/>
      <c r="AL838" s="251"/>
      <c r="AM838" s="251"/>
      <c r="AN838" s="251"/>
      <c r="AO838" s="251"/>
      <c r="AP838" s="251"/>
      <c r="AQ838" s="251"/>
      <c r="AR838" s="251"/>
      <c r="AS838" s="251"/>
    </row>
    <row r="839" spans="1:45" s="44" customFormat="1" x14ac:dyDescent="0.2">
      <c r="A839" s="71"/>
      <c r="B839" s="71"/>
      <c r="C839" s="7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row>
    <row r="840" spans="1:45" s="44" customFormat="1" x14ac:dyDescent="0.2">
      <c r="A840" s="71"/>
      <c r="B840" s="71"/>
      <c r="C840" s="7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row>
    <row r="841" spans="1:45" s="44" customFormat="1" x14ac:dyDescent="0.2">
      <c r="A841" s="71"/>
      <c r="B841" s="71"/>
      <c r="C841" s="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row>
    <row r="842" spans="1:45" s="44" customFormat="1" x14ac:dyDescent="0.2">
      <c r="A842" s="71"/>
      <c r="B842" s="71"/>
      <c r="C842" s="7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row>
    <row r="843" spans="1:45" s="44" customFormat="1" x14ac:dyDescent="0.2">
      <c r="A843" s="71"/>
      <c r="B843" s="71"/>
      <c r="C843" s="7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row>
    <row r="844" spans="1:45" s="44" customFormat="1" x14ac:dyDescent="0.2">
      <c r="A844" s="71"/>
      <c r="B844" s="71"/>
      <c r="C844" s="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row>
    <row r="845" spans="1:45" s="44" customFormat="1" x14ac:dyDescent="0.2">
      <c r="A845" s="71"/>
      <c r="B845" s="71"/>
      <c r="C845" s="7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row>
    <row r="846" spans="1:45" s="44" customFormat="1" x14ac:dyDescent="0.2">
      <c r="A846" s="71"/>
      <c r="B846" s="71"/>
      <c r="C846" s="7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row>
    <row r="847" spans="1:45" s="44" customFormat="1" x14ac:dyDescent="0.2">
      <c r="A847" s="71"/>
      <c r="B847" s="71"/>
      <c r="C847" s="7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row>
    <row r="848" spans="1:45" s="44" customFormat="1" x14ac:dyDescent="0.2">
      <c r="A848" s="71"/>
      <c r="B848" s="71"/>
      <c r="C848" s="7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row>
    <row r="849" spans="1:45" s="44" customFormat="1" x14ac:dyDescent="0.2">
      <c r="A849" s="71"/>
      <c r="B849" s="71"/>
      <c r="C849" s="7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row>
    <row r="850" spans="1:45" s="44" customFormat="1" x14ac:dyDescent="0.2">
      <c r="A850" s="71"/>
      <c r="B850" s="71"/>
      <c r="C850" s="7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row>
    <row r="851" spans="1:45" s="44" customFormat="1" x14ac:dyDescent="0.2">
      <c r="A851" s="71"/>
      <c r="B851" s="71"/>
      <c r="C851" s="7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row>
    <row r="852" spans="1:45" s="44" customFormat="1" x14ac:dyDescent="0.2">
      <c r="A852" s="71"/>
      <c r="B852" s="71"/>
      <c r="C852" s="7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251"/>
      <c r="AE852" s="251"/>
      <c r="AF852" s="251"/>
      <c r="AG852" s="251"/>
      <c r="AH852" s="251"/>
      <c r="AI852" s="251"/>
      <c r="AJ852" s="251"/>
      <c r="AK852" s="251"/>
      <c r="AL852" s="251"/>
      <c r="AM852" s="251"/>
      <c r="AN852" s="251"/>
      <c r="AO852" s="251"/>
      <c r="AP852" s="251"/>
      <c r="AQ852" s="251"/>
      <c r="AR852" s="251"/>
      <c r="AS852" s="251"/>
    </row>
    <row r="853" spans="1:45" s="44" customFormat="1" x14ac:dyDescent="0.2">
      <c r="A853" s="71"/>
      <c r="B853" s="71"/>
      <c r="C853" s="7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row>
    <row r="854" spans="1:45" s="44" customFormat="1" x14ac:dyDescent="0.2">
      <c r="A854" s="71"/>
      <c r="B854" s="71"/>
      <c r="C854" s="7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row>
    <row r="855" spans="1:45" s="44" customFormat="1" x14ac:dyDescent="0.2">
      <c r="A855" s="71"/>
      <c r="B855" s="71"/>
      <c r="C855" s="7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row>
    <row r="856" spans="1:45" s="44" customFormat="1" x14ac:dyDescent="0.2">
      <c r="A856" s="71"/>
      <c r="B856" s="71"/>
      <c r="C856" s="7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row>
    <row r="857" spans="1:45" s="44" customFormat="1" x14ac:dyDescent="0.2">
      <c r="A857" s="71"/>
      <c r="B857" s="71"/>
      <c r="C857" s="7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251"/>
      <c r="AH857" s="251"/>
      <c r="AI857" s="251"/>
      <c r="AJ857" s="251"/>
      <c r="AK857" s="251"/>
      <c r="AL857" s="251"/>
      <c r="AM857" s="251"/>
      <c r="AN857" s="251"/>
      <c r="AO857" s="251"/>
      <c r="AP857" s="251"/>
      <c r="AQ857" s="251"/>
      <c r="AR857" s="251"/>
      <c r="AS857" s="251"/>
    </row>
    <row r="858" spans="1:45" s="44" customFormat="1" x14ac:dyDescent="0.2">
      <c r="A858" s="71"/>
      <c r="B858" s="71"/>
      <c r="C858" s="7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row>
    <row r="859" spans="1:45" s="44" customFormat="1" x14ac:dyDescent="0.2">
      <c r="A859" s="71"/>
      <c r="B859" s="71"/>
      <c r="C859" s="7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row>
    <row r="860" spans="1:45" s="44" customFormat="1" x14ac:dyDescent="0.2">
      <c r="A860" s="71"/>
      <c r="B860" s="71"/>
      <c r="C860" s="7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row>
    <row r="861" spans="1:45" s="44" customFormat="1" x14ac:dyDescent="0.2">
      <c r="A861" s="71"/>
      <c r="B861" s="71"/>
      <c r="C861" s="7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row>
    <row r="862" spans="1:45" s="44" customFormat="1" x14ac:dyDescent="0.2">
      <c r="A862" s="71"/>
      <c r="B862" s="71"/>
      <c r="C862" s="7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251"/>
      <c r="AE862" s="251"/>
      <c r="AF862" s="251"/>
      <c r="AG862" s="251"/>
      <c r="AH862" s="251"/>
      <c r="AI862" s="251"/>
      <c r="AJ862" s="251"/>
      <c r="AK862" s="251"/>
      <c r="AL862" s="251"/>
      <c r="AM862" s="251"/>
      <c r="AN862" s="251"/>
      <c r="AO862" s="251"/>
      <c r="AP862" s="251"/>
      <c r="AQ862" s="251"/>
      <c r="AR862" s="251"/>
      <c r="AS862" s="251"/>
    </row>
    <row r="863" spans="1:45" s="44" customFormat="1" x14ac:dyDescent="0.2">
      <c r="A863" s="71"/>
      <c r="B863" s="71"/>
      <c r="C863" s="7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row>
    <row r="864" spans="1:45" s="44" customFormat="1" x14ac:dyDescent="0.2">
      <c r="A864" s="71"/>
      <c r="B864" s="71"/>
      <c r="C864" s="7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row>
    <row r="865" spans="1:45" s="44" customFormat="1" x14ac:dyDescent="0.2">
      <c r="A865" s="71"/>
      <c r="B865" s="71"/>
      <c r="C865" s="7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row>
    <row r="866" spans="1:45" s="44" customFormat="1" x14ac:dyDescent="0.2">
      <c r="A866" s="71"/>
      <c r="B866" s="71"/>
      <c r="C866" s="7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c r="AA866" s="251"/>
      <c r="AB866" s="251"/>
      <c r="AC866" s="251"/>
      <c r="AD866" s="251"/>
      <c r="AE866" s="251"/>
      <c r="AF866" s="251"/>
      <c r="AG866" s="251"/>
      <c r="AH866" s="251"/>
      <c r="AI866" s="251"/>
      <c r="AJ866" s="251"/>
      <c r="AK866" s="251"/>
      <c r="AL866" s="251"/>
      <c r="AM866" s="251"/>
      <c r="AN866" s="251"/>
      <c r="AO866" s="251"/>
      <c r="AP866" s="251"/>
      <c r="AQ866" s="251"/>
      <c r="AR866" s="251"/>
      <c r="AS866" s="251"/>
    </row>
    <row r="867" spans="1:45" s="44" customFormat="1" x14ac:dyDescent="0.2">
      <c r="A867" s="71"/>
      <c r="B867" s="71"/>
      <c r="C867" s="7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251"/>
      <c r="AF867" s="251"/>
      <c r="AG867" s="251"/>
      <c r="AH867" s="251"/>
      <c r="AI867" s="251"/>
      <c r="AJ867" s="251"/>
      <c r="AK867" s="251"/>
      <c r="AL867" s="251"/>
      <c r="AM867" s="251"/>
      <c r="AN867" s="251"/>
      <c r="AO867" s="251"/>
      <c r="AP867" s="251"/>
      <c r="AQ867" s="251"/>
      <c r="AR867" s="251"/>
      <c r="AS867" s="251"/>
    </row>
    <row r="868" spans="1:45" s="44" customFormat="1" x14ac:dyDescent="0.2">
      <c r="A868" s="71"/>
      <c r="B868" s="71"/>
      <c r="C868" s="7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251"/>
      <c r="AH868" s="251"/>
      <c r="AI868" s="251"/>
      <c r="AJ868" s="251"/>
      <c r="AK868" s="251"/>
      <c r="AL868" s="251"/>
      <c r="AM868" s="251"/>
      <c r="AN868" s="251"/>
      <c r="AO868" s="251"/>
      <c r="AP868" s="251"/>
      <c r="AQ868" s="251"/>
      <c r="AR868" s="251"/>
      <c r="AS868" s="251"/>
    </row>
    <row r="869" spans="1:45" s="44" customFormat="1" x14ac:dyDescent="0.2">
      <c r="A869" s="71"/>
      <c r="B869" s="71"/>
      <c r="C869" s="7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c r="AC869" s="251"/>
      <c r="AD869" s="251"/>
      <c r="AE869" s="251"/>
      <c r="AF869" s="251"/>
      <c r="AG869" s="251"/>
      <c r="AH869" s="251"/>
      <c r="AI869" s="251"/>
      <c r="AJ869" s="251"/>
      <c r="AK869" s="251"/>
      <c r="AL869" s="251"/>
      <c r="AM869" s="251"/>
      <c r="AN869" s="251"/>
      <c r="AO869" s="251"/>
      <c r="AP869" s="251"/>
      <c r="AQ869" s="251"/>
      <c r="AR869" s="251"/>
      <c r="AS869" s="251"/>
    </row>
    <row r="870" spans="1:45" s="44" customFormat="1" x14ac:dyDescent="0.2">
      <c r="A870" s="71"/>
      <c r="B870" s="71"/>
      <c r="C870" s="7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251"/>
      <c r="AF870" s="251"/>
      <c r="AG870" s="251"/>
      <c r="AH870" s="251"/>
      <c r="AI870" s="251"/>
      <c r="AJ870" s="251"/>
      <c r="AK870" s="251"/>
      <c r="AL870" s="251"/>
      <c r="AM870" s="251"/>
      <c r="AN870" s="251"/>
      <c r="AO870" s="251"/>
      <c r="AP870" s="251"/>
      <c r="AQ870" s="251"/>
      <c r="AR870" s="251"/>
      <c r="AS870" s="251"/>
    </row>
    <row r="871" spans="1:45" s="44" customFormat="1" x14ac:dyDescent="0.2">
      <c r="A871" s="71"/>
      <c r="B871" s="71"/>
      <c r="C871" s="7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251"/>
      <c r="AH871" s="251"/>
      <c r="AI871" s="251"/>
      <c r="AJ871" s="251"/>
      <c r="AK871" s="251"/>
      <c r="AL871" s="251"/>
      <c r="AM871" s="251"/>
      <c r="AN871" s="251"/>
      <c r="AO871" s="251"/>
      <c r="AP871" s="251"/>
      <c r="AQ871" s="251"/>
      <c r="AR871" s="251"/>
      <c r="AS871" s="251"/>
    </row>
    <row r="872" spans="1:45" s="44" customFormat="1" x14ac:dyDescent="0.2">
      <c r="A872" s="71"/>
      <c r="B872" s="71"/>
      <c r="C872" s="7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row>
    <row r="873" spans="1:45" s="44" customFormat="1" x14ac:dyDescent="0.2">
      <c r="A873" s="71"/>
      <c r="B873" s="71"/>
      <c r="C873" s="7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row>
    <row r="874" spans="1:45" s="44" customFormat="1" x14ac:dyDescent="0.2">
      <c r="A874" s="71"/>
      <c r="B874" s="71"/>
      <c r="C874" s="7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row>
    <row r="875" spans="1:45" s="44" customFormat="1" x14ac:dyDescent="0.2">
      <c r="A875" s="71"/>
      <c r="B875" s="71"/>
      <c r="C875" s="7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251"/>
      <c r="AE875" s="251"/>
      <c r="AF875" s="251"/>
      <c r="AG875" s="251"/>
      <c r="AH875" s="251"/>
      <c r="AI875" s="251"/>
      <c r="AJ875" s="251"/>
      <c r="AK875" s="251"/>
      <c r="AL875" s="251"/>
      <c r="AM875" s="251"/>
      <c r="AN875" s="251"/>
      <c r="AO875" s="251"/>
      <c r="AP875" s="251"/>
      <c r="AQ875" s="251"/>
      <c r="AR875" s="251"/>
      <c r="AS875" s="251"/>
    </row>
    <row r="876" spans="1:45" s="44" customFormat="1" x14ac:dyDescent="0.2">
      <c r="A876" s="71"/>
      <c r="B876" s="71"/>
      <c r="C876" s="7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251"/>
      <c r="AF876" s="251"/>
      <c r="AG876" s="251"/>
      <c r="AH876" s="251"/>
      <c r="AI876" s="251"/>
      <c r="AJ876" s="251"/>
      <c r="AK876" s="251"/>
      <c r="AL876" s="251"/>
      <c r="AM876" s="251"/>
      <c r="AN876" s="251"/>
      <c r="AO876" s="251"/>
      <c r="AP876" s="251"/>
      <c r="AQ876" s="251"/>
      <c r="AR876" s="251"/>
      <c r="AS876" s="251"/>
    </row>
    <row r="877" spans="1:45" s="44" customFormat="1" x14ac:dyDescent="0.2">
      <c r="A877" s="71"/>
      <c r="B877" s="71"/>
      <c r="C877" s="7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251"/>
      <c r="AF877" s="251"/>
      <c r="AG877" s="251"/>
      <c r="AH877" s="251"/>
      <c r="AI877" s="251"/>
      <c r="AJ877" s="251"/>
      <c r="AK877" s="251"/>
      <c r="AL877" s="251"/>
      <c r="AM877" s="251"/>
      <c r="AN877" s="251"/>
      <c r="AO877" s="251"/>
      <c r="AP877" s="251"/>
      <c r="AQ877" s="251"/>
      <c r="AR877" s="251"/>
      <c r="AS877" s="251"/>
    </row>
    <row r="878" spans="1:45" s="44" customFormat="1" x14ac:dyDescent="0.2">
      <c r="A878" s="71"/>
      <c r="B878" s="71"/>
      <c r="C878" s="7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251"/>
      <c r="AH878" s="251"/>
      <c r="AI878" s="251"/>
      <c r="AJ878" s="251"/>
      <c r="AK878" s="251"/>
      <c r="AL878" s="251"/>
      <c r="AM878" s="251"/>
      <c r="AN878" s="251"/>
      <c r="AO878" s="251"/>
      <c r="AP878" s="251"/>
      <c r="AQ878" s="251"/>
      <c r="AR878" s="251"/>
      <c r="AS878" s="251"/>
    </row>
    <row r="879" spans="1:45" s="44" customFormat="1" x14ac:dyDescent="0.2">
      <c r="A879" s="71"/>
      <c r="B879" s="71"/>
      <c r="C879" s="7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row>
    <row r="880" spans="1:45" s="44" customFormat="1" x14ac:dyDescent="0.2">
      <c r="A880" s="71"/>
      <c r="B880" s="71"/>
      <c r="C880" s="7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251"/>
      <c r="AF880" s="251"/>
      <c r="AG880" s="251"/>
      <c r="AH880" s="251"/>
      <c r="AI880" s="251"/>
      <c r="AJ880" s="251"/>
      <c r="AK880" s="251"/>
      <c r="AL880" s="251"/>
      <c r="AM880" s="251"/>
      <c r="AN880" s="251"/>
      <c r="AO880" s="251"/>
      <c r="AP880" s="251"/>
      <c r="AQ880" s="251"/>
      <c r="AR880" s="251"/>
      <c r="AS880" s="251"/>
    </row>
    <row r="881" spans="1:45" s="44" customFormat="1" x14ac:dyDescent="0.2">
      <c r="A881" s="71"/>
      <c r="B881" s="71"/>
      <c r="C881" s="7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251"/>
      <c r="AH881" s="251"/>
      <c r="AI881" s="251"/>
      <c r="AJ881" s="251"/>
      <c r="AK881" s="251"/>
      <c r="AL881" s="251"/>
      <c r="AM881" s="251"/>
      <c r="AN881" s="251"/>
      <c r="AO881" s="251"/>
      <c r="AP881" s="251"/>
      <c r="AQ881" s="251"/>
      <c r="AR881" s="251"/>
      <c r="AS881" s="251"/>
    </row>
    <row r="882" spans="1:45" s="44" customFormat="1" x14ac:dyDescent="0.2">
      <c r="A882" s="71"/>
      <c r="B882" s="71"/>
      <c r="C882" s="7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row>
    <row r="883" spans="1:45" s="44" customFormat="1" x14ac:dyDescent="0.2">
      <c r="A883" s="71"/>
      <c r="B883" s="71"/>
      <c r="C883" s="7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251"/>
      <c r="AF883" s="251"/>
      <c r="AG883" s="251"/>
      <c r="AH883" s="251"/>
      <c r="AI883" s="251"/>
      <c r="AJ883" s="251"/>
      <c r="AK883" s="251"/>
      <c r="AL883" s="251"/>
      <c r="AM883" s="251"/>
      <c r="AN883" s="251"/>
      <c r="AO883" s="251"/>
      <c r="AP883" s="251"/>
      <c r="AQ883" s="251"/>
      <c r="AR883" s="251"/>
      <c r="AS883" s="251"/>
    </row>
    <row r="884" spans="1:45" s="44" customFormat="1" x14ac:dyDescent="0.2">
      <c r="A884" s="71"/>
      <c r="B884" s="71"/>
      <c r="C884" s="7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251"/>
      <c r="AH884" s="251"/>
      <c r="AI884" s="251"/>
      <c r="AJ884" s="251"/>
      <c r="AK884" s="251"/>
      <c r="AL884" s="251"/>
      <c r="AM884" s="251"/>
      <c r="AN884" s="251"/>
      <c r="AO884" s="251"/>
      <c r="AP884" s="251"/>
      <c r="AQ884" s="251"/>
      <c r="AR884" s="251"/>
      <c r="AS884" s="251"/>
    </row>
    <row r="885" spans="1:45" s="44" customFormat="1" x14ac:dyDescent="0.2">
      <c r="A885" s="71"/>
      <c r="B885" s="71"/>
      <c r="C885" s="7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row>
    <row r="886" spans="1:45" s="44" customFormat="1" x14ac:dyDescent="0.2">
      <c r="A886" s="71"/>
      <c r="B886" s="71"/>
      <c r="C886" s="7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251"/>
      <c r="AF886" s="251"/>
      <c r="AG886" s="251"/>
      <c r="AH886" s="251"/>
      <c r="AI886" s="251"/>
      <c r="AJ886" s="251"/>
      <c r="AK886" s="251"/>
      <c r="AL886" s="251"/>
      <c r="AM886" s="251"/>
      <c r="AN886" s="251"/>
      <c r="AO886" s="251"/>
      <c r="AP886" s="251"/>
      <c r="AQ886" s="251"/>
      <c r="AR886" s="251"/>
      <c r="AS886" s="251"/>
    </row>
    <row r="887" spans="1:45" s="44" customFormat="1" x14ac:dyDescent="0.2">
      <c r="A887" s="71"/>
      <c r="B887" s="71"/>
      <c r="C887" s="7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251"/>
      <c r="AE887" s="251"/>
      <c r="AF887" s="251"/>
      <c r="AG887" s="251"/>
      <c r="AH887" s="251"/>
      <c r="AI887" s="251"/>
      <c r="AJ887" s="251"/>
      <c r="AK887" s="251"/>
      <c r="AL887" s="251"/>
      <c r="AM887" s="251"/>
      <c r="AN887" s="251"/>
      <c r="AO887" s="251"/>
      <c r="AP887" s="251"/>
      <c r="AQ887" s="251"/>
      <c r="AR887" s="251"/>
      <c r="AS887" s="251"/>
    </row>
    <row r="888" spans="1:45" s="44" customFormat="1" x14ac:dyDescent="0.2">
      <c r="A888" s="71"/>
      <c r="B888" s="71"/>
      <c r="C888" s="7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251"/>
      <c r="AH888" s="251"/>
      <c r="AI888" s="251"/>
      <c r="AJ888" s="251"/>
      <c r="AK888" s="251"/>
      <c r="AL888" s="251"/>
      <c r="AM888" s="251"/>
      <c r="AN888" s="251"/>
      <c r="AO888" s="251"/>
      <c r="AP888" s="251"/>
      <c r="AQ888" s="251"/>
      <c r="AR888" s="251"/>
      <c r="AS888" s="251"/>
    </row>
    <row r="889" spans="1:45" s="44" customFormat="1" x14ac:dyDescent="0.2">
      <c r="A889" s="71"/>
      <c r="B889" s="71"/>
      <c r="C889" s="7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251"/>
      <c r="AH889" s="251"/>
      <c r="AI889" s="251"/>
      <c r="AJ889" s="251"/>
      <c r="AK889" s="251"/>
      <c r="AL889" s="251"/>
      <c r="AM889" s="251"/>
      <c r="AN889" s="251"/>
      <c r="AO889" s="251"/>
      <c r="AP889" s="251"/>
      <c r="AQ889" s="251"/>
      <c r="AR889" s="251"/>
      <c r="AS889" s="251"/>
    </row>
    <row r="890" spans="1:45" s="44" customFormat="1" x14ac:dyDescent="0.2">
      <c r="A890" s="71"/>
      <c r="B890" s="71"/>
      <c r="C890" s="7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251"/>
      <c r="AF890" s="251"/>
      <c r="AG890" s="251"/>
      <c r="AH890" s="251"/>
      <c r="AI890" s="251"/>
      <c r="AJ890" s="251"/>
      <c r="AK890" s="251"/>
      <c r="AL890" s="251"/>
      <c r="AM890" s="251"/>
      <c r="AN890" s="251"/>
      <c r="AO890" s="251"/>
      <c r="AP890" s="251"/>
      <c r="AQ890" s="251"/>
      <c r="AR890" s="251"/>
      <c r="AS890" s="251"/>
    </row>
    <row r="891" spans="1:45" s="44" customFormat="1" x14ac:dyDescent="0.2">
      <c r="A891" s="71"/>
      <c r="B891" s="71"/>
      <c r="C891" s="7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251"/>
      <c r="AE891" s="251"/>
      <c r="AF891" s="251"/>
      <c r="AG891" s="251"/>
      <c r="AH891" s="251"/>
      <c r="AI891" s="251"/>
      <c r="AJ891" s="251"/>
      <c r="AK891" s="251"/>
      <c r="AL891" s="251"/>
      <c r="AM891" s="251"/>
      <c r="AN891" s="251"/>
      <c r="AO891" s="251"/>
      <c r="AP891" s="251"/>
      <c r="AQ891" s="251"/>
      <c r="AR891" s="251"/>
      <c r="AS891" s="251"/>
    </row>
    <row r="892" spans="1:45" s="44" customFormat="1" x14ac:dyDescent="0.2">
      <c r="A892" s="71"/>
      <c r="B892" s="71"/>
      <c r="C892" s="7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251"/>
      <c r="AH892" s="251"/>
      <c r="AI892" s="251"/>
      <c r="AJ892" s="251"/>
      <c r="AK892" s="251"/>
      <c r="AL892" s="251"/>
      <c r="AM892" s="251"/>
      <c r="AN892" s="251"/>
      <c r="AO892" s="251"/>
      <c r="AP892" s="251"/>
      <c r="AQ892" s="251"/>
      <c r="AR892" s="251"/>
      <c r="AS892" s="251"/>
    </row>
    <row r="893" spans="1:45" s="44" customFormat="1" x14ac:dyDescent="0.2">
      <c r="A893" s="71"/>
      <c r="B893" s="71"/>
      <c r="C893" s="7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251"/>
      <c r="AF893" s="251"/>
      <c r="AG893" s="251"/>
      <c r="AH893" s="251"/>
      <c r="AI893" s="251"/>
      <c r="AJ893" s="251"/>
      <c r="AK893" s="251"/>
      <c r="AL893" s="251"/>
      <c r="AM893" s="251"/>
      <c r="AN893" s="251"/>
      <c r="AO893" s="251"/>
      <c r="AP893" s="251"/>
      <c r="AQ893" s="251"/>
      <c r="AR893" s="251"/>
      <c r="AS893" s="251"/>
    </row>
    <row r="894" spans="1:45" s="44" customFormat="1" x14ac:dyDescent="0.2">
      <c r="A894" s="71"/>
      <c r="B894" s="71"/>
      <c r="C894" s="7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251"/>
      <c r="AE894" s="251"/>
      <c r="AF894" s="251"/>
      <c r="AG894" s="251"/>
      <c r="AH894" s="251"/>
      <c r="AI894" s="251"/>
      <c r="AJ894" s="251"/>
      <c r="AK894" s="251"/>
      <c r="AL894" s="251"/>
      <c r="AM894" s="251"/>
      <c r="AN894" s="251"/>
      <c r="AO894" s="251"/>
      <c r="AP894" s="251"/>
      <c r="AQ894" s="251"/>
      <c r="AR894" s="251"/>
      <c r="AS894" s="251"/>
    </row>
    <row r="895" spans="1:45" s="44" customFormat="1" x14ac:dyDescent="0.2">
      <c r="A895" s="71"/>
      <c r="B895" s="71"/>
      <c r="C895" s="7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251"/>
      <c r="AH895" s="251"/>
      <c r="AI895" s="251"/>
      <c r="AJ895" s="251"/>
      <c r="AK895" s="251"/>
      <c r="AL895" s="251"/>
      <c r="AM895" s="251"/>
      <c r="AN895" s="251"/>
      <c r="AO895" s="251"/>
      <c r="AP895" s="251"/>
      <c r="AQ895" s="251"/>
      <c r="AR895" s="251"/>
      <c r="AS895" s="251"/>
    </row>
    <row r="896" spans="1:45" s="44" customFormat="1" x14ac:dyDescent="0.2">
      <c r="A896" s="71"/>
      <c r="B896" s="71"/>
      <c r="C896" s="7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51"/>
      <c r="AF896" s="251"/>
      <c r="AG896" s="251"/>
      <c r="AH896" s="251"/>
      <c r="AI896" s="251"/>
      <c r="AJ896" s="251"/>
      <c r="AK896" s="251"/>
      <c r="AL896" s="251"/>
      <c r="AM896" s="251"/>
      <c r="AN896" s="251"/>
      <c r="AO896" s="251"/>
      <c r="AP896" s="251"/>
      <c r="AQ896" s="251"/>
      <c r="AR896" s="251"/>
      <c r="AS896" s="251"/>
    </row>
    <row r="897" spans="1:45" s="44" customFormat="1" x14ac:dyDescent="0.2">
      <c r="A897" s="71"/>
      <c r="B897" s="71"/>
      <c r="C897" s="7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251"/>
      <c r="AE897" s="251"/>
      <c r="AF897" s="251"/>
      <c r="AG897" s="251"/>
      <c r="AH897" s="251"/>
      <c r="AI897" s="251"/>
      <c r="AJ897" s="251"/>
      <c r="AK897" s="251"/>
      <c r="AL897" s="251"/>
      <c r="AM897" s="251"/>
      <c r="AN897" s="251"/>
      <c r="AO897" s="251"/>
      <c r="AP897" s="251"/>
      <c r="AQ897" s="251"/>
      <c r="AR897" s="251"/>
      <c r="AS897" s="251"/>
    </row>
    <row r="898" spans="1:45" s="44" customFormat="1" x14ac:dyDescent="0.2">
      <c r="A898" s="71"/>
      <c r="B898" s="71"/>
      <c r="C898" s="7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row>
    <row r="899" spans="1:45" s="44" customFormat="1" x14ac:dyDescent="0.2">
      <c r="A899" s="71"/>
      <c r="B899" s="71"/>
      <c r="C899" s="7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row>
    <row r="900" spans="1:45" s="44" customFormat="1" x14ac:dyDescent="0.2">
      <c r="A900" s="71"/>
      <c r="B900" s="71"/>
      <c r="C900" s="7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c r="AC900" s="251"/>
      <c r="AD900" s="251"/>
      <c r="AE900" s="251"/>
      <c r="AF900" s="251"/>
      <c r="AG900" s="251"/>
      <c r="AH900" s="251"/>
      <c r="AI900" s="251"/>
      <c r="AJ900" s="251"/>
      <c r="AK900" s="251"/>
      <c r="AL900" s="251"/>
      <c r="AM900" s="251"/>
      <c r="AN900" s="251"/>
      <c r="AO900" s="251"/>
      <c r="AP900" s="251"/>
      <c r="AQ900" s="251"/>
      <c r="AR900" s="251"/>
      <c r="AS900" s="251"/>
    </row>
    <row r="901" spans="1:45" s="44" customFormat="1" x14ac:dyDescent="0.2">
      <c r="A901" s="71"/>
      <c r="B901" s="71"/>
      <c r="C901" s="7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251"/>
      <c r="AH901" s="251"/>
      <c r="AI901" s="251"/>
      <c r="AJ901" s="251"/>
      <c r="AK901" s="251"/>
      <c r="AL901" s="251"/>
      <c r="AM901" s="251"/>
      <c r="AN901" s="251"/>
      <c r="AO901" s="251"/>
      <c r="AP901" s="251"/>
      <c r="AQ901" s="251"/>
      <c r="AR901" s="251"/>
      <c r="AS901" s="251"/>
    </row>
    <row r="902" spans="1:45" s="44" customFormat="1" x14ac:dyDescent="0.2">
      <c r="A902" s="71"/>
      <c r="B902" s="71"/>
      <c r="C902" s="7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251"/>
      <c r="AH902" s="251"/>
      <c r="AI902" s="251"/>
      <c r="AJ902" s="251"/>
      <c r="AK902" s="251"/>
      <c r="AL902" s="251"/>
      <c r="AM902" s="251"/>
      <c r="AN902" s="251"/>
      <c r="AO902" s="251"/>
      <c r="AP902" s="251"/>
      <c r="AQ902" s="251"/>
      <c r="AR902" s="251"/>
      <c r="AS902" s="251"/>
    </row>
    <row r="903" spans="1:45" s="44" customFormat="1" x14ac:dyDescent="0.2">
      <c r="A903" s="71"/>
      <c r="B903" s="71"/>
      <c r="C903" s="7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251"/>
      <c r="AE903" s="251"/>
      <c r="AF903" s="251"/>
      <c r="AG903" s="251"/>
      <c r="AH903" s="251"/>
      <c r="AI903" s="251"/>
      <c r="AJ903" s="251"/>
      <c r="AK903" s="251"/>
      <c r="AL903" s="251"/>
      <c r="AM903" s="251"/>
      <c r="AN903" s="251"/>
      <c r="AO903" s="251"/>
      <c r="AP903" s="251"/>
      <c r="AQ903" s="251"/>
      <c r="AR903" s="251"/>
      <c r="AS903" s="251"/>
    </row>
    <row r="904" spans="1:45" s="44" customFormat="1" x14ac:dyDescent="0.2">
      <c r="A904" s="71"/>
      <c r="B904" s="71"/>
      <c r="C904" s="7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51"/>
      <c r="AE904" s="251"/>
      <c r="AF904" s="251"/>
      <c r="AG904" s="251"/>
      <c r="AH904" s="251"/>
      <c r="AI904" s="251"/>
      <c r="AJ904" s="251"/>
      <c r="AK904" s="251"/>
      <c r="AL904" s="251"/>
      <c r="AM904" s="251"/>
      <c r="AN904" s="251"/>
      <c r="AO904" s="251"/>
      <c r="AP904" s="251"/>
      <c r="AQ904" s="251"/>
      <c r="AR904" s="251"/>
      <c r="AS904" s="251"/>
    </row>
    <row r="905" spans="1:45" s="44" customFormat="1" x14ac:dyDescent="0.2">
      <c r="A905" s="71"/>
      <c r="B905" s="71"/>
      <c r="C905" s="7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251"/>
      <c r="AH905" s="251"/>
      <c r="AI905" s="251"/>
      <c r="AJ905" s="251"/>
      <c r="AK905" s="251"/>
      <c r="AL905" s="251"/>
      <c r="AM905" s="251"/>
      <c r="AN905" s="251"/>
      <c r="AO905" s="251"/>
      <c r="AP905" s="251"/>
      <c r="AQ905" s="251"/>
      <c r="AR905" s="251"/>
      <c r="AS905" s="251"/>
    </row>
    <row r="906" spans="1:45" s="44" customFormat="1" x14ac:dyDescent="0.2">
      <c r="A906" s="71"/>
      <c r="B906" s="71"/>
      <c r="C906" s="7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251"/>
      <c r="AE906" s="251"/>
      <c r="AF906" s="251"/>
      <c r="AG906" s="251"/>
      <c r="AH906" s="251"/>
      <c r="AI906" s="251"/>
      <c r="AJ906" s="251"/>
      <c r="AK906" s="251"/>
      <c r="AL906" s="251"/>
      <c r="AM906" s="251"/>
      <c r="AN906" s="251"/>
      <c r="AO906" s="251"/>
      <c r="AP906" s="251"/>
      <c r="AQ906" s="251"/>
      <c r="AR906" s="251"/>
      <c r="AS906" s="251"/>
    </row>
    <row r="907" spans="1:45" s="44" customFormat="1" x14ac:dyDescent="0.2">
      <c r="A907" s="71"/>
      <c r="B907" s="71"/>
      <c r="C907" s="7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251"/>
      <c r="AE907" s="251"/>
      <c r="AF907" s="251"/>
      <c r="AG907" s="251"/>
      <c r="AH907" s="251"/>
      <c r="AI907" s="251"/>
      <c r="AJ907" s="251"/>
      <c r="AK907" s="251"/>
      <c r="AL907" s="251"/>
      <c r="AM907" s="251"/>
      <c r="AN907" s="251"/>
      <c r="AO907" s="251"/>
      <c r="AP907" s="251"/>
      <c r="AQ907" s="251"/>
      <c r="AR907" s="251"/>
      <c r="AS907" s="251"/>
    </row>
    <row r="908" spans="1:45" s="44" customFormat="1" x14ac:dyDescent="0.2">
      <c r="A908" s="71"/>
      <c r="B908" s="71"/>
      <c r="C908" s="7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251"/>
      <c r="AH908" s="251"/>
      <c r="AI908" s="251"/>
      <c r="AJ908" s="251"/>
      <c r="AK908" s="251"/>
      <c r="AL908" s="251"/>
      <c r="AM908" s="251"/>
      <c r="AN908" s="251"/>
      <c r="AO908" s="251"/>
      <c r="AP908" s="251"/>
      <c r="AQ908" s="251"/>
      <c r="AR908" s="251"/>
      <c r="AS908" s="251"/>
    </row>
    <row r="909" spans="1:45" s="44" customFormat="1" x14ac:dyDescent="0.2">
      <c r="A909" s="71"/>
      <c r="B909" s="71"/>
      <c r="C909" s="7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c r="AC909" s="251"/>
      <c r="AD909" s="251"/>
      <c r="AE909" s="251"/>
      <c r="AF909" s="251"/>
      <c r="AG909" s="251"/>
      <c r="AH909" s="251"/>
      <c r="AI909" s="251"/>
      <c r="AJ909" s="251"/>
      <c r="AK909" s="251"/>
      <c r="AL909" s="251"/>
      <c r="AM909" s="251"/>
      <c r="AN909" s="251"/>
      <c r="AO909" s="251"/>
      <c r="AP909" s="251"/>
      <c r="AQ909" s="251"/>
      <c r="AR909" s="251"/>
      <c r="AS909" s="251"/>
    </row>
    <row r="910" spans="1:45" s="44" customFormat="1" x14ac:dyDescent="0.2">
      <c r="A910" s="71"/>
      <c r="B910" s="71"/>
      <c r="C910" s="7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c r="AC910" s="251"/>
      <c r="AD910" s="251"/>
      <c r="AE910" s="251"/>
      <c r="AF910" s="251"/>
      <c r="AG910" s="251"/>
      <c r="AH910" s="251"/>
      <c r="AI910" s="251"/>
      <c r="AJ910" s="251"/>
      <c r="AK910" s="251"/>
      <c r="AL910" s="251"/>
      <c r="AM910" s="251"/>
      <c r="AN910" s="251"/>
      <c r="AO910" s="251"/>
      <c r="AP910" s="251"/>
      <c r="AQ910" s="251"/>
      <c r="AR910" s="251"/>
      <c r="AS910" s="251"/>
    </row>
    <row r="911" spans="1:45" s="44" customFormat="1" x14ac:dyDescent="0.2">
      <c r="A911" s="71"/>
      <c r="B911" s="71"/>
      <c r="C911" s="7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row>
    <row r="912" spans="1:45" s="44" customFormat="1" x14ac:dyDescent="0.2">
      <c r="A912" s="71"/>
      <c r="B912" s="71"/>
      <c r="C912" s="7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251"/>
      <c r="AF912" s="251"/>
      <c r="AG912" s="251"/>
      <c r="AH912" s="251"/>
      <c r="AI912" s="251"/>
      <c r="AJ912" s="251"/>
      <c r="AK912" s="251"/>
      <c r="AL912" s="251"/>
      <c r="AM912" s="251"/>
      <c r="AN912" s="251"/>
      <c r="AO912" s="251"/>
      <c r="AP912" s="251"/>
      <c r="AQ912" s="251"/>
      <c r="AR912" s="251"/>
      <c r="AS912" s="251"/>
    </row>
    <row r="913" spans="1:45" s="44" customFormat="1" x14ac:dyDescent="0.2">
      <c r="A913" s="71"/>
      <c r="B913" s="71"/>
      <c r="C913" s="7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251"/>
      <c r="AF913" s="251"/>
      <c r="AG913" s="251"/>
      <c r="AH913" s="251"/>
      <c r="AI913" s="251"/>
      <c r="AJ913" s="251"/>
      <c r="AK913" s="251"/>
      <c r="AL913" s="251"/>
      <c r="AM913" s="251"/>
      <c r="AN913" s="251"/>
      <c r="AO913" s="251"/>
      <c r="AP913" s="251"/>
      <c r="AQ913" s="251"/>
      <c r="AR913" s="251"/>
      <c r="AS913" s="251"/>
    </row>
    <row r="914" spans="1:45" s="44" customFormat="1" x14ac:dyDescent="0.2">
      <c r="A914" s="71"/>
      <c r="B914" s="71"/>
      <c r="C914" s="7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251"/>
      <c r="AH914" s="251"/>
      <c r="AI914" s="251"/>
      <c r="AJ914" s="251"/>
      <c r="AK914" s="251"/>
      <c r="AL914" s="251"/>
      <c r="AM914" s="251"/>
      <c r="AN914" s="251"/>
      <c r="AO914" s="251"/>
      <c r="AP914" s="251"/>
      <c r="AQ914" s="251"/>
      <c r="AR914" s="251"/>
      <c r="AS914" s="251"/>
    </row>
    <row r="915" spans="1:45" s="44" customFormat="1" x14ac:dyDescent="0.2">
      <c r="A915" s="71"/>
      <c r="B915" s="71"/>
      <c r="C915" s="7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251"/>
      <c r="AF915" s="251"/>
      <c r="AG915" s="251"/>
      <c r="AH915" s="251"/>
      <c r="AI915" s="251"/>
      <c r="AJ915" s="251"/>
      <c r="AK915" s="251"/>
      <c r="AL915" s="251"/>
      <c r="AM915" s="251"/>
      <c r="AN915" s="251"/>
      <c r="AO915" s="251"/>
      <c r="AP915" s="251"/>
      <c r="AQ915" s="251"/>
      <c r="AR915" s="251"/>
      <c r="AS915" s="251"/>
    </row>
    <row r="916" spans="1:45" s="44" customFormat="1" x14ac:dyDescent="0.2">
      <c r="A916" s="71"/>
      <c r="B916" s="71"/>
      <c r="C916" s="7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row>
    <row r="917" spans="1:45" s="44" customFormat="1" x14ac:dyDescent="0.2">
      <c r="A917" s="71"/>
      <c r="B917" s="71"/>
      <c r="C917" s="7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251"/>
      <c r="AH917" s="251"/>
      <c r="AI917" s="251"/>
      <c r="AJ917" s="251"/>
      <c r="AK917" s="251"/>
      <c r="AL917" s="251"/>
      <c r="AM917" s="251"/>
      <c r="AN917" s="251"/>
      <c r="AO917" s="251"/>
      <c r="AP917" s="251"/>
      <c r="AQ917" s="251"/>
      <c r="AR917" s="251"/>
      <c r="AS917" s="251"/>
    </row>
    <row r="918" spans="1:45" s="44" customFormat="1" x14ac:dyDescent="0.2">
      <c r="A918" s="71"/>
      <c r="B918" s="71"/>
      <c r="C918" s="7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251"/>
      <c r="AF918" s="251"/>
      <c r="AG918" s="251"/>
      <c r="AH918" s="251"/>
      <c r="AI918" s="251"/>
      <c r="AJ918" s="251"/>
      <c r="AK918" s="251"/>
      <c r="AL918" s="251"/>
      <c r="AM918" s="251"/>
      <c r="AN918" s="251"/>
      <c r="AO918" s="251"/>
      <c r="AP918" s="251"/>
      <c r="AQ918" s="251"/>
      <c r="AR918" s="251"/>
      <c r="AS918" s="251"/>
    </row>
    <row r="919" spans="1:45" s="44" customFormat="1" x14ac:dyDescent="0.2">
      <c r="A919" s="71"/>
      <c r="B919" s="71"/>
      <c r="C919" s="7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251"/>
      <c r="AF919" s="251"/>
      <c r="AG919" s="251"/>
      <c r="AH919" s="251"/>
      <c r="AI919" s="251"/>
      <c r="AJ919" s="251"/>
      <c r="AK919" s="251"/>
      <c r="AL919" s="251"/>
      <c r="AM919" s="251"/>
      <c r="AN919" s="251"/>
      <c r="AO919" s="251"/>
      <c r="AP919" s="251"/>
      <c r="AQ919" s="251"/>
      <c r="AR919" s="251"/>
      <c r="AS919" s="251"/>
    </row>
    <row r="920" spans="1:45" s="44" customFormat="1" x14ac:dyDescent="0.2">
      <c r="A920" s="71"/>
      <c r="B920" s="71"/>
      <c r="C920" s="7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251"/>
      <c r="AH920" s="251"/>
      <c r="AI920" s="251"/>
      <c r="AJ920" s="251"/>
      <c r="AK920" s="251"/>
      <c r="AL920" s="251"/>
      <c r="AM920" s="251"/>
      <c r="AN920" s="251"/>
      <c r="AO920" s="251"/>
      <c r="AP920" s="251"/>
      <c r="AQ920" s="251"/>
      <c r="AR920" s="251"/>
      <c r="AS920" s="251"/>
    </row>
    <row r="921" spans="1:45" s="44" customFormat="1" x14ac:dyDescent="0.2">
      <c r="A921" s="71"/>
      <c r="B921" s="71"/>
      <c r="C921" s="7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251"/>
      <c r="AF921" s="251"/>
      <c r="AG921" s="251"/>
      <c r="AH921" s="251"/>
      <c r="AI921" s="251"/>
      <c r="AJ921" s="251"/>
      <c r="AK921" s="251"/>
      <c r="AL921" s="251"/>
      <c r="AM921" s="251"/>
      <c r="AN921" s="251"/>
      <c r="AO921" s="251"/>
      <c r="AP921" s="251"/>
      <c r="AQ921" s="251"/>
      <c r="AR921" s="251"/>
      <c r="AS921" s="251"/>
    </row>
    <row r="922" spans="1:45" s="44" customFormat="1" x14ac:dyDescent="0.2">
      <c r="A922" s="71"/>
      <c r="B922" s="71"/>
      <c r="C922" s="7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251"/>
      <c r="AE922" s="251"/>
      <c r="AF922" s="251"/>
      <c r="AG922" s="251"/>
      <c r="AH922" s="251"/>
      <c r="AI922" s="251"/>
      <c r="AJ922" s="251"/>
      <c r="AK922" s="251"/>
      <c r="AL922" s="251"/>
      <c r="AM922" s="251"/>
      <c r="AN922" s="251"/>
      <c r="AO922" s="251"/>
      <c r="AP922" s="251"/>
      <c r="AQ922" s="251"/>
      <c r="AR922" s="251"/>
      <c r="AS922" s="251"/>
    </row>
    <row r="923" spans="1:45" s="44" customFormat="1" x14ac:dyDescent="0.2">
      <c r="A923" s="71"/>
      <c r="B923" s="71"/>
      <c r="C923" s="7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row>
    <row r="924" spans="1:45" s="44" customFormat="1" x14ac:dyDescent="0.2">
      <c r="A924" s="71"/>
      <c r="B924" s="71"/>
      <c r="C924" s="7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row>
    <row r="925" spans="1:45" s="44" customFormat="1" x14ac:dyDescent="0.2">
      <c r="A925" s="71"/>
      <c r="B925" s="71"/>
      <c r="C925" s="7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row>
    <row r="926" spans="1:45" s="44" customFormat="1" x14ac:dyDescent="0.2">
      <c r="A926" s="71"/>
      <c r="B926" s="71"/>
      <c r="C926" s="7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251"/>
      <c r="AH926" s="251"/>
      <c r="AI926" s="251"/>
      <c r="AJ926" s="251"/>
      <c r="AK926" s="251"/>
      <c r="AL926" s="251"/>
      <c r="AM926" s="251"/>
      <c r="AN926" s="251"/>
      <c r="AO926" s="251"/>
      <c r="AP926" s="251"/>
      <c r="AQ926" s="251"/>
      <c r="AR926" s="251"/>
      <c r="AS926" s="251"/>
    </row>
    <row r="927" spans="1:45" s="44" customFormat="1" x14ac:dyDescent="0.2">
      <c r="A927" s="71"/>
      <c r="B927" s="71"/>
      <c r="C927" s="7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251"/>
      <c r="AF927" s="251"/>
      <c r="AG927" s="251"/>
      <c r="AH927" s="251"/>
      <c r="AI927" s="251"/>
      <c r="AJ927" s="251"/>
      <c r="AK927" s="251"/>
      <c r="AL927" s="251"/>
      <c r="AM927" s="251"/>
      <c r="AN927" s="251"/>
      <c r="AO927" s="251"/>
      <c r="AP927" s="251"/>
      <c r="AQ927" s="251"/>
      <c r="AR927" s="251"/>
      <c r="AS927" s="251"/>
    </row>
    <row r="928" spans="1:45" s="44" customFormat="1" x14ac:dyDescent="0.2">
      <c r="A928" s="71"/>
      <c r="B928" s="71"/>
      <c r="C928" s="7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251"/>
      <c r="AE928" s="251"/>
      <c r="AF928" s="251"/>
      <c r="AG928" s="251"/>
      <c r="AH928" s="251"/>
      <c r="AI928" s="251"/>
      <c r="AJ928" s="251"/>
      <c r="AK928" s="251"/>
      <c r="AL928" s="251"/>
      <c r="AM928" s="251"/>
      <c r="AN928" s="251"/>
      <c r="AO928" s="251"/>
      <c r="AP928" s="251"/>
      <c r="AQ928" s="251"/>
      <c r="AR928" s="251"/>
      <c r="AS928" s="251"/>
    </row>
    <row r="929" spans="1:45" s="44" customFormat="1" x14ac:dyDescent="0.2">
      <c r="A929" s="71"/>
      <c r="B929" s="71"/>
      <c r="C929" s="7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251"/>
      <c r="AH929" s="251"/>
      <c r="AI929" s="251"/>
      <c r="AJ929" s="251"/>
      <c r="AK929" s="251"/>
      <c r="AL929" s="251"/>
      <c r="AM929" s="251"/>
      <c r="AN929" s="251"/>
      <c r="AO929" s="251"/>
      <c r="AP929" s="251"/>
      <c r="AQ929" s="251"/>
      <c r="AR929" s="251"/>
      <c r="AS929" s="251"/>
    </row>
    <row r="930" spans="1:45" s="44" customFormat="1" x14ac:dyDescent="0.2">
      <c r="A930" s="71"/>
      <c r="B930" s="71"/>
      <c r="C930" s="7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251"/>
      <c r="AH930" s="251"/>
      <c r="AI930" s="251"/>
      <c r="AJ930" s="251"/>
      <c r="AK930" s="251"/>
      <c r="AL930" s="251"/>
      <c r="AM930" s="251"/>
      <c r="AN930" s="251"/>
      <c r="AO930" s="251"/>
      <c r="AP930" s="251"/>
      <c r="AQ930" s="251"/>
      <c r="AR930" s="251"/>
      <c r="AS930" s="251"/>
    </row>
    <row r="931" spans="1:45" s="44" customFormat="1" x14ac:dyDescent="0.2">
      <c r="A931" s="71"/>
      <c r="B931" s="71"/>
      <c r="C931" s="7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251"/>
      <c r="AF931" s="251"/>
      <c r="AG931" s="251"/>
      <c r="AH931" s="251"/>
      <c r="AI931" s="251"/>
      <c r="AJ931" s="251"/>
      <c r="AK931" s="251"/>
      <c r="AL931" s="251"/>
      <c r="AM931" s="251"/>
      <c r="AN931" s="251"/>
      <c r="AO931" s="251"/>
      <c r="AP931" s="251"/>
      <c r="AQ931" s="251"/>
      <c r="AR931" s="251"/>
      <c r="AS931" s="251"/>
    </row>
    <row r="932" spans="1:45" s="44" customFormat="1" x14ac:dyDescent="0.2">
      <c r="A932" s="71"/>
      <c r="B932" s="71"/>
      <c r="C932" s="7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251"/>
      <c r="AE932" s="251"/>
      <c r="AF932" s="251"/>
      <c r="AG932" s="251"/>
      <c r="AH932" s="251"/>
      <c r="AI932" s="251"/>
      <c r="AJ932" s="251"/>
      <c r="AK932" s="251"/>
      <c r="AL932" s="251"/>
      <c r="AM932" s="251"/>
      <c r="AN932" s="251"/>
      <c r="AO932" s="251"/>
      <c r="AP932" s="251"/>
      <c r="AQ932" s="251"/>
      <c r="AR932" s="251"/>
      <c r="AS932" s="251"/>
    </row>
    <row r="933" spans="1:45" s="44" customFormat="1" x14ac:dyDescent="0.2">
      <c r="A933" s="71"/>
      <c r="B933" s="71"/>
      <c r="C933" s="7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row>
    <row r="934" spans="1:45" s="44" customFormat="1" x14ac:dyDescent="0.2">
      <c r="A934" s="71"/>
      <c r="B934" s="71"/>
      <c r="C934" s="7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251"/>
      <c r="AE934" s="251"/>
      <c r="AF934" s="251"/>
      <c r="AG934" s="251"/>
      <c r="AH934" s="251"/>
      <c r="AI934" s="251"/>
      <c r="AJ934" s="251"/>
      <c r="AK934" s="251"/>
      <c r="AL934" s="251"/>
      <c r="AM934" s="251"/>
      <c r="AN934" s="251"/>
      <c r="AO934" s="251"/>
      <c r="AP934" s="251"/>
      <c r="AQ934" s="251"/>
      <c r="AR934" s="251"/>
      <c r="AS934" s="251"/>
    </row>
    <row r="935" spans="1:45" s="44" customFormat="1" x14ac:dyDescent="0.2">
      <c r="A935" s="71"/>
      <c r="B935" s="71"/>
      <c r="C935" s="7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251"/>
      <c r="AE935" s="251"/>
      <c r="AF935" s="251"/>
      <c r="AG935" s="251"/>
      <c r="AH935" s="251"/>
      <c r="AI935" s="251"/>
      <c r="AJ935" s="251"/>
      <c r="AK935" s="251"/>
      <c r="AL935" s="251"/>
      <c r="AM935" s="251"/>
      <c r="AN935" s="251"/>
      <c r="AO935" s="251"/>
      <c r="AP935" s="251"/>
      <c r="AQ935" s="251"/>
      <c r="AR935" s="251"/>
      <c r="AS935" s="251"/>
    </row>
    <row r="936" spans="1:45" s="44" customFormat="1" x14ac:dyDescent="0.2">
      <c r="A936" s="71"/>
      <c r="B936" s="71"/>
      <c r="C936" s="7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251"/>
      <c r="AH936" s="251"/>
      <c r="AI936" s="251"/>
      <c r="AJ936" s="251"/>
      <c r="AK936" s="251"/>
      <c r="AL936" s="251"/>
      <c r="AM936" s="251"/>
      <c r="AN936" s="251"/>
      <c r="AO936" s="251"/>
      <c r="AP936" s="251"/>
      <c r="AQ936" s="251"/>
      <c r="AR936" s="251"/>
      <c r="AS936" s="251"/>
    </row>
    <row r="937" spans="1:45" s="44" customFormat="1" x14ac:dyDescent="0.2">
      <c r="A937" s="71"/>
      <c r="B937" s="71"/>
      <c r="C937" s="7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row>
    <row r="938" spans="1:45" s="44" customFormat="1" x14ac:dyDescent="0.2">
      <c r="A938" s="71"/>
      <c r="B938" s="71"/>
      <c r="C938" s="7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251"/>
      <c r="AE938" s="251"/>
      <c r="AF938" s="251"/>
      <c r="AG938" s="251"/>
      <c r="AH938" s="251"/>
      <c r="AI938" s="251"/>
      <c r="AJ938" s="251"/>
      <c r="AK938" s="251"/>
      <c r="AL938" s="251"/>
      <c r="AM938" s="251"/>
      <c r="AN938" s="251"/>
      <c r="AO938" s="251"/>
      <c r="AP938" s="251"/>
      <c r="AQ938" s="251"/>
      <c r="AR938" s="251"/>
      <c r="AS938" s="251"/>
    </row>
    <row r="939" spans="1:45" s="44" customFormat="1" x14ac:dyDescent="0.2">
      <c r="A939" s="71"/>
      <c r="B939" s="71"/>
      <c r="C939" s="7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251"/>
      <c r="AH939" s="251"/>
      <c r="AI939" s="251"/>
      <c r="AJ939" s="251"/>
      <c r="AK939" s="251"/>
      <c r="AL939" s="251"/>
      <c r="AM939" s="251"/>
      <c r="AN939" s="251"/>
      <c r="AO939" s="251"/>
      <c r="AP939" s="251"/>
      <c r="AQ939" s="251"/>
      <c r="AR939" s="251"/>
      <c r="AS939" s="251"/>
    </row>
    <row r="940" spans="1:45" s="44" customFormat="1" x14ac:dyDescent="0.2">
      <c r="A940" s="71"/>
      <c r="B940" s="71"/>
      <c r="C940" s="7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251"/>
      <c r="AH940" s="251"/>
      <c r="AI940" s="251"/>
      <c r="AJ940" s="251"/>
      <c r="AK940" s="251"/>
      <c r="AL940" s="251"/>
      <c r="AM940" s="251"/>
      <c r="AN940" s="251"/>
      <c r="AO940" s="251"/>
      <c r="AP940" s="251"/>
      <c r="AQ940" s="251"/>
      <c r="AR940" s="251"/>
      <c r="AS940" s="251"/>
    </row>
    <row r="941" spans="1:45" s="44" customFormat="1" x14ac:dyDescent="0.2">
      <c r="A941" s="71"/>
      <c r="B941" s="71"/>
      <c r="C941" s="7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251"/>
      <c r="AH941" s="251"/>
      <c r="AI941" s="251"/>
      <c r="AJ941" s="251"/>
      <c r="AK941" s="251"/>
      <c r="AL941" s="251"/>
      <c r="AM941" s="251"/>
      <c r="AN941" s="251"/>
      <c r="AO941" s="251"/>
      <c r="AP941" s="251"/>
      <c r="AQ941" s="251"/>
      <c r="AR941" s="251"/>
      <c r="AS941" s="251"/>
    </row>
    <row r="942" spans="1:45" s="44" customFormat="1" x14ac:dyDescent="0.2">
      <c r="A942" s="71"/>
      <c r="B942" s="71"/>
      <c r="C942" s="7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251"/>
      <c r="AH942" s="251"/>
      <c r="AI942" s="251"/>
      <c r="AJ942" s="251"/>
      <c r="AK942" s="251"/>
      <c r="AL942" s="251"/>
      <c r="AM942" s="251"/>
      <c r="AN942" s="251"/>
      <c r="AO942" s="251"/>
      <c r="AP942" s="251"/>
      <c r="AQ942" s="251"/>
      <c r="AR942" s="251"/>
      <c r="AS942" s="251"/>
    </row>
    <row r="943" spans="1:45" s="44" customFormat="1" x14ac:dyDescent="0.2">
      <c r="A943" s="71"/>
      <c r="B943" s="71"/>
      <c r="C943" s="7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251"/>
      <c r="AE943" s="251"/>
      <c r="AF943" s="251"/>
      <c r="AG943" s="251"/>
      <c r="AH943" s="251"/>
      <c r="AI943" s="251"/>
      <c r="AJ943" s="251"/>
      <c r="AK943" s="251"/>
      <c r="AL943" s="251"/>
      <c r="AM943" s="251"/>
      <c r="AN943" s="251"/>
      <c r="AO943" s="251"/>
      <c r="AP943" s="251"/>
      <c r="AQ943" s="251"/>
      <c r="AR943" s="251"/>
      <c r="AS943" s="251"/>
    </row>
    <row r="944" spans="1:45" s="44" customFormat="1" x14ac:dyDescent="0.2">
      <c r="A944" s="71"/>
      <c r="B944" s="71"/>
      <c r="C944" s="7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251"/>
      <c r="AE944" s="251"/>
      <c r="AF944" s="251"/>
      <c r="AG944" s="251"/>
      <c r="AH944" s="251"/>
      <c r="AI944" s="251"/>
      <c r="AJ944" s="251"/>
      <c r="AK944" s="251"/>
      <c r="AL944" s="251"/>
      <c r="AM944" s="251"/>
      <c r="AN944" s="251"/>
      <c r="AO944" s="251"/>
      <c r="AP944" s="251"/>
      <c r="AQ944" s="251"/>
      <c r="AR944" s="251"/>
      <c r="AS944" s="251"/>
    </row>
    <row r="945" spans="1:45" s="44" customFormat="1" x14ac:dyDescent="0.2">
      <c r="A945" s="71"/>
      <c r="B945" s="71"/>
      <c r="C945" s="7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251"/>
      <c r="AH945" s="251"/>
      <c r="AI945" s="251"/>
      <c r="AJ945" s="251"/>
      <c r="AK945" s="251"/>
      <c r="AL945" s="251"/>
      <c r="AM945" s="251"/>
      <c r="AN945" s="251"/>
      <c r="AO945" s="251"/>
      <c r="AP945" s="251"/>
      <c r="AQ945" s="251"/>
      <c r="AR945" s="251"/>
      <c r="AS945" s="251"/>
    </row>
    <row r="946" spans="1:45" s="44" customFormat="1" x14ac:dyDescent="0.2">
      <c r="A946" s="71"/>
      <c r="B946" s="71"/>
      <c r="C946" s="7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251"/>
      <c r="AE946" s="251"/>
      <c r="AF946" s="251"/>
      <c r="AG946" s="251"/>
      <c r="AH946" s="251"/>
      <c r="AI946" s="251"/>
      <c r="AJ946" s="251"/>
      <c r="AK946" s="251"/>
      <c r="AL946" s="251"/>
      <c r="AM946" s="251"/>
      <c r="AN946" s="251"/>
      <c r="AO946" s="251"/>
      <c r="AP946" s="251"/>
      <c r="AQ946" s="251"/>
      <c r="AR946" s="251"/>
      <c r="AS946" s="251"/>
    </row>
    <row r="947" spans="1:45" s="44" customFormat="1" x14ac:dyDescent="0.2">
      <c r="A947" s="71"/>
      <c r="B947" s="71"/>
      <c r="C947" s="7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251"/>
      <c r="AE947" s="251"/>
      <c r="AF947" s="251"/>
      <c r="AG947" s="251"/>
      <c r="AH947" s="251"/>
      <c r="AI947" s="251"/>
      <c r="AJ947" s="251"/>
      <c r="AK947" s="251"/>
      <c r="AL947" s="251"/>
      <c r="AM947" s="251"/>
      <c r="AN947" s="251"/>
      <c r="AO947" s="251"/>
      <c r="AP947" s="251"/>
      <c r="AQ947" s="251"/>
      <c r="AR947" s="251"/>
      <c r="AS947" s="251"/>
    </row>
    <row r="948" spans="1:45" s="44" customFormat="1" x14ac:dyDescent="0.2">
      <c r="A948" s="71"/>
      <c r="B948" s="71"/>
      <c r="C948" s="7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251"/>
      <c r="AH948" s="251"/>
      <c r="AI948" s="251"/>
      <c r="AJ948" s="251"/>
      <c r="AK948" s="251"/>
      <c r="AL948" s="251"/>
      <c r="AM948" s="251"/>
      <c r="AN948" s="251"/>
      <c r="AO948" s="251"/>
      <c r="AP948" s="251"/>
      <c r="AQ948" s="251"/>
      <c r="AR948" s="251"/>
      <c r="AS948" s="251"/>
    </row>
    <row r="949" spans="1:45" s="44" customFormat="1" x14ac:dyDescent="0.2">
      <c r="A949" s="71"/>
      <c r="B949" s="71"/>
      <c r="C949" s="7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251"/>
      <c r="AF949" s="251"/>
      <c r="AG949" s="251"/>
      <c r="AH949" s="251"/>
      <c r="AI949" s="251"/>
      <c r="AJ949" s="251"/>
      <c r="AK949" s="251"/>
      <c r="AL949" s="251"/>
      <c r="AM949" s="251"/>
      <c r="AN949" s="251"/>
      <c r="AO949" s="251"/>
      <c r="AP949" s="251"/>
      <c r="AQ949" s="251"/>
      <c r="AR949" s="251"/>
      <c r="AS949" s="251"/>
    </row>
    <row r="950" spans="1:45" s="44" customFormat="1" x14ac:dyDescent="0.2">
      <c r="A950" s="71"/>
      <c r="B950" s="71"/>
      <c r="C950" s="7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row>
    <row r="951" spans="1:45" s="44" customFormat="1" x14ac:dyDescent="0.2">
      <c r="A951" s="71"/>
      <c r="B951" s="71"/>
      <c r="C951" s="7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251"/>
      <c r="AH951" s="251"/>
      <c r="AI951" s="251"/>
      <c r="AJ951" s="251"/>
      <c r="AK951" s="251"/>
      <c r="AL951" s="251"/>
      <c r="AM951" s="251"/>
      <c r="AN951" s="251"/>
      <c r="AO951" s="251"/>
      <c r="AP951" s="251"/>
      <c r="AQ951" s="251"/>
      <c r="AR951" s="251"/>
      <c r="AS951" s="251"/>
    </row>
    <row r="952" spans="1:45" s="44" customFormat="1" x14ac:dyDescent="0.2">
      <c r="A952" s="71"/>
      <c r="B952" s="71"/>
      <c r="C952" s="7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251"/>
      <c r="AF952" s="251"/>
      <c r="AG952" s="251"/>
      <c r="AH952" s="251"/>
      <c r="AI952" s="251"/>
      <c r="AJ952" s="251"/>
      <c r="AK952" s="251"/>
      <c r="AL952" s="251"/>
      <c r="AM952" s="251"/>
      <c r="AN952" s="251"/>
      <c r="AO952" s="251"/>
      <c r="AP952" s="251"/>
      <c r="AQ952" s="251"/>
      <c r="AR952" s="251"/>
      <c r="AS952" s="251"/>
    </row>
    <row r="953" spans="1:45" s="44" customFormat="1" x14ac:dyDescent="0.2">
      <c r="A953" s="71"/>
      <c r="B953" s="71"/>
      <c r="C953" s="7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251"/>
      <c r="AE953" s="251"/>
      <c r="AF953" s="251"/>
      <c r="AG953" s="251"/>
      <c r="AH953" s="251"/>
      <c r="AI953" s="251"/>
      <c r="AJ953" s="251"/>
      <c r="AK953" s="251"/>
      <c r="AL953" s="251"/>
      <c r="AM953" s="251"/>
      <c r="AN953" s="251"/>
      <c r="AO953" s="251"/>
      <c r="AP953" s="251"/>
      <c r="AQ953" s="251"/>
      <c r="AR953" s="251"/>
      <c r="AS953" s="251"/>
    </row>
    <row r="954" spans="1:45" s="44" customFormat="1" x14ac:dyDescent="0.2">
      <c r="A954" s="71"/>
      <c r="B954" s="71"/>
      <c r="C954" s="7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251"/>
      <c r="AH954" s="251"/>
      <c r="AI954" s="251"/>
      <c r="AJ954" s="251"/>
      <c r="AK954" s="251"/>
      <c r="AL954" s="251"/>
      <c r="AM954" s="251"/>
      <c r="AN954" s="251"/>
      <c r="AO954" s="251"/>
      <c r="AP954" s="251"/>
      <c r="AQ954" s="251"/>
      <c r="AR954" s="251"/>
      <c r="AS954" s="251"/>
    </row>
    <row r="955" spans="1:45" s="44" customFormat="1" x14ac:dyDescent="0.2">
      <c r="A955" s="71"/>
      <c r="B955" s="71"/>
      <c r="C955" s="7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251"/>
      <c r="AH955" s="251"/>
      <c r="AI955" s="251"/>
      <c r="AJ955" s="251"/>
      <c r="AK955" s="251"/>
      <c r="AL955" s="251"/>
      <c r="AM955" s="251"/>
      <c r="AN955" s="251"/>
      <c r="AO955" s="251"/>
      <c r="AP955" s="251"/>
      <c r="AQ955" s="251"/>
      <c r="AR955" s="251"/>
      <c r="AS955" s="251"/>
    </row>
    <row r="956" spans="1:45" s="44" customFormat="1" x14ac:dyDescent="0.2">
      <c r="A956" s="71"/>
      <c r="B956" s="71"/>
      <c r="C956" s="7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251"/>
      <c r="AE956" s="251"/>
      <c r="AF956" s="251"/>
      <c r="AG956" s="251"/>
      <c r="AH956" s="251"/>
      <c r="AI956" s="251"/>
      <c r="AJ956" s="251"/>
      <c r="AK956" s="251"/>
      <c r="AL956" s="251"/>
      <c r="AM956" s="251"/>
      <c r="AN956" s="251"/>
      <c r="AO956" s="251"/>
      <c r="AP956" s="251"/>
      <c r="AQ956" s="251"/>
      <c r="AR956" s="251"/>
      <c r="AS956" s="251"/>
    </row>
    <row r="957" spans="1:45" s="44" customFormat="1" x14ac:dyDescent="0.2">
      <c r="A957" s="71"/>
      <c r="B957" s="71"/>
      <c r="C957" s="7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251"/>
      <c r="AF957" s="251"/>
      <c r="AG957" s="251"/>
      <c r="AH957" s="251"/>
      <c r="AI957" s="251"/>
      <c r="AJ957" s="251"/>
      <c r="AK957" s="251"/>
      <c r="AL957" s="251"/>
      <c r="AM957" s="251"/>
      <c r="AN957" s="251"/>
      <c r="AO957" s="251"/>
      <c r="AP957" s="251"/>
      <c r="AQ957" s="251"/>
      <c r="AR957" s="251"/>
      <c r="AS957" s="251"/>
    </row>
    <row r="958" spans="1:45" s="44" customFormat="1" x14ac:dyDescent="0.2">
      <c r="A958" s="71"/>
      <c r="B958" s="71"/>
      <c r="C958" s="7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251"/>
      <c r="AH958" s="251"/>
      <c r="AI958" s="251"/>
      <c r="AJ958" s="251"/>
      <c r="AK958" s="251"/>
      <c r="AL958" s="251"/>
      <c r="AM958" s="251"/>
      <c r="AN958" s="251"/>
      <c r="AO958" s="251"/>
      <c r="AP958" s="251"/>
      <c r="AQ958" s="251"/>
      <c r="AR958" s="251"/>
      <c r="AS958" s="251"/>
    </row>
    <row r="959" spans="1:45" s="44" customFormat="1" x14ac:dyDescent="0.2">
      <c r="A959" s="71"/>
      <c r="B959" s="71"/>
      <c r="C959" s="7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51"/>
      <c r="AF959" s="251"/>
      <c r="AG959" s="251"/>
      <c r="AH959" s="251"/>
      <c r="AI959" s="251"/>
      <c r="AJ959" s="251"/>
      <c r="AK959" s="251"/>
      <c r="AL959" s="251"/>
      <c r="AM959" s="251"/>
      <c r="AN959" s="251"/>
      <c r="AO959" s="251"/>
      <c r="AP959" s="251"/>
      <c r="AQ959" s="251"/>
      <c r="AR959" s="251"/>
      <c r="AS959" s="251"/>
    </row>
    <row r="960" spans="1:45" s="44" customFormat="1" x14ac:dyDescent="0.2">
      <c r="A960" s="71"/>
      <c r="B960" s="71"/>
      <c r="C960" s="7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51"/>
      <c r="AF960" s="251"/>
      <c r="AG960" s="251"/>
      <c r="AH960" s="251"/>
      <c r="AI960" s="251"/>
      <c r="AJ960" s="251"/>
      <c r="AK960" s="251"/>
      <c r="AL960" s="251"/>
      <c r="AM960" s="251"/>
      <c r="AN960" s="251"/>
      <c r="AO960" s="251"/>
      <c r="AP960" s="251"/>
      <c r="AQ960" s="251"/>
      <c r="AR960" s="251"/>
      <c r="AS960" s="251"/>
    </row>
    <row r="961" spans="1:45" s="44" customFormat="1" x14ac:dyDescent="0.2">
      <c r="A961" s="71"/>
      <c r="B961" s="71"/>
      <c r="C961" s="7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251"/>
      <c r="AH961" s="251"/>
      <c r="AI961" s="251"/>
      <c r="AJ961" s="251"/>
      <c r="AK961" s="251"/>
      <c r="AL961" s="251"/>
      <c r="AM961" s="251"/>
      <c r="AN961" s="251"/>
      <c r="AO961" s="251"/>
      <c r="AP961" s="251"/>
      <c r="AQ961" s="251"/>
      <c r="AR961" s="251"/>
      <c r="AS961" s="251"/>
    </row>
    <row r="962" spans="1:45" s="44" customFormat="1" x14ac:dyDescent="0.2">
      <c r="A962" s="71"/>
      <c r="B962" s="71"/>
      <c r="C962" s="7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251"/>
      <c r="AE962" s="251"/>
      <c r="AF962" s="251"/>
      <c r="AG962" s="251"/>
      <c r="AH962" s="251"/>
      <c r="AI962" s="251"/>
      <c r="AJ962" s="251"/>
      <c r="AK962" s="251"/>
      <c r="AL962" s="251"/>
      <c r="AM962" s="251"/>
      <c r="AN962" s="251"/>
      <c r="AO962" s="251"/>
      <c r="AP962" s="251"/>
      <c r="AQ962" s="251"/>
      <c r="AR962" s="251"/>
      <c r="AS962" s="251"/>
    </row>
    <row r="963" spans="1:45" s="44" customFormat="1" x14ac:dyDescent="0.2">
      <c r="A963" s="71"/>
      <c r="B963" s="71"/>
      <c r="C963" s="7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row>
    <row r="964" spans="1:45" s="44" customFormat="1" x14ac:dyDescent="0.2">
      <c r="A964" s="71"/>
      <c r="B964" s="71"/>
      <c r="C964" s="7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251"/>
      <c r="AH964" s="251"/>
      <c r="AI964" s="251"/>
      <c r="AJ964" s="251"/>
      <c r="AK964" s="251"/>
      <c r="AL964" s="251"/>
      <c r="AM964" s="251"/>
      <c r="AN964" s="251"/>
      <c r="AO964" s="251"/>
      <c r="AP964" s="251"/>
      <c r="AQ964" s="251"/>
      <c r="AR964" s="251"/>
      <c r="AS964" s="251"/>
    </row>
    <row r="965" spans="1:45" s="44" customFormat="1" x14ac:dyDescent="0.2">
      <c r="A965" s="71"/>
      <c r="B965" s="71"/>
      <c r="C965" s="7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251"/>
      <c r="AE965" s="251"/>
      <c r="AF965" s="251"/>
      <c r="AG965" s="251"/>
      <c r="AH965" s="251"/>
      <c r="AI965" s="251"/>
      <c r="AJ965" s="251"/>
      <c r="AK965" s="251"/>
      <c r="AL965" s="251"/>
      <c r="AM965" s="251"/>
      <c r="AN965" s="251"/>
      <c r="AO965" s="251"/>
      <c r="AP965" s="251"/>
      <c r="AQ965" s="251"/>
      <c r="AR965" s="251"/>
      <c r="AS965" s="251"/>
    </row>
    <row r="966" spans="1:45" s="44" customFormat="1" x14ac:dyDescent="0.2">
      <c r="A966" s="71"/>
      <c r="B966" s="71"/>
      <c r="C966" s="7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251"/>
      <c r="AE966" s="251"/>
      <c r="AF966" s="251"/>
      <c r="AG966" s="251"/>
      <c r="AH966" s="251"/>
      <c r="AI966" s="251"/>
      <c r="AJ966" s="251"/>
      <c r="AK966" s="251"/>
      <c r="AL966" s="251"/>
      <c r="AM966" s="251"/>
      <c r="AN966" s="251"/>
      <c r="AO966" s="251"/>
      <c r="AP966" s="251"/>
      <c r="AQ966" s="251"/>
      <c r="AR966" s="251"/>
      <c r="AS966" s="251"/>
    </row>
    <row r="967" spans="1:45" s="44" customFormat="1" x14ac:dyDescent="0.2">
      <c r="A967" s="71"/>
      <c r="B967" s="71"/>
      <c r="C967" s="7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row>
    <row r="968" spans="1:45" s="44" customFormat="1" x14ac:dyDescent="0.2">
      <c r="A968" s="71"/>
      <c r="B968" s="71"/>
      <c r="C968" s="7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251"/>
      <c r="AE968" s="251"/>
      <c r="AF968" s="251"/>
      <c r="AG968" s="251"/>
      <c r="AH968" s="251"/>
      <c r="AI968" s="251"/>
      <c r="AJ968" s="251"/>
      <c r="AK968" s="251"/>
      <c r="AL968" s="251"/>
      <c r="AM968" s="251"/>
      <c r="AN968" s="251"/>
      <c r="AO968" s="251"/>
      <c r="AP968" s="251"/>
      <c r="AQ968" s="251"/>
      <c r="AR968" s="251"/>
      <c r="AS968" s="251"/>
    </row>
    <row r="969" spans="1:45" s="44" customFormat="1" x14ac:dyDescent="0.2">
      <c r="A969" s="71"/>
      <c r="B969" s="71"/>
      <c r="C969" s="7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251"/>
      <c r="AE969" s="251"/>
      <c r="AF969" s="251"/>
      <c r="AG969" s="251"/>
      <c r="AH969" s="251"/>
      <c r="AI969" s="251"/>
      <c r="AJ969" s="251"/>
      <c r="AK969" s="251"/>
      <c r="AL969" s="251"/>
      <c r="AM969" s="251"/>
      <c r="AN969" s="251"/>
      <c r="AO969" s="251"/>
      <c r="AP969" s="251"/>
      <c r="AQ969" s="251"/>
      <c r="AR969" s="251"/>
      <c r="AS969" s="251"/>
    </row>
    <row r="970" spans="1:45" s="44" customFormat="1" x14ac:dyDescent="0.2">
      <c r="A970" s="71"/>
      <c r="B970" s="71"/>
      <c r="C970" s="7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251"/>
      <c r="AH970" s="251"/>
      <c r="AI970" s="251"/>
      <c r="AJ970" s="251"/>
      <c r="AK970" s="251"/>
      <c r="AL970" s="251"/>
      <c r="AM970" s="251"/>
      <c r="AN970" s="251"/>
      <c r="AO970" s="251"/>
      <c r="AP970" s="251"/>
      <c r="AQ970" s="251"/>
      <c r="AR970" s="251"/>
      <c r="AS970" s="251"/>
    </row>
    <row r="971" spans="1:45" s="44" customFormat="1" x14ac:dyDescent="0.2">
      <c r="A971" s="71"/>
      <c r="B971" s="71"/>
      <c r="C971" s="7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251"/>
      <c r="AE971" s="251"/>
      <c r="AF971" s="251"/>
      <c r="AG971" s="251"/>
      <c r="AH971" s="251"/>
      <c r="AI971" s="251"/>
      <c r="AJ971" s="251"/>
      <c r="AK971" s="251"/>
      <c r="AL971" s="251"/>
      <c r="AM971" s="251"/>
      <c r="AN971" s="251"/>
      <c r="AO971" s="251"/>
      <c r="AP971" s="251"/>
      <c r="AQ971" s="251"/>
      <c r="AR971" s="251"/>
      <c r="AS971" s="251"/>
    </row>
    <row r="972" spans="1:45" s="44" customFormat="1" x14ac:dyDescent="0.2">
      <c r="A972" s="71"/>
      <c r="B972" s="71"/>
      <c r="C972" s="7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251"/>
      <c r="AE972" s="251"/>
      <c r="AF972" s="251"/>
      <c r="AG972" s="251"/>
      <c r="AH972" s="251"/>
      <c r="AI972" s="251"/>
      <c r="AJ972" s="251"/>
      <c r="AK972" s="251"/>
      <c r="AL972" s="251"/>
      <c r="AM972" s="251"/>
      <c r="AN972" s="251"/>
      <c r="AO972" s="251"/>
      <c r="AP972" s="251"/>
      <c r="AQ972" s="251"/>
      <c r="AR972" s="251"/>
      <c r="AS972" s="251"/>
    </row>
    <row r="973" spans="1:45" s="44" customFormat="1" x14ac:dyDescent="0.2">
      <c r="A973" s="71"/>
      <c r="B973" s="71"/>
      <c r="C973" s="7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row>
    <row r="974" spans="1:45" s="44" customFormat="1" x14ac:dyDescent="0.2">
      <c r="A974" s="71"/>
      <c r="B974" s="71"/>
      <c r="C974" s="7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row>
    <row r="975" spans="1:45" s="44" customFormat="1" x14ac:dyDescent="0.2">
      <c r="A975" s="71"/>
      <c r="B975" s="71"/>
      <c r="C975" s="7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row>
    <row r="976" spans="1:45" s="44" customFormat="1" x14ac:dyDescent="0.2">
      <c r="A976" s="71"/>
      <c r="B976" s="71"/>
      <c r="C976" s="7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row>
    <row r="977" spans="1:45" s="44" customFormat="1" x14ac:dyDescent="0.2">
      <c r="A977" s="71"/>
      <c r="B977" s="71"/>
      <c r="C977" s="7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c r="AA977" s="251"/>
      <c r="AB977" s="251"/>
      <c r="AC977" s="251"/>
      <c r="AD977" s="251"/>
      <c r="AE977" s="251"/>
      <c r="AF977" s="251"/>
      <c r="AG977" s="251"/>
      <c r="AH977" s="251"/>
      <c r="AI977" s="251"/>
      <c r="AJ977" s="251"/>
      <c r="AK977" s="251"/>
      <c r="AL977" s="251"/>
      <c r="AM977" s="251"/>
      <c r="AN977" s="251"/>
      <c r="AO977" s="251"/>
      <c r="AP977" s="251"/>
      <c r="AQ977" s="251"/>
      <c r="AR977" s="251"/>
      <c r="AS977" s="251"/>
    </row>
    <row r="978" spans="1:45" s="44" customFormat="1" x14ac:dyDescent="0.2">
      <c r="A978" s="71"/>
      <c r="B978" s="71"/>
      <c r="C978" s="7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c r="AA978" s="251"/>
      <c r="AB978" s="251"/>
      <c r="AC978" s="251"/>
      <c r="AD978" s="251"/>
      <c r="AE978" s="251"/>
      <c r="AF978" s="251"/>
      <c r="AG978" s="251"/>
      <c r="AH978" s="251"/>
      <c r="AI978" s="251"/>
      <c r="AJ978" s="251"/>
      <c r="AK978" s="251"/>
      <c r="AL978" s="251"/>
      <c r="AM978" s="251"/>
      <c r="AN978" s="251"/>
      <c r="AO978" s="251"/>
      <c r="AP978" s="251"/>
      <c r="AQ978" s="251"/>
      <c r="AR978" s="251"/>
      <c r="AS978" s="251"/>
    </row>
    <row r="979" spans="1:45" s="44" customFormat="1" x14ac:dyDescent="0.2">
      <c r="A979" s="71"/>
      <c r="B979" s="71"/>
      <c r="C979" s="7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251"/>
      <c r="AH979" s="251"/>
      <c r="AI979" s="251"/>
      <c r="AJ979" s="251"/>
      <c r="AK979" s="251"/>
      <c r="AL979" s="251"/>
      <c r="AM979" s="251"/>
      <c r="AN979" s="251"/>
      <c r="AO979" s="251"/>
      <c r="AP979" s="251"/>
      <c r="AQ979" s="251"/>
      <c r="AR979" s="251"/>
      <c r="AS979" s="251"/>
    </row>
    <row r="980" spans="1:45" s="44" customFormat="1" x14ac:dyDescent="0.2">
      <c r="A980" s="71"/>
      <c r="B980" s="71"/>
      <c r="C980" s="7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c r="AA980" s="251"/>
      <c r="AB980" s="251"/>
      <c r="AC980" s="251"/>
      <c r="AD980" s="251"/>
      <c r="AE980" s="251"/>
      <c r="AF980" s="251"/>
      <c r="AG980" s="251"/>
      <c r="AH980" s="251"/>
      <c r="AI980" s="251"/>
      <c r="AJ980" s="251"/>
      <c r="AK980" s="251"/>
      <c r="AL980" s="251"/>
      <c r="AM980" s="251"/>
      <c r="AN980" s="251"/>
      <c r="AO980" s="251"/>
      <c r="AP980" s="251"/>
      <c r="AQ980" s="251"/>
      <c r="AR980" s="251"/>
      <c r="AS980" s="251"/>
    </row>
    <row r="981" spans="1:45" s="44" customFormat="1" x14ac:dyDescent="0.2">
      <c r="A981" s="71"/>
      <c r="B981" s="71"/>
      <c r="C981" s="7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251"/>
      <c r="AE981" s="251"/>
      <c r="AF981" s="251"/>
      <c r="AG981" s="251"/>
      <c r="AH981" s="251"/>
      <c r="AI981" s="251"/>
      <c r="AJ981" s="251"/>
      <c r="AK981" s="251"/>
      <c r="AL981" s="251"/>
      <c r="AM981" s="251"/>
      <c r="AN981" s="251"/>
      <c r="AO981" s="251"/>
      <c r="AP981" s="251"/>
      <c r="AQ981" s="251"/>
      <c r="AR981" s="251"/>
      <c r="AS981" s="251"/>
    </row>
    <row r="982" spans="1:45" s="44" customFormat="1" x14ac:dyDescent="0.2">
      <c r="A982" s="71"/>
      <c r="B982" s="71"/>
      <c r="C982" s="7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251"/>
      <c r="AE982" s="251"/>
      <c r="AF982" s="251"/>
      <c r="AG982" s="251"/>
      <c r="AH982" s="251"/>
      <c r="AI982" s="251"/>
      <c r="AJ982" s="251"/>
      <c r="AK982" s="251"/>
      <c r="AL982" s="251"/>
      <c r="AM982" s="251"/>
      <c r="AN982" s="251"/>
      <c r="AO982" s="251"/>
      <c r="AP982" s="251"/>
      <c r="AQ982" s="251"/>
      <c r="AR982" s="251"/>
      <c r="AS982" s="251"/>
    </row>
    <row r="983" spans="1:45" s="44" customFormat="1" x14ac:dyDescent="0.2">
      <c r="A983" s="71"/>
      <c r="B983" s="71"/>
      <c r="C983" s="7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251"/>
      <c r="AE983" s="251"/>
      <c r="AF983" s="251"/>
      <c r="AG983" s="251"/>
      <c r="AH983" s="251"/>
      <c r="AI983" s="251"/>
      <c r="AJ983" s="251"/>
      <c r="AK983" s="251"/>
      <c r="AL983" s="251"/>
      <c r="AM983" s="251"/>
      <c r="AN983" s="251"/>
      <c r="AO983" s="251"/>
      <c r="AP983" s="251"/>
      <c r="AQ983" s="251"/>
      <c r="AR983" s="251"/>
      <c r="AS983" s="251"/>
    </row>
    <row r="984" spans="1:45" s="44" customFormat="1" x14ac:dyDescent="0.2">
      <c r="A984" s="71"/>
      <c r="B984" s="71"/>
      <c r="C984" s="7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row>
    <row r="985" spans="1:45" s="44" customFormat="1" x14ac:dyDescent="0.2">
      <c r="A985" s="71"/>
      <c r="B985" s="71"/>
      <c r="C985" s="7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251"/>
      <c r="AE985" s="251"/>
      <c r="AF985" s="251"/>
      <c r="AG985" s="251"/>
      <c r="AH985" s="251"/>
      <c r="AI985" s="251"/>
      <c r="AJ985" s="251"/>
      <c r="AK985" s="251"/>
      <c r="AL985" s="251"/>
      <c r="AM985" s="251"/>
      <c r="AN985" s="251"/>
      <c r="AO985" s="251"/>
      <c r="AP985" s="251"/>
      <c r="AQ985" s="251"/>
      <c r="AR985" s="251"/>
      <c r="AS985" s="251"/>
    </row>
    <row r="986" spans="1:45" s="44" customFormat="1" x14ac:dyDescent="0.2">
      <c r="A986" s="71"/>
      <c r="B986" s="71"/>
      <c r="C986" s="7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51"/>
      <c r="AH986" s="251"/>
      <c r="AI986" s="251"/>
      <c r="AJ986" s="251"/>
      <c r="AK986" s="251"/>
      <c r="AL986" s="251"/>
      <c r="AM986" s="251"/>
      <c r="AN986" s="251"/>
      <c r="AO986" s="251"/>
      <c r="AP986" s="251"/>
      <c r="AQ986" s="251"/>
      <c r="AR986" s="251"/>
      <c r="AS986" s="251"/>
    </row>
    <row r="987" spans="1:45" s="44" customFormat="1" x14ac:dyDescent="0.2">
      <c r="A987" s="71"/>
      <c r="B987" s="71"/>
      <c r="C987" s="7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s="251"/>
      <c r="AG987" s="251"/>
      <c r="AH987" s="251"/>
      <c r="AI987" s="251"/>
      <c r="AJ987" s="251"/>
      <c r="AK987" s="251"/>
      <c r="AL987" s="251"/>
      <c r="AM987" s="251"/>
      <c r="AN987" s="251"/>
      <c r="AO987" s="251"/>
      <c r="AP987" s="251"/>
      <c r="AQ987" s="251"/>
      <c r="AR987" s="251"/>
      <c r="AS987" s="251"/>
    </row>
    <row r="988" spans="1:45" s="44" customFormat="1" x14ac:dyDescent="0.2">
      <c r="A988" s="71"/>
      <c r="B988" s="71"/>
      <c r="C988" s="7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c r="AA988" s="251"/>
      <c r="AB988" s="251"/>
      <c r="AC988" s="251"/>
      <c r="AD988" s="251"/>
      <c r="AE988" s="251"/>
      <c r="AF988" s="251"/>
      <c r="AG988" s="251"/>
      <c r="AH988" s="251"/>
      <c r="AI988" s="251"/>
      <c r="AJ988" s="251"/>
      <c r="AK988" s="251"/>
      <c r="AL988" s="251"/>
      <c r="AM988" s="251"/>
      <c r="AN988" s="251"/>
      <c r="AO988" s="251"/>
      <c r="AP988" s="251"/>
      <c r="AQ988" s="251"/>
      <c r="AR988" s="251"/>
      <c r="AS988" s="251"/>
    </row>
    <row r="989" spans="1:45" s="44" customFormat="1" x14ac:dyDescent="0.2">
      <c r="A989" s="71"/>
      <c r="B989" s="71"/>
      <c r="C989" s="7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row>
    <row r="990" spans="1:45" s="44" customFormat="1" x14ac:dyDescent="0.2">
      <c r="A990" s="71"/>
      <c r="B990" s="71"/>
      <c r="C990" s="7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c r="AA990" s="251"/>
      <c r="AB990" s="251"/>
      <c r="AC990" s="251"/>
      <c r="AD990" s="251"/>
      <c r="AE990" s="251"/>
      <c r="AF990" s="251"/>
      <c r="AG990" s="251"/>
      <c r="AH990" s="251"/>
      <c r="AI990" s="251"/>
      <c r="AJ990" s="251"/>
      <c r="AK990" s="251"/>
      <c r="AL990" s="251"/>
      <c r="AM990" s="251"/>
      <c r="AN990" s="251"/>
      <c r="AO990" s="251"/>
      <c r="AP990" s="251"/>
      <c r="AQ990" s="251"/>
      <c r="AR990" s="251"/>
      <c r="AS990" s="251"/>
    </row>
    <row r="991" spans="1:45" s="44" customFormat="1" x14ac:dyDescent="0.2">
      <c r="A991" s="71"/>
      <c r="B991" s="71"/>
      <c r="C991" s="7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c r="AA991" s="251"/>
      <c r="AB991" s="251"/>
      <c r="AC991" s="251"/>
      <c r="AD991" s="251"/>
      <c r="AE991" s="251"/>
      <c r="AF991" s="251"/>
      <c r="AG991" s="251"/>
      <c r="AH991" s="251"/>
      <c r="AI991" s="251"/>
      <c r="AJ991" s="251"/>
      <c r="AK991" s="251"/>
      <c r="AL991" s="251"/>
      <c r="AM991" s="251"/>
      <c r="AN991" s="251"/>
      <c r="AO991" s="251"/>
      <c r="AP991" s="251"/>
      <c r="AQ991" s="251"/>
      <c r="AR991" s="251"/>
      <c r="AS991" s="251"/>
    </row>
    <row r="992" spans="1:45" s="44" customFormat="1" x14ac:dyDescent="0.2">
      <c r="A992" s="71"/>
      <c r="B992" s="71"/>
      <c r="C992" s="7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c r="AA992" s="251"/>
      <c r="AB992" s="251"/>
      <c r="AC992" s="251"/>
      <c r="AD992" s="251"/>
      <c r="AE992" s="251"/>
      <c r="AF992" s="251"/>
      <c r="AG992" s="251"/>
      <c r="AH992" s="251"/>
      <c r="AI992" s="251"/>
      <c r="AJ992" s="251"/>
      <c r="AK992" s="251"/>
      <c r="AL992" s="251"/>
      <c r="AM992" s="251"/>
      <c r="AN992" s="251"/>
      <c r="AO992" s="251"/>
      <c r="AP992" s="251"/>
      <c r="AQ992" s="251"/>
      <c r="AR992" s="251"/>
      <c r="AS992" s="251"/>
    </row>
    <row r="993" spans="1:45" s="44" customFormat="1" x14ac:dyDescent="0.2">
      <c r="A993" s="71"/>
      <c r="B993" s="71"/>
      <c r="C993" s="7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251"/>
      <c r="AE993" s="251"/>
      <c r="AF993" s="251"/>
      <c r="AG993" s="251"/>
      <c r="AH993" s="251"/>
      <c r="AI993" s="251"/>
      <c r="AJ993" s="251"/>
      <c r="AK993" s="251"/>
      <c r="AL993" s="251"/>
      <c r="AM993" s="251"/>
      <c r="AN993" s="251"/>
      <c r="AO993" s="251"/>
      <c r="AP993" s="251"/>
      <c r="AQ993" s="251"/>
      <c r="AR993" s="251"/>
      <c r="AS993" s="251"/>
    </row>
    <row r="994" spans="1:45" s="44" customFormat="1" x14ac:dyDescent="0.2">
      <c r="A994" s="71"/>
      <c r="B994" s="71"/>
      <c r="C994" s="7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251"/>
      <c r="AE994" s="251"/>
      <c r="AF994" s="251"/>
      <c r="AG994" s="251"/>
      <c r="AH994" s="251"/>
      <c r="AI994" s="251"/>
      <c r="AJ994" s="251"/>
      <c r="AK994" s="251"/>
      <c r="AL994" s="251"/>
      <c r="AM994" s="251"/>
      <c r="AN994" s="251"/>
      <c r="AO994" s="251"/>
      <c r="AP994" s="251"/>
      <c r="AQ994" s="251"/>
      <c r="AR994" s="251"/>
      <c r="AS994" s="251"/>
    </row>
    <row r="995" spans="1:45" s="44" customFormat="1" x14ac:dyDescent="0.2">
      <c r="A995" s="71"/>
      <c r="B995" s="71"/>
      <c r="C995" s="7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251"/>
      <c r="AE995" s="251"/>
      <c r="AF995" s="251"/>
      <c r="AG995" s="251"/>
      <c r="AH995" s="251"/>
      <c r="AI995" s="251"/>
      <c r="AJ995" s="251"/>
      <c r="AK995" s="251"/>
      <c r="AL995" s="251"/>
      <c r="AM995" s="251"/>
      <c r="AN995" s="251"/>
      <c r="AO995" s="251"/>
      <c r="AP995" s="251"/>
      <c r="AQ995" s="251"/>
      <c r="AR995" s="251"/>
      <c r="AS995" s="251"/>
    </row>
    <row r="996" spans="1:45" s="44" customFormat="1" x14ac:dyDescent="0.2">
      <c r="A996" s="71"/>
      <c r="B996" s="71"/>
      <c r="C996" s="7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251"/>
      <c r="AE996" s="251"/>
      <c r="AF996" s="251"/>
      <c r="AG996" s="251"/>
      <c r="AH996" s="251"/>
      <c r="AI996" s="251"/>
      <c r="AJ996" s="251"/>
      <c r="AK996" s="251"/>
      <c r="AL996" s="251"/>
      <c r="AM996" s="251"/>
      <c r="AN996" s="251"/>
      <c r="AO996" s="251"/>
      <c r="AP996" s="251"/>
      <c r="AQ996" s="251"/>
      <c r="AR996" s="251"/>
      <c r="AS996" s="251"/>
    </row>
    <row r="997" spans="1:45" s="44" customFormat="1" x14ac:dyDescent="0.2">
      <c r="A997" s="71"/>
      <c r="B997" s="71"/>
      <c r="C997" s="7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251"/>
      <c r="AE997" s="251"/>
      <c r="AF997" s="251"/>
      <c r="AG997" s="251"/>
      <c r="AH997" s="251"/>
      <c r="AI997" s="251"/>
      <c r="AJ997" s="251"/>
      <c r="AK997" s="251"/>
      <c r="AL997" s="251"/>
      <c r="AM997" s="251"/>
      <c r="AN997" s="251"/>
      <c r="AO997" s="251"/>
      <c r="AP997" s="251"/>
      <c r="AQ997" s="251"/>
      <c r="AR997" s="251"/>
      <c r="AS997" s="251"/>
    </row>
    <row r="998" spans="1:45" s="44" customFormat="1" x14ac:dyDescent="0.2">
      <c r="A998" s="71"/>
      <c r="B998" s="71"/>
      <c r="C998" s="7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251"/>
      <c r="AE998" s="251"/>
      <c r="AF998" s="251"/>
      <c r="AG998" s="251"/>
      <c r="AH998" s="251"/>
      <c r="AI998" s="251"/>
      <c r="AJ998" s="251"/>
      <c r="AK998" s="251"/>
      <c r="AL998" s="251"/>
      <c r="AM998" s="251"/>
      <c r="AN998" s="251"/>
      <c r="AO998" s="251"/>
      <c r="AP998" s="251"/>
      <c r="AQ998" s="251"/>
      <c r="AR998" s="251"/>
      <c r="AS998" s="251"/>
    </row>
    <row r="999" spans="1:45" s="44" customFormat="1" x14ac:dyDescent="0.2">
      <c r="A999" s="71"/>
      <c r="B999" s="71"/>
      <c r="C999" s="7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251"/>
      <c r="AE999" s="251"/>
      <c r="AF999" s="251"/>
      <c r="AG999" s="251"/>
      <c r="AH999" s="251"/>
      <c r="AI999" s="251"/>
      <c r="AJ999" s="251"/>
      <c r="AK999" s="251"/>
      <c r="AL999" s="251"/>
      <c r="AM999" s="251"/>
      <c r="AN999" s="251"/>
      <c r="AO999" s="251"/>
      <c r="AP999" s="251"/>
      <c r="AQ999" s="251"/>
      <c r="AR999" s="251"/>
      <c r="AS999" s="251"/>
    </row>
    <row r="1000" spans="1:45" s="44" customFormat="1" x14ac:dyDescent="0.2">
      <c r="A1000" s="71"/>
      <c r="B1000" s="71"/>
      <c r="C1000" s="7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251"/>
      <c r="AE1000" s="251"/>
      <c r="AF1000" s="251"/>
      <c r="AG1000" s="251"/>
      <c r="AH1000" s="251"/>
      <c r="AI1000" s="251"/>
      <c r="AJ1000" s="251"/>
      <c r="AK1000" s="251"/>
      <c r="AL1000" s="251"/>
      <c r="AM1000" s="251"/>
      <c r="AN1000" s="251"/>
      <c r="AO1000" s="251"/>
      <c r="AP1000" s="251"/>
      <c r="AQ1000" s="251"/>
      <c r="AR1000" s="251"/>
      <c r="AS1000" s="251"/>
    </row>
    <row r="1001" spans="1:45" s="44" customFormat="1" x14ac:dyDescent="0.2">
      <c r="A1001" s="71"/>
      <c r="B1001" s="71"/>
      <c r="C1001" s="7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251"/>
      <c r="AF1001" s="251"/>
      <c r="AG1001" s="251"/>
      <c r="AH1001" s="251"/>
      <c r="AI1001" s="251"/>
      <c r="AJ1001" s="251"/>
      <c r="AK1001" s="251"/>
      <c r="AL1001" s="251"/>
      <c r="AM1001" s="251"/>
      <c r="AN1001" s="251"/>
      <c r="AO1001" s="251"/>
      <c r="AP1001" s="251"/>
      <c r="AQ1001" s="251"/>
      <c r="AR1001" s="251"/>
      <c r="AS1001" s="251"/>
    </row>
    <row r="1002" spans="1:45" s="44" customFormat="1" x14ac:dyDescent="0.2">
      <c r="A1002" s="71"/>
      <c r="B1002" s="71"/>
      <c r="C1002" s="7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251"/>
      <c r="AE1002" s="251"/>
      <c r="AF1002" s="251"/>
      <c r="AG1002" s="251"/>
      <c r="AH1002" s="251"/>
      <c r="AI1002" s="251"/>
      <c r="AJ1002" s="251"/>
      <c r="AK1002" s="251"/>
      <c r="AL1002" s="251"/>
      <c r="AM1002" s="251"/>
      <c r="AN1002" s="251"/>
      <c r="AO1002" s="251"/>
      <c r="AP1002" s="251"/>
      <c r="AQ1002" s="251"/>
      <c r="AR1002" s="251"/>
      <c r="AS1002" s="251"/>
    </row>
    <row r="1003" spans="1:45" s="44" customFormat="1" x14ac:dyDescent="0.2">
      <c r="A1003" s="71"/>
      <c r="B1003" s="71"/>
      <c r="C1003" s="7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251"/>
      <c r="AE1003" s="251"/>
      <c r="AF1003" s="251"/>
      <c r="AG1003" s="251"/>
      <c r="AH1003" s="251"/>
      <c r="AI1003" s="251"/>
      <c r="AJ1003" s="251"/>
      <c r="AK1003" s="251"/>
      <c r="AL1003" s="251"/>
      <c r="AM1003" s="251"/>
      <c r="AN1003" s="251"/>
      <c r="AO1003" s="251"/>
      <c r="AP1003" s="251"/>
      <c r="AQ1003" s="251"/>
      <c r="AR1003" s="251"/>
      <c r="AS1003" s="251"/>
    </row>
    <row r="1004" spans="1:45" s="44" customFormat="1" x14ac:dyDescent="0.2">
      <c r="A1004" s="71"/>
      <c r="B1004" s="71"/>
      <c r="C1004" s="7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251"/>
      <c r="AE1004" s="251"/>
      <c r="AF1004" s="251"/>
      <c r="AG1004" s="251"/>
      <c r="AH1004" s="251"/>
      <c r="AI1004" s="251"/>
      <c r="AJ1004" s="251"/>
      <c r="AK1004" s="251"/>
      <c r="AL1004" s="251"/>
      <c r="AM1004" s="251"/>
      <c r="AN1004" s="251"/>
      <c r="AO1004" s="251"/>
      <c r="AP1004" s="251"/>
      <c r="AQ1004" s="251"/>
      <c r="AR1004" s="251"/>
      <c r="AS1004" s="251"/>
    </row>
    <row r="1005" spans="1:45" s="44" customFormat="1" x14ac:dyDescent="0.2">
      <c r="A1005" s="71"/>
      <c r="B1005" s="71"/>
      <c r="C1005" s="7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251"/>
      <c r="AE1005" s="251"/>
      <c r="AF1005" s="251"/>
      <c r="AG1005" s="251"/>
      <c r="AH1005" s="251"/>
      <c r="AI1005" s="251"/>
      <c r="AJ1005" s="251"/>
      <c r="AK1005" s="251"/>
      <c r="AL1005" s="251"/>
      <c r="AM1005" s="251"/>
      <c r="AN1005" s="251"/>
      <c r="AO1005" s="251"/>
      <c r="AP1005" s="251"/>
      <c r="AQ1005" s="251"/>
      <c r="AR1005" s="251"/>
      <c r="AS1005" s="251"/>
    </row>
    <row r="1006" spans="1:45" s="44" customFormat="1" x14ac:dyDescent="0.2">
      <c r="A1006" s="71"/>
      <c r="B1006" s="71"/>
      <c r="C1006" s="7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251"/>
      <c r="AE1006" s="251"/>
      <c r="AF1006" s="251"/>
      <c r="AG1006" s="251"/>
      <c r="AH1006" s="251"/>
      <c r="AI1006" s="251"/>
      <c r="AJ1006" s="251"/>
      <c r="AK1006" s="251"/>
      <c r="AL1006" s="251"/>
      <c r="AM1006" s="251"/>
      <c r="AN1006" s="251"/>
      <c r="AO1006" s="251"/>
      <c r="AP1006" s="251"/>
      <c r="AQ1006" s="251"/>
      <c r="AR1006" s="251"/>
      <c r="AS1006" s="251"/>
    </row>
    <row r="1007" spans="1:45" s="44" customFormat="1" x14ac:dyDescent="0.2">
      <c r="A1007" s="71"/>
      <c r="B1007" s="71"/>
      <c r="C1007" s="7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251"/>
      <c r="AF1007" s="251"/>
      <c r="AG1007" s="251"/>
      <c r="AH1007" s="251"/>
      <c r="AI1007" s="251"/>
      <c r="AJ1007" s="251"/>
      <c r="AK1007" s="251"/>
      <c r="AL1007" s="251"/>
      <c r="AM1007" s="251"/>
      <c r="AN1007" s="251"/>
      <c r="AO1007" s="251"/>
      <c r="AP1007" s="251"/>
      <c r="AQ1007" s="251"/>
      <c r="AR1007" s="251"/>
      <c r="AS1007" s="251"/>
    </row>
    <row r="1008" spans="1:45" s="44" customFormat="1" x14ac:dyDescent="0.2">
      <c r="A1008" s="71"/>
      <c r="B1008" s="71"/>
      <c r="C1008" s="7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251"/>
      <c r="AE1008" s="251"/>
      <c r="AF1008" s="251"/>
      <c r="AG1008" s="251"/>
      <c r="AH1008" s="251"/>
      <c r="AI1008" s="251"/>
      <c r="AJ1008" s="251"/>
      <c r="AK1008" s="251"/>
      <c r="AL1008" s="251"/>
      <c r="AM1008" s="251"/>
      <c r="AN1008" s="251"/>
      <c r="AO1008" s="251"/>
      <c r="AP1008" s="251"/>
      <c r="AQ1008" s="251"/>
      <c r="AR1008" s="251"/>
      <c r="AS1008" s="251"/>
    </row>
    <row r="1009" spans="1:45" s="44" customFormat="1" x14ac:dyDescent="0.2">
      <c r="A1009" s="71"/>
      <c r="B1009" s="71"/>
      <c r="C1009" s="7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251"/>
      <c r="AE1009" s="251"/>
      <c r="AF1009" s="251"/>
      <c r="AG1009" s="251"/>
      <c r="AH1009" s="251"/>
      <c r="AI1009" s="251"/>
      <c r="AJ1009" s="251"/>
      <c r="AK1009" s="251"/>
      <c r="AL1009" s="251"/>
      <c r="AM1009" s="251"/>
      <c r="AN1009" s="251"/>
      <c r="AO1009" s="251"/>
      <c r="AP1009" s="251"/>
      <c r="AQ1009" s="251"/>
      <c r="AR1009" s="251"/>
      <c r="AS1009" s="251"/>
    </row>
    <row r="1010" spans="1:45" s="44" customFormat="1" x14ac:dyDescent="0.2">
      <c r="A1010" s="71"/>
      <c r="B1010" s="71"/>
      <c r="C1010" s="7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251"/>
      <c r="AE1010" s="251"/>
      <c r="AF1010" s="251"/>
      <c r="AG1010" s="251"/>
      <c r="AH1010" s="251"/>
      <c r="AI1010" s="251"/>
      <c r="AJ1010" s="251"/>
      <c r="AK1010" s="251"/>
      <c r="AL1010" s="251"/>
      <c r="AM1010" s="251"/>
      <c r="AN1010" s="251"/>
      <c r="AO1010" s="251"/>
      <c r="AP1010" s="251"/>
      <c r="AQ1010" s="251"/>
      <c r="AR1010" s="251"/>
      <c r="AS1010" s="251"/>
    </row>
    <row r="1011" spans="1:45" s="44" customFormat="1" x14ac:dyDescent="0.2">
      <c r="A1011" s="71"/>
      <c r="B1011" s="71"/>
      <c r="C1011" s="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251"/>
      <c r="AF1011" s="251"/>
      <c r="AG1011" s="251"/>
      <c r="AH1011" s="251"/>
      <c r="AI1011" s="251"/>
      <c r="AJ1011" s="251"/>
      <c r="AK1011" s="251"/>
      <c r="AL1011" s="251"/>
      <c r="AM1011" s="251"/>
      <c r="AN1011" s="251"/>
      <c r="AO1011" s="251"/>
      <c r="AP1011" s="251"/>
      <c r="AQ1011" s="251"/>
      <c r="AR1011" s="251"/>
      <c r="AS1011" s="251"/>
    </row>
    <row r="1012" spans="1:45" s="44" customFormat="1" x14ac:dyDescent="0.2">
      <c r="A1012" s="71"/>
      <c r="B1012" s="71"/>
      <c r="C1012" s="7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251"/>
      <c r="AE1012" s="251"/>
      <c r="AF1012" s="251"/>
      <c r="AG1012" s="251"/>
      <c r="AH1012" s="251"/>
      <c r="AI1012" s="251"/>
      <c r="AJ1012" s="251"/>
      <c r="AK1012" s="251"/>
      <c r="AL1012" s="251"/>
      <c r="AM1012" s="251"/>
      <c r="AN1012" s="251"/>
      <c r="AO1012" s="251"/>
      <c r="AP1012" s="251"/>
      <c r="AQ1012" s="251"/>
      <c r="AR1012" s="251"/>
      <c r="AS1012" s="251"/>
    </row>
    <row r="1013" spans="1:45" s="44" customFormat="1" x14ac:dyDescent="0.2">
      <c r="A1013" s="71"/>
      <c r="B1013" s="71"/>
      <c r="C1013" s="7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251"/>
      <c r="AE1013" s="251"/>
      <c r="AF1013" s="251"/>
      <c r="AG1013" s="251"/>
      <c r="AH1013" s="251"/>
      <c r="AI1013" s="251"/>
      <c r="AJ1013" s="251"/>
      <c r="AK1013" s="251"/>
      <c r="AL1013" s="251"/>
      <c r="AM1013" s="251"/>
      <c r="AN1013" s="251"/>
      <c r="AO1013" s="251"/>
      <c r="AP1013" s="251"/>
      <c r="AQ1013" s="251"/>
      <c r="AR1013" s="251"/>
      <c r="AS1013" s="251"/>
    </row>
    <row r="1014" spans="1:45" s="44" customFormat="1" x14ac:dyDescent="0.2">
      <c r="A1014" s="71"/>
      <c r="B1014" s="71"/>
      <c r="C1014" s="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251"/>
      <c r="AF1014" s="251"/>
      <c r="AG1014" s="251"/>
      <c r="AH1014" s="251"/>
      <c r="AI1014" s="251"/>
      <c r="AJ1014" s="251"/>
      <c r="AK1014" s="251"/>
      <c r="AL1014" s="251"/>
      <c r="AM1014" s="251"/>
      <c r="AN1014" s="251"/>
      <c r="AO1014" s="251"/>
      <c r="AP1014" s="251"/>
      <c r="AQ1014" s="251"/>
      <c r="AR1014" s="251"/>
      <c r="AS1014" s="251"/>
    </row>
    <row r="1015" spans="1:45" s="44" customFormat="1" x14ac:dyDescent="0.2">
      <c r="A1015" s="71"/>
      <c r="B1015" s="71"/>
      <c r="C1015" s="7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251"/>
      <c r="AE1015" s="251"/>
      <c r="AF1015" s="251"/>
      <c r="AG1015" s="251"/>
      <c r="AH1015" s="251"/>
      <c r="AI1015" s="251"/>
      <c r="AJ1015" s="251"/>
      <c r="AK1015" s="251"/>
      <c r="AL1015" s="251"/>
      <c r="AM1015" s="251"/>
      <c r="AN1015" s="251"/>
      <c r="AO1015" s="251"/>
      <c r="AP1015" s="251"/>
      <c r="AQ1015" s="251"/>
      <c r="AR1015" s="251"/>
      <c r="AS1015" s="251"/>
    </row>
    <row r="1016" spans="1:45" s="44" customFormat="1" x14ac:dyDescent="0.2">
      <c r="A1016" s="71"/>
      <c r="B1016" s="71"/>
      <c r="C1016" s="7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251"/>
      <c r="AE1016" s="251"/>
      <c r="AF1016" s="251"/>
      <c r="AG1016" s="251"/>
      <c r="AH1016" s="251"/>
      <c r="AI1016" s="251"/>
      <c r="AJ1016" s="251"/>
      <c r="AK1016" s="251"/>
      <c r="AL1016" s="251"/>
      <c r="AM1016" s="251"/>
      <c r="AN1016" s="251"/>
      <c r="AO1016" s="251"/>
      <c r="AP1016" s="251"/>
      <c r="AQ1016" s="251"/>
      <c r="AR1016" s="251"/>
      <c r="AS1016" s="251"/>
    </row>
  </sheetData>
  <dataValidations count="2">
    <dataValidation type="custom" allowBlank="1" showInputMessage="1" showErrorMessage="1" sqref="AD2:AD1048576 A336:C1048576 AE1:XFD1048576 D1:AC1048576" xr:uid="{00000000-0002-0000-0700-000000000000}">
      <formula1>$AD$1="Unlock"</formula1>
    </dataValidation>
    <dataValidation type="custom" allowBlank="1" showInputMessage="1" showErrorMessage="1" sqref="A1:C335" xr:uid="{00000000-0002-0000-0700-000001000000}">
      <formula1>$AD$1="UNLOCK"</formula1>
    </dataValidation>
  </dataValidations>
  <pageMargins left="0.39370078740157483" right="0.39370078740157483" top="0.39370078740157483" bottom="0.39370078740157483" header="0.51181102362204722" footer="0.51181102362204722"/>
  <pageSetup paperSize="8" scale="37"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Z335"/>
  <sheetViews>
    <sheetView workbookViewId="0">
      <pane xSplit="2" ySplit="5" topLeftCell="C6" activePane="bottomRight" state="frozen"/>
      <selection sqref="A1:J1"/>
      <selection pane="topRight" sqref="A1:J1"/>
      <selection pane="bottomLeft" sqref="A1:J1"/>
      <selection pane="bottomRight" sqref="A1:J1"/>
    </sheetView>
  </sheetViews>
  <sheetFormatPr defaultColWidth="9.140625" defaultRowHeight="15.75" x14ac:dyDescent="0.25"/>
  <cols>
    <col min="1" max="1" width="7.5703125" style="254" customWidth="1"/>
    <col min="2" max="2" width="28.42578125" style="254" bestFit="1" customWidth="1"/>
    <col min="3" max="3" width="8.85546875" style="256" customWidth="1"/>
    <col min="4" max="4" width="8.7109375" style="256" customWidth="1"/>
    <col min="5" max="5" width="23.28515625" style="254" bestFit="1" customWidth="1"/>
    <col min="6" max="6" width="9.85546875" style="256" customWidth="1"/>
    <col min="7" max="7" width="6.85546875" style="256" bestFit="1" customWidth="1"/>
    <col min="8" max="8" width="33" style="254" bestFit="1" customWidth="1"/>
    <col min="9" max="9" width="8.85546875" style="256" customWidth="1"/>
    <col min="10" max="10" width="6.42578125" style="254" customWidth="1"/>
    <col min="11" max="11" width="9.140625" style="215"/>
    <col min="12" max="12" width="11.42578125" style="260" customWidth="1"/>
    <col min="13" max="14" width="35" style="259" customWidth="1"/>
    <col min="15" max="15" width="15.7109375" style="258" customWidth="1"/>
    <col min="16" max="16" width="15.7109375" style="257" customWidth="1"/>
    <col min="17" max="17" width="8" style="256" customWidth="1"/>
    <col min="18" max="19" width="16.7109375" style="255" customWidth="1"/>
    <col min="20" max="20" width="12.85546875" style="254" customWidth="1"/>
    <col min="21" max="21" width="10.85546875" style="254" customWidth="1"/>
    <col min="22" max="16384" width="9.140625" style="254"/>
  </cols>
  <sheetData>
    <row r="1" spans="1:104" x14ac:dyDescent="0.25">
      <c r="A1" s="1053" t="s">
        <v>940</v>
      </c>
      <c r="B1" s="1053"/>
      <c r="C1" s="1053"/>
      <c r="D1" s="1053"/>
      <c r="E1" s="1053"/>
      <c r="F1" s="1053"/>
      <c r="G1" s="1053"/>
      <c r="H1" s="1053"/>
      <c r="I1" s="1053"/>
      <c r="J1" s="1053"/>
      <c r="L1" s="279"/>
      <c r="M1" s="278"/>
      <c r="N1" s="278"/>
      <c r="O1" s="269"/>
      <c r="P1" s="287"/>
      <c r="Q1" s="310"/>
      <c r="R1" s="313"/>
      <c r="S1" s="313"/>
      <c r="T1" s="309"/>
      <c r="CZ1" s="580" t="s">
        <v>1046</v>
      </c>
    </row>
    <row r="2" spans="1:104" x14ac:dyDescent="0.25">
      <c r="A2" s="311"/>
      <c r="B2" s="311"/>
      <c r="C2" s="312"/>
      <c r="D2" s="312"/>
      <c r="E2" s="312"/>
      <c r="F2" s="312"/>
      <c r="G2" s="312"/>
      <c r="H2" s="311"/>
      <c r="I2" s="312"/>
      <c r="J2" s="311"/>
      <c r="L2" s="279"/>
      <c r="M2" s="278"/>
      <c r="N2" s="278"/>
      <c r="O2" s="269"/>
      <c r="P2" s="287"/>
      <c r="Q2" s="310"/>
      <c r="R2" s="280"/>
      <c r="S2" s="280"/>
      <c r="T2" s="309"/>
    </row>
    <row r="3" spans="1:104" s="301" customFormat="1" thickBot="1" x14ac:dyDescent="0.3">
      <c r="A3" s="308">
        <v>1</v>
      </c>
      <c r="B3" s="308">
        <v>2</v>
      </c>
      <c r="C3" s="308">
        <v>3</v>
      </c>
      <c r="D3" s="308">
        <v>4</v>
      </c>
      <c r="E3" s="308">
        <v>5</v>
      </c>
      <c r="F3" s="308">
        <v>6</v>
      </c>
      <c r="G3" s="308">
        <v>7</v>
      </c>
      <c r="H3" s="308">
        <v>8</v>
      </c>
      <c r="I3" s="308">
        <v>9</v>
      </c>
      <c r="J3" s="308">
        <v>10</v>
      </c>
      <c r="K3" s="307"/>
      <c r="L3" s="306">
        <v>12</v>
      </c>
      <c r="M3" s="306">
        <v>13</v>
      </c>
      <c r="N3" s="306">
        <v>14</v>
      </c>
      <c r="O3" s="305">
        <v>15</v>
      </c>
      <c r="P3" s="305">
        <v>16</v>
      </c>
      <c r="Q3" s="304">
        <v>17</v>
      </c>
      <c r="R3" s="303">
        <v>18</v>
      </c>
      <c r="S3" s="303">
        <v>19</v>
      </c>
      <c r="T3" s="302">
        <v>20</v>
      </c>
    </row>
    <row r="4" spans="1:104" s="283" customFormat="1" ht="39" x14ac:dyDescent="0.25">
      <c r="A4" s="300" t="s">
        <v>22</v>
      </c>
      <c r="B4" s="300" t="s">
        <v>939</v>
      </c>
      <c r="C4" s="299" t="s">
        <v>938</v>
      </c>
      <c r="D4" s="299" t="s">
        <v>22</v>
      </c>
      <c r="E4" s="300" t="s">
        <v>937</v>
      </c>
      <c r="F4" s="299" t="s">
        <v>936</v>
      </c>
      <c r="G4" s="299" t="s">
        <v>22</v>
      </c>
      <c r="H4" s="300" t="s">
        <v>935</v>
      </c>
      <c r="I4" s="299" t="s">
        <v>934</v>
      </c>
      <c r="J4" s="298" t="s">
        <v>933</v>
      </c>
      <c r="K4" s="215"/>
      <c r="L4" s="297" t="s">
        <v>932</v>
      </c>
      <c r="M4" s="1051" t="s">
        <v>931</v>
      </c>
      <c r="N4" s="1051"/>
      <c r="O4" s="296" t="s">
        <v>930</v>
      </c>
      <c r="P4" s="295" t="s">
        <v>929</v>
      </c>
      <c r="Q4" s="294" t="s">
        <v>928</v>
      </c>
      <c r="R4" s="1052" t="s">
        <v>927</v>
      </c>
      <c r="S4" s="1052"/>
      <c r="T4" s="293" t="s">
        <v>926</v>
      </c>
    </row>
    <row r="5" spans="1:104" s="283" customFormat="1" x14ac:dyDescent="0.25">
      <c r="A5" s="292"/>
      <c r="B5" s="292"/>
      <c r="C5" s="291"/>
      <c r="D5" s="291"/>
      <c r="E5" s="292"/>
      <c r="F5" s="291"/>
      <c r="G5" s="291"/>
      <c r="H5" s="292"/>
      <c r="I5" s="291"/>
      <c r="J5" s="290"/>
      <c r="K5" s="289"/>
      <c r="L5" s="288"/>
      <c r="M5" s="278"/>
      <c r="N5" s="278"/>
      <c r="O5" s="269"/>
      <c r="P5" s="287"/>
      <c r="Q5" s="286"/>
      <c r="R5" s="285"/>
      <c r="S5" s="285"/>
      <c r="T5" s="284"/>
    </row>
    <row r="6" spans="1:104" x14ac:dyDescent="0.25">
      <c r="A6" s="272" t="s">
        <v>93</v>
      </c>
      <c r="B6" s="275" t="s">
        <v>92</v>
      </c>
      <c r="C6" s="265">
        <v>0.4</v>
      </c>
      <c r="D6" s="273" t="s">
        <v>763</v>
      </c>
      <c r="E6" s="274" t="s">
        <v>762</v>
      </c>
      <c r="F6" s="265">
        <v>0.1</v>
      </c>
      <c r="G6" s="273" t="s">
        <v>747</v>
      </c>
      <c r="H6" s="272" t="s">
        <v>761</v>
      </c>
      <c r="I6" s="265">
        <v>0</v>
      </c>
      <c r="J6" s="271">
        <f t="shared" ref="J6:J69" si="0">+C6+F6+I6</f>
        <v>0.5</v>
      </c>
      <c r="K6" s="270"/>
      <c r="L6" s="279" t="s">
        <v>1010</v>
      </c>
      <c r="M6" s="279" t="s">
        <v>1010</v>
      </c>
      <c r="N6" s="279" t="s">
        <v>1010</v>
      </c>
      <c r="O6" s="268" t="s">
        <v>1010</v>
      </c>
      <c r="P6" s="268">
        <v>0</v>
      </c>
      <c r="Q6" s="277" t="s">
        <v>1010</v>
      </c>
      <c r="R6" s="267">
        <v>0</v>
      </c>
      <c r="S6" s="267">
        <v>0</v>
      </c>
      <c r="T6" s="276" t="s">
        <v>1010</v>
      </c>
    </row>
    <row r="7" spans="1:104" x14ac:dyDescent="0.25">
      <c r="A7" s="272" t="s">
        <v>95</v>
      </c>
      <c r="B7" s="275" t="s">
        <v>94</v>
      </c>
      <c r="C7" s="265">
        <v>0.4</v>
      </c>
      <c r="D7" s="273" t="s">
        <v>850</v>
      </c>
      <c r="E7" s="274" t="s">
        <v>849</v>
      </c>
      <c r="F7" s="265">
        <v>0.1</v>
      </c>
      <c r="G7" s="273" t="s">
        <v>747</v>
      </c>
      <c r="H7" s="272" t="s">
        <v>761</v>
      </c>
      <c r="I7" s="265">
        <v>0</v>
      </c>
      <c r="J7" s="271">
        <f t="shared" si="0"/>
        <v>0.5</v>
      </c>
      <c r="K7" s="270"/>
      <c r="L7" s="279" t="s">
        <v>1010</v>
      </c>
      <c r="M7" s="279" t="s">
        <v>1010</v>
      </c>
      <c r="N7" s="279" t="s">
        <v>1010</v>
      </c>
      <c r="O7" s="268" t="s">
        <v>1010</v>
      </c>
      <c r="P7" s="268">
        <v>0</v>
      </c>
      <c r="Q7" s="277" t="s">
        <v>1010</v>
      </c>
      <c r="R7" s="267">
        <v>0</v>
      </c>
      <c r="S7" s="267">
        <v>0</v>
      </c>
      <c r="T7" s="276" t="s">
        <v>1010</v>
      </c>
    </row>
    <row r="8" spans="1:104" x14ac:dyDescent="0.25">
      <c r="A8" s="272" t="s">
        <v>97</v>
      </c>
      <c r="B8" s="275" t="s">
        <v>96</v>
      </c>
      <c r="C8" s="265">
        <v>0.4</v>
      </c>
      <c r="D8" s="273" t="s">
        <v>857</v>
      </c>
      <c r="E8" s="274" t="s">
        <v>856</v>
      </c>
      <c r="F8" s="265">
        <v>0.09</v>
      </c>
      <c r="G8" s="273" t="s">
        <v>855</v>
      </c>
      <c r="H8" s="272" t="s">
        <v>854</v>
      </c>
      <c r="I8" s="265">
        <v>0.01</v>
      </c>
      <c r="J8" s="271">
        <f t="shared" si="0"/>
        <v>0.5</v>
      </c>
      <c r="K8" s="270"/>
      <c r="L8" s="279" t="s">
        <v>1010</v>
      </c>
      <c r="M8" s="279" t="s">
        <v>1010</v>
      </c>
      <c r="N8" s="279" t="s">
        <v>1010</v>
      </c>
      <c r="O8" s="268" t="s">
        <v>1010</v>
      </c>
      <c r="P8" s="268">
        <v>0</v>
      </c>
      <c r="Q8" s="277" t="s">
        <v>1010</v>
      </c>
      <c r="R8" s="267">
        <v>0</v>
      </c>
      <c r="S8" s="267">
        <v>0</v>
      </c>
      <c r="T8" s="276" t="s">
        <v>1010</v>
      </c>
    </row>
    <row r="9" spans="1:104" x14ac:dyDescent="0.25">
      <c r="A9" s="272" t="s">
        <v>99</v>
      </c>
      <c r="B9" s="275" t="s">
        <v>98</v>
      </c>
      <c r="C9" s="265">
        <v>0.4</v>
      </c>
      <c r="D9" s="273" t="s">
        <v>763</v>
      </c>
      <c r="E9" s="274" t="s">
        <v>762</v>
      </c>
      <c r="F9" s="265">
        <v>0.1</v>
      </c>
      <c r="G9" s="273" t="s">
        <v>747</v>
      </c>
      <c r="H9" s="272" t="s">
        <v>761</v>
      </c>
      <c r="I9" s="265">
        <v>0</v>
      </c>
      <c r="J9" s="271">
        <f t="shared" si="0"/>
        <v>0.5</v>
      </c>
      <c r="K9" s="270"/>
      <c r="L9" s="279" t="s">
        <v>1010</v>
      </c>
      <c r="M9" s="279" t="s">
        <v>1010</v>
      </c>
      <c r="N9" s="279" t="s">
        <v>1010</v>
      </c>
      <c r="O9" s="268" t="s">
        <v>1010</v>
      </c>
      <c r="P9" s="268">
        <v>0</v>
      </c>
      <c r="Q9" s="277" t="s">
        <v>1010</v>
      </c>
      <c r="R9" s="267">
        <v>0</v>
      </c>
      <c r="S9" s="267">
        <v>0</v>
      </c>
      <c r="T9" s="276" t="s">
        <v>1010</v>
      </c>
    </row>
    <row r="10" spans="1:104" x14ac:dyDescent="0.25">
      <c r="A10" s="272" t="s">
        <v>101</v>
      </c>
      <c r="B10" s="275" t="s">
        <v>100</v>
      </c>
      <c r="C10" s="265">
        <v>0.4</v>
      </c>
      <c r="D10" s="273" t="s">
        <v>873</v>
      </c>
      <c r="E10" s="274" t="s">
        <v>872</v>
      </c>
      <c r="F10" s="265">
        <v>0.09</v>
      </c>
      <c r="G10" s="273" t="s">
        <v>871</v>
      </c>
      <c r="H10" s="272" t="s">
        <v>870</v>
      </c>
      <c r="I10" s="265">
        <v>0.01</v>
      </c>
      <c r="J10" s="271">
        <f t="shared" si="0"/>
        <v>0.5</v>
      </c>
      <c r="L10" s="279" t="s">
        <v>1010</v>
      </c>
      <c r="M10" s="279" t="s">
        <v>1010</v>
      </c>
      <c r="N10" s="279" t="s">
        <v>1010</v>
      </c>
      <c r="O10" s="268" t="s">
        <v>1010</v>
      </c>
      <c r="P10" s="268">
        <v>0</v>
      </c>
      <c r="Q10" s="277" t="s">
        <v>1010</v>
      </c>
      <c r="R10" s="267">
        <v>0</v>
      </c>
      <c r="S10" s="267">
        <v>0</v>
      </c>
      <c r="T10" s="276" t="s">
        <v>1010</v>
      </c>
    </row>
    <row r="11" spans="1:104" x14ac:dyDescent="0.25">
      <c r="A11" s="272" t="s">
        <v>103</v>
      </c>
      <c r="B11" s="281" t="s">
        <v>102</v>
      </c>
      <c r="C11" s="265">
        <v>0.4</v>
      </c>
      <c r="D11" s="273" t="s">
        <v>825</v>
      </c>
      <c r="E11" s="274" t="s">
        <v>824</v>
      </c>
      <c r="F11" s="265">
        <v>0.09</v>
      </c>
      <c r="G11" s="273" t="s">
        <v>823</v>
      </c>
      <c r="H11" s="272" t="s">
        <v>822</v>
      </c>
      <c r="I11" s="265">
        <v>0.01</v>
      </c>
      <c r="J11" s="271">
        <f t="shared" si="0"/>
        <v>0.5</v>
      </c>
      <c r="K11" s="270"/>
      <c r="L11" s="279" t="s">
        <v>1010</v>
      </c>
      <c r="M11" s="279" t="s">
        <v>1010</v>
      </c>
      <c r="N11" s="279" t="s">
        <v>1010</v>
      </c>
      <c r="O11" s="268" t="s">
        <v>1011</v>
      </c>
      <c r="P11" s="268">
        <v>1535866</v>
      </c>
      <c r="Q11" s="277" t="s">
        <v>1010</v>
      </c>
      <c r="R11" s="267">
        <v>0</v>
      </c>
      <c r="S11" s="267">
        <v>0</v>
      </c>
      <c r="T11" s="276" t="s">
        <v>1010</v>
      </c>
    </row>
    <row r="12" spans="1:104" x14ac:dyDescent="0.25">
      <c r="A12" s="272" t="s">
        <v>105</v>
      </c>
      <c r="B12" s="275" t="s">
        <v>104</v>
      </c>
      <c r="C12" s="265">
        <v>0.4</v>
      </c>
      <c r="D12" s="273" t="s">
        <v>760</v>
      </c>
      <c r="E12" s="274" t="s">
        <v>759</v>
      </c>
      <c r="F12" s="265">
        <v>0.09</v>
      </c>
      <c r="G12" s="273" t="s">
        <v>758</v>
      </c>
      <c r="H12" s="272" t="s">
        <v>757</v>
      </c>
      <c r="I12" s="265">
        <v>0.01</v>
      </c>
      <c r="J12" s="271">
        <f t="shared" si="0"/>
        <v>0.5</v>
      </c>
      <c r="K12" s="270"/>
      <c r="L12" s="279" t="s">
        <v>1010</v>
      </c>
      <c r="M12" s="279" t="s">
        <v>1010</v>
      </c>
      <c r="N12" s="279" t="s">
        <v>1010</v>
      </c>
      <c r="O12" s="268" t="s">
        <v>1010</v>
      </c>
      <c r="P12" s="268">
        <v>0</v>
      </c>
      <c r="Q12" s="277" t="s">
        <v>1010</v>
      </c>
      <c r="R12" s="267">
        <v>0</v>
      </c>
      <c r="S12" s="267">
        <v>0</v>
      </c>
      <c r="T12" s="276" t="s">
        <v>1010</v>
      </c>
    </row>
    <row r="13" spans="1:104" x14ac:dyDescent="0.25">
      <c r="A13" s="272" t="s">
        <v>107</v>
      </c>
      <c r="B13" s="275" t="s">
        <v>106</v>
      </c>
      <c r="C13" s="265">
        <v>0.4</v>
      </c>
      <c r="D13" s="273" t="s">
        <v>810</v>
      </c>
      <c r="E13" s="274" t="s">
        <v>809</v>
      </c>
      <c r="F13" s="265">
        <v>0.1</v>
      </c>
      <c r="G13" s="273" t="s">
        <v>747</v>
      </c>
      <c r="H13" s="272" t="s">
        <v>761</v>
      </c>
      <c r="I13" s="265">
        <v>0</v>
      </c>
      <c r="J13" s="271">
        <f t="shared" si="0"/>
        <v>0.5</v>
      </c>
      <c r="K13" s="270"/>
      <c r="L13" s="279" t="s">
        <v>1010</v>
      </c>
      <c r="M13" s="279" t="s">
        <v>1010</v>
      </c>
      <c r="N13" s="279" t="s">
        <v>1010</v>
      </c>
      <c r="O13" s="268" t="s">
        <v>1010</v>
      </c>
      <c r="P13" s="268">
        <v>0</v>
      </c>
      <c r="Q13" s="277" t="s">
        <v>1010</v>
      </c>
      <c r="R13" s="267">
        <v>0</v>
      </c>
      <c r="S13" s="267">
        <v>0</v>
      </c>
      <c r="T13" s="276" t="s">
        <v>1010</v>
      </c>
    </row>
    <row r="14" spans="1:104" x14ac:dyDescent="0.25">
      <c r="A14" s="272" t="s">
        <v>109</v>
      </c>
      <c r="B14" s="275" t="s">
        <v>925</v>
      </c>
      <c r="C14" s="265">
        <v>0.3</v>
      </c>
      <c r="D14" s="273" t="s">
        <v>789</v>
      </c>
      <c r="E14" s="274" t="s">
        <v>788</v>
      </c>
      <c r="F14" s="265">
        <v>0.2</v>
      </c>
      <c r="G14" s="273" t="s">
        <v>747</v>
      </c>
      <c r="H14" s="274" t="s">
        <v>747</v>
      </c>
      <c r="I14" s="265">
        <v>0</v>
      </c>
      <c r="J14" s="271">
        <f t="shared" si="0"/>
        <v>0.5</v>
      </c>
      <c r="K14" s="270"/>
      <c r="L14" s="279" t="s">
        <v>1010</v>
      </c>
      <c r="M14" s="279" t="s">
        <v>1010</v>
      </c>
      <c r="N14" s="279" t="s">
        <v>1010</v>
      </c>
      <c r="O14" s="268" t="s">
        <v>1011</v>
      </c>
      <c r="P14" s="268">
        <v>3840000</v>
      </c>
      <c r="Q14" s="277" t="s">
        <v>1011</v>
      </c>
      <c r="R14" s="267">
        <v>0</v>
      </c>
      <c r="S14" s="267">
        <v>0</v>
      </c>
      <c r="T14" s="276" t="s">
        <v>1011</v>
      </c>
    </row>
    <row r="15" spans="1:104" x14ac:dyDescent="0.25">
      <c r="A15" s="272" t="s">
        <v>111</v>
      </c>
      <c r="B15" s="275" t="s">
        <v>110</v>
      </c>
      <c r="C15" s="265">
        <v>0.3</v>
      </c>
      <c r="D15" s="273" t="s">
        <v>789</v>
      </c>
      <c r="E15" s="274" t="s">
        <v>788</v>
      </c>
      <c r="F15" s="265">
        <v>0.2</v>
      </c>
      <c r="G15" s="273" t="s">
        <v>747</v>
      </c>
      <c r="H15" s="274" t="s">
        <v>747</v>
      </c>
      <c r="I15" s="265">
        <v>0</v>
      </c>
      <c r="J15" s="271">
        <f t="shared" si="0"/>
        <v>0.5</v>
      </c>
      <c r="K15" s="270"/>
      <c r="L15" s="279" t="s">
        <v>1010</v>
      </c>
      <c r="M15" s="279" t="s">
        <v>1010</v>
      </c>
      <c r="N15" s="279" t="s">
        <v>1010</v>
      </c>
      <c r="O15" s="268" t="s">
        <v>1010</v>
      </c>
      <c r="P15" s="268">
        <v>0</v>
      </c>
      <c r="Q15" s="277" t="s">
        <v>1011</v>
      </c>
      <c r="R15" s="267">
        <v>0</v>
      </c>
      <c r="S15" s="267">
        <v>0</v>
      </c>
      <c r="T15" s="276" t="s">
        <v>1011</v>
      </c>
    </row>
    <row r="16" spans="1:104" x14ac:dyDescent="0.25">
      <c r="A16" s="272" t="s">
        <v>113</v>
      </c>
      <c r="B16" s="275" t="s">
        <v>112</v>
      </c>
      <c r="C16" s="265">
        <v>0.49</v>
      </c>
      <c r="D16" s="273" t="s">
        <v>747</v>
      </c>
      <c r="E16" s="274" t="s">
        <v>766</v>
      </c>
      <c r="F16" s="265">
        <v>0</v>
      </c>
      <c r="G16" s="273" t="s">
        <v>864</v>
      </c>
      <c r="H16" s="272" t="s">
        <v>863</v>
      </c>
      <c r="I16" s="265">
        <v>0.01</v>
      </c>
      <c r="J16" s="271">
        <f t="shared" si="0"/>
        <v>0.5</v>
      </c>
      <c r="K16" s="270"/>
      <c r="L16" s="279" t="s">
        <v>1011</v>
      </c>
      <c r="M16" s="279" t="s">
        <v>1012</v>
      </c>
      <c r="N16" s="279" t="s">
        <v>1010</v>
      </c>
      <c r="O16" s="268" t="s">
        <v>1010</v>
      </c>
      <c r="P16" s="268">
        <v>0</v>
      </c>
      <c r="Q16" s="277" t="s">
        <v>1011</v>
      </c>
      <c r="R16" s="267">
        <v>89102</v>
      </c>
      <c r="S16" s="267">
        <v>0</v>
      </c>
      <c r="T16" s="276" t="s">
        <v>1011</v>
      </c>
    </row>
    <row r="17" spans="1:20" ht="15.75" customHeight="1" x14ac:dyDescent="0.25">
      <c r="A17" s="272" t="s">
        <v>115</v>
      </c>
      <c r="B17" s="275" t="s">
        <v>114</v>
      </c>
      <c r="C17" s="265">
        <v>0.4</v>
      </c>
      <c r="D17" s="273" t="s">
        <v>850</v>
      </c>
      <c r="E17" s="274" t="s">
        <v>849</v>
      </c>
      <c r="F17" s="265">
        <v>0.1</v>
      </c>
      <c r="G17" s="273" t="s">
        <v>747</v>
      </c>
      <c r="H17" s="272" t="s">
        <v>761</v>
      </c>
      <c r="I17" s="265">
        <v>0</v>
      </c>
      <c r="J17" s="271">
        <f t="shared" si="0"/>
        <v>0.5</v>
      </c>
      <c r="K17" s="270"/>
      <c r="L17" s="279" t="s">
        <v>1010</v>
      </c>
      <c r="M17" s="279" t="s">
        <v>1010</v>
      </c>
      <c r="N17" s="279" t="s">
        <v>1010</v>
      </c>
      <c r="O17" s="268" t="s">
        <v>1010</v>
      </c>
      <c r="P17" s="268">
        <v>0</v>
      </c>
      <c r="Q17" s="277" t="s">
        <v>1010</v>
      </c>
      <c r="R17" s="267">
        <v>0</v>
      </c>
      <c r="S17" s="267">
        <v>0</v>
      </c>
      <c r="T17" s="276" t="s">
        <v>1010</v>
      </c>
    </row>
    <row r="18" spans="1:20" ht="15.75" customHeight="1" x14ac:dyDescent="0.25">
      <c r="A18" s="272" t="s">
        <v>117</v>
      </c>
      <c r="B18" s="275" t="s">
        <v>116</v>
      </c>
      <c r="C18" s="265">
        <v>0.4</v>
      </c>
      <c r="D18" s="273" t="s">
        <v>821</v>
      </c>
      <c r="E18" s="274" t="s">
        <v>820</v>
      </c>
      <c r="F18" s="265">
        <v>0.09</v>
      </c>
      <c r="G18" s="273" t="s">
        <v>819</v>
      </c>
      <c r="H18" s="272" t="s">
        <v>818</v>
      </c>
      <c r="I18" s="265">
        <v>0.01</v>
      </c>
      <c r="J18" s="271">
        <f t="shared" si="0"/>
        <v>0.5</v>
      </c>
      <c r="K18" s="270"/>
      <c r="L18" s="279" t="s">
        <v>1010</v>
      </c>
      <c r="M18" s="279" t="s">
        <v>1010</v>
      </c>
      <c r="N18" s="279" t="s">
        <v>1010</v>
      </c>
      <c r="O18" s="268" t="s">
        <v>1010</v>
      </c>
      <c r="P18" s="268">
        <v>0</v>
      </c>
      <c r="Q18" s="277" t="s">
        <v>1010</v>
      </c>
      <c r="R18" s="267">
        <v>0</v>
      </c>
      <c r="S18" s="267">
        <v>0</v>
      </c>
      <c r="T18" s="276" t="s">
        <v>1010</v>
      </c>
    </row>
    <row r="19" spans="1:20" ht="15.75" customHeight="1" x14ac:dyDescent="0.25">
      <c r="A19" s="272" t="s">
        <v>119</v>
      </c>
      <c r="B19" s="275" t="s">
        <v>118</v>
      </c>
      <c r="C19" s="265">
        <v>0.4</v>
      </c>
      <c r="D19" s="273" t="s">
        <v>778</v>
      </c>
      <c r="E19" s="274" t="s">
        <v>777</v>
      </c>
      <c r="F19" s="265">
        <v>0.09</v>
      </c>
      <c r="G19" s="273" t="s">
        <v>776</v>
      </c>
      <c r="H19" s="272" t="s">
        <v>775</v>
      </c>
      <c r="I19" s="265">
        <v>0.01</v>
      </c>
      <c r="J19" s="271">
        <f t="shared" si="0"/>
        <v>0.5</v>
      </c>
      <c r="K19" s="270"/>
      <c r="L19" s="279" t="s">
        <v>1010</v>
      </c>
      <c r="M19" s="279" t="s">
        <v>1010</v>
      </c>
      <c r="N19" s="279" t="s">
        <v>1010</v>
      </c>
      <c r="O19" s="268" t="s">
        <v>1010</v>
      </c>
      <c r="P19" s="268">
        <v>0</v>
      </c>
      <c r="Q19" s="277" t="s">
        <v>1010</v>
      </c>
      <c r="R19" s="267">
        <v>0</v>
      </c>
      <c r="S19" s="267">
        <v>0</v>
      </c>
      <c r="T19" s="276" t="s">
        <v>1010</v>
      </c>
    </row>
    <row r="20" spans="1:20" ht="15.75" customHeight="1" x14ac:dyDescent="0.25">
      <c r="A20" s="272" t="s">
        <v>121</v>
      </c>
      <c r="B20" s="275" t="s">
        <v>120</v>
      </c>
      <c r="C20" s="265">
        <v>0.4</v>
      </c>
      <c r="D20" s="273" t="s">
        <v>873</v>
      </c>
      <c r="E20" s="274" t="s">
        <v>872</v>
      </c>
      <c r="F20" s="265">
        <v>0.09</v>
      </c>
      <c r="G20" s="273" t="s">
        <v>871</v>
      </c>
      <c r="H20" s="272" t="s">
        <v>870</v>
      </c>
      <c r="I20" s="265">
        <v>0.01</v>
      </c>
      <c r="J20" s="271">
        <f t="shared" si="0"/>
        <v>0.5</v>
      </c>
      <c r="K20" s="270"/>
      <c r="L20" s="279" t="s">
        <v>1010</v>
      </c>
      <c r="M20" s="279" t="s">
        <v>1010</v>
      </c>
      <c r="N20" s="279" t="s">
        <v>1010</v>
      </c>
      <c r="O20" s="268" t="s">
        <v>1011</v>
      </c>
      <c r="P20" s="268">
        <v>1000000</v>
      </c>
      <c r="Q20" s="277" t="s">
        <v>1010</v>
      </c>
      <c r="R20" s="267">
        <v>0</v>
      </c>
      <c r="S20" s="267">
        <v>0</v>
      </c>
      <c r="T20" s="276" t="s">
        <v>1010</v>
      </c>
    </row>
    <row r="21" spans="1:20" x14ac:dyDescent="0.25">
      <c r="A21" s="272" t="s">
        <v>123</v>
      </c>
      <c r="B21" s="275" t="s">
        <v>924</v>
      </c>
      <c r="C21" s="265">
        <v>0.49</v>
      </c>
      <c r="D21" s="273" t="s">
        <v>747</v>
      </c>
      <c r="E21" s="274" t="s">
        <v>746</v>
      </c>
      <c r="F21" s="265">
        <v>0</v>
      </c>
      <c r="G21" s="273" t="s">
        <v>852</v>
      </c>
      <c r="H21" s="272" t="s">
        <v>851</v>
      </c>
      <c r="I21" s="265">
        <v>0.01</v>
      </c>
      <c r="J21" s="271">
        <f t="shared" si="0"/>
        <v>0.5</v>
      </c>
      <c r="K21" s="270"/>
      <c r="L21" s="279" t="s">
        <v>1011</v>
      </c>
      <c r="M21" s="279" t="s">
        <v>1013</v>
      </c>
      <c r="N21" s="279" t="s">
        <v>1010</v>
      </c>
      <c r="O21" s="268" t="s">
        <v>1010</v>
      </c>
      <c r="P21" s="268">
        <v>0</v>
      </c>
      <c r="Q21" s="277" t="s">
        <v>1011</v>
      </c>
      <c r="R21" s="267">
        <v>4886323</v>
      </c>
      <c r="S21" s="267">
        <v>0</v>
      </c>
      <c r="T21" s="276" t="s">
        <v>1011</v>
      </c>
    </row>
    <row r="22" spans="1:20" ht="15.75" customHeight="1" x14ac:dyDescent="0.25">
      <c r="A22" s="274" t="s">
        <v>125</v>
      </c>
      <c r="B22" s="274" t="s">
        <v>124</v>
      </c>
      <c r="C22" s="265">
        <v>0.49</v>
      </c>
      <c r="D22" s="273" t="s">
        <v>747</v>
      </c>
      <c r="E22" s="274" t="s">
        <v>746</v>
      </c>
      <c r="F22" s="265">
        <v>0</v>
      </c>
      <c r="G22" s="273" t="s">
        <v>897</v>
      </c>
      <c r="H22" s="272" t="s">
        <v>896</v>
      </c>
      <c r="I22" s="265">
        <v>0.01</v>
      </c>
      <c r="J22" s="271">
        <f t="shared" si="0"/>
        <v>0.5</v>
      </c>
      <c r="K22" s="270"/>
      <c r="L22" s="279" t="s">
        <v>1010</v>
      </c>
      <c r="M22" s="279" t="s">
        <v>1010</v>
      </c>
      <c r="N22" s="279" t="s">
        <v>1010</v>
      </c>
      <c r="O22" s="268" t="s">
        <v>1010</v>
      </c>
      <c r="P22" s="268">
        <v>0</v>
      </c>
      <c r="Q22" s="277" t="s">
        <v>1011</v>
      </c>
      <c r="R22" s="267">
        <v>0</v>
      </c>
      <c r="S22" s="267">
        <v>0</v>
      </c>
      <c r="T22" s="276" t="s">
        <v>1011</v>
      </c>
    </row>
    <row r="23" spans="1:20" ht="15.75" customHeight="1" x14ac:dyDescent="0.25">
      <c r="A23" s="272" t="s">
        <v>127</v>
      </c>
      <c r="B23" s="275" t="s">
        <v>126</v>
      </c>
      <c r="C23" s="265">
        <v>0.3</v>
      </c>
      <c r="D23" s="273" t="s">
        <v>789</v>
      </c>
      <c r="E23" s="274" t="s">
        <v>788</v>
      </c>
      <c r="F23" s="265">
        <v>0.2</v>
      </c>
      <c r="G23" s="273" t="s">
        <v>747</v>
      </c>
      <c r="H23" s="274" t="s">
        <v>747</v>
      </c>
      <c r="I23" s="265">
        <v>0</v>
      </c>
      <c r="J23" s="271">
        <f t="shared" si="0"/>
        <v>0.5</v>
      </c>
      <c r="K23" s="270"/>
      <c r="L23" s="279" t="s">
        <v>1010</v>
      </c>
      <c r="M23" s="279" t="s">
        <v>1010</v>
      </c>
      <c r="N23" s="279" t="s">
        <v>1010</v>
      </c>
      <c r="O23" s="268" t="s">
        <v>1010</v>
      </c>
      <c r="P23" s="268">
        <v>0</v>
      </c>
      <c r="Q23" s="277" t="s">
        <v>1011</v>
      </c>
      <c r="R23" s="267">
        <v>0</v>
      </c>
      <c r="S23" s="267">
        <v>0</v>
      </c>
      <c r="T23" s="276" t="s">
        <v>1011</v>
      </c>
    </row>
    <row r="24" spans="1:20" x14ac:dyDescent="0.25">
      <c r="A24" s="272" t="s">
        <v>129</v>
      </c>
      <c r="B24" s="275" t="s">
        <v>128</v>
      </c>
      <c r="C24" s="265">
        <v>0.49</v>
      </c>
      <c r="D24" s="273" t="s">
        <v>747</v>
      </c>
      <c r="E24" s="274" t="s">
        <v>766</v>
      </c>
      <c r="F24" s="265">
        <v>0</v>
      </c>
      <c r="G24" s="273" t="s">
        <v>765</v>
      </c>
      <c r="H24" s="272" t="s">
        <v>764</v>
      </c>
      <c r="I24" s="265">
        <v>0.01</v>
      </c>
      <c r="J24" s="271">
        <f t="shared" si="0"/>
        <v>0.5</v>
      </c>
      <c r="K24" s="270"/>
      <c r="L24" s="279" t="s">
        <v>1011</v>
      </c>
      <c r="M24" s="279" t="s">
        <v>1014</v>
      </c>
      <c r="N24" s="279" t="s">
        <v>1010</v>
      </c>
      <c r="O24" s="268" t="s">
        <v>1011</v>
      </c>
      <c r="P24" s="268">
        <v>19396560</v>
      </c>
      <c r="Q24" s="277" t="s">
        <v>1011</v>
      </c>
      <c r="R24" s="267">
        <v>4026547</v>
      </c>
      <c r="S24" s="267">
        <v>0</v>
      </c>
      <c r="T24" s="276" t="s">
        <v>1011</v>
      </c>
    </row>
    <row r="25" spans="1:20" ht="15.75" customHeight="1" x14ac:dyDescent="0.25">
      <c r="A25" s="272" t="s">
        <v>131</v>
      </c>
      <c r="B25" s="275" t="s">
        <v>130</v>
      </c>
      <c r="C25" s="265">
        <v>0.4</v>
      </c>
      <c r="D25" s="273" t="s">
        <v>883</v>
      </c>
      <c r="E25" s="274" t="s">
        <v>882</v>
      </c>
      <c r="F25" s="265">
        <v>0.09</v>
      </c>
      <c r="G25" s="273" t="s">
        <v>868</v>
      </c>
      <c r="H25" s="272" t="s">
        <v>867</v>
      </c>
      <c r="I25" s="265">
        <v>0.01</v>
      </c>
      <c r="J25" s="271">
        <f t="shared" si="0"/>
        <v>0.5</v>
      </c>
      <c r="K25" s="270"/>
      <c r="L25" s="279" t="s">
        <v>1010</v>
      </c>
      <c r="M25" s="279" t="s">
        <v>1010</v>
      </c>
      <c r="N25" s="279" t="s">
        <v>1010</v>
      </c>
      <c r="O25" s="268" t="s">
        <v>1010</v>
      </c>
      <c r="P25" s="268">
        <v>0</v>
      </c>
      <c r="Q25" s="277" t="s">
        <v>1010</v>
      </c>
      <c r="R25" s="267">
        <v>0</v>
      </c>
      <c r="S25" s="267">
        <v>0</v>
      </c>
      <c r="T25" s="276" t="s">
        <v>1010</v>
      </c>
    </row>
    <row r="26" spans="1:20" ht="15.75" customHeight="1" x14ac:dyDescent="0.25">
      <c r="A26" s="272" t="s">
        <v>133</v>
      </c>
      <c r="B26" s="275" t="s">
        <v>923</v>
      </c>
      <c r="C26" s="265">
        <v>0.49</v>
      </c>
      <c r="D26" s="273" t="s">
        <v>747</v>
      </c>
      <c r="E26" s="274" t="s">
        <v>746</v>
      </c>
      <c r="F26" s="265">
        <v>0</v>
      </c>
      <c r="G26" s="273" t="s">
        <v>754</v>
      </c>
      <c r="H26" s="272" t="s">
        <v>753</v>
      </c>
      <c r="I26" s="265">
        <v>0.01</v>
      </c>
      <c r="J26" s="271">
        <f t="shared" si="0"/>
        <v>0.5</v>
      </c>
      <c r="K26" s="270"/>
      <c r="L26" s="279" t="s">
        <v>1010</v>
      </c>
      <c r="M26" s="279" t="s">
        <v>1010</v>
      </c>
      <c r="N26" s="279" t="s">
        <v>1010</v>
      </c>
      <c r="O26" s="268" t="s">
        <v>1010</v>
      </c>
      <c r="P26" s="268">
        <v>0</v>
      </c>
      <c r="Q26" s="277" t="s">
        <v>1011</v>
      </c>
      <c r="R26" s="267">
        <v>0</v>
      </c>
      <c r="S26" s="267">
        <v>0</v>
      </c>
      <c r="T26" s="276" t="s">
        <v>1011</v>
      </c>
    </row>
    <row r="27" spans="1:20" ht="15.75" customHeight="1" x14ac:dyDescent="0.25">
      <c r="A27" s="272" t="s">
        <v>135</v>
      </c>
      <c r="B27" s="275" t="s">
        <v>922</v>
      </c>
      <c r="C27" s="265">
        <v>0.49</v>
      </c>
      <c r="D27" s="273" t="s">
        <v>747</v>
      </c>
      <c r="E27" s="274" t="s">
        <v>746</v>
      </c>
      <c r="F27" s="265">
        <v>0</v>
      </c>
      <c r="G27" s="273" t="s">
        <v>754</v>
      </c>
      <c r="H27" s="272" t="s">
        <v>753</v>
      </c>
      <c r="I27" s="265">
        <v>0.01</v>
      </c>
      <c r="J27" s="271">
        <f t="shared" si="0"/>
        <v>0.5</v>
      </c>
      <c r="K27" s="270"/>
      <c r="L27" s="279" t="s">
        <v>1010</v>
      </c>
      <c r="M27" s="279" t="s">
        <v>1010</v>
      </c>
      <c r="N27" s="279" t="s">
        <v>1010</v>
      </c>
      <c r="O27" s="268" t="s">
        <v>1010</v>
      </c>
      <c r="P27" s="268">
        <v>0</v>
      </c>
      <c r="Q27" s="277" t="s">
        <v>1011</v>
      </c>
      <c r="R27" s="267">
        <v>0</v>
      </c>
      <c r="S27" s="267">
        <v>0</v>
      </c>
      <c r="T27" s="276" t="s">
        <v>1011</v>
      </c>
    </row>
    <row r="28" spans="1:20" ht="15.75" customHeight="1" x14ac:dyDescent="0.25">
      <c r="A28" s="272" t="s">
        <v>137</v>
      </c>
      <c r="B28" s="275" t="s">
        <v>136</v>
      </c>
      <c r="C28" s="265">
        <v>0.4</v>
      </c>
      <c r="D28" s="273" t="s">
        <v>857</v>
      </c>
      <c r="E28" s="274" t="s">
        <v>856</v>
      </c>
      <c r="F28" s="265">
        <v>0.09</v>
      </c>
      <c r="G28" s="273" t="s">
        <v>855</v>
      </c>
      <c r="H28" s="272" t="s">
        <v>854</v>
      </c>
      <c r="I28" s="265">
        <v>0.01</v>
      </c>
      <c r="J28" s="271">
        <f t="shared" si="0"/>
        <v>0.5</v>
      </c>
      <c r="K28" s="270"/>
      <c r="L28" s="279" t="s">
        <v>1010</v>
      </c>
      <c r="M28" s="279" t="s">
        <v>1010</v>
      </c>
      <c r="N28" s="279" t="s">
        <v>1010</v>
      </c>
      <c r="O28" s="268" t="s">
        <v>1010</v>
      </c>
      <c r="P28" s="268">
        <v>0</v>
      </c>
      <c r="Q28" s="277" t="s">
        <v>1010</v>
      </c>
      <c r="R28" s="267">
        <v>0</v>
      </c>
      <c r="S28" s="267">
        <v>0</v>
      </c>
      <c r="T28" s="276" t="s">
        <v>1010</v>
      </c>
    </row>
    <row r="29" spans="1:20" ht="15.75" customHeight="1" x14ac:dyDescent="0.25">
      <c r="A29" s="272" t="s">
        <v>139</v>
      </c>
      <c r="B29" s="275" t="s">
        <v>138</v>
      </c>
      <c r="C29" s="265">
        <v>0.49</v>
      </c>
      <c r="D29" s="273" t="s">
        <v>747</v>
      </c>
      <c r="E29" s="274" t="s">
        <v>766</v>
      </c>
      <c r="F29" s="265">
        <v>0</v>
      </c>
      <c r="G29" s="273" t="s">
        <v>782</v>
      </c>
      <c r="H29" s="272" t="s">
        <v>781</v>
      </c>
      <c r="I29" s="265">
        <v>0.01</v>
      </c>
      <c r="J29" s="271">
        <f t="shared" si="0"/>
        <v>0.5</v>
      </c>
      <c r="K29" s="270"/>
      <c r="L29" s="279" t="s">
        <v>1010</v>
      </c>
      <c r="M29" s="279" t="s">
        <v>1010</v>
      </c>
      <c r="N29" s="279" t="s">
        <v>1010</v>
      </c>
      <c r="O29" s="268" t="s">
        <v>1010</v>
      </c>
      <c r="P29" s="268">
        <v>0</v>
      </c>
      <c r="Q29" s="277" t="s">
        <v>1011</v>
      </c>
      <c r="R29" s="267">
        <v>0</v>
      </c>
      <c r="S29" s="267">
        <v>0</v>
      </c>
      <c r="T29" s="276" t="s">
        <v>1011</v>
      </c>
    </row>
    <row r="30" spans="1:20" ht="15.75" customHeight="1" x14ac:dyDescent="0.25">
      <c r="A30" s="272" t="s">
        <v>141</v>
      </c>
      <c r="B30" s="275" t="s">
        <v>140</v>
      </c>
      <c r="C30" s="265">
        <v>0.4</v>
      </c>
      <c r="D30" s="273" t="s">
        <v>797</v>
      </c>
      <c r="E30" s="274" t="s">
        <v>796</v>
      </c>
      <c r="F30" s="265">
        <v>0.1</v>
      </c>
      <c r="G30" s="273" t="s">
        <v>747</v>
      </c>
      <c r="H30" s="272" t="s">
        <v>761</v>
      </c>
      <c r="I30" s="265">
        <v>0</v>
      </c>
      <c r="J30" s="271">
        <f t="shared" si="0"/>
        <v>0.5</v>
      </c>
      <c r="K30" s="270"/>
      <c r="L30" s="279" t="s">
        <v>1010</v>
      </c>
      <c r="M30" s="279" t="s">
        <v>1010</v>
      </c>
      <c r="N30" s="279" t="s">
        <v>1010</v>
      </c>
      <c r="O30" s="268" t="s">
        <v>1010</v>
      </c>
      <c r="P30" s="268">
        <v>0</v>
      </c>
      <c r="Q30" s="277" t="s">
        <v>1010</v>
      </c>
      <c r="R30" s="267">
        <v>0</v>
      </c>
      <c r="S30" s="267">
        <v>0</v>
      </c>
      <c r="T30" s="276" t="s">
        <v>1010</v>
      </c>
    </row>
    <row r="31" spans="1:20" ht="15.75" customHeight="1" x14ac:dyDescent="0.25">
      <c r="A31" s="272" t="s">
        <v>143</v>
      </c>
      <c r="B31" s="275" t="s">
        <v>921</v>
      </c>
      <c r="C31" s="265">
        <v>0.49</v>
      </c>
      <c r="D31" s="273" t="s">
        <v>747</v>
      </c>
      <c r="E31" s="274" t="s">
        <v>746</v>
      </c>
      <c r="F31" s="265">
        <v>0</v>
      </c>
      <c r="G31" s="273" t="s">
        <v>784</v>
      </c>
      <c r="H31" s="272" t="s">
        <v>783</v>
      </c>
      <c r="I31" s="265">
        <v>0.01</v>
      </c>
      <c r="J31" s="271">
        <f t="shared" si="0"/>
        <v>0.5</v>
      </c>
      <c r="K31" s="270"/>
      <c r="L31" s="279" t="s">
        <v>1010</v>
      </c>
      <c r="M31" s="279" t="s">
        <v>1010</v>
      </c>
      <c r="N31" s="279" t="s">
        <v>1010</v>
      </c>
      <c r="O31" s="268" t="s">
        <v>1011</v>
      </c>
      <c r="P31" s="268">
        <v>1160000</v>
      </c>
      <c r="Q31" s="277" t="s">
        <v>1011</v>
      </c>
      <c r="R31" s="267">
        <v>0</v>
      </c>
      <c r="S31" s="267">
        <v>0</v>
      </c>
      <c r="T31" s="276" t="s">
        <v>1011</v>
      </c>
    </row>
    <row r="32" spans="1:20" ht="15.75" customHeight="1" x14ac:dyDescent="0.25">
      <c r="A32" s="272" t="s">
        <v>145</v>
      </c>
      <c r="B32" s="275" t="s">
        <v>920</v>
      </c>
      <c r="C32" s="265">
        <v>0.49</v>
      </c>
      <c r="D32" s="273" t="s">
        <v>747</v>
      </c>
      <c r="E32" s="274" t="s">
        <v>746</v>
      </c>
      <c r="F32" s="265">
        <v>0</v>
      </c>
      <c r="G32" s="273" t="s">
        <v>768</v>
      </c>
      <c r="H32" s="272" t="s">
        <v>767</v>
      </c>
      <c r="I32" s="265">
        <v>0.01</v>
      </c>
      <c r="J32" s="271">
        <f t="shared" si="0"/>
        <v>0.5</v>
      </c>
      <c r="K32" s="270"/>
      <c r="L32" s="279" t="s">
        <v>1010</v>
      </c>
      <c r="M32" s="279" t="s">
        <v>1010</v>
      </c>
      <c r="N32" s="279" t="s">
        <v>1010</v>
      </c>
      <c r="O32" s="268" t="s">
        <v>1010</v>
      </c>
      <c r="P32" s="268">
        <v>0</v>
      </c>
      <c r="Q32" s="277" t="s">
        <v>1011</v>
      </c>
      <c r="R32" s="267">
        <v>0</v>
      </c>
      <c r="S32" s="267">
        <v>0</v>
      </c>
      <c r="T32" s="276" t="s">
        <v>1011</v>
      </c>
    </row>
    <row r="33" spans="1:20" ht="15.75" customHeight="1" x14ac:dyDescent="0.25">
      <c r="A33" s="272" t="s">
        <v>147</v>
      </c>
      <c r="B33" s="275" t="s">
        <v>146</v>
      </c>
      <c r="C33" s="265">
        <v>0.49</v>
      </c>
      <c r="D33" s="273" t="s">
        <v>747</v>
      </c>
      <c r="E33" s="274" t="s">
        <v>766</v>
      </c>
      <c r="F33" s="265">
        <v>0</v>
      </c>
      <c r="G33" s="273" t="s">
        <v>817</v>
      </c>
      <c r="H33" s="272" t="s">
        <v>816</v>
      </c>
      <c r="I33" s="265">
        <v>0.01</v>
      </c>
      <c r="J33" s="271">
        <f t="shared" si="0"/>
        <v>0.5</v>
      </c>
      <c r="L33" s="279" t="s">
        <v>1010</v>
      </c>
      <c r="M33" s="279" t="s">
        <v>1010</v>
      </c>
      <c r="N33" s="279" t="s">
        <v>1010</v>
      </c>
      <c r="O33" s="268" t="s">
        <v>1011</v>
      </c>
      <c r="P33" s="268">
        <v>5276789</v>
      </c>
      <c r="Q33" s="277" t="s">
        <v>1011</v>
      </c>
      <c r="R33" s="267">
        <v>0</v>
      </c>
      <c r="S33" s="267">
        <v>0</v>
      </c>
      <c r="T33" s="276" t="s">
        <v>1011</v>
      </c>
    </row>
    <row r="34" spans="1:20" ht="15.75" customHeight="1" x14ac:dyDescent="0.25">
      <c r="A34" s="272" t="s">
        <v>149</v>
      </c>
      <c r="B34" s="275" t="s">
        <v>148</v>
      </c>
      <c r="C34" s="265">
        <v>0.4</v>
      </c>
      <c r="D34" s="273" t="s">
        <v>821</v>
      </c>
      <c r="E34" s="274" t="s">
        <v>820</v>
      </c>
      <c r="F34" s="265">
        <v>0.09</v>
      </c>
      <c r="G34" s="273" t="s">
        <v>819</v>
      </c>
      <c r="H34" s="272" t="s">
        <v>818</v>
      </c>
      <c r="I34" s="265">
        <v>0.01</v>
      </c>
      <c r="J34" s="271">
        <f t="shared" si="0"/>
        <v>0.5</v>
      </c>
      <c r="K34" s="270"/>
      <c r="L34" s="279" t="s">
        <v>1010</v>
      </c>
      <c r="M34" s="279" t="s">
        <v>1010</v>
      </c>
      <c r="N34" s="279" t="s">
        <v>1010</v>
      </c>
      <c r="O34" s="268" t="s">
        <v>1010</v>
      </c>
      <c r="P34" s="268">
        <v>0</v>
      </c>
      <c r="Q34" s="277" t="s">
        <v>1010</v>
      </c>
      <c r="R34" s="267">
        <v>0</v>
      </c>
      <c r="S34" s="267">
        <v>0</v>
      </c>
      <c r="T34" s="276" t="s">
        <v>1010</v>
      </c>
    </row>
    <row r="35" spans="1:20" ht="15.75" customHeight="1" x14ac:dyDescent="0.25">
      <c r="A35" s="272" t="s">
        <v>151</v>
      </c>
      <c r="B35" s="275" t="s">
        <v>150</v>
      </c>
      <c r="C35" s="265">
        <v>0.4</v>
      </c>
      <c r="D35" s="273" t="s">
        <v>848</v>
      </c>
      <c r="E35" s="274" t="s">
        <v>847</v>
      </c>
      <c r="F35" s="265">
        <v>0.1</v>
      </c>
      <c r="G35" s="273" t="s">
        <v>747</v>
      </c>
      <c r="H35" s="272" t="s">
        <v>761</v>
      </c>
      <c r="I35" s="265">
        <v>0</v>
      </c>
      <c r="J35" s="271">
        <f t="shared" si="0"/>
        <v>0.5</v>
      </c>
      <c r="K35" s="270"/>
      <c r="L35" s="279" t="s">
        <v>1010</v>
      </c>
      <c r="M35" s="279" t="s">
        <v>1010</v>
      </c>
      <c r="N35" s="279" t="s">
        <v>1010</v>
      </c>
      <c r="O35" s="268" t="s">
        <v>1010</v>
      </c>
      <c r="P35" s="268">
        <v>0</v>
      </c>
      <c r="Q35" s="277" t="s">
        <v>1010</v>
      </c>
      <c r="R35" s="267">
        <v>0</v>
      </c>
      <c r="S35" s="267">
        <v>0</v>
      </c>
      <c r="T35" s="276" t="s">
        <v>1010</v>
      </c>
    </row>
    <row r="36" spans="1:20" ht="15.75" customHeight="1" x14ac:dyDescent="0.25">
      <c r="A36" s="272" t="s">
        <v>153</v>
      </c>
      <c r="B36" s="275" t="s">
        <v>152</v>
      </c>
      <c r="C36" s="265">
        <v>0.3</v>
      </c>
      <c r="D36" s="273" t="s">
        <v>789</v>
      </c>
      <c r="E36" s="274" t="s">
        <v>788</v>
      </c>
      <c r="F36" s="265">
        <v>0.2</v>
      </c>
      <c r="G36" s="273" t="s">
        <v>747</v>
      </c>
      <c r="H36" s="274" t="s">
        <v>747</v>
      </c>
      <c r="I36" s="265">
        <v>0</v>
      </c>
      <c r="J36" s="271">
        <f t="shared" si="0"/>
        <v>0.5</v>
      </c>
      <c r="K36" s="270"/>
      <c r="L36" s="279" t="s">
        <v>1010</v>
      </c>
      <c r="M36" s="279" t="s">
        <v>1010</v>
      </c>
      <c r="N36" s="279" t="s">
        <v>1010</v>
      </c>
      <c r="O36" s="268" t="s">
        <v>1011</v>
      </c>
      <c r="P36" s="268">
        <v>3573333</v>
      </c>
      <c r="Q36" s="277" t="s">
        <v>1011</v>
      </c>
      <c r="R36" s="267">
        <v>0</v>
      </c>
      <c r="S36" s="267">
        <v>0</v>
      </c>
      <c r="T36" s="276" t="s">
        <v>1011</v>
      </c>
    </row>
    <row r="37" spans="1:20" ht="15.75" customHeight="1" x14ac:dyDescent="0.25">
      <c r="A37" s="272" t="s">
        <v>155</v>
      </c>
      <c r="B37" s="275" t="s">
        <v>154</v>
      </c>
      <c r="C37" s="265">
        <v>0.4</v>
      </c>
      <c r="D37" s="273" t="s">
        <v>821</v>
      </c>
      <c r="E37" s="274" t="s">
        <v>820</v>
      </c>
      <c r="F37" s="265">
        <v>0.09</v>
      </c>
      <c r="G37" s="273" t="s">
        <v>819</v>
      </c>
      <c r="H37" s="272" t="s">
        <v>818</v>
      </c>
      <c r="I37" s="265">
        <v>0.01</v>
      </c>
      <c r="J37" s="271">
        <f t="shared" si="0"/>
        <v>0.5</v>
      </c>
      <c r="K37" s="270"/>
      <c r="L37" s="279" t="s">
        <v>1010</v>
      </c>
      <c r="M37" s="279" t="s">
        <v>1010</v>
      </c>
      <c r="N37" s="279" t="s">
        <v>1010</v>
      </c>
      <c r="O37" s="268" t="s">
        <v>1010</v>
      </c>
      <c r="P37" s="268">
        <v>0</v>
      </c>
      <c r="Q37" s="277" t="s">
        <v>1010</v>
      </c>
      <c r="R37" s="267">
        <v>0</v>
      </c>
      <c r="S37" s="267">
        <v>0</v>
      </c>
      <c r="T37" s="276" t="s">
        <v>1010</v>
      </c>
    </row>
    <row r="38" spans="1:20" ht="15.75" customHeight="1" x14ac:dyDescent="0.25">
      <c r="A38" s="272" t="s">
        <v>157</v>
      </c>
      <c r="B38" s="275" t="s">
        <v>919</v>
      </c>
      <c r="C38" s="265">
        <v>0.49</v>
      </c>
      <c r="D38" s="273" t="s">
        <v>747</v>
      </c>
      <c r="E38" s="274" t="s">
        <v>746</v>
      </c>
      <c r="F38" s="265">
        <v>0</v>
      </c>
      <c r="G38" s="273" t="s">
        <v>806</v>
      </c>
      <c r="H38" s="272" t="s">
        <v>805</v>
      </c>
      <c r="I38" s="265">
        <v>0.01</v>
      </c>
      <c r="J38" s="271">
        <f t="shared" si="0"/>
        <v>0.5</v>
      </c>
      <c r="K38" s="270"/>
      <c r="L38" s="279" t="s">
        <v>1010</v>
      </c>
      <c r="M38" s="279" t="s">
        <v>1010</v>
      </c>
      <c r="N38" s="279" t="s">
        <v>1010</v>
      </c>
      <c r="O38" s="268" t="s">
        <v>1010</v>
      </c>
      <c r="P38" s="268">
        <v>0</v>
      </c>
      <c r="Q38" s="277" t="s">
        <v>1011</v>
      </c>
      <c r="R38" s="267">
        <v>0</v>
      </c>
      <c r="S38" s="267">
        <v>0</v>
      </c>
      <c r="T38" s="276" t="s">
        <v>1011</v>
      </c>
    </row>
    <row r="39" spans="1:20" x14ac:dyDescent="0.25">
      <c r="A39" s="272" t="s">
        <v>159</v>
      </c>
      <c r="B39" s="275" t="s">
        <v>918</v>
      </c>
      <c r="C39" s="265">
        <v>0.49</v>
      </c>
      <c r="D39" s="273" t="s">
        <v>747</v>
      </c>
      <c r="E39" s="274" t="s">
        <v>746</v>
      </c>
      <c r="F39" s="265">
        <v>0</v>
      </c>
      <c r="G39" s="273" t="s">
        <v>852</v>
      </c>
      <c r="H39" s="272" t="s">
        <v>851</v>
      </c>
      <c r="I39" s="265">
        <v>0.01</v>
      </c>
      <c r="J39" s="271">
        <f t="shared" si="0"/>
        <v>0.5</v>
      </c>
      <c r="K39" s="270"/>
      <c r="L39" s="279" t="s">
        <v>1011</v>
      </c>
      <c r="M39" s="279" t="s">
        <v>1015</v>
      </c>
      <c r="N39" s="279" t="s">
        <v>1013</v>
      </c>
      <c r="O39" s="268" t="s">
        <v>1010</v>
      </c>
      <c r="P39" s="268">
        <v>0</v>
      </c>
      <c r="Q39" s="277" t="s">
        <v>1011</v>
      </c>
      <c r="R39" s="267">
        <v>13240942</v>
      </c>
      <c r="S39" s="267">
        <v>6584128</v>
      </c>
      <c r="T39" s="276" t="s">
        <v>1011</v>
      </c>
    </row>
    <row r="40" spans="1:20" ht="15.75" customHeight="1" x14ac:dyDescent="0.25">
      <c r="A40" s="272" t="s">
        <v>161</v>
      </c>
      <c r="B40" s="275" t="s">
        <v>160</v>
      </c>
      <c r="C40" s="265">
        <v>0.4</v>
      </c>
      <c r="D40" s="273" t="s">
        <v>848</v>
      </c>
      <c r="E40" s="274" t="s">
        <v>847</v>
      </c>
      <c r="F40" s="265">
        <v>0.1</v>
      </c>
      <c r="G40" s="273" t="s">
        <v>747</v>
      </c>
      <c r="H40" s="272" t="s">
        <v>761</v>
      </c>
      <c r="I40" s="265">
        <v>0</v>
      </c>
      <c r="J40" s="271">
        <f t="shared" si="0"/>
        <v>0.5</v>
      </c>
      <c r="K40" s="270"/>
      <c r="L40" s="279" t="s">
        <v>1010</v>
      </c>
      <c r="M40" s="279" t="s">
        <v>1010</v>
      </c>
      <c r="N40" s="279" t="s">
        <v>1010</v>
      </c>
      <c r="O40" s="268" t="s">
        <v>1010</v>
      </c>
      <c r="P40" s="268">
        <v>0</v>
      </c>
      <c r="Q40" s="277" t="s">
        <v>1010</v>
      </c>
      <c r="R40" s="267">
        <v>0</v>
      </c>
      <c r="S40" s="267">
        <v>0</v>
      </c>
      <c r="T40" s="276" t="s">
        <v>1010</v>
      </c>
    </row>
    <row r="41" spans="1:20" ht="15.75" customHeight="1" x14ac:dyDescent="0.25">
      <c r="A41" s="272" t="s">
        <v>163</v>
      </c>
      <c r="B41" s="275" t="s">
        <v>162</v>
      </c>
      <c r="C41" s="265">
        <v>0.3</v>
      </c>
      <c r="D41" s="273" t="s">
        <v>789</v>
      </c>
      <c r="E41" s="274" t="s">
        <v>788</v>
      </c>
      <c r="F41" s="265">
        <v>0.2</v>
      </c>
      <c r="G41" s="273" t="s">
        <v>747</v>
      </c>
      <c r="H41" s="274" t="s">
        <v>747</v>
      </c>
      <c r="I41" s="265">
        <v>0</v>
      </c>
      <c r="J41" s="271">
        <f t="shared" si="0"/>
        <v>0.5</v>
      </c>
      <c r="K41" s="270"/>
      <c r="L41" s="279" t="s">
        <v>1010</v>
      </c>
      <c r="M41" s="279" t="s">
        <v>1010</v>
      </c>
      <c r="N41" s="279" t="s">
        <v>1010</v>
      </c>
      <c r="O41" s="268" t="s">
        <v>1010</v>
      </c>
      <c r="P41" s="268">
        <v>0</v>
      </c>
      <c r="Q41" s="277" t="s">
        <v>1011</v>
      </c>
      <c r="R41" s="267">
        <v>0</v>
      </c>
      <c r="S41" s="267">
        <v>0</v>
      </c>
      <c r="T41" s="276" t="s">
        <v>1011</v>
      </c>
    </row>
    <row r="42" spans="1:20" ht="15.75" customHeight="1" x14ac:dyDescent="0.25">
      <c r="A42" s="272" t="s">
        <v>165</v>
      </c>
      <c r="B42" s="275" t="s">
        <v>164</v>
      </c>
      <c r="C42" s="265">
        <v>0.4</v>
      </c>
      <c r="D42" s="273" t="s">
        <v>752</v>
      </c>
      <c r="E42" s="274" t="s">
        <v>751</v>
      </c>
      <c r="F42" s="265">
        <v>0.09</v>
      </c>
      <c r="G42" s="273" t="s">
        <v>750</v>
      </c>
      <c r="H42" s="272" t="s">
        <v>749</v>
      </c>
      <c r="I42" s="265">
        <v>0.01</v>
      </c>
      <c r="J42" s="271">
        <f t="shared" si="0"/>
        <v>0.5</v>
      </c>
      <c r="K42" s="270"/>
      <c r="L42" s="279" t="s">
        <v>1010</v>
      </c>
      <c r="M42" s="279" t="s">
        <v>1010</v>
      </c>
      <c r="N42" s="279" t="s">
        <v>1010</v>
      </c>
      <c r="O42" s="268" t="s">
        <v>1011</v>
      </c>
      <c r="P42" s="268">
        <v>651339</v>
      </c>
      <c r="Q42" s="277" t="s">
        <v>1010</v>
      </c>
      <c r="R42" s="267">
        <v>0</v>
      </c>
      <c r="S42" s="267">
        <v>0</v>
      </c>
      <c r="T42" s="276" t="s">
        <v>1010</v>
      </c>
    </row>
    <row r="43" spans="1:20" ht="15.75" customHeight="1" x14ac:dyDescent="0.25">
      <c r="A43" s="272" t="s">
        <v>167</v>
      </c>
      <c r="B43" s="275" t="s">
        <v>166</v>
      </c>
      <c r="C43" s="265">
        <v>0.4</v>
      </c>
      <c r="D43" s="273" t="s">
        <v>802</v>
      </c>
      <c r="E43" s="274" t="s">
        <v>801</v>
      </c>
      <c r="F43" s="265">
        <v>0.1</v>
      </c>
      <c r="G43" s="273" t="s">
        <v>747</v>
      </c>
      <c r="H43" s="272" t="s">
        <v>761</v>
      </c>
      <c r="I43" s="265">
        <v>0</v>
      </c>
      <c r="J43" s="271">
        <f t="shared" si="0"/>
        <v>0.5</v>
      </c>
      <c r="K43" s="270"/>
      <c r="L43" s="279" t="s">
        <v>1010</v>
      </c>
      <c r="M43" s="279" t="s">
        <v>1010</v>
      </c>
      <c r="N43" s="279" t="s">
        <v>1010</v>
      </c>
      <c r="O43" s="268" t="s">
        <v>1010</v>
      </c>
      <c r="P43" s="268">
        <v>0</v>
      </c>
      <c r="Q43" s="277" t="s">
        <v>1010</v>
      </c>
      <c r="R43" s="267">
        <v>0</v>
      </c>
      <c r="S43" s="267">
        <v>0</v>
      </c>
      <c r="T43" s="276" t="s">
        <v>1010</v>
      </c>
    </row>
    <row r="44" spans="1:20" x14ac:dyDescent="0.25">
      <c r="A44" s="272" t="s">
        <v>169</v>
      </c>
      <c r="B44" s="275" t="s">
        <v>168</v>
      </c>
      <c r="C44" s="265">
        <v>0.4</v>
      </c>
      <c r="D44" s="273" t="s">
        <v>873</v>
      </c>
      <c r="E44" s="274" t="s">
        <v>872</v>
      </c>
      <c r="F44" s="265">
        <v>0.09</v>
      </c>
      <c r="G44" s="273" t="s">
        <v>871</v>
      </c>
      <c r="H44" s="272" t="s">
        <v>870</v>
      </c>
      <c r="I44" s="265">
        <v>0.01</v>
      </c>
      <c r="J44" s="271">
        <f t="shared" si="0"/>
        <v>0.5</v>
      </c>
      <c r="K44" s="270"/>
      <c r="L44" s="279" t="s">
        <v>1011</v>
      </c>
      <c r="M44" s="279" t="s">
        <v>1016</v>
      </c>
      <c r="N44" s="279" t="s">
        <v>1010</v>
      </c>
      <c r="O44" s="268" t="s">
        <v>1011</v>
      </c>
      <c r="P44" s="268">
        <v>428539</v>
      </c>
      <c r="Q44" s="277" t="s">
        <v>1010</v>
      </c>
      <c r="R44" s="267">
        <v>1120700</v>
      </c>
      <c r="S44" s="267">
        <v>0</v>
      </c>
      <c r="T44" s="276" t="s">
        <v>1010</v>
      </c>
    </row>
    <row r="45" spans="1:20" ht="15.75" customHeight="1" x14ac:dyDescent="0.25">
      <c r="A45" s="272" t="s">
        <v>171</v>
      </c>
      <c r="B45" s="275" t="s">
        <v>170</v>
      </c>
      <c r="C45" s="265">
        <v>0.4</v>
      </c>
      <c r="D45" s="273" t="s">
        <v>756</v>
      </c>
      <c r="E45" s="274" t="s">
        <v>755</v>
      </c>
      <c r="F45" s="265">
        <v>0.09</v>
      </c>
      <c r="G45" s="273" t="s">
        <v>754</v>
      </c>
      <c r="H45" s="272" t="s">
        <v>753</v>
      </c>
      <c r="I45" s="265">
        <v>0.01</v>
      </c>
      <c r="J45" s="271">
        <f t="shared" si="0"/>
        <v>0.5</v>
      </c>
      <c r="K45" s="270"/>
      <c r="L45" s="279" t="s">
        <v>1010</v>
      </c>
      <c r="M45" s="279" t="s">
        <v>1010</v>
      </c>
      <c r="N45" s="279" t="s">
        <v>1010</v>
      </c>
      <c r="O45" s="268" t="s">
        <v>1010</v>
      </c>
      <c r="P45" s="268">
        <v>0</v>
      </c>
      <c r="Q45" s="277" t="s">
        <v>1010</v>
      </c>
      <c r="R45" s="267">
        <v>0</v>
      </c>
      <c r="S45" s="267">
        <v>0</v>
      </c>
      <c r="T45" s="276" t="s">
        <v>1010</v>
      </c>
    </row>
    <row r="46" spans="1:20" ht="15.75" customHeight="1" x14ac:dyDescent="0.25">
      <c r="A46" s="272" t="s">
        <v>173</v>
      </c>
      <c r="B46" s="275" t="s">
        <v>172</v>
      </c>
      <c r="C46" s="265">
        <v>0.49</v>
      </c>
      <c r="D46" s="273" t="s">
        <v>747</v>
      </c>
      <c r="E46" s="274" t="s">
        <v>766</v>
      </c>
      <c r="F46" s="265">
        <v>0</v>
      </c>
      <c r="G46" s="273" t="s">
        <v>782</v>
      </c>
      <c r="H46" s="272" t="s">
        <v>781</v>
      </c>
      <c r="I46" s="265">
        <v>0.01</v>
      </c>
      <c r="J46" s="271">
        <f t="shared" si="0"/>
        <v>0.5</v>
      </c>
      <c r="K46" s="270"/>
      <c r="L46" s="279" t="s">
        <v>1010</v>
      </c>
      <c r="M46" s="279" t="s">
        <v>1010</v>
      </c>
      <c r="N46" s="279" t="s">
        <v>1010</v>
      </c>
      <c r="O46" s="268" t="s">
        <v>1010</v>
      </c>
      <c r="P46" s="268">
        <v>0</v>
      </c>
      <c r="Q46" s="277" t="s">
        <v>1011</v>
      </c>
      <c r="R46" s="267">
        <v>0</v>
      </c>
      <c r="S46" s="267">
        <v>0</v>
      </c>
      <c r="T46" s="276" t="s">
        <v>1011</v>
      </c>
    </row>
    <row r="47" spans="1:20" ht="15.75" customHeight="1" x14ac:dyDescent="0.25">
      <c r="A47" s="272" t="s">
        <v>175</v>
      </c>
      <c r="B47" s="275" t="s">
        <v>174</v>
      </c>
      <c r="C47" s="265">
        <v>0.49</v>
      </c>
      <c r="D47" s="273" t="s">
        <v>747</v>
      </c>
      <c r="E47" s="274" t="s">
        <v>766</v>
      </c>
      <c r="F47" s="265">
        <v>0</v>
      </c>
      <c r="G47" s="273" t="s">
        <v>817</v>
      </c>
      <c r="H47" s="272" t="s">
        <v>816</v>
      </c>
      <c r="I47" s="265">
        <v>0.01</v>
      </c>
      <c r="J47" s="271">
        <f t="shared" si="0"/>
        <v>0.5</v>
      </c>
      <c r="K47" s="270"/>
      <c r="L47" s="279" t="s">
        <v>1010</v>
      </c>
      <c r="M47" s="279" t="s">
        <v>1010</v>
      </c>
      <c r="N47" s="279" t="s">
        <v>1010</v>
      </c>
      <c r="O47" s="268" t="s">
        <v>1010</v>
      </c>
      <c r="P47" s="268">
        <v>0</v>
      </c>
      <c r="Q47" s="277" t="s">
        <v>1011</v>
      </c>
      <c r="R47" s="267">
        <v>0</v>
      </c>
      <c r="S47" s="267">
        <v>0</v>
      </c>
      <c r="T47" s="276" t="s">
        <v>1011</v>
      </c>
    </row>
    <row r="48" spans="1:20" ht="15.75" customHeight="1" x14ac:dyDescent="0.25">
      <c r="A48" s="272" t="s">
        <v>177</v>
      </c>
      <c r="B48" s="275" t="s">
        <v>176</v>
      </c>
      <c r="C48" s="265">
        <v>0.4</v>
      </c>
      <c r="D48" s="273" t="s">
        <v>861</v>
      </c>
      <c r="E48" s="274" t="s">
        <v>860</v>
      </c>
      <c r="F48" s="265">
        <v>0.09</v>
      </c>
      <c r="G48" s="273" t="s">
        <v>859</v>
      </c>
      <c r="H48" s="272" t="s">
        <v>858</v>
      </c>
      <c r="I48" s="265">
        <v>0.01</v>
      </c>
      <c r="J48" s="271">
        <f t="shared" si="0"/>
        <v>0.5</v>
      </c>
      <c r="K48" s="270"/>
      <c r="L48" s="279" t="s">
        <v>1010</v>
      </c>
      <c r="M48" s="279" t="s">
        <v>1010</v>
      </c>
      <c r="N48" s="279" t="s">
        <v>1010</v>
      </c>
      <c r="O48" s="268" t="s">
        <v>1010</v>
      </c>
      <c r="P48" s="268">
        <v>0</v>
      </c>
      <c r="Q48" s="277" t="s">
        <v>1010</v>
      </c>
      <c r="R48" s="267">
        <v>0</v>
      </c>
      <c r="S48" s="267">
        <v>0</v>
      </c>
      <c r="T48" s="276" t="s">
        <v>1010</v>
      </c>
    </row>
    <row r="49" spans="1:20" ht="15.75" customHeight="1" x14ac:dyDescent="0.25">
      <c r="A49" s="272" t="s">
        <v>179</v>
      </c>
      <c r="B49" s="275" t="s">
        <v>178</v>
      </c>
      <c r="C49" s="265">
        <v>0.3</v>
      </c>
      <c r="D49" s="273" t="s">
        <v>789</v>
      </c>
      <c r="E49" s="274" t="s">
        <v>788</v>
      </c>
      <c r="F49" s="265">
        <v>0.2</v>
      </c>
      <c r="G49" s="273" t="s">
        <v>747</v>
      </c>
      <c r="H49" s="274" t="s">
        <v>747</v>
      </c>
      <c r="I49" s="265">
        <v>0</v>
      </c>
      <c r="J49" s="271">
        <f t="shared" si="0"/>
        <v>0.5</v>
      </c>
      <c r="K49" s="270"/>
      <c r="L49" s="279" t="s">
        <v>1010</v>
      </c>
      <c r="M49" s="279" t="s">
        <v>1010</v>
      </c>
      <c r="N49" s="279" t="s">
        <v>1010</v>
      </c>
      <c r="O49" s="268" t="s">
        <v>1010</v>
      </c>
      <c r="P49" s="268">
        <v>0</v>
      </c>
      <c r="Q49" s="277" t="s">
        <v>1011</v>
      </c>
      <c r="R49" s="267">
        <v>0</v>
      </c>
      <c r="S49" s="267">
        <v>0</v>
      </c>
      <c r="T49" s="276" t="s">
        <v>1011</v>
      </c>
    </row>
    <row r="50" spans="1:20" ht="15.75" customHeight="1" x14ac:dyDescent="0.25">
      <c r="A50" s="272" t="s">
        <v>181</v>
      </c>
      <c r="B50" s="275" t="s">
        <v>180</v>
      </c>
      <c r="C50" s="265">
        <v>0.4</v>
      </c>
      <c r="D50" s="273" t="s">
        <v>837</v>
      </c>
      <c r="E50" s="274" t="s">
        <v>836</v>
      </c>
      <c r="F50" s="265">
        <v>0.09</v>
      </c>
      <c r="G50" s="273" t="s">
        <v>835</v>
      </c>
      <c r="H50" s="272" t="s">
        <v>834</v>
      </c>
      <c r="I50" s="265">
        <v>0.01</v>
      </c>
      <c r="J50" s="271">
        <f t="shared" si="0"/>
        <v>0.5</v>
      </c>
      <c r="K50" s="270"/>
      <c r="L50" s="279" t="s">
        <v>1010</v>
      </c>
      <c r="M50" s="279" t="s">
        <v>1010</v>
      </c>
      <c r="N50" s="279" t="s">
        <v>1010</v>
      </c>
      <c r="O50" s="268" t="s">
        <v>1010</v>
      </c>
      <c r="P50" s="268">
        <v>0</v>
      </c>
      <c r="Q50" s="277" t="s">
        <v>1010</v>
      </c>
      <c r="R50" s="267">
        <v>0</v>
      </c>
      <c r="S50" s="267">
        <v>0</v>
      </c>
      <c r="T50" s="276" t="s">
        <v>1010</v>
      </c>
    </row>
    <row r="51" spans="1:20" ht="15.75" customHeight="1" x14ac:dyDescent="0.25">
      <c r="A51" s="272" t="s">
        <v>183</v>
      </c>
      <c r="B51" s="275" t="s">
        <v>182</v>
      </c>
      <c r="C51" s="265">
        <v>0.4</v>
      </c>
      <c r="D51" s="273" t="s">
        <v>825</v>
      </c>
      <c r="E51" s="274" t="s">
        <v>824</v>
      </c>
      <c r="F51" s="265">
        <v>0.09</v>
      </c>
      <c r="G51" s="273" t="s">
        <v>823</v>
      </c>
      <c r="H51" s="272" t="s">
        <v>822</v>
      </c>
      <c r="I51" s="265">
        <v>0.01</v>
      </c>
      <c r="J51" s="271">
        <f t="shared" si="0"/>
        <v>0.5</v>
      </c>
      <c r="K51" s="270"/>
      <c r="L51" s="279" t="s">
        <v>1010</v>
      </c>
      <c r="M51" s="279" t="s">
        <v>1010</v>
      </c>
      <c r="N51" s="279" t="s">
        <v>1010</v>
      </c>
      <c r="O51" s="268" t="s">
        <v>1010</v>
      </c>
      <c r="P51" s="268">
        <v>0</v>
      </c>
      <c r="Q51" s="277" t="s">
        <v>1010</v>
      </c>
      <c r="R51" s="267">
        <v>0</v>
      </c>
      <c r="S51" s="267">
        <v>0</v>
      </c>
      <c r="T51" s="276" t="s">
        <v>1010</v>
      </c>
    </row>
    <row r="52" spans="1:20" ht="15.75" customHeight="1" x14ac:dyDescent="0.25">
      <c r="A52" s="272" t="s">
        <v>185</v>
      </c>
      <c r="B52" s="275" t="s">
        <v>184</v>
      </c>
      <c r="C52" s="265">
        <v>0.4</v>
      </c>
      <c r="D52" s="273" t="s">
        <v>850</v>
      </c>
      <c r="E52" s="274" t="s">
        <v>849</v>
      </c>
      <c r="F52" s="265">
        <v>0.1</v>
      </c>
      <c r="G52" s="273" t="s">
        <v>747</v>
      </c>
      <c r="H52" s="272" t="s">
        <v>761</v>
      </c>
      <c r="I52" s="265">
        <v>0</v>
      </c>
      <c r="J52" s="271">
        <f t="shared" si="0"/>
        <v>0.5</v>
      </c>
      <c r="K52" s="270"/>
      <c r="L52" s="279" t="s">
        <v>1010</v>
      </c>
      <c r="M52" s="279" t="s">
        <v>1010</v>
      </c>
      <c r="N52" s="279" t="s">
        <v>1010</v>
      </c>
      <c r="O52" s="268" t="s">
        <v>1010</v>
      </c>
      <c r="P52" s="268">
        <v>0</v>
      </c>
      <c r="Q52" s="277" t="s">
        <v>1010</v>
      </c>
      <c r="R52" s="267">
        <v>0</v>
      </c>
      <c r="S52" s="267">
        <v>0</v>
      </c>
      <c r="T52" s="276" t="s">
        <v>1010</v>
      </c>
    </row>
    <row r="53" spans="1:20" ht="15.75" customHeight="1" x14ac:dyDescent="0.25">
      <c r="A53" s="272" t="s">
        <v>187</v>
      </c>
      <c r="B53" s="275" t="s">
        <v>186</v>
      </c>
      <c r="C53" s="265">
        <v>0.4</v>
      </c>
      <c r="D53" s="273" t="s">
        <v>821</v>
      </c>
      <c r="E53" s="274" t="s">
        <v>820</v>
      </c>
      <c r="F53" s="265">
        <v>0.09</v>
      </c>
      <c r="G53" s="273" t="s">
        <v>819</v>
      </c>
      <c r="H53" s="272" t="s">
        <v>818</v>
      </c>
      <c r="I53" s="265">
        <v>0.01</v>
      </c>
      <c r="J53" s="271">
        <f t="shared" si="0"/>
        <v>0.5</v>
      </c>
      <c r="K53" s="270"/>
      <c r="L53" s="279" t="s">
        <v>1010</v>
      </c>
      <c r="M53" s="279" t="s">
        <v>1010</v>
      </c>
      <c r="N53" s="279" t="s">
        <v>1010</v>
      </c>
      <c r="O53" s="268" t="s">
        <v>1011</v>
      </c>
      <c r="P53" s="268">
        <v>117460</v>
      </c>
      <c r="Q53" s="277" t="s">
        <v>1010</v>
      </c>
      <c r="R53" s="267">
        <v>0</v>
      </c>
      <c r="S53" s="267">
        <v>0</v>
      </c>
      <c r="T53" s="276" t="s">
        <v>1010</v>
      </c>
    </row>
    <row r="54" spans="1:20" ht="15.75" customHeight="1" x14ac:dyDescent="0.25">
      <c r="A54" s="274" t="s">
        <v>189</v>
      </c>
      <c r="B54" s="274" t="s">
        <v>188</v>
      </c>
      <c r="C54" s="265">
        <v>0.49</v>
      </c>
      <c r="D54" s="273" t="s">
        <v>747</v>
      </c>
      <c r="E54" s="274" t="s">
        <v>746</v>
      </c>
      <c r="F54" s="265">
        <v>0</v>
      </c>
      <c r="G54" s="273" t="s">
        <v>897</v>
      </c>
      <c r="H54" s="272" t="s">
        <v>896</v>
      </c>
      <c r="I54" s="265">
        <v>0.01</v>
      </c>
      <c r="J54" s="271">
        <f t="shared" si="0"/>
        <v>0.5</v>
      </c>
      <c r="K54" s="270"/>
      <c r="L54" s="279" t="s">
        <v>1010</v>
      </c>
      <c r="M54" s="279" t="s">
        <v>1010</v>
      </c>
      <c r="N54" s="279" t="s">
        <v>1010</v>
      </c>
      <c r="O54" s="268" t="s">
        <v>1010</v>
      </c>
      <c r="P54" s="268">
        <v>0</v>
      </c>
      <c r="Q54" s="277" t="s">
        <v>1011</v>
      </c>
      <c r="R54" s="267">
        <v>0</v>
      </c>
      <c r="S54" s="267">
        <v>0</v>
      </c>
      <c r="T54" s="276" t="s">
        <v>1011</v>
      </c>
    </row>
    <row r="55" spans="1:20" ht="15.75" customHeight="1" x14ac:dyDescent="0.25">
      <c r="A55" s="272" t="s">
        <v>191</v>
      </c>
      <c r="B55" s="275" t="s">
        <v>190</v>
      </c>
      <c r="C55" s="265">
        <v>0.4</v>
      </c>
      <c r="D55" s="273" t="s">
        <v>883</v>
      </c>
      <c r="E55" s="274" t="s">
        <v>882</v>
      </c>
      <c r="F55" s="265">
        <v>0.09</v>
      </c>
      <c r="G55" s="273" t="s">
        <v>868</v>
      </c>
      <c r="H55" s="272" t="s">
        <v>867</v>
      </c>
      <c r="I55" s="265">
        <v>0.01</v>
      </c>
      <c r="J55" s="271">
        <f t="shared" si="0"/>
        <v>0.5</v>
      </c>
      <c r="K55" s="270"/>
      <c r="L55" s="279" t="s">
        <v>1010</v>
      </c>
      <c r="M55" s="279" t="s">
        <v>1010</v>
      </c>
      <c r="N55" s="279" t="s">
        <v>1010</v>
      </c>
      <c r="O55" s="268" t="s">
        <v>1010</v>
      </c>
      <c r="P55" s="268">
        <v>0</v>
      </c>
      <c r="Q55" s="277" t="s">
        <v>1010</v>
      </c>
      <c r="R55" s="267">
        <v>0</v>
      </c>
      <c r="S55" s="267">
        <v>0</v>
      </c>
      <c r="T55" s="276" t="s">
        <v>1010</v>
      </c>
    </row>
    <row r="56" spans="1:20" ht="15.75" customHeight="1" x14ac:dyDescent="0.25">
      <c r="A56" s="272" t="s">
        <v>193</v>
      </c>
      <c r="B56" s="275" t="s">
        <v>192</v>
      </c>
      <c r="C56" s="265">
        <v>0.4</v>
      </c>
      <c r="D56" s="273" t="s">
        <v>821</v>
      </c>
      <c r="E56" s="274" t="s">
        <v>820</v>
      </c>
      <c r="F56" s="265">
        <v>0.09</v>
      </c>
      <c r="G56" s="273" t="s">
        <v>819</v>
      </c>
      <c r="H56" s="272" t="s">
        <v>818</v>
      </c>
      <c r="I56" s="265">
        <v>0.01</v>
      </c>
      <c r="J56" s="271">
        <f t="shared" si="0"/>
        <v>0.5</v>
      </c>
      <c r="K56" s="270"/>
      <c r="L56" s="279" t="s">
        <v>1010</v>
      </c>
      <c r="M56" s="279" t="s">
        <v>1010</v>
      </c>
      <c r="N56" s="279" t="s">
        <v>1010</v>
      </c>
      <c r="O56" s="268" t="s">
        <v>1010</v>
      </c>
      <c r="P56" s="268">
        <v>0</v>
      </c>
      <c r="Q56" s="277" t="s">
        <v>1010</v>
      </c>
      <c r="R56" s="267">
        <v>0</v>
      </c>
      <c r="S56" s="267">
        <v>0</v>
      </c>
      <c r="T56" s="276" t="s">
        <v>1010</v>
      </c>
    </row>
    <row r="57" spans="1:20" ht="15.75" customHeight="1" x14ac:dyDescent="0.25">
      <c r="A57" s="272" t="s">
        <v>195</v>
      </c>
      <c r="B57" s="275" t="s">
        <v>194</v>
      </c>
      <c r="C57" s="265">
        <v>0.4</v>
      </c>
      <c r="D57" s="273" t="s">
        <v>830</v>
      </c>
      <c r="E57" s="274" t="s">
        <v>829</v>
      </c>
      <c r="F57" s="265">
        <v>0.1</v>
      </c>
      <c r="G57" s="273" t="s">
        <v>747</v>
      </c>
      <c r="H57" s="272" t="s">
        <v>761</v>
      </c>
      <c r="I57" s="265">
        <v>0</v>
      </c>
      <c r="J57" s="271">
        <f t="shared" si="0"/>
        <v>0.5</v>
      </c>
      <c r="K57" s="270"/>
      <c r="L57" s="279" t="s">
        <v>1010</v>
      </c>
      <c r="M57" s="279" t="s">
        <v>1010</v>
      </c>
      <c r="N57" s="279" t="s">
        <v>1010</v>
      </c>
      <c r="O57" s="268" t="s">
        <v>1010</v>
      </c>
      <c r="P57" s="268">
        <v>0</v>
      </c>
      <c r="Q57" s="277" t="s">
        <v>1010</v>
      </c>
      <c r="R57" s="267">
        <v>0</v>
      </c>
      <c r="S57" s="267">
        <v>0</v>
      </c>
      <c r="T57" s="276" t="s">
        <v>1010</v>
      </c>
    </row>
    <row r="58" spans="1:20" ht="15.75" customHeight="1" x14ac:dyDescent="0.25">
      <c r="A58" s="272" t="s">
        <v>197</v>
      </c>
      <c r="B58" s="275" t="s">
        <v>196</v>
      </c>
      <c r="C58" s="265">
        <v>0.4</v>
      </c>
      <c r="D58" s="273" t="s">
        <v>795</v>
      </c>
      <c r="E58" s="274" t="s">
        <v>794</v>
      </c>
      <c r="F58" s="265">
        <v>0.1</v>
      </c>
      <c r="G58" s="273" t="s">
        <v>747</v>
      </c>
      <c r="H58" s="272" t="s">
        <v>761</v>
      </c>
      <c r="I58" s="265">
        <v>0</v>
      </c>
      <c r="J58" s="271">
        <f t="shared" si="0"/>
        <v>0.5</v>
      </c>
      <c r="K58" s="270"/>
      <c r="L58" s="279" t="s">
        <v>1010</v>
      </c>
      <c r="M58" s="279" t="s">
        <v>1010</v>
      </c>
      <c r="N58" s="279" t="s">
        <v>1010</v>
      </c>
      <c r="O58" s="268" t="s">
        <v>1010</v>
      </c>
      <c r="P58" s="268">
        <v>0</v>
      </c>
      <c r="Q58" s="277" t="s">
        <v>1010</v>
      </c>
      <c r="R58" s="267">
        <v>0</v>
      </c>
      <c r="S58" s="267">
        <v>0</v>
      </c>
      <c r="T58" s="276" t="s">
        <v>1010</v>
      </c>
    </row>
    <row r="59" spans="1:20" ht="15.75" customHeight="1" x14ac:dyDescent="0.25">
      <c r="A59" s="274" t="s">
        <v>199</v>
      </c>
      <c r="B59" s="274" t="s">
        <v>198</v>
      </c>
      <c r="C59" s="265">
        <v>0.49</v>
      </c>
      <c r="D59" s="273" t="s">
        <v>747</v>
      </c>
      <c r="E59" s="274" t="s">
        <v>746</v>
      </c>
      <c r="F59" s="265">
        <v>0</v>
      </c>
      <c r="G59" s="273" t="s">
        <v>814</v>
      </c>
      <c r="H59" s="272" t="s">
        <v>813</v>
      </c>
      <c r="I59" s="265">
        <v>0.01</v>
      </c>
      <c r="J59" s="271">
        <f t="shared" si="0"/>
        <v>0.5</v>
      </c>
      <c r="K59" s="270"/>
      <c r="L59" s="279" t="s">
        <v>1010</v>
      </c>
      <c r="M59" s="279" t="s">
        <v>1010</v>
      </c>
      <c r="N59" s="279" t="s">
        <v>1010</v>
      </c>
      <c r="O59" s="268" t="s">
        <v>1010</v>
      </c>
      <c r="P59" s="268">
        <v>0</v>
      </c>
      <c r="Q59" s="277" t="s">
        <v>1011</v>
      </c>
      <c r="R59" s="267">
        <v>0</v>
      </c>
      <c r="S59" s="267">
        <v>0</v>
      </c>
      <c r="T59" s="276" t="s">
        <v>1011</v>
      </c>
    </row>
    <row r="60" spans="1:20" ht="15.75" customHeight="1" x14ac:dyDescent="0.25">
      <c r="A60" s="274" t="s">
        <v>201</v>
      </c>
      <c r="B60" s="274" t="s">
        <v>917</v>
      </c>
      <c r="C60" s="265">
        <v>0.49</v>
      </c>
      <c r="D60" s="273" t="s">
        <v>747</v>
      </c>
      <c r="E60" s="274" t="s">
        <v>746</v>
      </c>
      <c r="F60" s="265">
        <v>0</v>
      </c>
      <c r="G60" s="273" t="s">
        <v>814</v>
      </c>
      <c r="H60" s="272" t="s">
        <v>813</v>
      </c>
      <c r="I60" s="265">
        <v>0.01</v>
      </c>
      <c r="J60" s="271">
        <f t="shared" si="0"/>
        <v>0.5</v>
      </c>
      <c r="K60" s="270"/>
      <c r="L60" s="279" t="s">
        <v>1010</v>
      </c>
      <c r="M60" s="279" t="s">
        <v>1010</v>
      </c>
      <c r="N60" s="279" t="s">
        <v>1010</v>
      </c>
      <c r="O60" s="268" t="s">
        <v>1011</v>
      </c>
      <c r="P60" s="268">
        <v>3520385</v>
      </c>
      <c r="Q60" s="277" t="s">
        <v>1011</v>
      </c>
      <c r="R60" s="267">
        <v>0</v>
      </c>
      <c r="S60" s="267">
        <v>0</v>
      </c>
      <c r="T60" s="276" t="s">
        <v>1011</v>
      </c>
    </row>
    <row r="61" spans="1:20" x14ac:dyDescent="0.25">
      <c r="A61" s="272" t="s">
        <v>203</v>
      </c>
      <c r="B61" s="275" t="s">
        <v>202</v>
      </c>
      <c r="C61" s="265">
        <v>0.4</v>
      </c>
      <c r="D61" s="273" t="s">
        <v>857</v>
      </c>
      <c r="E61" s="274" t="s">
        <v>856</v>
      </c>
      <c r="F61" s="265">
        <v>0.09</v>
      </c>
      <c r="G61" s="273" t="s">
        <v>855</v>
      </c>
      <c r="H61" s="272" t="s">
        <v>854</v>
      </c>
      <c r="I61" s="265">
        <v>0.01</v>
      </c>
      <c r="J61" s="271">
        <f t="shared" si="0"/>
        <v>0.5</v>
      </c>
      <c r="K61" s="270"/>
      <c r="L61" s="279" t="s">
        <v>1011</v>
      </c>
      <c r="M61" s="279" t="s">
        <v>1017</v>
      </c>
      <c r="N61" s="279" t="s">
        <v>1010</v>
      </c>
      <c r="O61" s="268" t="s">
        <v>1010</v>
      </c>
      <c r="P61" s="268">
        <v>0</v>
      </c>
      <c r="Q61" s="277" t="s">
        <v>1010</v>
      </c>
      <c r="R61" s="267">
        <v>0</v>
      </c>
      <c r="S61" s="267">
        <v>0</v>
      </c>
      <c r="T61" s="276" t="s">
        <v>1010</v>
      </c>
    </row>
    <row r="62" spans="1:20" ht="15.75" customHeight="1" x14ac:dyDescent="0.25">
      <c r="A62" s="272" t="s">
        <v>205</v>
      </c>
      <c r="B62" s="275" t="s">
        <v>204</v>
      </c>
      <c r="C62" s="265">
        <v>0.4</v>
      </c>
      <c r="D62" s="273" t="s">
        <v>763</v>
      </c>
      <c r="E62" s="274" t="s">
        <v>762</v>
      </c>
      <c r="F62" s="265">
        <v>0.1</v>
      </c>
      <c r="G62" s="273" t="s">
        <v>747</v>
      </c>
      <c r="H62" s="272" t="s">
        <v>761</v>
      </c>
      <c r="I62" s="265">
        <v>0</v>
      </c>
      <c r="J62" s="271">
        <f t="shared" si="0"/>
        <v>0.5</v>
      </c>
      <c r="K62" s="270"/>
      <c r="L62" s="279" t="s">
        <v>1010</v>
      </c>
      <c r="M62" s="279" t="s">
        <v>1010</v>
      </c>
      <c r="N62" s="279" t="s">
        <v>1010</v>
      </c>
      <c r="O62" s="268" t="s">
        <v>1010</v>
      </c>
      <c r="P62" s="268">
        <v>0</v>
      </c>
      <c r="Q62" s="277" t="s">
        <v>1010</v>
      </c>
      <c r="R62" s="267">
        <v>0</v>
      </c>
      <c r="S62" s="267">
        <v>0</v>
      </c>
      <c r="T62" s="276" t="s">
        <v>1010</v>
      </c>
    </row>
    <row r="63" spans="1:20" ht="15.75" customHeight="1" x14ac:dyDescent="0.25">
      <c r="A63" s="272" t="s">
        <v>207</v>
      </c>
      <c r="B63" s="275" t="s">
        <v>206</v>
      </c>
      <c r="C63" s="265">
        <v>0.4</v>
      </c>
      <c r="D63" s="273" t="s">
        <v>760</v>
      </c>
      <c r="E63" s="274" t="s">
        <v>759</v>
      </c>
      <c r="F63" s="265">
        <v>0.09</v>
      </c>
      <c r="G63" s="273" t="s">
        <v>758</v>
      </c>
      <c r="H63" s="272" t="s">
        <v>757</v>
      </c>
      <c r="I63" s="265">
        <v>0.01</v>
      </c>
      <c r="J63" s="271">
        <f t="shared" si="0"/>
        <v>0.5</v>
      </c>
      <c r="K63" s="270"/>
      <c r="L63" s="279" t="s">
        <v>1010</v>
      </c>
      <c r="M63" s="279" t="s">
        <v>1010</v>
      </c>
      <c r="N63" s="279" t="s">
        <v>1010</v>
      </c>
      <c r="O63" s="268" t="s">
        <v>1010</v>
      </c>
      <c r="P63" s="268">
        <v>0</v>
      </c>
      <c r="Q63" s="277" t="s">
        <v>1010</v>
      </c>
      <c r="R63" s="267">
        <v>0</v>
      </c>
      <c r="S63" s="267">
        <v>0</v>
      </c>
      <c r="T63" s="276" t="s">
        <v>1010</v>
      </c>
    </row>
    <row r="64" spans="1:20" ht="15.75" customHeight="1" x14ac:dyDescent="0.25">
      <c r="A64" s="272" t="s">
        <v>209</v>
      </c>
      <c r="B64" s="275" t="s">
        <v>208</v>
      </c>
      <c r="C64" s="265">
        <v>0.4</v>
      </c>
      <c r="D64" s="273" t="s">
        <v>756</v>
      </c>
      <c r="E64" s="274" t="s">
        <v>755</v>
      </c>
      <c r="F64" s="265">
        <v>0.09</v>
      </c>
      <c r="G64" s="273" t="s">
        <v>754</v>
      </c>
      <c r="H64" s="272" t="s">
        <v>753</v>
      </c>
      <c r="I64" s="265">
        <v>0.01</v>
      </c>
      <c r="J64" s="271">
        <f t="shared" si="0"/>
        <v>0.5</v>
      </c>
      <c r="K64" s="270"/>
      <c r="L64" s="279" t="s">
        <v>1010</v>
      </c>
      <c r="M64" s="279" t="s">
        <v>1010</v>
      </c>
      <c r="N64" s="279" t="s">
        <v>1010</v>
      </c>
      <c r="O64" s="268" t="s">
        <v>1010</v>
      </c>
      <c r="P64" s="268">
        <v>0</v>
      </c>
      <c r="Q64" s="277" t="s">
        <v>1010</v>
      </c>
      <c r="R64" s="267">
        <v>0</v>
      </c>
      <c r="S64" s="267">
        <v>0</v>
      </c>
      <c r="T64" s="276" t="s">
        <v>1010</v>
      </c>
    </row>
    <row r="65" spans="1:20" ht="15.75" customHeight="1" x14ac:dyDescent="0.25">
      <c r="A65" s="272" t="s">
        <v>211</v>
      </c>
      <c r="B65" s="275" t="s">
        <v>210</v>
      </c>
      <c r="C65" s="265">
        <v>0.4</v>
      </c>
      <c r="D65" s="273" t="s">
        <v>786</v>
      </c>
      <c r="E65" s="274" t="s">
        <v>785</v>
      </c>
      <c r="F65" s="265">
        <v>0.09</v>
      </c>
      <c r="G65" s="273" t="s">
        <v>784</v>
      </c>
      <c r="H65" s="272" t="s">
        <v>783</v>
      </c>
      <c r="I65" s="265">
        <v>0.01</v>
      </c>
      <c r="J65" s="271">
        <f t="shared" si="0"/>
        <v>0.5</v>
      </c>
      <c r="K65" s="270"/>
      <c r="L65" s="279" t="s">
        <v>1010</v>
      </c>
      <c r="M65" s="279" t="s">
        <v>1010</v>
      </c>
      <c r="N65" s="279" t="s">
        <v>1010</v>
      </c>
      <c r="O65" s="268" t="s">
        <v>1010</v>
      </c>
      <c r="P65" s="268">
        <v>0</v>
      </c>
      <c r="Q65" s="277" t="s">
        <v>1010</v>
      </c>
      <c r="R65" s="267">
        <v>0</v>
      </c>
      <c r="S65" s="267">
        <v>0</v>
      </c>
      <c r="T65" s="276" t="s">
        <v>1010</v>
      </c>
    </row>
    <row r="66" spans="1:20" ht="15.75" customHeight="1" x14ac:dyDescent="0.25">
      <c r="A66" s="272" t="s">
        <v>213</v>
      </c>
      <c r="B66" s="275" t="s">
        <v>212</v>
      </c>
      <c r="C66" s="265">
        <v>0.3</v>
      </c>
      <c r="D66" s="273" t="s">
        <v>916</v>
      </c>
      <c r="E66" s="274" t="s">
        <v>915</v>
      </c>
      <c r="F66" s="265">
        <v>0.2</v>
      </c>
      <c r="G66" s="273" t="s">
        <v>747</v>
      </c>
      <c r="H66" s="274" t="s">
        <v>747</v>
      </c>
      <c r="I66" s="265">
        <v>0</v>
      </c>
      <c r="J66" s="271">
        <f t="shared" si="0"/>
        <v>0.5</v>
      </c>
      <c r="K66" s="270"/>
      <c r="L66" s="279" t="s">
        <v>1010</v>
      </c>
      <c r="M66" s="279" t="s">
        <v>1010</v>
      </c>
      <c r="N66" s="279" t="s">
        <v>1010</v>
      </c>
      <c r="O66" s="268" t="s">
        <v>1010</v>
      </c>
      <c r="P66" s="268">
        <v>0</v>
      </c>
      <c r="Q66" s="277" t="s">
        <v>1011</v>
      </c>
      <c r="R66" s="267">
        <v>0</v>
      </c>
      <c r="S66" s="267">
        <v>0</v>
      </c>
      <c r="T66" s="276" t="s">
        <v>1010</v>
      </c>
    </row>
    <row r="67" spans="1:20" ht="15.75" customHeight="1" x14ac:dyDescent="0.25">
      <c r="A67" s="272" t="s">
        <v>215</v>
      </c>
      <c r="B67" s="275" t="s">
        <v>214</v>
      </c>
      <c r="C67" s="265">
        <v>0.4</v>
      </c>
      <c r="D67" s="273" t="s">
        <v>821</v>
      </c>
      <c r="E67" s="274" t="s">
        <v>820</v>
      </c>
      <c r="F67" s="265">
        <v>0.09</v>
      </c>
      <c r="G67" s="273" t="s">
        <v>819</v>
      </c>
      <c r="H67" s="272" t="s">
        <v>818</v>
      </c>
      <c r="I67" s="265">
        <v>0.01</v>
      </c>
      <c r="J67" s="271">
        <f t="shared" si="0"/>
        <v>0.5</v>
      </c>
      <c r="K67" s="270"/>
      <c r="L67" s="279" t="s">
        <v>1010</v>
      </c>
      <c r="M67" s="279" t="s">
        <v>1010</v>
      </c>
      <c r="N67" s="279" t="s">
        <v>1010</v>
      </c>
      <c r="O67" s="268" t="s">
        <v>1010</v>
      </c>
      <c r="P67" s="268">
        <v>0</v>
      </c>
      <c r="Q67" s="277" t="s">
        <v>1010</v>
      </c>
      <c r="R67" s="267">
        <v>0</v>
      </c>
      <c r="S67" s="267">
        <v>0</v>
      </c>
      <c r="T67" s="276" t="s">
        <v>1010</v>
      </c>
    </row>
    <row r="68" spans="1:20" ht="15.75" customHeight="1" x14ac:dyDescent="0.25">
      <c r="A68" s="272" t="s">
        <v>217</v>
      </c>
      <c r="B68" s="275" t="s">
        <v>216</v>
      </c>
      <c r="C68" s="265">
        <v>0.4</v>
      </c>
      <c r="D68" s="273" t="s">
        <v>850</v>
      </c>
      <c r="E68" s="274" t="s">
        <v>849</v>
      </c>
      <c r="F68" s="265">
        <v>0.1</v>
      </c>
      <c r="G68" s="273" t="s">
        <v>747</v>
      </c>
      <c r="H68" s="272" t="s">
        <v>761</v>
      </c>
      <c r="I68" s="265">
        <v>0</v>
      </c>
      <c r="J68" s="271">
        <f t="shared" si="0"/>
        <v>0.5</v>
      </c>
      <c r="K68" s="270"/>
      <c r="L68" s="279" t="s">
        <v>1010</v>
      </c>
      <c r="M68" s="279" t="s">
        <v>1010</v>
      </c>
      <c r="N68" s="279" t="s">
        <v>1010</v>
      </c>
      <c r="O68" s="268" t="s">
        <v>1010</v>
      </c>
      <c r="P68" s="268">
        <v>0</v>
      </c>
      <c r="Q68" s="277" t="s">
        <v>1010</v>
      </c>
      <c r="R68" s="267">
        <v>0</v>
      </c>
      <c r="S68" s="267">
        <v>0</v>
      </c>
      <c r="T68" s="276" t="s">
        <v>1010</v>
      </c>
    </row>
    <row r="69" spans="1:20" ht="15.75" customHeight="1" x14ac:dyDescent="0.25">
      <c r="A69" s="272" t="s">
        <v>219</v>
      </c>
      <c r="B69" s="275" t="s">
        <v>218</v>
      </c>
      <c r="C69" s="265">
        <v>0.4</v>
      </c>
      <c r="D69" s="273" t="s">
        <v>804</v>
      </c>
      <c r="E69" s="274" t="s">
        <v>803</v>
      </c>
      <c r="F69" s="265">
        <v>0.1</v>
      </c>
      <c r="G69" s="273" t="s">
        <v>747</v>
      </c>
      <c r="H69" s="272" t="s">
        <v>761</v>
      </c>
      <c r="I69" s="265">
        <v>0</v>
      </c>
      <c r="J69" s="271">
        <f t="shared" si="0"/>
        <v>0.5</v>
      </c>
      <c r="K69" s="270"/>
      <c r="L69" s="279" t="s">
        <v>1010</v>
      </c>
      <c r="M69" s="279" t="s">
        <v>1010</v>
      </c>
      <c r="N69" s="279" t="s">
        <v>1010</v>
      </c>
      <c r="O69" s="268" t="s">
        <v>1010</v>
      </c>
      <c r="P69" s="268">
        <v>0</v>
      </c>
      <c r="Q69" s="277" t="s">
        <v>1010</v>
      </c>
      <c r="R69" s="267">
        <v>0</v>
      </c>
      <c r="S69" s="267">
        <v>0</v>
      </c>
      <c r="T69" s="276" t="s">
        <v>1010</v>
      </c>
    </row>
    <row r="70" spans="1:20" x14ac:dyDescent="0.25">
      <c r="A70" s="274" t="s">
        <v>221</v>
      </c>
      <c r="B70" s="274" t="s">
        <v>220</v>
      </c>
      <c r="C70" s="265">
        <v>0.5</v>
      </c>
      <c r="D70" s="273" t="s">
        <v>747</v>
      </c>
      <c r="E70" s="274" t="s">
        <v>746</v>
      </c>
      <c r="F70" s="265">
        <v>0</v>
      </c>
      <c r="G70" s="273" t="s">
        <v>747</v>
      </c>
      <c r="H70" s="272" t="s">
        <v>761</v>
      </c>
      <c r="I70" s="265">
        <v>0</v>
      </c>
      <c r="J70" s="271">
        <f t="shared" ref="J70:J133" si="1">+C70+F70+I70</f>
        <v>0.5</v>
      </c>
      <c r="K70" s="270"/>
      <c r="L70" s="279" t="s">
        <v>1011</v>
      </c>
      <c r="M70" s="279" t="s">
        <v>1018</v>
      </c>
      <c r="N70" s="279" t="s">
        <v>1010</v>
      </c>
      <c r="O70" s="268" t="s">
        <v>1010</v>
      </c>
      <c r="P70" s="268">
        <v>0</v>
      </c>
      <c r="Q70" s="277" t="s">
        <v>1011</v>
      </c>
      <c r="R70" s="267">
        <v>429388</v>
      </c>
      <c r="S70" s="267">
        <v>0</v>
      </c>
      <c r="T70" s="276" t="s">
        <v>1011</v>
      </c>
    </row>
    <row r="71" spans="1:20" ht="15.75" customHeight="1" x14ac:dyDescent="0.25">
      <c r="A71" s="272" t="s">
        <v>223</v>
      </c>
      <c r="B71" s="275" t="s">
        <v>222</v>
      </c>
      <c r="C71" s="265">
        <v>0.4</v>
      </c>
      <c r="D71" s="273" t="s">
        <v>830</v>
      </c>
      <c r="E71" s="274" t="s">
        <v>829</v>
      </c>
      <c r="F71" s="265">
        <v>0.1</v>
      </c>
      <c r="G71" s="273" t="s">
        <v>747</v>
      </c>
      <c r="H71" s="272" t="s">
        <v>761</v>
      </c>
      <c r="I71" s="265">
        <v>0</v>
      </c>
      <c r="J71" s="271">
        <f t="shared" si="1"/>
        <v>0.5</v>
      </c>
      <c r="K71" s="270"/>
      <c r="L71" s="279" t="s">
        <v>1010</v>
      </c>
      <c r="M71" s="279" t="s">
        <v>1010</v>
      </c>
      <c r="N71" s="279" t="s">
        <v>1010</v>
      </c>
      <c r="O71" s="268" t="s">
        <v>1010</v>
      </c>
      <c r="P71" s="268">
        <v>0</v>
      </c>
      <c r="Q71" s="277" t="s">
        <v>1010</v>
      </c>
      <c r="R71" s="267">
        <v>0</v>
      </c>
      <c r="S71" s="267">
        <v>0</v>
      </c>
      <c r="T71" s="276" t="s">
        <v>1010</v>
      </c>
    </row>
    <row r="72" spans="1:20" ht="15.75" customHeight="1" x14ac:dyDescent="0.25">
      <c r="A72" s="272" t="s">
        <v>225</v>
      </c>
      <c r="B72" s="275" t="s">
        <v>224</v>
      </c>
      <c r="C72" s="265">
        <v>0.49</v>
      </c>
      <c r="D72" s="273" t="s">
        <v>747</v>
      </c>
      <c r="E72" s="274" t="s">
        <v>766</v>
      </c>
      <c r="F72" s="265">
        <v>0</v>
      </c>
      <c r="G72" s="273" t="s">
        <v>765</v>
      </c>
      <c r="H72" s="272" t="s">
        <v>764</v>
      </c>
      <c r="I72" s="265">
        <v>0.01</v>
      </c>
      <c r="J72" s="271">
        <f t="shared" si="1"/>
        <v>0.5</v>
      </c>
      <c r="L72" s="279" t="s">
        <v>1010</v>
      </c>
      <c r="M72" s="279" t="s">
        <v>1010</v>
      </c>
      <c r="N72" s="279" t="s">
        <v>1010</v>
      </c>
      <c r="O72" s="268" t="s">
        <v>1011</v>
      </c>
      <c r="P72" s="268">
        <v>2838669</v>
      </c>
      <c r="Q72" s="277" t="s">
        <v>1011</v>
      </c>
      <c r="R72" s="267">
        <v>0</v>
      </c>
      <c r="S72" s="267">
        <v>0</v>
      </c>
      <c r="T72" s="276" t="s">
        <v>1011</v>
      </c>
    </row>
    <row r="73" spans="1:20" ht="15.75" customHeight="1" x14ac:dyDescent="0.25">
      <c r="A73" s="272" t="s">
        <v>227</v>
      </c>
      <c r="B73" s="275" t="s">
        <v>226</v>
      </c>
      <c r="C73" s="265">
        <v>0.4</v>
      </c>
      <c r="D73" s="273" t="s">
        <v>866</v>
      </c>
      <c r="E73" s="274" t="s">
        <v>865</v>
      </c>
      <c r="F73" s="265">
        <v>0.09</v>
      </c>
      <c r="G73" s="273" t="s">
        <v>745</v>
      </c>
      <c r="H73" s="272" t="s">
        <v>744</v>
      </c>
      <c r="I73" s="265">
        <v>0.01</v>
      </c>
      <c r="J73" s="271">
        <f t="shared" si="1"/>
        <v>0.5</v>
      </c>
      <c r="K73" s="270"/>
      <c r="L73" s="279" t="s">
        <v>1010</v>
      </c>
      <c r="M73" s="279" t="s">
        <v>1010</v>
      </c>
      <c r="N73" s="279" t="s">
        <v>1010</v>
      </c>
      <c r="O73" s="268" t="s">
        <v>1010</v>
      </c>
      <c r="P73" s="268">
        <v>0</v>
      </c>
      <c r="Q73" s="277" t="s">
        <v>1010</v>
      </c>
      <c r="R73" s="267">
        <v>0</v>
      </c>
      <c r="S73" s="267">
        <v>0</v>
      </c>
      <c r="T73" s="276" t="s">
        <v>1010</v>
      </c>
    </row>
    <row r="74" spans="1:20" ht="15.75" customHeight="1" x14ac:dyDescent="0.25">
      <c r="A74" s="272" t="s">
        <v>229</v>
      </c>
      <c r="B74" s="275" t="s">
        <v>228</v>
      </c>
      <c r="C74" s="265">
        <v>0.4</v>
      </c>
      <c r="D74" s="273" t="s">
        <v>763</v>
      </c>
      <c r="E74" s="274" t="s">
        <v>762</v>
      </c>
      <c r="F74" s="265">
        <v>0.1</v>
      </c>
      <c r="G74" s="273" t="s">
        <v>747</v>
      </c>
      <c r="H74" s="272" t="s">
        <v>761</v>
      </c>
      <c r="I74" s="265">
        <v>0</v>
      </c>
      <c r="J74" s="271">
        <f t="shared" si="1"/>
        <v>0.5</v>
      </c>
      <c r="K74" s="270"/>
      <c r="L74" s="279" t="s">
        <v>1010</v>
      </c>
      <c r="M74" s="279" t="s">
        <v>1010</v>
      </c>
      <c r="N74" s="279" t="s">
        <v>1010</v>
      </c>
      <c r="O74" s="268" t="s">
        <v>1010</v>
      </c>
      <c r="P74" s="268">
        <v>0</v>
      </c>
      <c r="Q74" s="277" t="s">
        <v>1010</v>
      </c>
      <c r="R74" s="267">
        <v>0</v>
      </c>
      <c r="S74" s="267">
        <v>0</v>
      </c>
      <c r="T74" s="276" t="s">
        <v>1010</v>
      </c>
    </row>
    <row r="75" spans="1:20" ht="15.75" customHeight="1" x14ac:dyDescent="0.25">
      <c r="A75" s="272" t="s">
        <v>231</v>
      </c>
      <c r="B75" s="275" t="s">
        <v>230</v>
      </c>
      <c r="C75" s="265">
        <v>0.3</v>
      </c>
      <c r="D75" s="273" t="s">
        <v>789</v>
      </c>
      <c r="E75" s="274" t="s">
        <v>788</v>
      </c>
      <c r="F75" s="265">
        <v>0.2</v>
      </c>
      <c r="G75" s="273" t="s">
        <v>747</v>
      </c>
      <c r="H75" s="274" t="s">
        <v>747</v>
      </c>
      <c r="I75" s="265">
        <v>0</v>
      </c>
      <c r="J75" s="271">
        <f t="shared" si="1"/>
        <v>0.5</v>
      </c>
      <c r="K75" s="270"/>
      <c r="L75" s="279" t="s">
        <v>1010</v>
      </c>
      <c r="M75" s="279" t="s">
        <v>1010</v>
      </c>
      <c r="N75" s="279" t="s">
        <v>1010</v>
      </c>
      <c r="O75" s="268" t="s">
        <v>1010</v>
      </c>
      <c r="P75" s="268">
        <v>0</v>
      </c>
      <c r="Q75" s="277" t="s">
        <v>1011</v>
      </c>
      <c r="R75" s="267">
        <v>0</v>
      </c>
      <c r="S75" s="267">
        <v>0</v>
      </c>
      <c r="T75" s="276" t="s">
        <v>1011</v>
      </c>
    </row>
    <row r="76" spans="1:20" ht="15.75" customHeight="1" x14ac:dyDescent="0.25">
      <c r="A76" s="272" t="s">
        <v>233</v>
      </c>
      <c r="B76" s="275" t="s">
        <v>232</v>
      </c>
      <c r="C76" s="265">
        <v>0.4</v>
      </c>
      <c r="D76" s="273" t="s">
        <v>802</v>
      </c>
      <c r="E76" s="274" t="s">
        <v>801</v>
      </c>
      <c r="F76" s="265">
        <v>0.1</v>
      </c>
      <c r="G76" s="273" t="s">
        <v>747</v>
      </c>
      <c r="H76" s="272" t="s">
        <v>761</v>
      </c>
      <c r="I76" s="265">
        <v>0</v>
      </c>
      <c r="J76" s="271">
        <f t="shared" si="1"/>
        <v>0.5</v>
      </c>
      <c r="K76" s="270"/>
      <c r="L76" s="279" t="s">
        <v>1010</v>
      </c>
      <c r="M76" s="279" t="s">
        <v>1010</v>
      </c>
      <c r="N76" s="279" t="s">
        <v>1010</v>
      </c>
      <c r="O76" s="268" t="s">
        <v>1010</v>
      </c>
      <c r="P76" s="268">
        <v>0</v>
      </c>
      <c r="Q76" s="277" t="s">
        <v>1010</v>
      </c>
      <c r="R76" s="267">
        <v>0</v>
      </c>
      <c r="S76" s="267">
        <v>0</v>
      </c>
      <c r="T76" s="276" t="s">
        <v>1010</v>
      </c>
    </row>
    <row r="77" spans="1:20" ht="15.75" customHeight="1" x14ac:dyDescent="0.25">
      <c r="A77" s="272" t="s">
        <v>235</v>
      </c>
      <c r="B77" s="275" t="s">
        <v>914</v>
      </c>
      <c r="C77" s="265">
        <v>0.49</v>
      </c>
      <c r="D77" s="273" t="s">
        <v>747</v>
      </c>
      <c r="E77" s="274" t="s">
        <v>746</v>
      </c>
      <c r="F77" s="265">
        <v>0</v>
      </c>
      <c r="G77" s="273" t="s">
        <v>912</v>
      </c>
      <c r="H77" s="272" t="s">
        <v>911</v>
      </c>
      <c r="I77" s="265">
        <v>0.01</v>
      </c>
      <c r="J77" s="271">
        <f t="shared" si="1"/>
        <v>0.5</v>
      </c>
      <c r="K77" s="270"/>
      <c r="L77" s="279" t="s">
        <v>1010</v>
      </c>
      <c r="M77" s="279" t="s">
        <v>1010</v>
      </c>
      <c r="N77" s="279" t="s">
        <v>1010</v>
      </c>
      <c r="O77" s="268" t="s">
        <v>1010</v>
      </c>
      <c r="P77" s="268">
        <v>0</v>
      </c>
      <c r="Q77" s="277" t="s">
        <v>1011</v>
      </c>
      <c r="R77" s="267">
        <v>0</v>
      </c>
      <c r="S77" s="267">
        <v>0</v>
      </c>
      <c r="T77" s="276" t="s">
        <v>1011</v>
      </c>
    </row>
    <row r="78" spans="1:20" ht="15.75" customHeight="1" x14ac:dyDescent="0.25">
      <c r="A78" s="272" t="s">
        <v>237</v>
      </c>
      <c r="B78" s="275" t="s">
        <v>236</v>
      </c>
      <c r="C78" s="265">
        <v>0.4</v>
      </c>
      <c r="D78" s="273" t="s">
        <v>825</v>
      </c>
      <c r="E78" s="274" t="s">
        <v>824</v>
      </c>
      <c r="F78" s="265">
        <v>0.09</v>
      </c>
      <c r="G78" s="273" t="s">
        <v>823</v>
      </c>
      <c r="H78" s="272" t="s">
        <v>822</v>
      </c>
      <c r="I78" s="265">
        <v>0.01</v>
      </c>
      <c r="J78" s="271">
        <f t="shared" si="1"/>
        <v>0.5</v>
      </c>
      <c r="K78" s="270"/>
      <c r="L78" s="279" t="s">
        <v>1010</v>
      </c>
      <c r="M78" s="279" t="s">
        <v>1010</v>
      </c>
      <c r="N78" s="279" t="s">
        <v>1010</v>
      </c>
      <c r="O78" s="268" t="s">
        <v>1010</v>
      </c>
      <c r="P78" s="268">
        <v>0</v>
      </c>
      <c r="Q78" s="277" t="s">
        <v>1010</v>
      </c>
      <c r="R78" s="267">
        <v>0</v>
      </c>
      <c r="S78" s="267">
        <v>0</v>
      </c>
      <c r="T78" s="276" t="s">
        <v>1010</v>
      </c>
    </row>
    <row r="79" spans="1:20" ht="15.75" customHeight="1" x14ac:dyDescent="0.25">
      <c r="A79" s="272" t="s">
        <v>239</v>
      </c>
      <c r="B79" s="275" t="s">
        <v>238</v>
      </c>
      <c r="C79" s="265">
        <v>0.4</v>
      </c>
      <c r="D79" s="273" t="s">
        <v>804</v>
      </c>
      <c r="E79" s="274" t="s">
        <v>803</v>
      </c>
      <c r="F79" s="265">
        <v>0.1</v>
      </c>
      <c r="G79" s="273" t="s">
        <v>747</v>
      </c>
      <c r="H79" s="272" t="s">
        <v>761</v>
      </c>
      <c r="I79" s="265">
        <v>0</v>
      </c>
      <c r="J79" s="271">
        <f t="shared" si="1"/>
        <v>0.5</v>
      </c>
      <c r="K79" s="270"/>
      <c r="L79" s="279" t="s">
        <v>1010</v>
      </c>
      <c r="M79" s="279" t="s">
        <v>1010</v>
      </c>
      <c r="N79" s="279" t="s">
        <v>1010</v>
      </c>
      <c r="O79" s="268" t="s">
        <v>1011</v>
      </c>
      <c r="P79" s="268">
        <v>544707</v>
      </c>
      <c r="Q79" s="277" t="s">
        <v>1010</v>
      </c>
      <c r="R79" s="267">
        <v>0</v>
      </c>
      <c r="S79" s="267">
        <v>0</v>
      </c>
      <c r="T79" s="276" t="s">
        <v>1010</v>
      </c>
    </row>
    <row r="80" spans="1:20" ht="15.75" customHeight="1" x14ac:dyDescent="0.25">
      <c r="A80" s="272" t="s">
        <v>241</v>
      </c>
      <c r="B80" s="281" t="s">
        <v>913</v>
      </c>
      <c r="C80" s="265">
        <v>0.49</v>
      </c>
      <c r="D80" s="273" t="s">
        <v>747</v>
      </c>
      <c r="E80" s="274" t="s">
        <v>746</v>
      </c>
      <c r="F80" s="265">
        <v>0</v>
      </c>
      <c r="G80" s="273" t="s">
        <v>855</v>
      </c>
      <c r="H80" s="272" t="s">
        <v>854</v>
      </c>
      <c r="I80" s="265">
        <v>0.01</v>
      </c>
      <c r="J80" s="271">
        <f t="shared" si="1"/>
        <v>0.5</v>
      </c>
      <c r="K80" s="270"/>
      <c r="L80" s="279" t="s">
        <v>1011</v>
      </c>
      <c r="M80" s="279" t="s">
        <v>1019</v>
      </c>
      <c r="N80" s="279" t="s">
        <v>1010</v>
      </c>
      <c r="O80" s="268" t="s">
        <v>1010</v>
      </c>
      <c r="P80" s="268">
        <v>0</v>
      </c>
      <c r="Q80" s="277" t="s">
        <v>1011</v>
      </c>
      <c r="R80" s="267">
        <v>0</v>
      </c>
      <c r="S80" s="267">
        <v>0</v>
      </c>
      <c r="T80" s="276" t="s">
        <v>1011</v>
      </c>
    </row>
    <row r="81" spans="1:20" ht="15.75" customHeight="1" x14ac:dyDescent="0.25">
      <c r="A81" s="272" t="s">
        <v>243</v>
      </c>
      <c r="B81" s="275" t="s">
        <v>242</v>
      </c>
      <c r="C81" s="265">
        <v>0.4</v>
      </c>
      <c r="D81" s="273" t="s">
        <v>857</v>
      </c>
      <c r="E81" s="274" t="s">
        <v>856</v>
      </c>
      <c r="F81" s="265">
        <v>0.09</v>
      </c>
      <c r="G81" s="273" t="s">
        <v>855</v>
      </c>
      <c r="H81" s="272" t="s">
        <v>854</v>
      </c>
      <c r="I81" s="265">
        <v>0.01</v>
      </c>
      <c r="J81" s="271">
        <f t="shared" si="1"/>
        <v>0.5</v>
      </c>
      <c r="K81" s="270"/>
      <c r="L81" s="279" t="s">
        <v>1010</v>
      </c>
      <c r="M81" s="279" t="s">
        <v>1010</v>
      </c>
      <c r="N81" s="279" t="s">
        <v>1010</v>
      </c>
      <c r="O81" s="268" t="s">
        <v>1010</v>
      </c>
      <c r="P81" s="268">
        <v>0</v>
      </c>
      <c r="Q81" s="277" t="s">
        <v>1010</v>
      </c>
      <c r="R81" s="267">
        <v>0</v>
      </c>
      <c r="S81" s="267">
        <v>0</v>
      </c>
      <c r="T81" s="276" t="s">
        <v>1010</v>
      </c>
    </row>
    <row r="82" spans="1:20" ht="15.75" customHeight="1" x14ac:dyDescent="0.25">
      <c r="A82" s="272" t="s">
        <v>245</v>
      </c>
      <c r="B82" s="275" t="s">
        <v>244</v>
      </c>
      <c r="C82" s="265">
        <v>0.49</v>
      </c>
      <c r="D82" s="273" t="s">
        <v>747</v>
      </c>
      <c r="E82" s="274" t="s">
        <v>766</v>
      </c>
      <c r="F82" s="265">
        <v>0</v>
      </c>
      <c r="G82" s="273" t="s">
        <v>864</v>
      </c>
      <c r="H82" s="272" t="s">
        <v>863</v>
      </c>
      <c r="I82" s="265">
        <v>0.01</v>
      </c>
      <c r="J82" s="271">
        <f t="shared" si="1"/>
        <v>0.5</v>
      </c>
      <c r="L82" s="279" t="s">
        <v>1010</v>
      </c>
      <c r="M82" s="279" t="s">
        <v>1010</v>
      </c>
      <c r="N82" s="279" t="s">
        <v>1010</v>
      </c>
      <c r="O82" s="268" t="s">
        <v>1010</v>
      </c>
      <c r="P82" s="268">
        <v>0</v>
      </c>
      <c r="Q82" s="277" t="s">
        <v>1011</v>
      </c>
      <c r="R82" s="267">
        <v>0</v>
      </c>
      <c r="S82" s="267">
        <v>0</v>
      </c>
      <c r="T82" s="276" t="s">
        <v>1011</v>
      </c>
    </row>
    <row r="83" spans="1:20" ht="15.75" customHeight="1" x14ac:dyDescent="0.25">
      <c r="A83" s="272" t="s">
        <v>247</v>
      </c>
      <c r="B83" s="275" t="s">
        <v>246</v>
      </c>
      <c r="C83" s="265">
        <v>0.4</v>
      </c>
      <c r="D83" s="273" t="s">
        <v>825</v>
      </c>
      <c r="E83" s="274" t="s">
        <v>824</v>
      </c>
      <c r="F83" s="265">
        <v>0.09</v>
      </c>
      <c r="G83" s="273" t="s">
        <v>823</v>
      </c>
      <c r="H83" s="272" t="s">
        <v>822</v>
      </c>
      <c r="I83" s="265">
        <v>0.01</v>
      </c>
      <c r="J83" s="271">
        <f t="shared" si="1"/>
        <v>0.5</v>
      </c>
      <c r="K83" s="270"/>
      <c r="L83" s="279" t="s">
        <v>1010</v>
      </c>
      <c r="M83" s="279" t="s">
        <v>1010</v>
      </c>
      <c r="N83" s="279" t="s">
        <v>1010</v>
      </c>
      <c r="O83" s="268" t="s">
        <v>1010</v>
      </c>
      <c r="P83" s="268">
        <v>0</v>
      </c>
      <c r="Q83" s="277" t="s">
        <v>1010</v>
      </c>
      <c r="R83" s="267">
        <v>0</v>
      </c>
      <c r="S83" s="267">
        <v>0</v>
      </c>
      <c r="T83" s="276" t="s">
        <v>1010</v>
      </c>
    </row>
    <row r="84" spans="1:20" ht="15.75" customHeight="1" x14ac:dyDescent="0.25">
      <c r="A84" s="272" t="s">
        <v>249</v>
      </c>
      <c r="B84" s="275" t="s">
        <v>248</v>
      </c>
      <c r="C84" s="265">
        <v>0.49</v>
      </c>
      <c r="D84" s="273" t="s">
        <v>747</v>
      </c>
      <c r="E84" s="274" t="s">
        <v>766</v>
      </c>
      <c r="F84" s="265">
        <v>0</v>
      </c>
      <c r="G84" s="273" t="s">
        <v>765</v>
      </c>
      <c r="H84" s="272" t="s">
        <v>764</v>
      </c>
      <c r="I84" s="265">
        <v>0.01</v>
      </c>
      <c r="J84" s="271">
        <f t="shared" si="1"/>
        <v>0.5</v>
      </c>
      <c r="K84" s="270"/>
      <c r="L84" s="279" t="s">
        <v>1010</v>
      </c>
      <c r="M84" s="279" t="s">
        <v>1010</v>
      </c>
      <c r="N84" s="279" t="s">
        <v>1010</v>
      </c>
      <c r="O84" s="268" t="s">
        <v>1011</v>
      </c>
      <c r="P84" s="268">
        <v>2700000</v>
      </c>
      <c r="Q84" s="277" t="s">
        <v>1011</v>
      </c>
      <c r="R84" s="267">
        <v>0</v>
      </c>
      <c r="S84" s="267">
        <v>0</v>
      </c>
      <c r="T84" s="276" t="s">
        <v>1011</v>
      </c>
    </row>
    <row r="85" spans="1:20" ht="15.75" customHeight="1" x14ac:dyDescent="0.25">
      <c r="A85" s="272" t="s">
        <v>251</v>
      </c>
      <c r="B85" s="281" t="s">
        <v>250</v>
      </c>
      <c r="C85" s="265">
        <v>0.49</v>
      </c>
      <c r="D85" s="273" t="s">
        <v>747</v>
      </c>
      <c r="E85" s="274" t="s">
        <v>746</v>
      </c>
      <c r="F85" s="265">
        <v>0</v>
      </c>
      <c r="G85" s="273" t="s">
        <v>912</v>
      </c>
      <c r="H85" s="272" t="s">
        <v>911</v>
      </c>
      <c r="I85" s="265">
        <v>0.01</v>
      </c>
      <c r="J85" s="271">
        <f t="shared" si="1"/>
        <v>0.5</v>
      </c>
      <c r="K85" s="270"/>
      <c r="L85" s="279" t="s">
        <v>1010</v>
      </c>
      <c r="M85" s="279" t="s">
        <v>1010</v>
      </c>
      <c r="N85" s="279" t="s">
        <v>1010</v>
      </c>
      <c r="O85" s="268" t="s">
        <v>1010</v>
      </c>
      <c r="P85" s="268">
        <v>0</v>
      </c>
      <c r="Q85" s="277" t="s">
        <v>1011</v>
      </c>
      <c r="R85" s="267">
        <v>0</v>
      </c>
      <c r="S85" s="267">
        <v>0</v>
      </c>
      <c r="T85" s="276" t="s">
        <v>1011</v>
      </c>
    </row>
    <row r="86" spans="1:20" ht="15.75" customHeight="1" x14ac:dyDescent="0.25">
      <c r="A86" s="272" t="s">
        <v>253</v>
      </c>
      <c r="B86" s="275" t="s">
        <v>252</v>
      </c>
      <c r="C86" s="265">
        <v>0.3</v>
      </c>
      <c r="D86" s="273" t="s">
        <v>789</v>
      </c>
      <c r="E86" s="274" t="s">
        <v>788</v>
      </c>
      <c r="F86" s="265">
        <v>0.2</v>
      </c>
      <c r="G86" s="273" t="s">
        <v>747</v>
      </c>
      <c r="H86" s="274" t="s">
        <v>747</v>
      </c>
      <c r="I86" s="265">
        <v>0</v>
      </c>
      <c r="J86" s="271">
        <f t="shared" si="1"/>
        <v>0.5</v>
      </c>
      <c r="K86" s="270"/>
      <c r="L86" s="279" t="s">
        <v>1010</v>
      </c>
      <c r="M86" s="279" t="s">
        <v>1010</v>
      </c>
      <c r="N86" s="279" t="s">
        <v>1010</v>
      </c>
      <c r="O86" s="268" t="s">
        <v>1010</v>
      </c>
      <c r="P86" s="268">
        <v>0</v>
      </c>
      <c r="Q86" s="277" t="s">
        <v>1011</v>
      </c>
      <c r="R86" s="267">
        <v>0</v>
      </c>
      <c r="S86" s="267">
        <v>0</v>
      </c>
      <c r="T86" s="276" t="s">
        <v>1011</v>
      </c>
    </row>
    <row r="87" spans="1:20" ht="15.75" customHeight="1" x14ac:dyDescent="0.25">
      <c r="A87" s="272" t="s">
        <v>255</v>
      </c>
      <c r="B87" s="275" t="s">
        <v>254</v>
      </c>
      <c r="C87" s="265">
        <v>0.4</v>
      </c>
      <c r="D87" s="273" t="s">
        <v>861</v>
      </c>
      <c r="E87" s="274" t="s">
        <v>860</v>
      </c>
      <c r="F87" s="265">
        <v>0.09</v>
      </c>
      <c r="G87" s="273" t="s">
        <v>859</v>
      </c>
      <c r="H87" s="272" t="s">
        <v>858</v>
      </c>
      <c r="I87" s="265">
        <v>0.01</v>
      </c>
      <c r="J87" s="271">
        <f t="shared" si="1"/>
        <v>0.5</v>
      </c>
      <c r="K87" s="270"/>
      <c r="L87" s="279" t="s">
        <v>1010</v>
      </c>
      <c r="M87" s="279" t="s">
        <v>1010</v>
      </c>
      <c r="N87" s="279" t="s">
        <v>1010</v>
      </c>
      <c r="O87" s="268" t="s">
        <v>1010</v>
      </c>
      <c r="P87" s="268">
        <v>0</v>
      </c>
      <c r="Q87" s="277" t="s">
        <v>1010</v>
      </c>
      <c r="R87" s="267">
        <v>0</v>
      </c>
      <c r="S87" s="267">
        <v>0</v>
      </c>
      <c r="T87" s="276" t="s">
        <v>1010</v>
      </c>
    </row>
    <row r="88" spans="1:20" ht="15.75" customHeight="1" x14ac:dyDescent="0.25">
      <c r="A88" s="272" t="s">
        <v>257</v>
      </c>
      <c r="B88" s="275" t="s">
        <v>256</v>
      </c>
      <c r="C88" s="265">
        <v>0.4</v>
      </c>
      <c r="D88" s="273" t="s">
        <v>799</v>
      </c>
      <c r="E88" s="274" t="s">
        <v>798</v>
      </c>
      <c r="F88" s="265">
        <v>0.09</v>
      </c>
      <c r="G88" s="273" t="s">
        <v>791</v>
      </c>
      <c r="H88" s="282" t="s">
        <v>790</v>
      </c>
      <c r="I88" s="265">
        <v>0.01</v>
      </c>
      <c r="J88" s="271">
        <f t="shared" si="1"/>
        <v>0.5</v>
      </c>
      <c r="K88" s="270"/>
      <c r="L88" s="279" t="s">
        <v>1010</v>
      </c>
      <c r="M88" s="279" t="s">
        <v>1010</v>
      </c>
      <c r="N88" s="279" t="s">
        <v>1010</v>
      </c>
      <c r="O88" s="268" t="s">
        <v>1011</v>
      </c>
      <c r="P88" s="268">
        <v>628540</v>
      </c>
      <c r="Q88" s="277" t="s">
        <v>1010</v>
      </c>
      <c r="R88" s="267">
        <v>0</v>
      </c>
      <c r="S88" s="267">
        <v>0</v>
      </c>
      <c r="T88" s="276" t="s">
        <v>1010</v>
      </c>
    </row>
    <row r="89" spans="1:20" ht="15.75" customHeight="1" x14ac:dyDescent="0.25">
      <c r="A89" s="272" t="s">
        <v>259</v>
      </c>
      <c r="B89" s="275" t="s">
        <v>258</v>
      </c>
      <c r="C89" s="265">
        <v>0.4</v>
      </c>
      <c r="D89" s="273" t="s">
        <v>786</v>
      </c>
      <c r="E89" s="274" t="s">
        <v>785</v>
      </c>
      <c r="F89" s="265">
        <v>0.09</v>
      </c>
      <c r="G89" s="273" t="s">
        <v>784</v>
      </c>
      <c r="H89" s="272" t="s">
        <v>783</v>
      </c>
      <c r="I89" s="265">
        <v>0.01</v>
      </c>
      <c r="J89" s="271">
        <f t="shared" si="1"/>
        <v>0.5</v>
      </c>
      <c r="K89" s="270"/>
      <c r="L89" s="279" t="s">
        <v>1010</v>
      </c>
      <c r="M89" s="279" t="s">
        <v>1010</v>
      </c>
      <c r="N89" s="279" t="s">
        <v>1010</v>
      </c>
      <c r="O89" s="268" t="s">
        <v>1010</v>
      </c>
      <c r="P89" s="268">
        <v>0</v>
      </c>
      <c r="Q89" s="277" t="s">
        <v>1010</v>
      </c>
      <c r="R89" s="267">
        <v>0</v>
      </c>
      <c r="S89" s="267">
        <v>0</v>
      </c>
      <c r="T89" s="276" t="s">
        <v>1010</v>
      </c>
    </row>
    <row r="90" spans="1:20" ht="15.75" customHeight="1" x14ac:dyDescent="0.25">
      <c r="A90" s="272" t="s">
        <v>261</v>
      </c>
      <c r="B90" s="275" t="s">
        <v>260</v>
      </c>
      <c r="C90" s="265">
        <v>0.4</v>
      </c>
      <c r="D90" s="273" t="s">
        <v>778</v>
      </c>
      <c r="E90" s="274" t="s">
        <v>777</v>
      </c>
      <c r="F90" s="265">
        <v>0.09</v>
      </c>
      <c r="G90" s="273" t="s">
        <v>776</v>
      </c>
      <c r="H90" s="272" t="s">
        <v>775</v>
      </c>
      <c r="I90" s="265">
        <v>0.01</v>
      </c>
      <c r="J90" s="271">
        <f t="shared" si="1"/>
        <v>0.5</v>
      </c>
      <c r="K90" s="270"/>
      <c r="L90" s="279" t="s">
        <v>1010</v>
      </c>
      <c r="M90" s="279" t="s">
        <v>1010</v>
      </c>
      <c r="N90" s="279" t="s">
        <v>1010</v>
      </c>
      <c r="O90" s="268" t="s">
        <v>1010</v>
      </c>
      <c r="P90" s="268">
        <v>0</v>
      </c>
      <c r="Q90" s="277" t="s">
        <v>1010</v>
      </c>
      <c r="R90" s="267">
        <v>0</v>
      </c>
      <c r="S90" s="267">
        <v>0</v>
      </c>
      <c r="T90" s="276" t="s">
        <v>1010</v>
      </c>
    </row>
    <row r="91" spans="1:20" ht="15.75" customHeight="1" x14ac:dyDescent="0.25">
      <c r="A91" s="272" t="s">
        <v>263</v>
      </c>
      <c r="B91" s="275" t="s">
        <v>262</v>
      </c>
      <c r="C91" s="265">
        <v>0.4</v>
      </c>
      <c r="D91" s="273" t="s">
        <v>802</v>
      </c>
      <c r="E91" s="274" t="s">
        <v>801</v>
      </c>
      <c r="F91" s="265">
        <v>0.1</v>
      </c>
      <c r="G91" s="273" t="s">
        <v>747</v>
      </c>
      <c r="H91" s="272" t="s">
        <v>761</v>
      </c>
      <c r="I91" s="265">
        <v>0</v>
      </c>
      <c r="J91" s="271">
        <f t="shared" si="1"/>
        <v>0.5</v>
      </c>
      <c r="K91" s="270"/>
      <c r="L91" s="279" t="s">
        <v>1010</v>
      </c>
      <c r="M91" s="279" t="s">
        <v>1010</v>
      </c>
      <c r="N91" s="279" t="s">
        <v>1010</v>
      </c>
      <c r="O91" s="268" t="s">
        <v>1011</v>
      </c>
      <c r="P91" s="268">
        <v>779435</v>
      </c>
      <c r="Q91" s="277" t="s">
        <v>1010</v>
      </c>
      <c r="R91" s="267">
        <v>0</v>
      </c>
      <c r="S91" s="267">
        <v>0</v>
      </c>
      <c r="T91" s="276" t="s">
        <v>1010</v>
      </c>
    </row>
    <row r="92" spans="1:20" ht="15.75" customHeight="1" x14ac:dyDescent="0.25">
      <c r="A92" s="272" t="s">
        <v>265</v>
      </c>
      <c r="B92" s="275" t="s">
        <v>264</v>
      </c>
      <c r="C92" s="265">
        <v>0.4</v>
      </c>
      <c r="D92" s="273" t="s">
        <v>797</v>
      </c>
      <c r="E92" s="274" t="s">
        <v>796</v>
      </c>
      <c r="F92" s="265">
        <v>0.1</v>
      </c>
      <c r="G92" s="273" t="s">
        <v>747</v>
      </c>
      <c r="H92" s="272" t="s">
        <v>761</v>
      </c>
      <c r="I92" s="265">
        <v>0</v>
      </c>
      <c r="J92" s="271">
        <f t="shared" si="1"/>
        <v>0.5</v>
      </c>
      <c r="K92" s="270"/>
      <c r="L92" s="279" t="s">
        <v>1010</v>
      </c>
      <c r="M92" s="279" t="s">
        <v>1010</v>
      </c>
      <c r="N92" s="279" t="s">
        <v>1010</v>
      </c>
      <c r="O92" s="268" t="s">
        <v>1010</v>
      </c>
      <c r="P92" s="268">
        <v>0</v>
      </c>
      <c r="Q92" s="277" t="s">
        <v>1010</v>
      </c>
      <c r="R92" s="267">
        <v>0</v>
      </c>
      <c r="S92" s="267">
        <v>0</v>
      </c>
      <c r="T92" s="276" t="s">
        <v>1010</v>
      </c>
    </row>
    <row r="93" spans="1:20" ht="15.75" customHeight="1" x14ac:dyDescent="0.25">
      <c r="A93" s="272" t="s">
        <v>267</v>
      </c>
      <c r="B93" s="275" t="s">
        <v>266</v>
      </c>
      <c r="C93" s="265">
        <v>0.4</v>
      </c>
      <c r="D93" s="273" t="s">
        <v>804</v>
      </c>
      <c r="E93" s="274" t="s">
        <v>803</v>
      </c>
      <c r="F93" s="265">
        <v>0.1</v>
      </c>
      <c r="G93" s="273" t="s">
        <v>747</v>
      </c>
      <c r="H93" s="272" t="s">
        <v>761</v>
      </c>
      <c r="I93" s="265">
        <v>0</v>
      </c>
      <c r="J93" s="271">
        <f t="shared" si="1"/>
        <v>0.5</v>
      </c>
      <c r="K93" s="270"/>
      <c r="L93" s="279" t="s">
        <v>1010</v>
      </c>
      <c r="M93" s="279" t="s">
        <v>1010</v>
      </c>
      <c r="N93" s="279" t="s">
        <v>1010</v>
      </c>
      <c r="O93" s="268" t="s">
        <v>1011</v>
      </c>
      <c r="P93" s="268">
        <v>84800</v>
      </c>
      <c r="Q93" s="277" t="s">
        <v>1010</v>
      </c>
      <c r="R93" s="267">
        <v>0</v>
      </c>
      <c r="S93" s="267">
        <v>0</v>
      </c>
      <c r="T93" s="276" t="s">
        <v>1010</v>
      </c>
    </row>
    <row r="94" spans="1:20" x14ac:dyDescent="0.25">
      <c r="A94" s="272" t="s">
        <v>269</v>
      </c>
      <c r="B94" s="275" t="s">
        <v>910</v>
      </c>
      <c r="C94" s="265">
        <v>0.49</v>
      </c>
      <c r="D94" s="273" t="s">
        <v>747</v>
      </c>
      <c r="E94" s="274" t="s">
        <v>746</v>
      </c>
      <c r="F94" s="265">
        <v>0</v>
      </c>
      <c r="G94" s="273" t="s">
        <v>889</v>
      </c>
      <c r="H94" s="272" t="s">
        <v>888</v>
      </c>
      <c r="I94" s="265">
        <v>0.01</v>
      </c>
      <c r="J94" s="271">
        <f t="shared" si="1"/>
        <v>0.5</v>
      </c>
      <c r="K94" s="270"/>
      <c r="L94" s="279" t="s">
        <v>1011</v>
      </c>
      <c r="M94" s="279" t="s">
        <v>1020</v>
      </c>
      <c r="N94" s="279" t="s">
        <v>1021</v>
      </c>
      <c r="O94" s="268" t="s">
        <v>1011</v>
      </c>
      <c r="P94" s="268">
        <v>1451347</v>
      </c>
      <c r="Q94" s="277" t="s">
        <v>1011</v>
      </c>
      <c r="R94" s="267">
        <v>0</v>
      </c>
      <c r="S94" s="267">
        <v>97702</v>
      </c>
      <c r="T94" s="276" t="s">
        <v>1011</v>
      </c>
    </row>
    <row r="95" spans="1:20" ht="15.75" customHeight="1" x14ac:dyDescent="0.25">
      <c r="A95" s="272" t="s">
        <v>271</v>
      </c>
      <c r="B95" s="275" t="s">
        <v>270</v>
      </c>
      <c r="C95" s="265">
        <v>0.4</v>
      </c>
      <c r="D95" s="273" t="s">
        <v>837</v>
      </c>
      <c r="E95" s="274" t="s">
        <v>836</v>
      </c>
      <c r="F95" s="265">
        <v>0.09</v>
      </c>
      <c r="G95" s="273" t="s">
        <v>835</v>
      </c>
      <c r="H95" s="272" t="s">
        <v>834</v>
      </c>
      <c r="I95" s="265">
        <v>0.01</v>
      </c>
      <c r="J95" s="271">
        <f t="shared" si="1"/>
        <v>0.5</v>
      </c>
      <c r="K95" s="270"/>
      <c r="L95" s="279" t="s">
        <v>1010</v>
      </c>
      <c r="M95" s="279" t="s">
        <v>1010</v>
      </c>
      <c r="N95" s="279" t="s">
        <v>1010</v>
      </c>
      <c r="O95" s="268" t="s">
        <v>1010</v>
      </c>
      <c r="P95" s="268">
        <v>0</v>
      </c>
      <c r="Q95" s="277" t="s">
        <v>1010</v>
      </c>
      <c r="R95" s="267">
        <v>0</v>
      </c>
      <c r="S95" s="267">
        <v>0</v>
      </c>
      <c r="T95" s="276" t="s">
        <v>1010</v>
      </c>
    </row>
    <row r="96" spans="1:20" ht="15.75" customHeight="1" x14ac:dyDescent="0.25">
      <c r="A96" s="272" t="s">
        <v>273</v>
      </c>
      <c r="B96" s="275" t="s">
        <v>272</v>
      </c>
      <c r="C96" s="265">
        <v>0.4</v>
      </c>
      <c r="D96" s="273" t="s">
        <v>808</v>
      </c>
      <c r="E96" s="274" t="s">
        <v>807</v>
      </c>
      <c r="F96" s="265">
        <v>0.09</v>
      </c>
      <c r="G96" s="273" t="s">
        <v>806</v>
      </c>
      <c r="H96" s="272" t="s">
        <v>805</v>
      </c>
      <c r="I96" s="265">
        <v>0.01</v>
      </c>
      <c r="J96" s="271">
        <f t="shared" si="1"/>
        <v>0.5</v>
      </c>
      <c r="K96" s="270"/>
      <c r="L96" s="279" t="s">
        <v>1010</v>
      </c>
      <c r="M96" s="279" t="s">
        <v>1010</v>
      </c>
      <c r="N96" s="279" t="s">
        <v>1010</v>
      </c>
      <c r="O96" s="268" t="s">
        <v>1010</v>
      </c>
      <c r="P96" s="268">
        <v>0</v>
      </c>
      <c r="Q96" s="277" t="s">
        <v>1010</v>
      </c>
      <c r="R96" s="267">
        <v>0</v>
      </c>
      <c r="S96" s="267">
        <v>0</v>
      </c>
      <c r="T96" s="276" t="s">
        <v>1010</v>
      </c>
    </row>
    <row r="97" spans="1:20" ht="15.75" customHeight="1" x14ac:dyDescent="0.25">
      <c r="A97" s="272" t="s">
        <v>275</v>
      </c>
      <c r="B97" s="275" t="s">
        <v>274</v>
      </c>
      <c r="C97" s="265">
        <v>0.4</v>
      </c>
      <c r="D97" s="273" t="s">
        <v>778</v>
      </c>
      <c r="E97" s="274" t="s">
        <v>777</v>
      </c>
      <c r="F97" s="265">
        <v>0.09</v>
      </c>
      <c r="G97" s="273" t="s">
        <v>776</v>
      </c>
      <c r="H97" s="272" t="s">
        <v>775</v>
      </c>
      <c r="I97" s="265">
        <v>0.01</v>
      </c>
      <c r="J97" s="271">
        <f t="shared" si="1"/>
        <v>0.5</v>
      </c>
      <c r="K97" s="270"/>
      <c r="L97" s="279" t="s">
        <v>1010</v>
      </c>
      <c r="M97" s="279" t="s">
        <v>1010</v>
      </c>
      <c r="N97" s="279" t="s">
        <v>1010</v>
      </c>
      <c r="O97" s="268" t="s">
        <v>1010</v>
      </c>
      <c r="P97" s="268">
        <v>0</v>
      </c>
      <c r="Q97" s="277" t="s">
        <v>1010</v>
      </c>
      <c r="R97" s="267">
        <v>0</v>
      </c>
      <c r="S97" s="267">
        <v>0</v>
      </c>
      <c r="T97" s="276" t="s">
        <v>1010</v>
      </c>
    </row>
    <row r="98" spans="1:20" ht="15.75" customHeight="1" x14ac:dyDescent="0.25">
      <c r="A98" s="272" t="s">
        <v>277</v>
      </c>
      <c r="B98" s="275" t="s">
        <v>276</v>
      </c>
      <c r="C98" s="265">
        <v>0.4</v>
      </c>
      <c r="D98" s="273" t="s">
        <v>850</v>
      </c>
      <c r="E98" s="274" t="s">
        <v>849</v>
      </c>
      <c r="F98" s="265">
        <v>0.1</v>
      </c>
      <c r="G98" s="273" t="s">
        <v>747</v>
      </c>
      <c r="H98" s="272" t="s">
        <v>761</v>
      </c>
      <c r="I98" s="265">
        <v>0</v>
      </c>
      <c r="J98" s="271">
        <f t="shared" si="1"/>
        <v>0.5</v>
      </c>
      <c r="K98" s="270"/>
      <c r="L98" s="279" t="s">
        <v>1010</v>
      </c>
      <c r="M98" s="279" t="s">
        <v>1010</v>
      </c>
      <c r="N98" s="279" t="s">
        <v>1010</v>
      </c>
      <c r="O98" s="268" t="s">
        <v>1010</v>
      </c>
      <c r="P98" s="268">
        <v>0</v>
      </c>
      <c r="Q98" s="277" t="s">
        <v>1010</v>
      </c>
      <c r="R98" s="267">
        <v>0</v>
      </c>
      <c r="S98" s="267">
        <v>0</v>
      </c>
      <c r="T98" s="276" t="s">
        <v>1010</v>
      </c>
    </row>
    <row r="99" spans="1:20" ht="15.75" customHeight="1" x14ac:dyDescent="0.25">
      <c r="A99" s="272" t="s">
        <v>279</v>
      </c>
      <c r="B99" s="275" t="s">
        <v>278</v>
      </c>
      <c r="C99" s="265">
        <v>0.4</v>
      </c>
      <c r="D99" s="273" t="s">
        <v>771</v>
      </c>
      <c r="E99" s="274" t="s">
        <v>770</v>
      </c>
      <c r="F99" s="265">
        <v>0.1</v>
      </c>
      <c r="G99" s="273" t="s">
        <v>747</v>
      </c>
      <c r="H99" s="272" t="s">
        <v>761</v>
      </c>
      <c r="I99" s="265">
        <v>0</v>
      </c>
      <c r="J99" s="271">
        <f t="shared" si="1"/>
        <v>0.5</v>
      </c>
      <c r="L99" s="279" t="s">
        <v>1010</v>
      </c>
      <c r="M99" s="279" t="s">
        <v>1010</v>
      </c>
      <c r="N99" s="279" t="s">
        <v>1010</v>
      </c>
      <c r="O99" s="268" t="s">
        <v>1010</v>
      </c>
      <c r="P99" s="268">
        <v>0</v>
      </c>
      <c r="Q99" s="277" t="s">
        <v>1010</v>
      </c>
      <c r="R99" s="267">
        <v>0</v>
      </c>
      <c r="S99" s="267">
        <v>0</v>
      </c>
      <c r="T99" s="276" t="s">
        <v>1010</v>
      </c>
    </row>
    <row r="100" spans="1:20" ht="15.75" customHeight="1" x14ac:dyDescent="0.25">
      <c r="A100" s="272" t="s">
        <v>281</v>
      </c>
      <c r="B100" s="275" t="s">
        <v>280</v>
      </c>
      <c r="C100" s="265">
        <v>0.3</v>
      </c>
      <c r="D100" s="273" t="s">
        <v>789</v>
      </c>
      <c r="E100" s="274" t="s">
        <v>788</v>
      </c>
      <c r="F100" s="265">
        <v>0.2</v>
      </c>
      <c r="G100" s="273" t="s">
        <v>747</v>
      </c>
      <c r="H100" s="274" t="s">
        <v>747</v>
      </c>
      <c r="I100" s="265">
        <v>0</v>
      </c>
      <c r="J100" s="271">
        <f t="shared" si="1"/>
        <v>0.5</v>
      </c>
      <c r="K100" s="270"/>
      <c r="L100" s="279" t="s">
        <v>1010</v>
      </c>
      <c r="M100" s="279" t="s">
        <v>1010</v>
      </c>
      <c r="N100" s="279" t="s">
        <v>1010</v>
      </c>
      <c r="O100" s="268" t="s">
        <v>1010</v>
      </c>
      <c r="P100" s="268">
        <v>0</v>
      </c>
      <c r="Q100" s="277" t="s">
        <v>1011</v>
      </c>
      <c r="R100" s="267">
        <v>0</v>
      </c>
      <c r="S100" s="267">
        <v>0</v>
      </c>
      <c r="T100" s="276" t="s">
        <v>1011</v>
      </c>
    </row>
    <row r="101" spans="1:20" ht="15.75" customHeight="1" x14ac:dyDescent="0.25">
      <c r="A101" s="272" t="s">
        <v>283</v>
      </c>
      <c r="B101" s="275" t="s">
        <v>282</v>
      </c>
      <c r="C101" s="265">
        <v>0.4</v>
      </c>
      <c r="D101" s="273" t="s">
        <v>821</v>
      </c>
      <c r="E101" s="274" t="s">
        <v>820</v>
      </c>
      <c r="F101" s="265">
        <v>0.09</v>
      </c>
      <c r="G101" s="273" t="s">
        <v>819</v>
      </c>
      <c r="H101" s="272" t="s">
        <v>818</v>
      </c>
      <c r="I101" s="265">
        <v>0.01</v>
      </c>
      <c r="J101" s="271">
        <f t="shared" si="1"/>
        <v>0.5</v>
      </c>
      <c r="K101" s="270"/>
      <c r="L101" s="279" t="s">
        <v>1010</v>
      </c>
      <c r="M101" s="279" t="s">
        <v>1010</v>
      </c>
      <c r="N101" s="279" t="s">
        <v>1010</v>
      </c>
      <c r="O101" s="268" t="s">
        <v>1010</v>
      </c>
      <c r="P101" s="268">
        <v>0</v>
      </c>
      <c r="Q101" s="277" t="s">
        <v>1010</v>
      </c>
      <c r="R101" s="267">
        <v>0</v>
      </c>
      <c r="S101" s="267">
        <v>0</v>
      </c>
      <c r="T101" s="276" t="s">
        <v>1010</v>
      </c>
    </row>
    <row r="102" spans="1:20" ht="15.75" customHeight="1" x14ac:dyDescent="0.25">
      <c r="A102" s="272" t="s">
        <v>285</v>
      </c>
      <c r="B102" s="275" t="s">
        <v>284</v>
      </c>
      <c r="C102" s="265">
        <v>0.4</v>
      </c>
      <c r="D102" s="273" t="s">
        <v>771</v>
      </c>
      <c r="E102" s="274" t="s">
        <v>770</v>
      </c>
      <c r="F102" s="265">
        <v>0.1</v>
      </c>
      <c r="G102" s="273" t="s">
        <v>747</v>
      </c>
      <c r="H102" s="272" t="s">
        <v>761</v>
      </c>
      <c r="I102" s="265">
        <v>0</v>
      </c>
      <c r="J102" s="271">
        <f t="shared" si="1"/>
        <v>0.5</v>
      </c>
      <c r="K102" s="270"/>
      <c r="L102" s="279" t="s">
        <v>1010</v>
      </c>
      <c r="M102" s="279" t="s">
        <v>1010</v>
      </c>
      <c r="N102" s="279" t="s">
        <v>1010</v>
      </c>
      <c r="O102" s="268" t="s">
        <v>1010</v>
      </c>
      <c r="P102" s="268">
        <v>0</v>
      </c>
      <c r="Q102" s="277" t="s">
        <v>1010</v>
      </c>
      <c r="R102" s="267">
        <v>0</v>
      </c>
      <c r="S102" s="267">
        <v>0</v>
      </c>
      <c r="T102" s="276" t="s">
        <v>1010</v>
      </c>
    </row>
    <row r="103" spans="1:20" ht="15.75" customHeight="1" x14ac:dyDescent="0.25">
      <c r="A103" s="272" t="s">
        <v>287</v>
      </c>
      <c r="B103" s="275" t="s">
        <v>286</v>
      </c>
      <c r="C103" s="265">
        <v>0.4</v>
      </c>
      <c r="D103" s="273" t="s">
        <v>857</v>
      </c>
      <c r="E103" s="274" t="s">
        <v>856</v>
      </c>
      <c r="F103" s="265">
        <v>0.09</v>
      </c>
      <c r="G103" s="273" t="s">
        <v>855</v>
      </c>
      <c r="H103" s="272" t="s">
        <v>854</v>
      </c>
      <c r="I103" s="265">
        <v>0.01</v>
      </c>
      <c r="J103" s="271">
        <f t="shared" si="1"/>
        <v>0.5</v>
      </c>
      <c r="K103" s="270"/>
      <c r="L103" s="279" t="s">
        <v>1010</v>
      </c>
      <c r="M103" s="279" t="s">
        <v>1010</v>
      </c>
      <c r="N103" s="279" t="s">
        <v>1010</v>
      </c>
      <c r="O103" s="268" t="s">
        <v>1010</v>
      </c>
      <c r="P103" s="268">
        <v>0</v>
      </c>
      <c r="Q103" s="277" t="s">
        <v>1010</v>
      </c>
      <c r="R103" s="267">
        <v>0</v>
      </c>
      <c r="S103" s="267">
        <v>0</v>
      </c>
      <c r="T103" s="276" t="s">
        <v>1010</v>
      </c>
    </row>
    <row r="104" spans="1:20" ht="15.75" customHeight="1" x14ac:dyDescent="0.25">
      <c r="A104" s="272" t="s">
        <v>289</v>
      </c>
      <c r="B104" s="275" t="s">
        <v>288</v>
      </c>
      <c r="C104" s="265">
        <v>0.4</v>
      </c>
      <c r="D104" s="273" t="s">
        <v>799</v>
      </c>
      <c r="E104" s="274" t="s">
        <v>798</v>
      </c>
      <c r="F104" s="265">
        <v>0.09</v>
      </c>
      <c r="G104" s="273" t="s">
        <v>791</v>
      </c>
      <c r="H104" s="272" t="s">
        <v>790</v>
      </c>
      <c r="I104" s="265">
        <v>0.01</v>
      </c>
      <c r="J104" s="271">
        <f t="shared" si="1"/>
        <v>0.5</v>
      </c>
      <c r="K104" s="270"/>
      <c r="L104" s="279" t="s">
        <v>1010</v>
      </c>
      <c r="M104" s="279" t="s">
        <v>1010</v>
      </c>
      <c r="N104" s="279" t="s">
        <v>1010</v>
      </c>
      <c r="O104" s="268" t="s">
        <v>1010</v>
      </c>
      <c r="P104" s="268">
        <v>0</v>
      </c>
      <c r="Q104" s="277" t="s">
        <v>1010</v>
      </c>
      <c r="R104" s="267">
        <v>0</v>
      </c>
      <c r="S104" s="267">
        <v>0</v>
      </c>
      <c r="T104" s="276" t="s">
        <v>1010</v>
      </c>
    </row>
    <row r="105" spans="1:20" x14ac:dyDescent="0.25">
      <c r="A105" s="272" t="s">
        <v>291</v>
      </c>
      <c r="B105" s="275" t="s">
        <v>290</v>
      </c>
      <c r="C105" s="265">
        <v>0.4</v>
      </c>
      <c r="D105" s="273" t="s">
        <v>778</v>
      </c>
      <c r="E105" s="274" t="s">
        <v>777</v>
      </c>
      <c r="F105" s="265">
        <v>0.09</v>
      </c>
      <c r="G105" s="273" t="s">
        <v>776</v>
      </c>
      <c r="H105" s="272" t="s">
        <v>775</v>
      </c>
      <c r="I105" s="265">
        <v>0.01</v>
      </c>
      <c r="J105" s="271">
        <f t="shared" si="1"/>
        <v>0.5</v>
      </c>
      <c r="K105" s="270"/>
      <c r="L105" s="279" t="s">
        <v>1011</v>
      </c>
      <c r="M105" s="279" t="s">
        <v>1022</v>
      </c>
      <c r="N105" s="279" t="s">
        <v>1010</v>
      </c>
      <c r="O105" s="268" t="s">
        <v>1010</v>
      </c>
      <c r="P105" s="268">
        <v>0</v>
      </c>
      <c r="Q105" s="277" t="s">
        <v>1010</v>
      </c>
      <c r="R105" s="267">
        <v>98929</v>
      </c>
      <c r="S105" s="267">
        <v>0</v>
      </c>
      <c r="T105" s="276" t="s">
        <v>1010</v>
      </c>
    </row>
    <row r="106" spans="1:20" ht="15.75" customHeight="1" x14ac:dyDescent="0.25">
      <c r="A106" s="272" t="s">
        <v>293</v>
      </c>
      <c r="B106" s="275" t="s">
        <v>292</v>
      </c>
      <c r="C106" s="265">
        <v>0.4</v>
      </c>
      <c r="D106" s="273" t="s">
        <v>861</v>
      </c>
      <c r="E106" s="274" t="s">
        <v>860</v>
      </c>
      <c r="F106" s="265">
        <v>0.09</v>
      </c>
      <c r="G106" s="273" t="s">
        <v>859</v>
      </c>
      <c r="H106" s="272" t="s">
        <v>858</v>
      </c>
      <c r="I106" s="265">
        <v>0.01</v>
      </c>
      <c r="J106" s="271">
        <f t="shared" si="1"/>
        <v>0.5</v>
      </c>
      <c r="K106" s="270"/>
      <c r="L106" s="279" t="s">
        <v>1010</v>
      </c>
      <c r="M106" s="279" t="s">
        <v>1010</v>
      </c>
      <c r="N106" s="279" t="s">
        <v>1010</v>
      </c>
      <c r="O106" s="268" t="s">
        <v>1010</v>
      </c>
      <c r="P106" s="268">
        <v>0</v>
      </c>
      <c r="Q106" s="277" t="s">
        <v>1010</v>
      </c>
      <c r="R106" s="267">
        <v>0</v>
      </c>
      <c r="S106" s="267">
        <v>0</v>
      </c>
      <c r="T106" s="276" t="s">
        <v>1010</v>
      </c>
    </row>
    <row r="107" spans="1:20" ht="15.75" customHeight="1" x14ac:dyDescent="0.25">
      <c r="A107" s="272" t="s">
        <v>295</v>
      </c>
      <c r="B107" s="275" t="s">
        <v>294</v>
      </c>
      <c r="C107" s="265">
        <v>0.4</v>
      </c>
      <c r="D107" s="273" t="s">
        <v>810</v>
      </c>
      <c r="E107" s="274" t="s">
        <v>809</v>
      </c>
      <c r="F107" s="265">
        <v>0.1</v>
      </c>
      <c r="G107" s="273" t="s">
        <v>747</v>
      </c>
      <c r="H107" s="272" t="s">
        <v>761</v>
      </c>
      <c r="I107" s="265">
        <v>0</v>
      </c>
      <c r="J107" s="271">
        <f t="shared" si="1"/>
        <v>0.5</v>
      </c>
      <c r="K107" s="270"/>
      <c r="L107" s="279" t="s">
        <v>1010</v>
      </c>
      <c r="M107" s="279" t="s">
        <v>1010</v>
      </c>
      <c r="N107" s="279" t="s">
        <v>1010</v>
      </c>
      <c r="O107" s="268" t="s">
        <v>1010</v>
      </c>
      <c r="P107" s="268">
        <v>0</v>
      </c>
      <c r="Q107" s="277" t="s">
        <v>1010</v>
      </c>
      <c r="R107" s="267">
        <v>0</v>
      </c>
      <c r="S107" s="267">
        <v>0</v>
      </c>
      <c r="T107" s="276" t="s">
        <v>1010</v>
      </c>
    </row>
    <row r="108" spans="1:20" ht="15.75" customHeight="1" x14ac:dyDescent="0.25">
      <c r="A108" s="272" t="s">
        <v>297</v>
      </c>
      <c r="B108" s="275" t="s">
        <v>296</v>
      </c>
      <c r="C108" s="265">
        <v>0.4</v>
      </c>
      <c r="D108" s="273" t="s">
        <v>830</v>
      </c>
      <c r="E108" s="274" t="s">
        <v>829</v>
      </c>
      <c r="F108" s="265">
        <v>0.1</v>
      </c>
      <c r="G108" s="273" t="s">
        <v>747</v>
      </c>
      <c r="H108" s="272" t="s">
        <v>761</v>
      </c>
      <c r="I108" s="265">
        <v>0</v>
      </c>
      <c r="J108" s="271">
        <f t="shared" si="1"/>
        <v>0.5</v>
      </c>
      <c r="K108" s="270"/>
      <c r="L108" s="279" t="s">
        <v>1010</v>
      </c>
      <c r="M108" s="279" t="s">
        <v>1010</v>
      </c>
      <c r="N108" s="279" t="s">
        <v>1010</v>
      </c>
      <c r="O108" s="268" t="s">
        <v>1010</v>
      </c>
      <c r="P108" s="268">
        <v>0</v>
      </c>
      <c r="Q108" s="277" t="s">
        <v>1010</v>
      </c>
      <c r="R108" s="267">
        <v>0</v>
      </c>
      <c r="S108" s="267">
        <v>0</v>
      </c>
      <c r="T108" s="276" t="s">
        <v>1010</v>
      </c>
    </row>
    <row r="109" spans="1:20" x14ac:dyDescent="0.25">
      <c r="A109" s="272" t="s">
        <v>299</v>
      </c>
      <c r="B109" s="275" t="s">
        <v>298</v>
      </c>
      <c r="C109" s="265">
        <v>0.4</v>
      </c>
      <c r="D109" s="273" t="s">
        <v>756</v>
      </c>
      <c r="E109" s="274" t="s">
        <v>755</v>
      </c>
      <c r="F109" s="265">
        <v>0.09</v>
      </c>
      <c r="G109" s="273" t="s">
        <v>754</v>
      </c>
      <c r="H109" s="272" t="s">
        <v>753</v>
      </c>
      <c r="I109" s="265">
        <v>0.01</v>
      </c>
      <c r="J109" s="271">
        <f t="shared" si="1"/>
        <v>0.5</v>
      </c>
      <c r="K109" s="270"/>
      <c r="L109" s="279" t="s">
        <v>1011</v>
      </c>
      <c r="M109" s="279" t="s">
        <v>1023</v>
      </c>
      <c r="N109" s="279" t="s">
        <v>1023</v>
      </c>
      <c r="O109" s="268" t="s">
        <v>1010</v>
      </c>
      <c r="P109" s="268">
        <v>0</v>
      </c>
      <c r="Q109" s="277" t="s">
        <v>1010</v>
      </c>
      <c r="R109" s="267">
        <v>1994204</v>
      </c>
      <c r="S109" s="267">
        <v>0</v>
      </c>
      <c r="T109" s="276" t="s">
        <v>1010</v>
      </c>
    </row>
    <row r="110" spans="1:20" x14ac:dyDescent="0.25">
      <c r="A110" s="272" t="s">
        <v>301</v>
      </c>
      <c r="B110" s="275" t="s">
        <v>300</v>
      </c>
      <c r="C110" s="265">
        <v>0.49</v>
      </c>
      <c r="D110" s="273" t="s">
        <v>747</v>
      </c>
      <c r="E110" s="274" t="s">
        <v>766</v>
      </c>
      <c r="F110" s="265">
        <v>0</v>
      </c>
      <c r="G110" s="273" t="s">
        <v>840</v>
      </c>
      <c r="H110" s="272" t="s">
        <v>839</v>
      </c>
      <c r="I110" s="265">
        <v>0.01</v>
      </c>
      <c r="J110" s="271">
        <f t="shared" si="1"/>
        <v>0.5</v>
      </c>
      <c r="K110" s="270"/>
      <c r="L110" s="279" t="s">
        <v>1011</v>
      </c>
      <c r="M110" s="279" t="s">
        <v>1024</v>
      </c>
      <c r="N110" s="279" t="s">
        <v>1010</v>
      </c>
      <c r="O110" s="268" t="s">
        <v>1010</v>
      </c>
      <c r="P110" s="268">
        <v>0</v>
      </c>
      <c r="Q110" s="277" t="s">
        <v>1011</v>
      </c>
      <c r="R110" s="267">
        <v>1154997</v>
      </c>
      <c r="S110" s="267">
        <v>0</v>
      </c>
      <c r="T110" s="276" t="s">
        <v>1011</v>
      </c>
    </row>
    <row r="111" spans="1:20" ht="15.75" customHeight="1" x14ac:dyDescent="0.25">
      <c r="A111" s="272" t="s">
        <v>303</v>
      </c>
      <c r="B111" s="275" t="s">
        <v>302</v>
      </c>
      <c r="C111" s="265">
        <v>0.4</v>
      </c>
      <c r="D111" s="273" t="s">
        <v>873</v>
      </c>
      <c r="E111" s="274" t="s">
        <v>872</v>
      </c>
      <c r="F111" s="265">
        <v>0.09</v>
      </c>
      <c r="G111" s="273" t="s">
        <v>871</v>
      </c>
      <c r="H111" s="272" t="s">
        <v>870</v>
      </c>
      <c r="I111" s="265">
        <v>0.01</v>
      </c>
      <c r="J111" s="271">
        <f t="shared" si="1"/>
        <v>0.5</v>
      </c>
      <c r="L111" s="279" t="s">
        <v>1010</v>
      </c>
      <c r="M111" s="279" t="s">
        <v>1010</v>
      </c>
      <c r="N111" s="279" t="s">
        <v>1010</v>
      </c>
      <c r="O111" s="268" t="s">
        <v>1010</v>
      </c>
      <c r="P111" s="268">
        <v>0</v>
      </c>
      <c r="Q111" s="277" t="s">
        <v>1010</v>
      </c>
      <c r="R111" s="267">
        <v>0</v>
      </c>
      <c r="S111" s="267">
        <v>0</v>
      </c>
      <c r="T111" s="276" t="s">
        <v>1010</v>
      </c>
    </row>
    <row r="112" spans="1:20" ht="15.75" customHeight="1" x14ac:dyDescent="0.25">
      <c r="A112" s="272" t="s">
        <v>305</v>
      </c>
      <c r="B112" s="275" t="s">
        <v>304</v>
      </c>
      <c r="C112" s="265">
        <v>0.4</v>
      </c>
      <c r="D112" s="273" t="s">
        <v>830</v>
      </c>
      <c r="E112" s="274" t="s">
        <v>829</v>
      </c>
      <c r="F112" s="265">
        <v>0.1</v>
      </c>
      <c r="G112" s="273" t="s">
        <v>747</v>
      </c>
      <c r="H112" s="272" t="s">
        <v>761</v>
      </c>
      <c r="I112" s="265">
        <v>0</v>
      </c>
      <c r="J112" s="271">
        <f t="shared" si="1"/>
        <v>0.5</v>
      </c>
      <c r="K112" s="270"/>
      <c r="L112" s="279" t="s">
        <v>1010</v>
      </c>
      <c r="M112" s="279" t="s">
        <v>1010</v>
      </c>
      <c r="N112" s="279" t="s">
        <v>1010</v>
      </c>
      <c r="O112" s="268" t="s">
        <v>1010</v>
      </c>
      <c r="P112" s="268">
        <v>0</v>
      </c>
      <c r="Q112" s="277" t="s">
        <v>1010</v>
      </c>
      <c r="R112" s="267">
        <v>0</v>
      </c>
      <c r="S112" s="267">
        <v>0</v>
      </c>
      <c r="T112" s="276" t="s">
        <v>1010</v>
      </c>
    </row>
    <row r="113" spans="1:20" x14ac:dyDescent="0.25">
      <c r="A113" s="272" t="s">
        <v>307</v>
      </c>
      <c r="B113" s="275" t="s">
        <v>306</v>
      </c>
      <c r="C113" s="265">
        <v>0.4</v>
      </c>
      <c r="D113" s="273" t="s">
        <v>778</v>
      </c>
      <c r="E113" s="274" t="s">
        <v>777</v>
      </c>
      <c r="F113" s="265">
        <v>0.09</v>
      </c>
      <c r="G113" s="273" t="s">
        <v>776</v>
      </c>
      <c r="H113" s="272" t="s">
        <v>775</v>
      </c>
      <c r="I113" s="265">
        <v>0.01</v>
      </c>
      <c r="J113" s="271">
        <f t="shared" si="1"/>
        <v>0.5</v>
      </c>
      <c r="K113" s="270"/>
      <c r="L113" s="279" t="s">
        <v>1011</v>
      </c>
      <c r="M113" s="279" t="s">
        <v>1022</v>
      </c>
      <c r="N113" s="279" t="s">
        <v>1010</v>
      </c>
      <c r="O113" s="268" t="s">
        <v>1010</v>
      </c>
      <c r="P113" s="268">
        <v>0</v>
      </c>
      <c r="Q113" s="277" t="s">
        <v>1010</v>
      </c>
      <c r="R113" s="267">
        <v>435664</v>
      </c>
      <c r="S113" s="267">
        <v>0</v>
      </c>
      <c r="T113" s="276" t="s">
        <v>1010</v>
      </c>
    </row>
    <row r="114" spans="1:20" ht="15.75" customHeight="1" x14ac:dyDescent="0.25">
      <c r="A114" s="272" t="s">
        <v>309</v>
      </c>
      <c r="B114" s="275" t="s">
        <v>308</v>
      </c>
      <c r="C114" s="265">
        <v>0.4</v>
      </c>
      <c r="D114" s="273" t="s">
        <v>825</v>
      </c>
      <c r="E114" s="274" t="s">
        <v>824</v>
      </c>
      <c r="F114" s="265">
        <v>0.09</v>
      </c>
      <c r="G114" s="273" t="s">
        <v>823</v>
      </c>
      <c r="H114" s="272" t="s">
        <v>822</v>
      </c>
      <c r="I114" s="265">
        <v>0.01</v>
      </c>
      <c r="J114" s="271">
        <f t="shared" si="1"/>
        <v>0.5</v>
      </c>
      <c r="K114" s="270"/>
      <c r="L114" s="279" t="s">
        <v>1010</v>
      </c>
      <c r="M114" s="279" t="s">
        <v>1010</v>
      </c>
      <c r="N114" s="279" t="s">
        <v>1010</v>
      </c>
      <c r="O114" s="268" t="s">
        <v>1010</v>
      </c>
      <c r="P114" s="268">
        <v>0</v>
      </c>
      <c r="Q114" s="277" t="s">
        <v>1010</v>
      </c>
      <c r="R114" s="267">
        <v>0</v>
      </c>
      <c r="S114" s="267">
        <v>0</v>
      </c>
      <c r="T114" s="276" t="s">
        <v>1010</v>
      </c>
    </row>
    <row r="115" spans="1:20" x14ac:dyDescent="0.25">
      <c r="A115" s="272" t="s">
        <v>311</v>
      </c>
      <c r="B115" s="275" t="s">
        <v>310</v>
      </c>
      <c r="C115" s="265">
        <v>0.4</v>
      </c>
      <c r="D115" s="273" t="s">
        <v>848</v>
      </c>
      <c r="E115" s="274" t="s">
        <v>847</v>
      </c>
      <c r="F115" s="265">
        <v>0.1</v>
      </c>
      <c r="G115" s="273" t="s">
        <v>747</v>
      </c>
      <c r="H115" s="272" t="s">
        <v>761</v>
      </c>
      <c r="I115" s="265">
        <v>0</v>
      </c>
      <c r="J115" s="271">
        <f t="shared" si="1"/>
        <v>0.5</v>
      </c>
      <c r="K115" s="270"/>
      <c r="L115" s="279" t="s">
        <v>1011</v>
      </c>
      <c r="M115" s="279" t="s">
        <v>1025</v>
      </c>
      <c r="N115" s="279" t="s">
        <v>1010</v>
      </c>
      <c r="O115" s="268" t="s">
        <v>1010</v>
      </c>
      <c r="P115" s="268">
        <v>0</v>
      </c>
      <c r="Q115" s="277" t="s">
        <v>1010</v>
      </c>
      <c r="R115" s="267">
        <v>277898</v>
      </c>
      <c r="S115" s="267">
        <v>0</v>
      </c>
      <c r="T115" s="276" t="s">
        <v>1010</v>
      </c>
    </row>
    <row r="116" spans="1:20" ht="15.75" customHeight="1" x14ac:dyDescent="0.25">
      <c r="A116" s="272" t="s">
        <v>313</v>
      </c>
      <c r="B116" s="275" t="s">
        <v>312</v>
      </c>
      <c r="C116" s="265">
        <v>0.3</v>
      </c>
      <c r="D116" s="273" t="s">
        <v>789</v>
      </c>
      <c r="E116" s="274" t="s">
        <v>788</v>
      </c>
      <c r="F116" s="265">
        <v>0.2</v>
      </c>
      <c r="G116" s="273" t="s">
        <v>747</v>
      </c>
      <c r="H116" s="274" t="s">
        <v>747</v>
      </c>
      <c r="I116" s="265">
        <v>0</v>
      </c>
      <c r="J116" s="271">
        <f t="shared" si="1"/>
        <v>0.5</v>
      </c>
      <c r="K116" s="270"/>
      <c r="L116" s="279" t="s">
        <v>1010</v>
      </c>
      <c r="M116" s="279" t="s">
        <v>1010</v>
      </c>
      <c r="N116" s="279" t="s">
        <v>1010</v>
      </c>
      <c r="O116" s="268" t="s">
        <v>1010</v>
      </c>
      <c r="P116" s="268">
        <v>0</v>
      </c>
      <c r="Q116" s="277" t="s">
        <v>1011</v>
      </c>
      <c r="R116" s="267">
        <v>0</v>
      </c>
      <c r="S116" s="267">
        <v>0</v>
      </c>
      <c r="T116" s="276" t="s">
        <v>1011</v>
      </c>
    </row>
    <row r="117" spans="1:20" ht="15.75" customHeight="1" x14ac:dyDescent="0.25">
      <c r="A117" s="272" t="s">
        <v>315</v>
      </c>
      <c r="B117" s="275" t="s">
        <v>314</v>
      </c>
      <c r="C117" s="265">
        <v>0.4</v>
      </c>
      <c r="D117" s="273" t="s">
        <v>771</v>
      </c>
      <c r="E117" s="274" t="s">
        <v>770</v>
      </c>
      <c r="F117" s="265">
        <v>0.1</v>
      </c>
      <c r="G117" s="273" t="s">
        <v>747</v>
      </c>
      <c r="H117" s="272" t="s">
        <v>761</v>
      </c>
      <c r="I117" s="265">
        <v>0</v>
      </c>
      <c r="J117" s="271">
        <f t="shared" si="1"/>
        <v>0.5</v>
      </c>
      <c r="K117" s="270"/>
      <c r="L117" s="279" t="s">
        <v>1010</v>
      </c>
      <c r="M117" s="279" t="s">
        <v>1010</v>
      </c>
      <c r="N117" s="279" t="s">
        <v>1010</v>
      </c>
      <c r="O117" s="268" t="s">
        <v>1011</v>
      </c>
      <c r="P117" s="268">
        <v>1800000</v>
      </c>
      <c r="Q117" s="277" t="s">
        <v>1010</v>
      </c>
      <c r="R117" s="267">
        <v>0</v>
      </c>
      <c r="S117" s="267">
        <v>0</v>
      </c>
      <c r="T117" s="276" t="s">
        <v>1010</v>
      </c>
    </row>
    <row r="118" spans="1:20" ht="15.75" customHeight="1" x14ac:dyDescent="0.25">
      <c r="A118" s="272" t="s">
        <v>317</v>
      </c>
      <c r="B118" s="275" t="s">
        <v>316</v>
      </c>
      <c r="C118" s="265">
        <v>0.3</v>
      </c>
      <c r="D118" s="273" t="s">
        <v>789</v>
      </c>
      <c r="E118" s="274" t="s">
        <v>788</v>
      </c>
      <c r="F118" s="265">
        <v>0.2</v>
      </c>
      <c r="G118" s="273" t="s">
        <v>747</v>
      </c>
      <c r="H118" s="274" t="s">
        <v>747</v>
      </c>
      <c r="I118" s="265">
        <v>0</v>
      </c>
      <c r="J118" s="271">
        <f t="shared" si="1"/>
        <v>0.5</v>
      </c>
      <c r="K118" s="270"/>
      <c r="L118" s="279" t="s">
        <v>1010</v>
      </c>
      <c r="M118" s="279" t="s">
        <v>1010</v>
      </c>
      <c r="N118" s="279" t="s">
        <v>1010</v>
      </c>
      <c r="O118" s="268" t="s">
        <v>1010</v>
      </c>
      <c r="P118" s="268">
        <v>0</v>
      </c>
      <c r="Q118" s="277" t="s">
        <v>1011</v>
      </c>
      <c r="R118" s="267">
        <v>0</v>
      </c>
      <c r="S118" s="267">
        <v>0</v>
      </c>
      <c r="T118" s="276" t="s">
        <v>1011</v>
      </c>
    </row>
    <row r="119" spans="1:20" x14ac:dyDescent="0.25">
      <c r="A119" s="272" t="s">
        <v>319</v>
      </c>
      <c r="B119" s="275" t="s">
        <v>909</v>
      </c>
      <c r="C119" s="265">
        <v>0.49</v>
      </c>
      <c r="D119" s="273" t="s">
        <v>747</v>
      </c>
      <c r="E119" s="274" t="s">
        <v>746</v>
      </c>
      <c r="F119" s="265">
        <v>0</v>
      </c>
      <c r="G119" s="273" t="s">
        <v>814</v>
      </c>
      <c r="H119" s="272" t="s">
        <v>813</v>
      </c>
      <c r="I119" s="265">
        <v>0.01</v>
      </c>
      <c r="J119" s="271">
        <f t="shared" si="1"/>
        <v>0.5</v>
      </c>
      <c r="K119" s="270"/>
      <c r="L119" s="279" t="s">
        <v>1011</v>
      </c>
      <c r="M119" s="279" t="s">
        <v>1026</v>
      </c>
      <c r="N119" s="279" t="s">
        <v>1026</v>
      </c>
      <c r="O119" s="268" t="s">
        <v>1010</v>
      </c>
      <c r="P119" s="268">
        <v>0</v>
      </c>
      <c r="Q119" s="277" t="s">
        <v>1011</v>
      </c>
      <c r="R119" s="267">
        <v>33252</v>
      </c>
      <c r="S119" s="267">
        <v>0</v>
      </c>
      <c r="T119" s="276" t="s">
        <v>1011</v>
      </c>
    </row>
    <row r="120" spans="1:20" ht="15.75" customHeight="1" x14ac:dyDescent="0.25">
      <c r="A120" s="272" t="s">
        <v>321</v>
      </c>
      <c r="B120" s="275" t="s">
        <v>320</v>
      </c>
      <c r="C120" s="265">
        <v>0.4</v>
      </c>
      <c r="D120" s="273" t="s">
        <v>866</v>
      </c>
      <c r="E120" s="274" t="s">
        <v>865</v>
      </c>
      <c r="F120" s="265">
        <v>0.09</v>
      </c>
      <c r="G120" s="273" t="s">
        <v>745</v>
      </c>
      <c r="H120" s="272" t="s">
        <v>744</v>
      </c>
      <c r="I120" s="265">
        <v>0.01</v>
      </c>
      <c r="J120" s="271">
        <f t="shared" si="1"/>
        <v>0.5</v>
      </c>
      <c r="K120" s="270"/>
      <c r="L120" s="279" t="s">
        <v>1010</v>
      </c>
      <c r="M120" s="279" t="s">
        <v>1010</v>
      </c>
      <c r="N120" s="279" t="s">
        <v>1010</v>
      </c>
      <c r="O120" s="268" t="s">
        <v>1010</v>
      </c>
      <c r="P120" s="268">
        <v>0</v>
      </c>
      <c r="Q120" s="277" t="s">
        <v>1010</v>
      </c>
      <c r="R120" s="267">
        <v>0</v>
      </c>
      <c r="S120" s="267">
        <v>0</v>
      </c>
      <c r="T120" s="276" t="s">
        <v>1010</v>
      </c>
    </row>
    <row r="121" spans="1:20" ht="15.75" customHeight="1" x14ac:dyDescent="0.25">
      <c r="A121" s="272" t="s">
        <v>323</v>
      </c>
      <c r="B121" s="275" t="s">
        <v>908</v>
      </c>
      <c r="C121" s="265">
        <v>0.3</v>
      </c>
      <c r="D121" s="273" t="s">
        <v>789</v>
      </c>
      <c r="E121" s="274" t="s">
        <v>788</v>
      </c>
      <c r="F121" s="265">
        <v>0.2</v>
      </c>
      <c r="G121" s="273" t="s">
        <v>747</v>
      </c>
      <c r="H121" s="274" t="s">
        <v>747</v>
      </c>
      <c r="I121" s="265">
        <v>0</v>
      </c>
      <c r="J121" s="271">
        <f t="shared" si="1"/>
        <v>0.5</v>
      </c>
      <c r="K121" s="270"/>
      <c r="L121" s="279" t="s">
        <v>1010</v>
      </c>
      <c r="M121" s="279" t="s">
        <v>1010</v>
      </c>
      <c r="N121" s="279" t="s">
        <v>1010</v>
      </c>
      <c r="O121" s="268" t="s">
        <v>1010</v>
      </c>
      <c r="P121" s="268">
        <v>0</v>
      </c>
      <c r="Q121" s="277" t="s">
        <v>1011</v>
      </c>
      <c r="R121" s="267">
        <v>0</v>
      </c>
      <c r="S121" s="267">
        <v>0</v>
      </c>
      <c r="T121" s="276" t="s">
        <v>1011</v>
      </c>
    </row>
    <row r="122" spans="1:20" ht="15.75" customHeight="1" x14ac:dyDescent="0.25">
      <c r="A122" s="272" t="s">
        <v>325</v>
      </c>
      <c r="B122" s="275" t="s">
        <v>324</v>
      </c>
      <c r="C122" s="265">
        <v>0.4</v>
      </c>
      <c r="D122" s="273" t="s">
        <v>883</v>
      </c>
      <c r="E122" s="274" t="s">
        <v>882</v>
      </c>
      <c r="F122" s="265">
        <v>0.09</v>
      </c>
      <c r="G122" s="273" t="s">
        <v>868</v>
      </c>
      <c r="H122" s="272" t="s">
        <v>867</v>
      </c>
      <c r="I122" s="265">
        <v>0.01</v>
      </c>
      <c r="J122" s="271">
        <f t="shared" si="1"/>
        <v>0.5</v>
      </c>
      <c r="K122" s="270"/>
      <c r="L122" s="279" t="s">
        <v>1010</v>
      </c>
      <c r="M122" s="279" t="s">
        <v>1010</v>
      </c>
      <c r="N122" s="279" t="s">
        <v>1010</v>
      </c>
      <c r="O122" s="268" t="s">
        <v>1010</v>
      </c>
      <c r="P122" s="268">
        <v>0</v>
      </c>
      <c r="Q122" s="277" t="s">
        <v>1010</v>
      </c>
      <c r="R122" s="267">
        <v>0</v>
      </c>
      <c r="S122" s="267">
        <v>0</v>
      </c>
      <c r="T122" s="276" t="s">
        <v>1010</v>
      </c>
    </row>
    <row r="123" spans="1:20" ht="15.75" customHeight="1" x14ac:dyDescent="0.25">
      <c r="A123" s="272" t="s">
        <v>327</v>
      </c>
      <c r="B123" s="275" t="s">
        <v>326</v>
      </c>
      <c r="C123" s="265">
        <v>0.3</v>
      </c>
      <c r="D123" s="273" t="s">
        <v>789</v>
      </c>
      <c r="E123" s="274" t="s">
        <v>788</v>
      </c>
      <c r="F123" s="265">
        <v>0.2</v>
      </c>
      <c r="G123" s="273" t="s">
        <v>747</v>
      </c>
      <c r="H123" s="274" t="s">
        <v>747</v>
      </c>
      <c r="I123" s="265">
        <v>0</v>
      </c>
      <c r="J123" s="271">
        <f t="shared" si="1"/>
        <v>0.5</v>
      </c>
      <c r="K123" s="270"/>
      <c r="L123" s="279" t="s">
        <v>1010</v>
      </c>
      <c r="M123" s="279" t="s">
        <v>1010</v>
      </c>
      <c r="N123" s="279" t="s">
        <v>1010</v>
      </c>
      <c r="O123" s="268" t="s">
        <v>1010</v>
      </c>
      <c r="P123" s="268">
        <v>0</v>
      </c>
      <c r="Q123" s="277" t="s">
        <v>1011</v>
      </c>
      <c r="R123" s="267">
        <v>0</v>
      </c>
      <c r="S123" s="267">
        <v>0</v>
      </c>
      <c r="T123" s="276" t="s">
        <v>1011</v>
      </c>
    </row>
    <row r="124" spans="1:20" x14ac:dyDescent="0.25">
      <c r="A124" s="272" t="s">
        <v>329</v>
      </c>
      <c r="B124" s="275" t="s">
        <v>328</v>
      </c>
      <c r="C124" s="265">
        <v>0.4</v>
      </c>
      <c r="D124" s="273" t="s">
        <v>821</v>
      </c>
      <c r="E124" s="274" t="s">
        <v>820</v>
      </c>
      <c r="F124" s="265">
        <v>0.09</v>
      </c>
      <c r="G124" s="273" t="s">
        <v>819</v>
      </c>
      <c r="H124" s="272" t="s">
        <v>818</v>
      </c>
      <c r="I124" s="265">
        <v>0.01</v>
      </c>
      <c r="J124" s="271">
        <f t="shared" si="1"/>
        <v>0.5</v>
      </c>
      <c r="K124" s="270"/>
      <c r="L124" s="279" t="s">
        <v>1011</v>
      </c>
      <c r="M124" s="279" t="s">
        <v>328</v>
      </c>
      <c r="N124" s="279" t="s">
        <v>1010</v>
      </c>
      <c r="O124" s="268" t="s">
        <v>1010</v>
      </c>
      <c r="P124" s="268">
        <v>0</v>
      </c>
      <c r="Q124" s="277" t="s">
        <v>1010</v>
      </c>
      <c r="R124" s="267">
        <v>2938559</v>
      </c>
      <c r="S124" s="267">
        <v>0</v>
      </c>
      <c r="T124" s="276" t="s">
        <v>1010</v>
      </c>
    </row>
    <row r="125" spans="1:20" ht="15.75" customHeight="1" x14ac:dyDescent="0.25">
      <c r="A125" s="272" t="s">
        <v>331</v>
      </c>
      <c r="B125" s="275" t="s">
        <v>330</v>
      </c>
      <c r="C125" s="265">
        <v>0.4</v>
      </c>
      <c r="D125" s="273" t="s">
        <v>866</v>
      </c>
      <c r="E125" s="274" t="s">
        <v>865</v>
      </c>
      <c r="F125" s="265">
        <v>0.09</v>
      </c>
      <c r="G125" s="273" t="s">
        <v>745</v>
      </c>
      <c r="H125" s="272" t="s">
        <v>744</v>
      </c>
      <c r="I125" s="265">
        <v>0.01</v>
      </c>
      <c r="J125" s="271">
        <f t="shared" si="1"/>
        <v>0.5</v>
      </c>
      <c r="K125" s="270"/>
      <c r="L125" s="279" t="s">
        <v>1010</v>
      </c>
      <c r="M125" s="279" t="s">
        <v>1010</v>
      </c>
      <c r="N125" s="279" t="s">
        <v>1010</v>
      </c>
      <c r="O125" s="268" t="s">
        <v>1010</v>
      </c>
      <c r="P125" s="268">
        <v>0</v>
      </c>
      <c r="Q125" s="277" t="s">
        <v>1010</v>
      </c>
      <c r="R125" s="267">
        <v>0</v>
      </c>
      <c r="S125" s="267">
        <v>0</v>
      </c>
      <c r="T125" s="276" t="s">
        <v>1010</v>
      </c>
    </row>
    <row r="126" spans="1:20" ht="15.75" customHeight="1" x14ac:dyDescent="0.25">
      <c r="A126" s="272" t="s">
        <v>333</v>
      </c>
      <c r="B126" s="275" t="s">
        <v>332</v>
      </c>
      <c r="C126" s="265">
        <v>0.3</v>
      </c>
      <c r="D126" s="273" t="s">
        <v>789</v>
      </c>
      <c r="E126" s="274" t="s">
        <v>788</v>
      </c>
      <c r="F126" s="265">
        <v>0.2</v>
      </c>
      <c r="G126" s="273" t="s">
        <v>747</v>
      </c>
      <c r="H126" s="274" t="s">
        <v>747</v>
      </c>
      <c r="I126" s="265">
        <v>0</v>
      </c>
      <c r="J126" s="271">
        <f t="shared" si="1"/>
        <v>0.5</v>
      </c>
      <c r="K126" s="270"/>
      <c r="L126" s="279" t="s">
        <v>1010</v>
      </c>
      <c r="M126" s="279" t="s">
        <v>1010</v>
      </c>
      <c r="N126" s="279" t="s">
        <v>1010</v>
      </c>
      <c r="O126" s="268" t="s">
        <v>1010</v>
      </c>
      <c r="P126" s="268">
        <v>0</v>
      </c>
      <c r="Q126" s="277" t="s">
        <v>1011</v>
      </c>
      <c r="R126" s="267">
        <v>0</v>
      </c>
      <c r="S126" s="267">
        <v>0</v>
      </c>
      <c r="T126" s="276" t="s">
        <v>1011</v>
      </c>
    </row>
    <row r="127" spans="1:20" ht="15.75" customHeight="1" x14ac:dyDescent="0.25">
      <c r="A127" s="272" t="s">
        <v>335</v>
      </c>
      <c r="B127" s="275" t="s">
        <v>334</v>
      </c>
      <c r="C127" s="265">
        <v>0.4</v>
      </c>
      <c r="D127" s="273" t="s">
        <v>778</v>
      </c>
      <c r="E127" s="274" t="s">
        <v>777</v>
      </c>
      <c r="F127" s="265">
        <v>0.09</v>
      </c>
      <c r="G127" s="273" t="s">
        <v>776</v>
      </c>
      <c r="H127" s="272" t="s">
        <v>775</v>
      </c>
      <c r="I127" s="265">
        <v>0.01</v>
      </c>
      <c r="J127" s="271">
        <f t="shared" si="1"/>
        <v>0.5</v>
      </c>
      <c r="K127" s="270"/>
      <c r="L127" s="279" t="s">
        <v>1010</v>
      </c>
      <c r="M127" s="279" t="s">
        <v>1010</v>
      </c>
      <c r="N127" s="279" t="s">
        <v>1010</v>
      </c>
      <c r="O127" s="268" t="s">
        <v>1010</v>
      </c>
      <c r="P127" s="268">
        <v>0</v>
      </c>
      <c r="Q127" s="277" t="s">
        <v>1010</v>
      </c>
      <c r="R127" s="267">
        <v>0</v>
      </c>
      <c r="S127" s="267">
        <v>0</v>
      </c>
      <c r="T127" s="276" t="s">
        <v>1010</v>
      </c>
    </row>
    <row r="128" spans="1:20" x14ac:dyDescent="0.25">
      <c r="A128" s="272" t="s">
        <v>337</v>
      </c>
      <c r="B128" s="275" t="s">
        <v>907</v>
      </c>
      <c r="C128" s="265">
        <v>0.49</v>
      </c>
      <c r="D128" s="273" t="s">
        <v>747</v>
      </c>
      <c r="E128" s="274" t="s">
        <v>746</v>
      </c>
      <c r="F128" s="265">
        <v>0</v>
      </c>
      <c r="G128" s="273" t="s">
        <v>843</v>
      </c>
      <c r="H128" s="272" t="s">
        <v>842</v>
      </c>
      <c r="I128" s="265">
        <v>0.01</v>
      </c>
      <c r="J128" s="271">
        <f t="shared" si="1"/>
        <v>0.5</v>
      </c>
      <c r="K128" s="270"/>
      <c r="L128" s="279" t="s">
        <v>1011</v>
      </c>
      <c r="M128" s="279" t="s">
        <v>1027</v>
      </c>
      <c r="N128" s="279" t="s">
        <v>1010</v>
      </c>
      <c r="O128" s="268" t="s">
        <v>1010</v>
      </c>
      <c r="P128" s="268">
        <v>0</v>
      </c>
      <c r="Q128" s="277" t="s">
        <v>1011</v>
      </c>
      <c r="R128" s="267">
        <v>0</v>
      </c>
      <c r="S128" s="267">
        <v>0</v>
      </c>
      <c r="T128" s="276" t="s">
        <v>1011</v>
      </c>
    </row>
    <row r="129" spans="1:20" ht="15.75" customHeight="1" x14ac:dyDescent="0.25">
      <c r="A129" s="272" t="s">
        <v>339</v>
      </c>
      <c r="B129" s="275" t="s">
        <v>338</v>
      </c>
      <c r="C129" s="265">
        <v>0.4</v>
      </c>
      <c r="D129" s="273" t="s">
        <v>808</v>
      </c>
      <c r="E129" s="274" t="s">
        <v>807</v>
      </c>
      <c r="F129" s="265">
        <v>0.09</v>
      </c>
      <c r="G129" s="273" t="s">
        <v>806</v>
      </c>
      <c r="H129" s="272" t="s">
        <v>805</v>
      </c>
      <c r="I129" s="265">
        <v>0.01</v>
      </c>
      <c r="J129" s="271">
        <f t="shared" si="1"/>
        <v>0.5</v>
      </c>
      <c r="K129" s="270"/>
      <c r="L129" s="279" t="s">
        <v>1010</v>
      </c>
      <c r="M129" s="279" t="s">
        <v>1010</v>
      </c>
      <c r="N129" s="279" t="s">
        <v>1010</v>
      </c>
      <c r="O129" s="268" t="s">
        <v>1010</v>
      </c>
      <c r="P129" s="268">
        <v>0</v>
      </c>
      <c r="Q129" s="277" t="s">
        <v>1010</v>
      </c>
      <c r="R129" s="267">
        <v>0</v>
      </c>
      <c r="S129" s="267">
        <v>0</v>
      </c>
      <c r="T129" s="276" t="s">
        <v>1010</v>
      </c>
    </row>
    <row r="130" spans="1:20" ht="15.75" customHeight="1" x14ac:dyDescent="0.25">
      <c r="A130" s="272" t="s">
        <v>341</v>
      </c>
      <c r="B130" s="275" t="s">
        <v>340</v>
      </c>
      <c r="C130" s="265">
        <v>0.4</v>
      </c>
      <c r="D130" s="273" t="s">
        <v>778</v>
      </c>
      <c r="E130" s="274" t="s">
        <v>777</v>
      </c>
      <c r="F130" s="265">
        <v>0.09</v>
      </c>
      <c r="G130" s="273" t="s">
        <v>776</v>
      </c>
      <c r="H130" s="272" t="s">
        <v>775</v>
      </c>
      <c r="I130" s="265">
        <v>0.01</v>
      </c>
      <c r="J130" s="271">
        <f t="shared" si="1"/>
        <v>0.5</v>
      </c>
      <c r="K130" s="270"/>
      <c r="L130" s="279" t="s">
        <v>1010</v>
      </c>
      <c r="M130" s="279" t="s">
        <v>1010</v>
      </c>
      <c r="N130" s="279" t="s">
        <v>1010</v>
      </c>
      <c r="O130" s="268" t="s">
        <v>1010</v>
      </c>
      <c r="P130" s="268">
        <v>0</v>
      </c>
      <c r="Q130" s="277" t="s">
        <v>1010</v>
      </c>
      <c r="R130" s="267">
        <v>0</v>
      </c>
      <c r="S130" s="267">
        <v>0</v>
      </c>
      <c r="T130" s="276" t="s">
        <v>1010</v>
      </c>
    </row>
    <row r="131" spans="1:20" ht="15.75" customHeight="1" x14ac:dyDescent="0.25">
      <c r="A131" s="272" t="s">
        <v>343</v>
      </c>
      <c r="B131" s="275" t="s">
        <v>342</v>
      </c>
      <c r="C131" s="265">
        <v>0.3</v>
      </c>
      <c r="D131" s="273" t="s">
        <v>789</v>
      </c>
      <c r="E131" s="274" t="s">
        <v>788</v>
      </c>
      <c r="F131" s="265">
        <v>0.2</v>
      </c>
      <c r="G131" s="273" t="s">
        <v>747</v>
      </c>
      <c r="H131" s="274" t="s">
        <v>747</v>
      </c>
      <c r="I131" s="265">
        <v>0</v>
      </c>
      <c r="J131" s="271">
        <f t="shared" si="1"/>
        <v>0.5</v>
      </c>
      <c r="K131" s="270"/>
      <c r="L131" s="279" t="s">
        <v>1010</v>
      </c>
      <c r="M131" s="279" t="s">
        <v>1010</v>
      </c>
      <c r="N131" s="279" t="s">
        <v>1010</v>
      </c>
      <c r="O131" s="268" t="s">
        <v>1010</v>
      </c>
      <c r="P131" s="268">
        <v>0</v>
      </c>
      <c r="Q131" s="277" t="s">
        <v>1011</v>
      </c>
      <c r="R131" s="267">
        <v>0</v>
      </c>
      <c r="S131" s="267">
        <v>0</v>
      </c>
      <c r="T131" s="276" t="s">
        <v>1011</v>
      </c>
    </row>
    <row r="132" spans="1:20" x14ac:dyDescent="0.25">
      <c r="A132" s="272" t="s">
        <v>345</v>
      </c>
      <c r="B132" s="275" t="s">
        <v>906</v>
      </c>
      <c r="C132" s="265">
        <v>0.49</v>
      </c>
      <c r="D132" s="273" t="s">
        <v>747</v>
      </c>
      <c r="E132" s="274" t="s">
        <v>746</v>
      </c>
      <c r="F132" s="265">
        <v>0</v>
      </c>
      <c r="G132" s="273" t="s">
        <v>750</v>
      </c>
      <c r="H132" s="272" t="s">
        <v>749</v>
      </c>
      <c r="I132" s="265">
        <v>0.01</v>
      </c>
      <c r="J132" s="271">
        <f t="shared" si="1"/>
        <v>0.5</v>
      </c>
      <c r="K132" s="270"/>
      <c r="L132" s="279" t="s">
        <v>1011</v>
      </c>
      <c r="M132" s="279" t="s">
        <v>1028</v>
      </c>
      <c r="N132" s="279" t="s">
        <v>1010</v>
      </c>
      <c r="O132" s="268" t="s">
        <v>1011</v>
      </c>
      <c r="P132" s="268">
        <v>623377</v>
      </c>
      <c r="Q132" s="277" t="s">
        <v>1011</v>
      </c>
      <c r="R132" s="267">
        <v>234538</v>
      </c>
      <c r="S132" s="267">
        <v>0</v>
      </c>
      <c r="T132" s="276" t="s">
        <v>1011</v>
      </c>
    </row>
    <row r="133" spans="1:20" ht="15.75" customHeight="1" x14ac:dyDescent="0.25">
      <c r="A133" s="272" t="s">
        <v>347</v>
      </c>
      <c r="B133" s="275" t="s">
        <v>346</v>
      </c>
      <c r="C133" s="265">
        <v>0.4</v>
      </c>
      <c r="D133" s="273" t="s">
        <v>802</v>
      </c>
      <c r="E133" s="274" t="s">
        <v>801</v>
      </c>
      <c r="F133" s="265">
        <v>0.1</v>
      </c>
      <c r="G133" s="273" t="s">
        <v>747</v>
      </c>
      <c r="H133" s="272" t="s">
        <v>761</v>
      </c>
      <c r="I133" s="265">
        <v>0</v>
      </c>
      <c r="J133" s="271">
        <f t="shared" si="1"/>
        <v>0.5</v>
      </c>
      <c r="K133" s="270"/>
      <c r="L133" s="279" t="s">
        <v>1010</v>
      </c>
      <c r="M133" s="279" t="s">
        <v>1010</v>
      </c>
      <c r="N133" s="279" t="s">
        <v>1010</v>
      </c>
      <c r="O133" s="268" t="s">
        <v>1010</v>
      </c>
      <c r="P133" s="268">
        <v>0</v>
      </c>
      <c r="Q133" s="277" t="s">
        <v>1010</v>
      </c>
      <c r="R133" s="267">
        <v>0</v>
      </c>
      <c r="S133" s="267">
        <v>0</v>
      </c>
      <c r="T133" s="276" t="s">
        <v>1010</v>
      </c>
    </row>
    <row r="134" spans="1:20" ht="15.75" customHeight="1" x14ac:dyDescent="0.25">
      <c r="A134" s="272" t="s">
        <v>349</v>
      </c>
      <c r="B134" s="275" t="s">
        <v>348</v>
      </c>
      <c r="C134" s="265">
        <v>0.4</v>
      </c>
      <c r="D134" s="273" t="s">
        <v>857</v>
      </c>
      <c r="E134" s="274" t="s">
        <v>856</v>
      </c>
      <c r="F134" s="265">
        <v>0.09</v>
      </c>
      <c r="G134" s="273" t="s">
        <v>855</v>
      </c>
      <c r="H134" s="272" t="s">
        <v>854</v>
      </c>
      <c r="I134" s="265">
        <v>0.01</v>
      </c>
      <c r="J134" s="271">
        <f t="shared" ref="J134:J197" si="2">+C134+F134+I134</f>
        <v>0.5</v>
      </c>
      <c r="K134" s="270"/>
      <c r="L134" s="279" t="s">
        <v>1010</v>
      </c>
      <c r="M134" s="279" t="s">
        <v>1010</v>
      </c>
      <c r="N134" s="279" t="s">
        <v>1010</v>
      </c>
      <c r="O134" s="268" t="s">
        <v>1010</v>
      </c>
      <c r="P134" s="268">
        <v>0</v>
      </c>
      <c r="Q134" s="277" t="s">
        <v>1010</v>
      </c>
      <c r="R134" s="267">
        <v>0</v>
      </c>
      <c r="S134" s="267">
        <v>0</v>
      </c>
      <c r="T134" s="276" t="s">
        <v>1010</v>
      </c>
    </row>
    <row r="135" spans="1:20" ht="15.75" customHeight="1" x14ac:dyDescent="0.25">
      <c r="A135" s="272" t="s">
        <v>351</v>
      </c>
      <c r="B135" s="275" t="s">
        <v>350</v>
      </c>
      <c r="C135" s="265">
        <v>0.3</v>
      </c>
      <c r="D135" s="273" t="s">
        <v>789</v>
      </c>
      <c r="E135" s="274" t="s">
        <v>788</v>
      </c>
      <c r="F135" s="265">
        <v>0.2</v>
      </c>
      <c r="G135" s="273" t="s">
        <v>747</v>
      </c>
      <c r="H135" s="274" t="s">
        <v>747</v>
      </c>
      <c r="I135" s="265">
        <v>0</v>
      </c>
      <c r="J135" s="271">
        <f t="shared" si="2"/>
        <v>0.5</v>
      </c>
      <c r="K135" s="270"/>
      <c r="L135" s="279" t="s">
        <v>1010</v>
      </c>
      <c r="M135" s="279" t="s">
        <v>1010</v>
      </c>
      <c r="N135" s="279" t="s">
        <v>1010</v>
      </c>
      <c r="O135" s="268" t="s">
        <v>1010</v>
      </c>
      <c r="P135" s="268">
        <v>0</v>
      </c>
      <c r="Q135" s="277" t="s">
        <v>1011</v>
      </c>
      <c r="R135" s="267">
        <v>0</v>
      </c>
      <c r="S135" s="267">
        <v>0</v>
      </c>
      <c r="T135" s="276" t="s">
        <v>1011</v>
      </c>
    </row>
    <row r="136" spans="1:20" x14ac:dyDescent="0.25">
      <c r="A136" s="272" t="s">
        <v>353</v>
      </c>
      <c r="B136" s="275" t="s">
        <v>905</v>
      </c>
      <c r="C136" s="265">
        <v>0.4</v>
      </c>
      <c r="D136" s="273" t="s">
        <v>883</v>
      </c>
      <c r="E136" s="274" t="s">
        <v>882</v>
      </c>
      <c r="F136" s="265">
        <v>0.09</v>
      </c>
      <c r="G136" s="273" t="s">
        <v>868</v>
      </c>
      <c r="H136" s="272" t="s">
        <v>867</v>
      </c>
      <c r="I136" s="265">
        <v>0.01</v>
      </c>
      <c r="J136" s="271">
        <f t="shared" si="2"/>
        <v>0.5</v>
      </c>
      <c r="K136" s="270"/>
      <c r="L136" s="279" t="s">
        <v>1011</v>
      </c>
      <c r="M136" s="279" t="s">
        <v>1029</v>
      </c>
      <c r="N136" s="279" t="s">
        <v>1010</v>
      </c>
      <c r="O136" s="268" t="s">
        <v>1010</v>
      </c>
      <c r="P136" s="268">
        <v>0</v>
      </c>
      <c r="Q136" s="277" t="s">
        <v>1010</v>
      </c>
      <c r="R136" s="267">
        <v>907450</v>
      </c>
      <c r="S136" s="267">
        <v>0</v>
      </c>
      <c r="T136" s="276" t="s">
        <v>1010</v>
      </c>
    </row>
    <row r="137" spans="1:20" ht="15.75" customHeight="1" x14ac:dyDescent="0.25">
      <c r="A137" s="272" t="s">
        <v>355</v>
      </c>
      <c r="B137" s="275" t="s">
        <v>354</v>
      </c>
      <c r="C137" s="265">
        <v>0.4</v>
      </c>
      <c r="D137" s="273" t="s">
        <v>763</v>
      </c>
      <c r="E137" s="274" t="s">
        <v>762</v>
      </c>
      <c r="F137" s="265">
        <v>0.1</v>
      </c>
      <c r="G137" s="273" t="s">
        <v>747</v>
      </c>
      <c r="H137" s="272" t="s">
        <v>761</v>
      </c>
      <c r="I137" s="265">
        <v>0</v>
      </c>
      <c r="J137" s="271">
        <f t="shared" si="2"/>
        <v>0.5</v>
      </c>
      <c r="K137" s="270"/>
      <c r="L137" s="279" t="s">
        <v>1010</v>
      </c>
      <c r="M137" s="279" t="s">
        <v>1010</v>
      </c>
      <c r="N137" s="279" t="s">
        <v>1010</v>
      </c>
      <c r="O137" s="268" t="s">
        <v>1010</v>
      </c>
      <c r="P137" s="268">
        <v>0</v>
      </c>
      <c r="Q137" s="277" t="s">
        <v>1010</v>
      </c>
      <c r="R137" s="267">
        <v>0</v>
      </c>
      <c r="S137" s="267">
        <v>0</v>
      </c>
      <c r="T137" s="276" t="s">
        <v>1010</v>
      </c>
    </row>
    <row r="138" spans="1:20" ht="15.75" customHeight="1" x14ac:dyDescent="0.25">
      <c r="A138" s="272" t="s">
        <v>357</v>
      </c>
      <c r="B138" s="275" t="s">
        <v>356</v>
      </c>
      <c r="C138" s="265">
        <v>0.3</v>
      </c>
      <c r="D138" s="273" t="s">
        <v>789</v>
      </c>
      <c r="E138" s="274" t="s">
        <v>788</v>
      </c>
      <c r="F138" s="265">
        <v>0.2</v>
      </c>
      <c r="G138" s="273" t="s">
        <v>747</v>
      </c>
      <c r="H138" s="274" t="s">
        <v>747</v>
      </c>
      <c r="I138" s="265">
        <v>0</v>
      </c>
      <c r="J138" s="271">
        <f t="shared" si="2"/>
        <v>0.5</v>
      </c>
      <c r="K138" s="270"/>
      <c r="L138" s="279" t="s">
        <v>1010</v>
      </c>
      <c r="M138" s="279" t="s">
        <v>1010</v>
      </c>
      <c r="N138" s="279" t="s">
        <v>1010</v>
      </c>
      <c r="O138" s="268" t="s">
        <v>1010</v>
      </c>
      <c r="P138" s="268">
        <v>0</v>
      </c>
      <c r="Q138" s="277" t="s">
        <v>1011</v>
      </c>
      <c r="R138" s="267">
        <v>0</v>
      </c>
      <c r="S138" s="267">
        <v>0</v>
      </c>
      <c r="T138" s="276" t="s">
        <v>1011</v>
      </c>
    </row>
    <row r="139" spans="1:20" x14ac:dyDescent="0.25">
      <c r="A139" s="272" t="s">
        <v>359</v>
      </c>
      <c r="B139" s="275" t="s">
        <v>358</v>
      </c>
      <c r="C139" s="265">
        <v>0.4</v>
      </c>
      <c r="D139" s="273" t="s">
        <v>861</v>
      </c>
      <c r="E139" s="274" t="s">
        <v>860</v>
      </c>
      <c r="F139" s="265">
        <v>0.09</v>
      </c>
      <c r="G139" s="273" t="s">
        <v>859</v>
      </c>
      <c r="H139" s="272" t="s">
        <v>858</v>
      </c>
      <c r="I139" s="265">
        <v>0.01</v>
      </c>
      <c r="J139" s="271">
        <f t="shared" si="2"/>
        <v>0.5</v>
      </c>
      <c r="K139" s="270"/>
      <c r="L139" s="279" t="s">
        <v>1011</v>
      </c>
      <c r="M139" s="279" t="s">
        <v>1030</v>
      </c>
      <c r="N139" s="279" t="s">
        <v>1010</v>
      </c>
      <c r="O139" s="268" t="s">
        <v>1011</v>
      </c>
      <c r="P139" s="268">
        <v>405333</v>
      </c>
      <c r="Q139" s="277" t="s">
        <v>1010</v>
      </c>
      <c r="R139" s="267">
        <v>636801</v>
      </c>
      <c r="S139" s="267">
        <v>0</v>
      </c>
      <c r="T139" s="276" t="s">
        <v>1010</v>
      </c>
    </row>
    <row r="140" spans="1:20" ht="15.75" customHeight="1" x14ac:dyDescent="0.25">
      <c r="A140" s="272" t="s">
        <v>361</v>
      </c>
      <c r="B140" s="275" t="s">
        <v>360</v>
      </c>
      <c r="C140" s="265">
        <v>0.4</v>
      </c>
      <c r="D140" s="273" t="s">
        <v>756</v>
      </c>
      <c r="E140" s="274" t="s">
        <v>755</v>
      </c>
      <c r="F140" s="265">
        <v>0.09</v>
      </c>
      <c r="G140" s="273" t="s">
        <v>754</v>
      </c>
      <c r="H140" s="272" t="s">
        <v>753</v>
      </c>
      <c r="I140" s="265">
        <v>0.01</v>
      </c>
      <c r="J140" s="271">
        <f t="shared" si="2"/>
        <v>0.5</v>
      </c>
      <c r="K140" s="270"/>
      <c r="L140" s="279" t="s">
        <v>1010</v>
      </c>
      <c r="M140" s="279" t="s">
        <v>1010</v>
      </c>
      <c r="N140" s="279" t="s">
        <v>1010</v>
      </c>
      <c r="O140" s="268" t="s">
        <v>1010</v>
      </c>
      <c r="P140" s="268">
        <v>0</v>
      </c>
      <c r="Q140" s="277" t="s">
        <v>1010</v>
      </c>
      <c r="R140" s="267">
        <v>0</v>
      </c>
      <c r="S140" s="267">
        <v>0</v>
      </c>
      <c r="T140" s="276" t="s">
        <v>1010</v>
      </c>
    </row>
    <row r="141" spans="1:20" ht="15.75" customHeight="1" x14ac:dyDescent="0.25">
      <c r="A141" s="272" t="s">
        <v>363</v>
      </c>
      <c r="B141" s="275" t="s">
        <v>362</v>
      </c>
      <c r="C141" s="265">
        <v>0.4</v>
      </c>
      <c r="D141" s="273" t="s">
        <v>810</v>
      </c>
      <c r="E141" s="274" t="s">
        <v>809</v>
      </c>
      <c r="F141" s="265">
        <v>0.1</v>
      </c>
      <c r="G141" s="273" t="s">
        <v>747</v>
      </c>
      <c r="H141" s="272" t="s">
        <v>761</v>
      </c>
      <c r="I141" s="265">
        <v>0</v>
      </c>
      <c r="J141" s="271">
        <f t="shared" si="2"/>
        <v>0.5</v>
      </c>
      <c r="K141" s="270"/>
      <c r="L141" s="279" t="s">
        <v>1010</v>
      </c>
      <c r="M141" s="279" t="s">
        <v>1010</v>
      </c>
      <c r="N141" s="279" t="s">
        <v>1010</v>
      </c>
      <c r="O141" s="268" t="s">
        <v>1010</v>
      </c>
      <c r="P141" s="268">
        <v>0</v>
      </c>
      <c r="Q141" s="277" t="s">
        <v>1010</v>
      </c>
      <c r="R141" s="267">
        <v>0</v>
      </c>
      <c r="S141" s="267">
        <v>0</v>
      </c>
      <c r="T141" s="276" t="s">
        <v>1010</v>
      </c>
    </row>
    <row r="142" spans="1:20" ht="15.75" customHeight="1" x14ac:dyDescent="0.25">
      <c r="A142" s="272" t="s">
        <v>365</v>
      </c>
      <c r="B142" s="281" t="s">
        <v>904</v>
      </c>
      <c r="C142" s="265">
        <v>0.5</v>
      </c>
      <c r="D142" s="273" t="s">
        <v>747</v>
      </c>
      <c r="E142" s="274" t="s">
        <v>746</v>
      </c>
      <c r="F142" s="265">
        <v>0</v>
      </c>
      <c r="G142" s="273" t="s">
        <v>747</v>
      </c>
      <c r="H142" s="272" t="s">
        <v>761</v>
      </c>
      <c r="I142" s="265">
        <v>0</v>
      </c>
      <c r="J142" s="271">
        <f t="shared" si="2"/>
        <v>0.5</v>
      </c>
      <c r="K142" s="270"/>
      <c r="L142" s="279" t="s">
        <v>1010</v>
      </c>
      <c r="M142" s="279" t="s">
        <v>1010</v>
      </c>
      <c r="N142" s="279" t="s">
        <v>1010</v>
      </c>
      <c r="O142" s="268" t="s">
        <v>1010</v>
      </c>
      <c r="P142" s="268">
        <v>0</v>
      </c>
      <c r="Q142" s="277" t="s">
        <v>1011</v>
      </c>
      <c r="R142" s="267">
        <v>0</v>
      </c>
      <c r="S142" s="267">
        <v>0</v>
      </c>
      <c r="T142" s="276" t="s">
        <v>1011</v>
      </c>
    </row>
    <row r="143" spans="1:20" ht="15.75" customHeight="1" x14ac:dyDescent="0.25">
      <c r="A143" s="272" t="s">
        <v>367</v>
      </c>
      <c r="B143" s="275" t="s">
        <v>366</v>
      </c>
      <c r="C143" s="265">
        <v>0.5</v>
      </c>
      <c r="D143" s="273" t="s">
        <v>747</v>
      </c>
      <c r="E143" s="274" t="s">
        <v>746</v>
      </c>
      <c r="F143" s="265">
        <v>0</v>
      </c>
      <c r="G143" s="273" t="s">
        <v>747</v>
      </c>
      <c r="H143" s="272" t="s">
        <v>761</v>
      </c>
      <c r="I143" s="265">
        <v>0</v>
      </c>
      <c r="J143" s="271">
        <f t="shared" si="2"/>
        <v>0.5</v>
      </c>
      <c r="K143" s="270"/>
      <c r="L143" s="279" t="s">
        <v>1010</v>
      </c>
      <c r="M143" s="279" t="s">
        <v>1010</v>
      </c>
      <c r="N143" s="279" t="s">
        <v>1010</v>
      </c>
      <c r="O143" s="268" t="s">
        <v>1010</v>
      </c>
      <c r="P143" s="268">
        <v>0</v>
      </c>
      <c r="Q143" s="277" t="s">
        <v>1011</v>
      </c>
      <c r="R143" s="267">
        <v>0</v>
      </c>
      <c r="S143" s="267">
        <v>0</v>
      </c>
      <c r="T143" s="276" t="s">
        <v>1011</v>
      </c>
    </row>
    <row r="144" spans="1:20" ht="15.75" customHeight="1" x14ac:dyDescent="0.25">
      <c r="A144" s="272" t="s">
        <v>369</v>
      </c>
      <c r="B144" s="275" t="s">
        <v>368</v>
      </c>
      <c r="C144" s="265">
        <v>0.3</v>
      </c>
      <c r="D144" s="273" t="s">
        <v>789</v>
      </c>
      <c r="E144" s="274" t="s">
        <v>788</v>
      </c>
      <c r="F144" s="265">
        <v>0.2</v>
      </c>
      <c r="G144" s="273" t="s">
        <v>747</v>
      </c>
      <c r="H144" s="274" t="s">
        <v>747</v>
      </c>
      <c r="I144" s="265">
        <v>0</v>
      </c>
      <c r="J144" s="271">
        <f t="shared" si="2"/>
        <v>0.5</v>
      </c>
      <c r="K144" s="270"/>
      <c r="L144" s="279" t="s">
        <v>1010</v>
      </c>
      <c r="M144" s="279" t="s">
        <v>1010</v>
      </c>
      <c r="N144" s="279" t="s">
        <v>1010</v>
      </c>
      <c r="O144" s="268" t="s">
        <v>1010</v>
      </c>
      <c r="P144" s="268">
        <v>0</v>
      </c>
      <c r="Q144" s="277" t="s">
        <v>1011</v>
      </c>
      <c r="R144" s="267">
        <v>0</v>
      </c>
      <c r="S144" s="267">
        <v>0</v>
      </c>
      <c r="T144" s="276" t="s">
        <v>1011</v>
      </c>
    </row>
    <row r="145" spans="1:20" ht="15.75" customHeight="1" x14ac:dyDescent="0.25">
      <c r="A145" s="272" t="s">
        <v>371</v>
      </c>
      <c r="B145" s="275" t="s">
        <v>903</v>
      </c>
      <c r="C145" s="265">
        <v>0.3</v>
      </c>
      <c r="D145" s="273" t="s">
        <v>789</v>
      </c>
      <c r="E145" s="274" t="s">
        <v>788</v>
      </c>
      <c r="F145" s="265">
        <v>0.2</v>
      </c>
      <c r="G145" s="273" t="s">
        <v>747</v>
      </c>
      <c r="H145" s="274" t="s">
        <v>747</v>
      </c>
      <c r="I145" s="265">
        <v>0</v>
      </c>
      <c r="J145" s="271">
        <f t="shared" si="2"/>
        <v>0.5</v>
      </c>
      <c r="K145" s="270"/>
      <c r="L145" s="279" t="s">
        <v>1010</v>
      </c>
      <c r="M145" s="279" t="s">
        <v>1010</v>
      </c>
      <c r="N145" s="279" t="s">
        <v>1010</v>
      </c>
      <c r="O145" s="268" t="s">
        <v>1010</v>
      </c>
      <c r="P145" s="268">
        <v>0</v>
      </c>
      <c r="Q145" s="277" t="s">
        <v>1011</v>
      </c>
      <c r="R145" s="267">
        <v>0</v>
      </c>
      <c r="S145" s="267">
        <v>0</v>
      </c>
      <c r="T145" s="276" t="s">
        <v>1011</v>
      </c>
    </row>
    <row r="146" spans="1:20" ht="15.75" customHeight="1" x14ac:dyDescent="0.25">
      <c r="A146" s="272" t="s">
        <v>373</v>
      </c>
      <c r="B146" s="275" t="s">
        <v>372</v>
      </c>
      <c r="C146" s="265">
        <v>0.4</v>
      </c>
      <c r="D146" s="273" t="s">
        <v>804</v>
      </c>
      <c r="E146" s="274" t="s">
        <v>803</v>
      </c>
      <c r="F146" s="265">
        <v>0.1</v>
      </c>
      <c r="G146" s="273" t="s">
        <v>747</v>
      </c>
      <c r="H146" s="272" t="s">
        <v>761</v>
      </c>
      <c r="I146" s="265">
        <v>0</v>
      </c>
      <c r="J146" s="271">
        <f t="shared" si="2"/>
        <v>0.5</v>
      </c>
      <c r="K146" s="270"/>
      <c r="L146" s="279" t="s">
        <v>1010</v>
      </c>
      <c r="M146" s="279" t="s">
        <v>1010</v>
      </c>
      <c r="N146" s="279" t="s">
        <v>1010</v>
      </c>
      <c r="O146" s="268" t="s">
        <v>1010</v>
      </c>
      <c r="P146" s="268">
        <v>0</v>
      </c>
      <c r="Q146" s="277" t="s">
        <v>1010</v>
      </c>
      <c r="R146" s="267">
        <v>0</v>
      </c>
      <c r="S146" s="267">
        <v>0</v>
      </c>
      <c r="T146" s="276" t="s">
        <v>1010</v>
      </c>
    </row>
    <row r="147" spans="1:20" ht="15.75" customHeight="1" x14ac:dyDescent="0.25">
      <c r="A147" s="272" t="s">
        <v>375</v>
      </c>
      <c r="B147" s="275" t="s">
        <v>902</v>
      </c>
      <c r="C147" s="265">
        <v>0.4</v>
      </c>
      <c r="D147" s="273" t="s">
        <v>848</v>
      </c>
      <c r="E147" s="274" t="s">
        <v>847</v>
      </c>
      <c r="F147" s="265">
        <v>0.1</v>
      </c>
      <c r="G147" s="273" t="s">
        <v>747</v>
      </c>
      <c r="H147" s="272" t="s">
        <v>761</v>
      </c>
      <c r="I147" s="265">
        <v>0</v>
      </c>
      <c r="J147" s="271">
        <f t="shared" si="2"/>
        <v>0.5</v>
      </c>
      <c r="L147" s="279" t="s">
        <v>1010</v>
      </c>
      <c r="M147" s="279" t="s">
        <v>1010</v>
      </c>
      <c r="N147" s="279" t="s">
        <v>1010</v>
      </c>
      <c r="O147" s="268" t="s">
        <v>1010</v>
      </c>
      <c r="P147" s="268">
        <v>0</v>
      </c>
      <c r="Q147" s="277" t="s">
        <v>1010</v>
      </c>
      <c r="R147" s="267">
        <v>0</v>
      </c>
      <c r="S147" s="267">
        <v>0</v>
      </c>
      <c r="T147" s="276" t="s">
        <v>1010</v>
      </c>
    </row>
    <row r="148" spans="1:20" x14ac:dyDescent="0.25">
      <c r="A148" s="272" t="s">
        <v>377</v>
      </c>
      <c r="B148" s="281" t="s">
        <v>901</v>
      </c>
      <c r="C148" s="265">
        <v>0.49</v>
      </c>
      <c r="D148" s="273" t="s">
        <v>747</v>
      </c>
      <c r="E148" s="274" t="s">
        <v>746</v>
      </c>
      <c r="F148" s="265">
        <v>0</v>
      </c>
      <c r="G148" s="273" t="s">
        <v>889</v>
      </c>
      <c r="H148" s="272" t="s">
        <v>888</v>
      </c>
      <c r="I148" s="265">
        <v>0.01</v>
      </c>
      <c r="J148" s="271">
        <f t="shared" si="2"/>
        <v>0.5</v>
      </c>
      <c r="K148" s="270"/>
      <c r="L148" s="279" t="s">
        <v>1011</v>
      </c>
      <c r="M148" s="279" t="s">
        <v>1020</v>
      </c>
      <c r="N148" s="279" t="s">
        <v>1021</v>
      </c>
      <c r="O148" s="268" t="s">
        <v>1010</v>
      </c>
      <c r="P148" s="268">
        <v>0</v>
      </c>
      <c r="Q148" s="277" t="s">
        <v>1011</v>
      </c>
      <c r="R148" s="267">
        <v>0</v>
      </c>
      <c r="S148" s="267">
        <v>160494</v>
      </c>
      <c r="T148" s="276" t="s">
        <v>1011</v>
      </c>
    </row>
    <row r="149" spans="1:20" ht="15.75" customHeight="1" x14ac:dyDescent="0.25">
      <c r="A149" s="272" t="s">
        <v>379</v>
      </c>
      <c r="B149" s="281" t="s">
        <v>900</v>
      </c>
      <c r="C149" s="265">
        <v>0.3</v>
      </c>
      <c r="D149" s="273" t="s">
        <v>789</v>
      </c>
      <c r="E149" s="274" t="s">
        <v>788</v>
      </c>
      <c r="F149" s="265">
        <v>0.2</v>
      </c>
      <c r="G149" s="273" t="s">
        <v>747</v>
      </c>
      <c r="H149" s="274" t="s">
        <v>747</v>
      </c>
      <c r="I149" s="265">
        <v>0</v>
      </c>
      <c r="J149" s="271">
        <f t="shared" si="2"/>
        <v>0.5</v>
      </c>
      <c r="K149" s="270"/>
      <c r="L149" s="279" t="s">
        <v>1010</v>
      </c>
      <c r="M149" s="279" t="s">
        <v>1010</v>
      </c>
      <c r="N149" s="279" t="s">
        <v>1010</v>
      </c>
      <c r="O149" s="268" t="s">
        <v>1010</v>
      </c>
      <c r="P149" s="268">
        <v>0</v>
      </c>
      <c r="Q149" s="277" t="s">
        <v>1011</v>
      </c>
      <c r="R149" s="267">
        <v>0</v>
      </c>
      <c r="S149" s="267">
        <v>0</v>
      </c>
      <c r="T149" s="276" t="s">
        <v>1011</v>
      </c>
    </row>
    <row r="150" spans="1:20" ht="15.75" customHeight="1" x14ac:dyDescent="0.25">
      <c r="A150" s="272" t="s">
        <v>381</v>
      </c>
      <c r="B150" s="275" t="s">
        <v>380</v>
      </c>
      <c r="C150" s="265">
        <v>0.49</v>
      </c>
      <c r="D150" s="273" t="s">
        <v>747</v>
      </c>
      <c r="E150" s="274" t="s">
        <v>766</v>
      </c>
      <c r="F150" s="265">
        <v>0</v>
      </c>
      <c r="G150" s="273" t="s">
        <v>817</v>
      </c>
      <c r="H150" s="272" t="s">
        <v>816</v>
      </c>
      <c r="I150" s="265">
        <v>0.01</v>
      </c>
      <c r="J150" s="271">
        <f t="shared" si="2"/>
        <v>0.5</v>
      </c>
      <c r="K150" s="270"/>
      <c r="L150" s="279" t="s">
        <v>1010</v>
      </c>
      <c r="M150" s="279" t="s">
        <v>1010</v>
      </c>
      <c r="N150" s="279" t="s">
        <v>1010</v>
      </c>
      <c r="O150" s="268" t="s">
        <v>1010</v>
      </c>
      <c r="P150" s="268">
        <v>0</v>
      </c>
      <c r="Q150" s="277" t="s">
        <v>1011</v>
      </c>
      <c r="R150" s="267">
        <v>0</v>
      </c>
      <c r="S150" s="267">
        <v>0</v>
      </c>
      <c r="T150" s="276" t="s">
        <v>1011</v>
      </c>
    </row>
    <row r="151" spans="1:20" ht="15.75" customHeight="1" x14ac:dyDescent="0.25">
      <c r="A151" s="272" t="s">
        <v>383</v>
      </c>
      <c r="B151" s="275" t="s">
        <v>382</v>
      </c>
      <c r="C151" s="265">
        <v>0.49</v>
      </c>
      <c r="D151" s="273" t="s">
        <v>747</v>
      </c>
      <c r="E151" s="274" t="s">
        <v>766</v>
      </c>
      <c r="F151" s="265">
        <v>0</v>
      </c>
      <c r="G151" s="273" t="s">
        <v>773</v>
      </c>
      <c r="H151" s="272" t="s">
        <v>772</v>
      </c>
      <c r="I151" s="265">
        <v>0.01</v>
      </c>
      <c r="J151" s="271">
        <f t="shared" si="2"/>
        <v>0.5</v>
      </c>
      <c r="K151" s="270"/>
      <c r="L151" s="279" t="s">
        <v>1010</v>
      </c>
      <c r="M151" s="279" t="s">
        <v>1010</v>
      </c>
      <c r="N151" s="279" t="s">
        <v>1010</v>
      </c>
      <c r="O151" s="268" t="s">
        <v>1010</v>
      </c>
      <c r="P151" s="268">
        <v>0</v>
      </c>
      <c r="Q151" s="277" t="s">
        <v>1011</v>
      </c>
      <c r="R151" s="267">
        <v>0</v>
      </c>
      <c r="S151" s="267">
        <v>0</v>
      </c>
      <c r="T151" s="276" t="s">
        <v>1011</v>
      </c>
    </row>
    <row r="152" spans="1:20" ht="15.75" customHeight="1" x14ac:dyDescent="0.25">
      <c r="A152" s="272" t="s">
        <v>385</v>
      </c>
      <c r="B152" s="275" t="s">
        <v>384</v>
      </c>
      <c r="C152" s="265">
        <v>0.3</v>
      </c>
      <c r="D152" s="273" t="s">
        <v>789</v>
      </c>
      <c r="E152" s="274" t="s">
        <v>788</v>
      </c>
      <c r="F152" s="265">
        <v>0.2</v>
      </c>
      <c r="G152" s="273" t="s">
        <v>747</v>
      </c>
      <c r="H152" s="274" t="s">
        <v>747</v>
      </c>
      <c r="I152" s="265">
        <v>0</v>
      </c>
      <c r="J152" s="271">
        <f t="shared" si="2"/>
        <v>0.5</v>
      </c>
      <c r="K152" s="270"/>
      <c r="L152" s="279" t="s">
        <v>1010</v>
      </c>
      <c r="M152" s="279" t="s">
        <v>1010</v>
      </c>
      <c r="N152" s="279" t="s">
        <v>1010</v>
      </c>
      <c r="O152" s="268" t="s">
        <v>1010</v>
      </c>
      <c r="P152" s="268">
        <v>0</v>
      </c>
      <c r="Q152" s="277" t="s">
        <v>1011</v>
      </c>
      <c r="R152" s="267">
        <v>0</v>
      </c>
      <c r="S152" s="267">
        <v>0</v>
      </c>
      <c r="T152" s="276" t="s">
        <v>1011</v>
      </c>
    </row>
    <row r="153" spans="1:20" ht="15.75" customHeight="1" x14ac:dyDescent="0.25">
      <c r="A153" s="272" t="s">
        <v>387</v>
      </c>
      <c r="B153" s="275" t="s">
        <v>386</v>
      </c>
      <c r="C153" s="265">
        <v>0.4</v>
      </c>
      <c r="D153" s="273" t="s">
        <v>756</v>
      </c>
      <c r="E153" s="274" t="s">
        <v>755</v>
      </c>
      <c r="F153" s="265">
        <v>0.09</v>
      </c>
      <c r="G153" s="273" t="s">
        <v>754</v>
      </c>
      <c r="H153" s="272" t="s">
        <v>753</v>
      </c>
      <c r="I153" s="265">
        <v>0.01</v>
      </c>
      <c r="J153" s="271">
        <f t="shared" si="2"/>
        <v>0.5</v>
      </c>
      <c r="K153" s="270"/>
      <c r="L153" s="279" t="s">
        <v>1010</v>
      </c>
      <c r="M153" s="279" t="s">
        <v>1010</v>
      </c>
      <c r="N153" s="279" t="s">
        <v>1010</v>
      </c>
      <c r="O153" s="268" t="s">
        <v>1010</v>
      </c>
      <c r="P153" s="268">
        <v>0</v>
      </c>
      <c r="Q153" s="277" t="s">
        <v>1010</v>
      </c>
      <c r="R153" s="267">
        <v>0</v>
      </c>
      <c r="S153" s="267">
        <v>0</v>
      </c>
      <c r="T153" s="276" t="s">
        <v>1010</v>
      </c>
    </row>
    <row r="154" spans="1:20" x14ac:dyDescent="0.25">
      <c r="A154" s="272" t="s">
        <v>389</v>
      </c>
      <c r="B154" s="275" t="s">
        <v>388</v>
      </c>
      <c r="C154" s="265">
        <v>0.49</v>
      </c>
      <c r="D154" s="273" t="s">
        <v>747</v>
      </c>
      <c r="E154" s="274" t="s">
        <v>766</v>
      </c>
      <c r="F154" s="265">
        <v>0</v>
      </c>
      <c r="G154" s="273" t="s">
        <v>817</v>
      </c>
      <c r="H154" s="272" t="s">
        <v>816</v>
      </c>
      <c r="I154" s="265">
        <v>0.01</v>
      </c>
      <c r="J154" s="271">
        <f t="shared" si="2"/>
        <v>0.5</v>
      </c>
      <c r="K154" s="270"/>
      <c r="L154" s="279" t="s">
        <v>1011</v>
      </c>
      <c r="M154" s="279" t="s">
        <v>1031</v>
      </c>
      <c r="N154" s="279" t="s">
        <v>1031</v>
      </c>
      <c r="O154" s="268" t="s">
        <v>1011</v>
      </c>
      <c r="P154" s="268">
        <v>10332781</v>
      </c>
      <c r="Q154" s="277" t="s">
        <v>1011</v>
      </c>
      <c r="R154" s="267">
        <v>940240</v>
      </c>
      <c r="S154" s="267">
        <v>0</v>
      </c>
      <c r="T154" s="276" t="s">
        <v>1011</v>
      </c>
    </row>
    <row r="155" spans="1:20" ht="15.75" customHeight="1" x14ac:dyDescent="0.25">
      <c r="A155" s="272" t="s">
        <v>391</v>
      </c>
      <c r="B155" s="281" t="s">
        <v>899</v>
      </c>
      <c r="C155" s="265">
        <v>0.49</v>
      </c>
      <c r="D155" s="273" t="s">
        <v>747</v>
      </c>
      <c r="E155" s="274" t="s">
        <v>746</v>
      </c>
      <c r="F155" s="265">
        <v>0</v>
      </c>
      <c r="G155" s="273" t="s">
        <v>868</v>
      </c>
      <c r="H155" s="272" t="s">
        <v>867</v>
      </c>
      <c r="I155" s="265">
        <v>0.01</v>
      </c>
      <c r="J155" s="271">
        <f t="shared" si="2"/>
        <v>0.5</v>
      </c>
      <c r="K155" s="270"/>
      <c r="L155" s="279" t="s">
        <v>1010</v>
      </c>
      <c r="M155" s="279" t="s">
        <v>1010</v>
      </c>
      <c r="N155" s="279" t="s">
        <v>1010</v>
      </c>
      <c r="O155" s="268" t="s">
        <v>1010</v>
      </c>
      <c r="P155" s="268">
        <v>0</v>
      </c>
      <c r="Q155" s="277" t="s">
        <v>1011</v>
      </c>
      <c r="R155" s="267">
        <v>0</v>
      </c>
      <c r="S155" s="267">
        <v>0</v>
      </c>
      <c r="T155" s="276" t="s">
        <v>1011</v>
      </c>
    </row>
    <row r="156" spans="1:20" ht="15.75" customHeight="1" x14ac:dyDescent="0.25">
      <c r="A156" s="272" t="s">
        <v>393</v>
      </c>
      <c r="B156" s="275" t="s">
        <v>392</v>
      </c>
      <c r="C156" s="265">
        <v>0.4</v>
      </c>
      <c r="D156" s="273" t="s">
        <v>808</v>
      </c>
      <c r="E156" s="274" t="s">
        <v>807</v>
      </c>
      <c r="F156" s="265">
        <v>0.09</v>
      </c>
      <c r="G156" s="273" t="s">
        <v>806</v>
      </c>
      <c r="H156" s="272" t="s">
        <v>805</v>
      </c>
      <c r="I156" s="265">
        <v>0.01</v>
      </c>
      <c r="J156" s="271">
        <f t="shared" si="2"/>
        <v>0.5</v>
      </c>
      <c r="K156" s="270"/>
      <c r="L156" s="279" t="s">
        <v>1010</v>
      </c>
      <c r="M156" s="279" t="s">
        <v>1010</v>
      </c>
      <c r="N156" s="279" t="s">
        <v>1010</v>
      </c>
      <c r="O156" s="268" t="s">
        <v>1010</v>
      </c>
      <c r="P156" s="268">
        <v>0</v>
      </c>
      <c r="Q156" s="277" t="s">
        <v>1010</v>
      </c>
      <c r="R156" s="267">
        <v>0</v>
      </c>
      <c r="S156" s="267">
        <v>0</v>
      </c>
      <c r="T156" s="276" t="s">
        <v>1010</v>
      </c>
    </row>
    <row r="157" spans="1:20" ht="15.75" customHeight="1" x14ac:dyDescent="0.25">
      <c r="A157" s="272" t="s">
        <v>395</v>
      </c>
      <c r="B157" s="275" t="s">
        <v>394</v>
      </c>
      <c r="C157" s="265">
        <v>0.3</v>
      </c>
      <c r="D157" s="273" t="s">
        <v>789</v>
      </c>
      <c r="E157" s="274" t="s">
        <v>788</v>
      </c>
      <c r="F157" s="265">
        <v>0.2</v>
      </c>
      <c r="G157" s="273" t="s">
        <v>747</v>
      </c>
      <c r="H157" s="274" t="s">
        <v>747</v>
      </c>
      <c r="I157" s="265">
        <v>0</v>
      </c>
      <c r="J157" s="271">
        <f t="shared" si="2"/>
        <v>0.5</v>
      </c>
      <c r="K157" s="270"/>
      <c r="L157" s="279" t="s">
        <v>1010</v>
      </c>
      <c r="M157" s="279" t="s">
        <v>1010</v>
      </c>
      <c r="N157" s="279" t="s">
        <v>1010</v>
      </c>
      <c r="O157" s="268" t="s">
        <v>1010</v>
      </c>
      <c r="P157" s="268">
        <v>0</v>
      </c>
      <c r="Q157" s="277" t="s">
        <v>1011</v>
      </c>
      <c r="R157" s="267">
        <v>0</v>
      </c>
      <c r="S157" s="267">
        <v>0</v>
      </c>
      <c r="T157" s="276" t="s">
        <v>1011</v>
      </c>
    </row>
    <row r="158" spans="1:20" ht="15.75" customHeight="1" x14ac:dyDescent="0.25">
      <c r="A158" s="272" t="s">
        <v>397</v>
      </c>
      <c r="B158" s="275" t="s">
        <v>396</v>
      </c>
      <c r="C158" s="265">
        <v>0.4</v>
      </c>
      <c r="D158" s="273" t="s">
        <v>837</v>
      </c>
      <c r="E158" s="274" t="s">
        <v>836</v>
      </c>
      <c r="F158" s="265">
        <v>0.09</v>
      </c>
      <c r="G158" s="273" t="s">
        <v>835</v>
      </c>
      <c r="H158" s="272" t="s">
        <v>834</v>
      </c>
      <c r="I158" s="265">
        <v>0.01</v>
      </c>
      <c r="J158" s="271">
        <f t="shared" si="2"/>
        <v>0.5</v>
      </c>
      <c r="K158" s="270"/>
      <c r="L158" s="279" t="s">
        <v>1010</v>
      </c>
      <c r="M158" s="279" t="s">
        <v>1010</v>
      </c>
      <c r="N158" s="279" t="s">
        <v>1010</v>
      </c>
      <c r="O158" s="268" t="s">
        <v>1010</v>
      </c>
      <c r="P158" s="268">
        <v>0</v>
      </c>
      <c r="Q158" s="277" t="s">
        <v>1010</v>
      </c>
      <c r="R158" s="267">
        <v>0</v>
      </c>
      <c r="S158" s="267">
        <v>0</v>
      </c>
      <c r="T158" s="276" t="s">
        <v>1010</v>
      </c>
    </row>
    <row r="159" spans="1:20" ht="15.75" customHeight="1" x14ac:dyDescent="0.25">
      <c r="A159" s="272" t="s">
        <v>399</v>
      </c>
      <c r="B159" s="275" t="s">
        <v>398</v>
      </c>
      <c r="C159" s="265">
        <v>0.4</v>
      </c>
      <c r="D159" s="273" t="s">
        <v>797</v>
      </c>
      <c r="E159" s="274" t="s">
        <v>796</v>
      </c>
      <c r="F159" s="265">
        <v>0.1</v>
      </c>
      <c r="G159" s="273" t="s">
        <v>747</v>
      </c>
      <c r="H159" s="272" t="s">
        <v>761</v>
      </c>
      <c r="I159" s="265">
        <v>0</v>
      </c>
      <c r="J159" s="271">
        <f t="shared" si="2"/>
        <v>0.5</v>
      </c>
      <c r="K159" s="270"/>
      <c r="L159" s="279" t="s">
        <v>1010</v>
      </c>
      <c r="M159" s="279" t="s">
        <v>1010</v>
      </c>
      <c r="N159" s="279" t="s">
        <v>1010</v>
      </c>
      <c r="O159" s="268" t="s">
        <v>1011</v>
      </c>
      <c r="P159" s="268">
        <v>1600877</v>
      </c>
      <c r="Q159" s="277" t="s">
        <v>1010</v>
      </c>
      <c r="R159" s="267">
        <v>0</v>
      </c>
      <c r="S159" s="267">
        <v>0</v>
      </c>
      <c r="T159" s="276" t="s">
        <v>1010</v>
      </c>
    </row>
    <row r="160" spans="1:20" x14ac:dyDescent="0.25">
      <c r="A160" s="272" t="s">
        <v>401</v>
      </c>
      <c r="B160" s="275" t="s">
        <v>400</v>
      </c>
      <c r="C160" s="265">
        <v>0.49</v>
      </c>
      <c r="D160" s="273" t="s">
        <v>747</v>
      </c>
      <c r="E160" s="274" t="s">
        <v>766</v>
      </c>
      <c r="F160" s="265">
        <v>0</v>
      </c>
      <c r="G160" s="273" t="s">
        <v>773</v>
      </c>
      <c r="H160" s="272" t="s">
        <v>772</v>
      </c>
      <c r="I160" s="265">
        <v>0.01</v>
      </c>
      <c r="J160" s="271">
        <f t="shared" si="2"/>
        <v>0.5</v>
      </c>
      <c r="K160" s="270"/>
      <c r="L160" s="279" t="s">
        <v>1011</v>
      </c>
      <c r="M160" s="279" t="s">
        <v>1032</v>
      </c>
      <c r="N160" s="279" t="s">
        <v>1033</v>
      </c>
      <c r="O160" s="268" t="s">
        <v>1011</v>
      </c>
      <c r="P160" s="268">
        <v>5722293</v>
      </c>
      <c r="Q160" s="277" t="s">
        <v>1011</v>
      </c>
      <c r="R160" s="267">
        <v>3663356</v>
      </c>
      <c r="S160" s="267">
        <v>31386449</v>
      </c>
      <c r="T160" s="276" t="s">
        <v>1011</v>
      </c>
    </row>
    <row r="161" spans="1:20" ht="15.75" customHeight="1" x14ac:dyDescent="0.25">
      <c r="A161" s="272" t="s">
        <v>403</v>
      </c>
      <c r="B161" s="275" t="s">
        <v>898</v>
      </c>
      <c r="C161" s="265">
        <v>0.49</v>
      </c>
      <c r="D161" s="273" t="s">
        <v>747</v>
      </c>
      <c r="E161" s="274" t="s">
        <v>746</v>
      </c>
      <c r="F161" s="265">
        <v>0</v>
      </c>
      <c r="G161" s="273" t="s">
        <v>897</v>
      </c>
      <c r="H161" s="272" t="s">
        <v>896</v>
      </c>
      <c r="I161" s="265">
        <v>0.01</v>
      </c>
      <c r="J161" s="271">
        <f t="shared" si="2"/>
        <v>0.5</v>
      </c>
      <c r="K161" s="270"/>
      <c r="L161" s="279" t="s">
        <v>1010</v>
      </c>
      <c r="M161" s="279" t="s">
        <v>1010</v>
      </c>
      <c r="N161" s="279" t="s">
        <v>1010</v>
      </c>
      <c r="O161" s="268" t="s">
        <v>1010</v>
      </c>
      <c r="P161" s="268">
        <v>0</v>
      </c>
      <c r="Q161" s="277" t="s">
        <v>1011</v>
      </c>
      <c r="R161" s="267">
        <v>0</v>
      </c>
      <c r="S161" s="267">
        <v>0</v>
      </c>
      <c r="T161" s="276" t="s">
        <v>1011</v>
      </c>
    </row>
    <row r="162" spans="1:20" ht="15.75" customHeight="1" x14ac:dyDescent="0.25">
      <c r="A162" s="272" t="s">
        <v>405</v>
      </c>
      <c r="B162" s="275" t="s">
        <v>404</v>
      </c>
      <c r="C162" s="265">
        <v>0.4</v>
      </c>
      <c r="D162" s="273" t="s">
        <v>825</v>
      </c>
      <c r="E162" s="274" t="s">
        <v>824</v>
      </c>
      <c r="F162" s="265">
        <v>0.09</v>
      </c>
      <c r="G162" s="273" t="s">
        <v>823</v>
      </c>
      <c r="H162" s="272" t="s">
        <v>822</v>
      </c>
      <c r="I162" s="265">
        <v>0.01</v>
      </c>
      <c r="J162" s="271">
        <f t="shared" si="2"/>
        <v>0.5</v>
      </c>
      <c r="K162" s="270"/>
      <c r="L162" s="279" t="s">
        <v>1010</v>
      </c>
      <c r="M162" s="279" t="s">
        <v>1010</v>
      </c>
      <c r="N162" s="279" t="s">
        <v>1010</v>
      </c>
      <c r="O162" s="268" t="s">
        <v>1011</v>
      </c>
      <c r="P162" s="268">
        <v>2206273</v>
      </c>
      <c r="Q162" s="277" t="s">
        <v>1010</v>
      </c>
      <c r="R162" s="267">
        <v>0</v>
      </c>
      <c r="S162" s="267">
        <v>0</v>
      </c>
      <c r="T162" s="276" t="s">
        <v>1010</v>
      </c>
    </row>
    <row r="163" spans="1:20" ht="15.75" customHeight="1" x14ac:dyDescent="0.25">
      <c r="A163" s="272" t="s">
        <v>407</v>
      </c>
      <c r="B163" s="275" t="s">
        <v>406</v>
      </c>
      <c r="C163" s="265">
        <v>0.4</v>
      </c>
      <c r="D163" s="273" t="s">
        <v>821</v>
      </c>
      <c r="E163" s="274" t="s">
        <v>820</v>
      </c>
      <c r="F163" s="265">
        <v>0.09</v>
      </c>
      <c r="G163" s="273" t="s">
        <v>819</v>
      </c>
      <c r="H163" s="272" t="s">
        <v>818</v>
      </c>
      <c r="I163" s="265">
        <v>0.01</v>
      </c>
      <c r="J163" s="271">
        <f t="shared" si="2"/>
        <v>0.5</v>
      </c>
      <c r="K163" s="270"/>
      <c r="L163" s="279" t="s">
        <v>1010</v>
      </c>
      <c r="M163" s="279" t="s">
        <v>1010</v>
      </c>
      <c r="N163" s="279" t="s">
        <v>1010</v>
      </c>
      <c r="O163" s="268" t="s">
        <v>1010</v>
      </c>
      <c r="P163" s="268">
        <v>0</v>
      </c>
      <c r="Q163" s="277" t="s">
        <v>1010</v>
      </c>
      <c r="R163" s="267">
        <v>0</v>
      </c>
      <c r="S163" s="267">
        <v>0</v>
      </c>
      <c r="T163" s="276" t="s">
        <v>1010</v>
      </c>
    </row>
    <row r="164" spans="1:20" ht="15.75" customHeight="1" x14ac:dyDescent="0.25">
      <c r="A164" s="272" t="s">
        <v>409</v>
      </c>
      <c r="B164" s="275" t="s">
        <v>408</v>
      </c>
      <c r="C164" s="265">
        <v>0.4</v>
      </c>
      <c r="D164" s="273" t="s">
        <v>752</v>
      </c>
      <c r="E164" s="274" t="s">
        <v>751</v>
      </c>
      <c r="F164" s="265">
        <v>0.09</v>
      </c>
      <c r="G164" s="273" t="s">
        <v>750</v>
      </c>
      <c r="H164" s="272" t="s">
        <v>749</v>
      </c>
      <c r="I164" s="265">
        <v>0.01</v>
      </c>
      <c r="J164" s="271">
        <f t="shared" si="2"/>
        <v>0.5</v>
      </c>
      <c r="K164" s="270"/>
      <c r="L164" s="279" t="s">
        <v>1010</v>
      </c>
      <c r="M164" s="279" t="s">
        <v>1010</v>
      </c>
      <c r="N164" s="279" t="s">
        <v>1010</v>
      </c>
      <c r="O164" s="268" t="s">
        <v>1011</v>
      </c>
      <c r="P164" s="268">
        <v>183715</v>
      </c>
      <c r="Q164" s="277" t="s">
        <v>1010</v>
      </c>
      <c r="R164" s="267">
        <v>0</v>
      </c>
      <c r="S164" s="267">
        <v>0</v>
      </c>
      <c r="T164" s="276" t="s">
        <v>1010</v>
      </c>
    </row>
    <row r="165" spans="1:20" x14ac:dyDescent="0.25">
      <c r="A165" s="272" t="s">
        <v>411</v>
      </c>
      <c r="B165" s="275" t="s">
        <v>410</v>
      </c>
      <c r="C165" s="265">
        <v>0.49</v>
      </c>
      <c r="D165" s="273" t="s">
        <v>747</v>
      </c>
      <c r="E165" s="274" t="s">
        <v>766</v>
      </c>
      <c r="F165" s="265">
        <v>0</v>
      </c>
      <c r="G165" s="273" t="s">
        <v>782</v>
      </c>
      <c r="H165" s="272" t="s">
        <v>781</v>
      </c>
      <c r="I165" s="265">
        <v>0.01</v>
      </c>
      <c r="J165" s="271">
        <f t="shared" si="2"/>
        <v>0.5</v>
      </c>
      <c r="K165" s="270"/>
      <c r="L165" s="279" t="s">
        <v>1011</v>
      </c>
      <c r="M165" s="279" t="s">
        <v>1034</v>
      </c>
      <c r="N165" s="279" t="s">
        <v>1010</v>
      </c>
      <c r="O165" s="268" t="s">
        <v>1010</v>
      </c>
      <c r="P165" s="268">
        <v>0</v>
      </c>
      <c r="Q165" s="277" t="s">
        <v>1011</v>
      </c>
      <c r="R165" s="267">
        <v>6035290</v>
      </c>
      <c r="S165" s="267">
        <v>0</v>
      </c>
      <c r="T165" s="276" t="s">
        <v>1011</v>
      </c>
    </row>
    <row r="166" spans="1:20" ht="15.75" customHeight="1" x14ac:dyDescent="0.25">
      <c r="A166" s="272" t="s">
        <v>413</v>
      </c>
      <c r="B166" s="275" t="s">
        <v>412</v>
      </c>
      <c r="C166" s="265">
        <v>0.4</v>
      </c>
      <c r="D166" s="273" t="s">
        <v>873</v>
      </c>
      <c r="E166" s="274" t="s">
        <v>872</v>
      </c>
      <c r="F166" s="265">
        <v>0.09</v>
      </c>
      <c r="G166" s="273" t="s">
        <v>871</v>
      </c>
      <c r="H166" s="272" t="s">
        <v>870</v>
      </c>
      <c r="I166" s="265">
        <v>0.01</v>
      </c>
      <c r="J166" s="271">
        <f t="shared" si="2"/>
        <v>0.5</v>
      </c>
      <c r="K166" s="270"/>
      <c r="L166" s="279" t="s">
        <v>1010</v>
      </c>
      <c r="M166" s="279" t="s">
        <v>1010</v>
      </c>
      <c r="N166" s="279" t="s">
        <v>1010</v>
      </c>
      <c r="O166" s="268" t="s">
        <v>1011</v>
      </c>
      <c r="P166" s="268">
        <v>229848</v>
      </c>
      <c r="Q166" s="277" t="s">
        <v>1010</v>
      </c>
      <c r="R166" s="267">
        <v>0</v>
      </c>
      <c r="S166" s="267">
        <v>0</v>
      </c>
      <c r="T166" s="276" t="s">
        <v>1010</v>
      </c>
    </row>
    <row r="167" spans="1:20" ht="15.75" customHeight="1" x14ac:dyDescent="0.25">
      <c r="A167" s="272" t="s">
        <v>415</v>
      </c>
      <c r="B167" s="275" t="s">
        <v>895</v>
      </c>
      <c r="C167" s="265">
        <v>0.49</v>
      </c>
      <c r="D167" s="273" t="s">
        <v>747</v>
      </c>
      <c r="E167" s="274" t="s">
        <v>746</v>
      </c>
      <c r="F167" s="265">
        <v>0</v>
      </c>
      <c r="G167" s="273" t="s">
        <v>823</v>
      </c>
      <c r="H167" s="272" t="s">
        <v>822</v>
      </c>
      <c r="I167" s="265">
        <v>0.01</v>
      </c>
      <c r="J167" s="271">
        <f t="shared" si="2"/>
        <v>0.5</v>
      </c>
      <c r="K167" s="270"/>
      <c r="L167" s="279" t="s">
        <v>1010</v>
      </c>
      <c r="M167" s="279" t="s">
        <v>1010</v>
      </c>
      <c r="N167" s="279" t="s">
        <v>1010</v>
      </c>
      <c r="O167" s="268" t="s">
        <v>1011</v>
      </c>
      <c r="P167" s="268">
        <v>3242641</v>
      </c>
      <c r="Q167" s="277" t="s">
        <v>1011</v>
      </c>
      <c r="R167" s="267">
        <v>0</v>
      </c>
      <c r="S167" s="267">
        <v>0</v>
      </c>
      <c r="T167" s="276" t="s">
        <v>1011</v>
      </c>
    </row>
    <row r="168" spans="1:20" ht="15.75" customHeight="1" x14ac:dyDescent="0.25">
      <c r="A168" s="272" t="s">
        <v>417</v>
      </c>
      <c r="B168" s="275" t="s">
        <v>416</v>
      </c>
      <c r="C168" s="265">
        <v>0.4</v>
      </c>
      <c r="D168" s="273" t="s">
        <v>883</v>
      </c>
      <c r="E168" s="274" t="s">
        <v>882</v>
      </c>
      <c r="F168" s="265">
        <v>0.09</v>
      </c>
      <c r="G168" s="273" t="s">
        <v>868</v>
      </c>
      <c r="H168" s="272" t="s">
        <v>867</v>
      </c>
      <c r="I168" s="265">
        <v>0.01</v>
      </c>
      <c r="J168" s="271">
        <f t="shared" si="2"/>
        <v>0.5</v>
      </c>
      <c r="L168" s="279" t="s">
        <v>1010</v>
      </c>
      <c r="M168" s="279" t="s">
        <v>1010</v>
      </c>
      <c r="N168" s="279" t="s">
        <v>1010</v>
      </c>
      <c r="O168" s="268" t="s">
        <v>1010</v>
      </c>
      <c r="P168" s="268">
        <v>0</v>
      </c>
      <c r="Q168" s="277" t="s">
        <v>1010</v>
      </c>
      <c r="R168" s="267">
        <v>0</v>
      </c>
      <c r="S168" s="267">
        <v>0</v>
      </c>
      <c r="T168" s="276" t="s">
        <v>1010</v>
      </c>
    </row>
    <row r="169" spans="1:20" ht="15.75" customHeight="1" x14ac:dyDescent="0.25">
      <c r="A169" s="272" t="s">
        <v>419</v>
      </c>
      <c r="B169" s="275" t="s">
        <v>418</v>
      </c>
      <c r="C169" s="265">
        <v>0.4</v>
      </c>
      <c r="D169" s="273" t="s">
        <v>793</v>
      </c>
      <c r="E169" s="274" t="s">
        <v>792</v>
      </c>
      <c r="F169" s="265">
        <v>0.09</v>
      </c>
      <c r="G169" s="273" t="s">
        <v>791</v>
      </c>
      <c r="H169" s="272" t="s">
        <v>790</v>
      </c>
      <c r="I169" s="265">
        <v>0.01</v>
      </c>
      <c r="J169" s="271">
        <f t="shared" si="2"/>
        <v>0.5</v>
      </c>
      <c r="K169" s="270"/>
      <c r="L169" s="279" t="s">
        <v>1010</v>
      </c>
      <c r="M169" s="279" t="s">
        <v>1010</v>
      </c>
      <c r="N169" s="279" t="s">
        <v>1010</v>
      </c>
      <c r="O169" s="268" t="s">
        <v>1010</v>
      </c>
      <c r="P169" s="268">
        <v>0</v>
      </c>
      <c r="Q169" s="277" t="s">
        <v>1010</v>
      </c>
      <c r="R169" s="267">
        <v>0</v>
      </c>
      <c r="S169" s="267">
        <v>0</v>
      </c>
      <c r="T169" s="276" t="s">
        <v>1010</v>
      </c>
    </row>
    <row r="170" spans="1:20" ht="15.75" customHeight="1" x14ac:dyDescent="0.25">
      <c r="A170" s="272" t="s">
        <v>421</v>
      </c>
      <c r="B170" s="275" t="s">
        <v>420</v>
      </c>
      <c r="C170" s="265">
        <v>0.3</v>
      </c>
      <c r="D170" s="273" t="s">
        <v>789</v>
      </c>
      <c r="E170" s="274" t="s">
        <v>788</v>
      </c>
      <c r="F170" s="265">
        <v>0.2</v>
      </c>
      <c r="G170" s="273" t="s">
        <v>747</v>
      </c>
      <c r="H170" s="274" t="s">
        <v>747</v>
      </c>
      <c r="I170" s="265">
        <v>0</v>
      </c>
      <c r="J170" s="271">
        <f t="shared" si="2"/>
        <v>0.5</v>
      </c>
      <c r="K170" s="270"/>
      <c r="L170" s="279" t="s">
        <v>1010</v>
      </c>
      <c r="M170" s="279" t="s">
        <v>1010</v>
      </c>
      <c r="N170" s="279" t="s">
        <v>1010</v>
      </c>
      <c r="O170" s="268" t="s">
        <v>1010</v>
      </c>
      <c r="P170" s="268">
        <v>0</v>
      </c>
      <c r="Q170" s="277" t="s">
        <v>1011</v>
      </c>
      <c r="R170" s="267">
        <v>0</v>
      </c>
      <c r="S170" s="267">
        <v>0</v>
      </c>
      <c r="T170" s="276" t="s">
        <v>1011</v>
      </c>
    </row>
    <row r="171" spans="1:20" ht="15.75" customHeight="1" x14ac:dyDescent="0.25">
      <c r="A171" s="272" t="s">
        <v>423</v>
      </c>
      <c r="B171" s="275" t="s">
        <v>422</v>
      </c>
      <c r="C171" s="265">
        <v>0.4</v>
      </c>
      <c r="D171" s="273" t="s">
        <v>799</v>
      </c>
      <c r="E171" s="274" t="s">
        <v>798</v>
      </c>
      <c r="F171" s="265">
        <v>0.09</v>
      </c>
      <c r="G171" s="273" t="s">
        <v>791</v>
      </c>
      <c r="H171" s="272" t="s">
        <v>790</v>
      </c>
      <c r="I171" s="265">
        <v>0.01</v>
      </c>
      <c r="J171" s="271">
        <f t="shared" si="2"/>
        <v>0.5</v>
      </c>
      <c r="K171" s="270"/>
      <c r="L171" s="279" t="s">
        <v>1010</v>
      </c>
      <c r="M171" s="279" t="s">
        <v>1010</v>
      </c>
      <c r="N171" s="279" t="s">
        <v>1010</v>
      </c>
      <c r="O171" s="268" t="s">
        <v>1010</v>
      </c>
      <c r="P171" s="268">
        <v>0</v>
      </c>
      <c r="Q171" s="277" t="s">
        <v>1010</v>
      </c>
      <c r="R171" s="267">
        <v>0</v>
      </c>
      <c r="S171" s="267">
        <v>0</v>
      </c>
      <c r="T171" s="276" t="s">
        <v>1010</v>
      </c>
    </row>
    <row r="172" spans="1:20" ht="15.75" customHeight="1" x14ac:dyDescent="0.25">
      <c r="A172" s="272" t="s">
        <v>425</v>
      </c>
      <c r="B172" s="275" t="s">
        <v>424</v>
      </c>
      <c r="C172" s="265">
        <v>0.4</v>
      </c>
      <c r="D172" s="273" t="s">
        <v>810</v>
      </c>
      <c r="E172" s="274" t="s">
        <v>809</v>
      </c>
      <c r="F172" s="265">
        <v>0.1</v>
      </c>
      <c r="G172" s="273" t="s">
        <v>747</v>
      </c>
      <c r="H172" s="272" t="s">
        <v>761</v>
      </c>
      <c r="I172" s="265">
        <v>0</v>
      </c>
      <c r="J172" s="271">
        <f t="shared" si="2"/>
        <v>0.5</v>
      </c>
      <c r="K172" s="270"/>
      <c r="L172" s="279" t="s">
        <v>1010</v>
      </c>
      <c r="M172" s="279" t="s">
        <v>1010</v>
      </c>
      <c r="N172" s="279" t="s">
        <v>1010</v>
      </c>
      <c r="O172" s="268" t="s">
        <v>1010</v>
      </c>
      <c r="P172" s="268">
        <v>0</v>
      </c>
      <c r="Q172" s="277" t="s">
        <v>1010</v>
      </c>
      <c r="R172" s="267">
        <v>0</v>
      </c>
      <c r="S172" s="267">
        <v>0</v>
      </c>
      <c r="T172" s="276" t="s">
        <v>1010</v>
      </c>
    </row>
    <row r="173" spans="1:20" ht="15.75" customHeight="1" x14ac:dyDescent="0.25">
      <c r="A173" s="272" t="s">
        <v>427</v>
      </c>
      <c r="B173" s="275" t="s">
        <v>426</v>
      </c>
      <c r="C173" s="265">
        <v>0.4</v>
      </c>
      <c r="D173" s="273" t="s">
        <v>763</v>
      </c>
      <c r="E173" s="274" t="s">
        <v>762</v>
      </c>
      <c r="F173" s="265">
        <v>0.1</v>
      </c>
      <c r="G173" s="273" t="s">
        <v>747</v>
      </c>
      <c r="H173" s="272" t="s">
        <v>761</v>
      </c>
      <c r="I173" s="265">
        <v>0</v>
      </c>
      <c r="J173" s="271">
        <f t="shared" si="2"/>
        <v>0.5</v>
      </c>
      <c r="K173" s="270"/>
      <c r="L173" s="279" t="s">
        <v>1010</v>
      </c>
      <c r="M173" s="279" t="s">
        <v>1010</v>
      </c>
      <c r="N173" s="279" t="s">
        <v>1010</v>
      </c>
      <c r="O173" s="268" t="s">
        <v>1010</v>
      </c>
      <c r="P173" s="268">
        <v>0</v>
      </c>
      <c r="Q173" s="277" t="s">
        <v>1010</v>
      </c>
      <c r="R173" s="267">
        <v>0</v>
      </c>
      <c r="S173" s="267">
        <v>0</v>
      </c>
      <c r="T173" s="276" t="s">
        <v>1010</v>
      </c>
    </row>
    <row r="174" spans="1:20" x14ac:dyDescent="0.25">
      <c r="A174" s="272" t="s">
        <v>429</v>
      </c>
      <c r="B174" s="275" t="s">
        <v>894</v>
      </c>
      <c r="C174" s="265">
        <v>0.49</v>
      </c>
      <c r="D174" s="273" t="s">
        <v>747</v>
      </c>
      <c r="E174" s="274" t="s">
        <v>746</v>
      </c>
      <c r="F174" s="265">
        <v>0</v>
      </c>
      <c r="G174" s="273" t="s">
        <v>843</v>
      </c>
      <c r="H174" s="272" t="s">
        <v>842</v>
      </c>
      <c r="I174" s="265">
        <v>0.01</v>
      </c>
      <c r="J174" s="271">
        <f t="shared" si="2"/>
        <v>0.5</v>
      </c>
      <c r="K174" s="270"/>
      <c r="L174" s="279" t="s">
        <v>1011</v>
      </c>
      <c r="M174" s="279" t="s">
        <v>1027</v>
      </c>
      <c r="N174" s="279" t="s">
        <v>1010</v>
      </c>
      <c r="O174" s="268" t="s">
        <v>1010</v>
      </c>
      <c r="P174" s="268">
        <v>0</v>
      </c>
      <c r="Q174" s="277" t="s">
        <v>1011</v>
      </c>
      <c r="R174" s="267">
        <v>0</v>
      </c>
      <c r="S174" s="267">
        <v>0</v>
      </c>
      <c r="T174" s="276" t="s">
        <v>1011</v>
      </c>
    </row>
    <row r="175" spans="1:20" ht="15.75" customHeight="1" x14ac:dyDescent="0.25">
      <c r="A175" s="272" t="s">
        <v>431</v>
      </c>
      <c r="B175" s="275" t="s">
        <v>893</v>
      </c>
      <c r="C175" s="265">
        <v>0.49</v>
      </c>
      <c r="D175" s="273" t="s">
        <v>747</v>
      </c>
      <c r="E175" s="274" t="s">
        <v>746</v>
      </c>
      <c r="F175" s="265">
        <v>0</v>
      </c>
      <c r="G175" s="273" t="s">
        <v>758</v>
      </c>
      <c r="H175" s="272" t="s">
        <v>757</v>
      </c>
      <c r="I175" s="265">
        <v>0.01</v>
      </c>
      <c r="J175" s="271">
        <f t="shared" si="2"/>
        <v>0.5</v>
      </c>
      <c r="K175" s="270"/>
      <c r="L175" s="279" t="s">
        <v>1010</v>
      </c>
      <c r="M175" s="279" t="s">
        <v>1010</v>
      </c>
      <c r="N175" s="279" t="s">
        <v>1010</v>
      </c>
      <c r="O175" s="268" t="s">
        <v>1010</v>
      </c>
      <c r="P175" s="268">
        <v>0</v>
      </c>
      <c r="Q175" s="277" t="s">
        <v>1011</v>
      </c>
      <c r="R175" s="267">
        <v>0</v>
      </c>
      <c r="S175" s="267">
        <v>0</v>
      </c>
      <c r="T175" s="276" t="s">
        <v>1011</v>
      </c>
    </row>
    <row r="176" spans="1:20" ht="15.75" customHeight="1" x14ac:dyDescent="0.25">
      <c r="A176" s="272" t="s">
        <v>433</v>
      </c>
      <c r="B176" s="275" t="s">
        <v>432</v>
      </c>
      <c r="C176" s="265">
        <v>0.4</v>
      </c>
      <c r="D176" s="273" t="s">
        <v>771</v>
      </c>
      <c r="E176" s="274" t="s">
        <v>770</v>
      </c>
      <c r="F176" s="265">
        <v>0.1</v>
      </c>
      <c r="G176" s="273" t="s">
        <v>747</v>
      </c>
      <c r="H176" s="272" t="s">
        <v>761</v>
      </c>
      <c r="I176" s="265">
        <v>0</v>
      </c>
      <c r="J176" s="271">
        <f t="shared" si="2"/>
        <v>0.5</v>
      </c>
      <c r="K176" s="270"/>
      <c r="L176" s="279" t="s">
        <v>1010</v>
      </c>
      <c r="M176" s="279" t="s">
        <v>1010</v>
      </c>
      <c r="N176" s="279" t="s">
        <v>1010</v>
      </c>
      <c r="O176" s="268" t="s">
        <v>1010</v>
      </c>
      <c r="P176" s="268">
        <v>0</v>
      </c>
      <c r="Q176" s="277" t="s">
        <v>1010</v>
      </c>
      <c r="R176" s="267">
        <v>0</v>
      </c>
      <c r="S176" s="267">
        <v>0</v>
      </c>
      <c r="T176" s="276" t="s">
        <v>1010</v>
      </c>
    </row>
    <row r="177" spans="1:20" ht="15.75" customHeight="1" x14ac:dyDescent="0.25">
      <c r="A177" s="272" t="s">
        <v>435</v>
      </c>
      <c r="B177" s="275" t="s">
        <v>434</v>
      </c>
      <c r="C177" s="265">
        <v>0.4</v>
      </c>
      <c r="D177" s="273" t="s">
        <v>778</v>
      </c>
      <c r="E177" s="274" t="s">
        <v>777</v>
      </c>
      <c r="F177" s="265">
        <v>0.09</v>
      </c>
      <c r="G177" s="273" t="s">
        <v>776</v>
      </c>
      <c r="H177" s="272" t="s">
        <v>775</v>
      </c>
      <c r="I177" s="265">
        <v>0.01</v>
      </c>
      <c r="J177" s="271">
        <f t="shared" si="2"/>
        <v>0.5</v>
      </c>
      <c r="K177" s="270"/>
      <c r="L177" s="279" t="s">
        <v>1010</v>
      </c>
      <c r="M177" s="279" t="s">
        <v>1010</v>
      </c>
      <c r="N177" s="279" t="s">
        <v>1010</v>
      </c>
      <c r="O177" s="268" t="s">
        <v>1010</v>
      </c>
      <c r="P177" s="268">
        <v>0</v>
      </c>
      <c r="Q177" s="277" t="s">
        <v>1010</v>
      </c>
      <c r="R177" s="267">
        <v>0</v>
      </c>
      <c r="S177" s="267">
        <v>0</v>
      </c>
      <c r="T177" s="276" t="s">
        <v>1010</v>
      </c>
    </row>
    <row r="178" spans="1:20" ht="15.75" customHeight="1" x14ac:dyDescent="0.25">
      <c r="A178" s="272" t="s">
        <v>437</v>
      </c>
      <c r="B178" s="275" t="s">
        <v>892</v>
      </c>
      <c r="C178" s="265">
        <v>0.4</v>
      </c>
      <c r="D178" s="273" t="s">
        <v>873</v>
      </c>
      <c r="E178" s="274" t="s">
        <v>872</v>
      </c>
      <c r="F178" s="265">
        <v>0.09</v>
      </c>
      <c r="G178" s="273" t="s">
        <v>871</v>
      </c>
      <c r="H178" s="272" t="s">
        <v>870</v>
      </c>
      <c r="I178" s="265">
        <v>0.01</v>
      </c>
      <c r="J178" s="271">
        <f t="shared" si="2"/>
        <v>0.5</v>
      </c>
      <c r="K178" s="270"/>
      <c r="L178" s="279" t="s">
        <v>1010</v>
      </c>
      <c r="M178" s="279" t="s">
        <v>1010</v>
      </c>
      <c r="N178" s="279" t="s">
        <v>1010</v>
      </c>
      <c r="O178" s="268" t="s">
        <v>1010</v>
      </c>
      <c r="P178" s="268">
        <v>0</v>
      </c>
      <c r="Q178" s="277" t="s">
        <v>1010</v>
      </c>
      <c r="R178" s="267">
        <v>0</v>
      </c>
      <c r="S178" s="267">
        <v>0</v>
      </c>
      <c r="T178" s="276" t="s">
        <v>1010</v>
      </c>
    </row>
    <row r="179" spans="1:20" ht="15.75" customHeight="1" x14ac:dyDescent="0.25">
      <c r="A179" s="272" t="s">
        <v>441</v>
      </c>
      <c r="B179" s="275" t="s">
        <v>440</v>
      </c>
      <c r="C179" s="265">
        <v>0.4</v>
      </c>
      <c r="D179" s="273" t="s">
        <v>837</v>
      </c>
      <c r="E179" s="274" t="s">
        <v>836</v>
      </c>
      <c r="F179" s="265">
        <v>0.09</v>
      </c>
      <c r="G179" s="273" t="s">
        <v>835</v>
      </c>
      <c r="H179" s="272" t="s">
        <v>834</v>
      </c>
      <c r="I179" s="265">
        <v>0.01</v>
      </c>
      <c r="J179" s="271">
        <f t="shared" si="2"/>
        <v>0.5</v>
      </c>
      <c r="K179" s="270"/>
      <c r="L179" s="279" t="s">
        <v>1010</v>
      </c>
      <c r="M179" s="279" t="s">
        <v>1010</v>
      </c>
      <c r="N179" s="279" t="s">
        <v>1010</v>
      </c>
      <c r="O179" s="268" t="s">
        <v>1010</v>
      </c>
      <c r="P179" s="268">
        <v>0</v>
      </c>
      <c r="Q179" s="277" t="s">
        <v>1010</v>
      </c>
      <c r="R179" s="267">
        <v>0</v>
      </c>
      <c r="S179" s="267">
        <v>0</v>
      </c>
      <c r="T179" s="276" t="s">
        <v>1010</v>
      </c>
    </row>
    <row r="180" spans="1:20" x14ac:dyDescent="0.25">
      <c r="A180" s="272" t="s">
        <v>439</v>
      </c>
      <c r="B180" s="281" t="s">
        <v>438</v>
      </c>
      <c r="C180" s="265">
        <v>0.49</v>
      </c>
      <c r="D180" s="273" t="s">
        <v>747</v>
      </c>
      <c r="E180" s="274" t="s">
        <v>766</v>
      </c>
      <c r="F180" s="265">
        <v>0</v>
      </c>
      <c r="G180" s="273" t="s">
        <v>840</v>
      </c>
      <c r="H180" s="272" t="s">
        <v>839</v>
      </c>
      <c r="I180" s="265">
        <v>0.01</v>
      </c>
      <c r="J180" s="271">
        <f t="shared" si="2"/>
        <v>0.5</v>
      </c>
      <c r="K180" s="270"/>
      <c r="L180" s="279" t="s">
        <v>1011</v>
      </c>
      <c r="M180" s="279" t="s">
        <v>1035</v>
      </c>
      <c r="N180" s="279" t="s">
        <v>1024</v>
      </c>
      <c r="O180" s="268" t="s">
        <v>1011</v>
      </c>
      <c r="P180" s="268">
        <v>5614357</v>
      </c>
      <c r="Q180" s="277" t="s">
        <v>1011</v>
      </c>
      <c r="R180" s="267">
        <v>69165</v>
      </c>
      <c r="S180" s="267">
        <v>5971988</v>
      </c>
      <c r="T180" s="276" t="s">
        <v>1011</v>
      </c>
    </row>
    <row r="181" spans="1:20" x14ac:dyDescent="0.25">
      <c r="A181" s="272" t="s">
        <v>443</v>
      </c>
      <c r="B181" s="275" t="s">
        <v>442</v>
      </c>
      <c r="C181" s="265">
        <v>0.3</v>
      </c>
      <c r="D181" s="273" t="s">
        <v>789</v>
      </c>
      <c r="E181" s="274" t="s">
        <v>788</v>
      </c>
      <c r="F181" s="265">
        <v>0.2</v>
      </c>
      <c r="G181" s="273" t="s">
        <v>747</v>
      </c>
      <c r="H181" s="274" t="s">
        <v>747</v>
      </c>
      <c r="I181" s="265">
        <v>0</v>
      </c>
      <c r="J181" s="271">
        <f t="shared" si="2"/>
        <v>0.5</v>
      </c>
      <c r="K181" s="270"/>
      <c r="L181" s="279" t="s">
        <v>1011</v>
      </c>
      <c r="M181" s="279" t="s">
        <v>1036</v>
      </c>
      <c r="N181" s="279" t="s">
        <v>1010</v>
      </c>
      <c r="O181" s="268" t="s">
        <v>1010</v>
      </c>
      <c r="P181" s="268">
        <v>0</v>
      </c>
      <c r="Q181" s="277" t="s">
        <v>1011</v>
      </c>
      <c r="R181" s="267">
        <v>239751</v>
      </c>
      <c r="S181" s="267">
        <v>0</v>
      </c>
      <c r="T181" s="276" t="s">
        <v>1011</v>
      </c>
    </row>
    <row r="182" spans="1:20" ht="15.75" customHeight="1" x14ac:dyDescent="0.25">
      <c r="A182" s="272" t="s">
        <v>445</v>
      </c>
      <c r="B182" s="275" t="s">
        <v>444</v>
      </c>
      <c r="C182" s="265">
        <v>0.4</v>
      </c>
      <c r="D182" s="273" t="s">
        <v>799</v>
      </c>
      <c r="E182" s="274" t="s">
        <v>798</v>
      </c>
      <c r="F182" s="265">
        <v>0.09</v>
      </c>
      <c r="G182" s="273" t="s">
        <v>791</v>
      </c>
      <c r="H182" s="272" t="s">
        <v>790</v>
      </c>
      <c r="I182" s="265">
        <v>0.01</v>
      </c>
      <c r="J182" s="271">
        <f t="shared" si="2"/>
        <v>0.5</v>
      </c>
      <c r="K182" s="270"/>
      <c r="L182" s="279" t="s">
        <v>1010</v>
      </c>
      <c r="M182" s="279" t="s">
        <v>1010</v>
      </c>
      <c r="N182" s="279" t="s">
        <v>1010</v>
      </c>
      <c r="O182" s="268" t="s">
        <v>1010</v>
      </c>
      <c r="P182" s="268">
        <v>0</v>
      </c>
      <c r="Q182" s="277" t="s">
        <v>1010</v>
      </c>
      <c r="R182" s="267">
        <v>0</v>
      </c>
      <c r="S182" s="267">
        <v>0</v>
      </c>
      <c r="T182" s="276" t="s">
        <v>1010</v>
      </c>
    </row>
    <row r="183" spans="1:20" ht="15.75" customHeight="1" x14ac:dyDescent="0.25">
      <c r="A183" s="272" t="s">
        <v>447</v>
      </c>
      <c r="B183" s="275" t="s">
        <v>446</v>
      </c>
      <c r="C183" s="265">
        <v>0.4</v>
      </c>
      <c r="D183" s="273" t="s">
        <v>786</v>
      </c>
      <c r="E183" s="274" t="s">
        <v>785</v>
      </c>
      <c r="F183" s="265">
        <v>0.09</v>
      </c>
      <c r="G183" s="273" t="s">
        <v>784</v>
      </c>
      <c r="H183" s="272" t="s">
        <v>783</v>
      </c>
      <c r="I183" s="265">
        <v>0.01</v>
      </c>
      <c r="J183" s="271">
        <f t="shared" si="2"/>
        <v>0.5</v>
      </c>
      <c r="K183" s="270"/>
      <c r="L183" s="279" t="s">
        <v>1010</v>
      </c>
      <c r="M183" s="279" t="s">
        <v>1010</v>
      </c>
      <c r="N183" s="279" t="s">
        <v>1010</v>
      </c>
      <c r="O183" s="268" t="s">
        <v>1010</v>
      </c>
      <c r="P183" s="268">
        <v>0</v>
      </c>
      <c r="Q183" s="277" t="s">
        <v>1010</v>
      </c>
      <c r="R183" s="267">
        <v>0</v>
      </c>
      <c r="S183" s="267">
        <v>0</v>
      </c>
      <c r="T183" s="276" t="s">
        <v>1010</v>
      </c>
    </row>
    <row r="184" spans="1:20" ht="15.75" customHeight="1" x14ac:dyDescent="0.25">
      <c r="A184" s="272" t="s">
        <v>449</v>
      </c>
      <c r="B184" s="275" t="s">
        <v>448</v>
      </c>
      <c r="C184" s="265">
        <v>0.4</v>
      </c>
      <c r="D184" s="273" t="s">
        <v>857</v>
      </c>
      <c r="E184" s="274" t="s">
        <v>856</v>
      </c>
      <c r="F184" s="265">
        <v>0.09</v>
      </c>
      <c r="G184" s="273" t="s">
        <v>855</v>
      </c>
      <c r="H184" s="272" t="s">
        <v>854</v>
      </c>
      <c r="I184" s="265">
        <v>0.01</v>
      </c>
      <c r="J184" s="271">
        <f t="shared" si="2"/>
        <v>0.5</v>
      </c>
      <c r="K184" s="270"/>
      <c r="L184" s="279" t="s">
        <v>1010</v>
      </c>
      <c r="M184" s="279" t="s">
        <v>1010</v>
      </c>
      <c r="N184" s="279" t="s">
        <v>1010</v>
      </c>
      <c r="O184" s="268" t="s">
        <v>1010</v>
      </c>
      <c r="P184" s="268">
        <v>0</v>
      </c>
      <c r="Q184" s="277" t="s">
        <v>1010</v>
      </c>
      <c r="R184" s="267">
        <v>0</v>
      </c>
      <c r="S184" s="267">
        <v>0</v>
      </c>
      <c r="T184" s="276" t="s">
        <v>1010</v>
      </c>
    </row>
    <row r="185" spans="1:20" x14ac:dyDescent="0.25">
      <c r="A185" s="272" t="s">
        <v>451</v>
      </c>
      <c r="B185" s="275" t="s">
        <v>891</v>
      </c>
      <c r="C185" s="265">
        <v>0.49</v>
      </c>
      <c r="D185" s="273" t="s">
        <v>747</v>
      </c>
      <c r="E185" s="274" t="s">
        <v>746</v>
      </c>
      <c r="F185" s="265">
        <v>0</v>
      </c>
      <c r="G185" s="273" t="s">
        <v>889</v>
      </c>
      <c r="H185" s="272" t="s">
        <v>888</v>
      </c>
      <c r="I185" s="265">
        <v>0.01</v>
      </c>
      <c r="J185" s="271">
        <f t="shared" si="2"/>
        <v>0.5</v>
      </c>
      <c r="K185" s="270"/>
      <c r="L185" s="279" t="s">
        <v>1011</v>
      </c>
      <c r="M185" s="279" t="s">
        <v>1020</v>
      </c>
      <c r="N185" s="279" t="s">
        <v>1021</v>
      </c>
      <c r="O185" s="268" t="s">
        <v>1011</v>
      </c>
      <c r="P185" s="268">
        <v>1748269</v>
      </c>
      <c r="Q185" s="277" t="s">
        <v>1011</v>
      </c>
      <c r="R185" s="267">
        <v>0</v>
      </c>
      <c r="S185" s="267">
        <v>0</v>
      </c>
      <c r="T185" s="276" t="s">
        <v>1011</v>
      </c>
    </row>
    <row r="186" spans="1:20" ht="15.75" customHeight="1" x14ac:dyDescent="0.25">
      <c r="A186" s="272" t="s">
        <v>453</v>
      </c>
      <c r="B186" s="275" t="s">
        <v>452</v>
      </c>
      <c r="C186" s="265">
        <v>0.4</v>
      </c>
      <c r="D186" s="273" t="s">
        <v>802</v>
      </c>
      <c r="E186" s="274" t="s">
        <v>801</v>
      </c>
      <c r="F186" s="265">
        <v>0.1</v>
      </c>
      <c r="G186" s="273" t="s">
        <v>747</v>
      </c>
      <c r="H186" s="272" t="s">
        <v>761</v>
      </c>
      <c r="I186" s="265">
        <v>0</v>
      </c>
      <c r="J186" s="271">
        <f t="shared" si="2"/>
        <v>0.5</v>
      </c>
      <c r="K186" s="270"/>
      <c r="L186" s="279" t="s">
        <v>1010</v>
      </c>
      <c r="M186" s="279" t="s">
        <v>1010</v>
      </c>
      <c r="N186" s="279" t="s">
        <v>1010</v>
      </c>
      <c r="O186" s="268" t="s">
        <v>1010</v>
      </c>
      <c r="P186" s="268">
        <v>0</v>
      </c>
      <c r="Q186" s="277" t="s">
        <v>1010</v>
      </c>
      <c r="R186" s="267">
        <v>0</v>
      </c>
      <c r="S186" s="267">
        <v>0</v>
      </c>
      <c r="T186" s="276" t="s">
        <v>1010</v>
      </c>
    </row>
    <row r="187" spans="1:20" ht="15.75" customHeight="1" x14ac:dyDescent="0.25">
      <c r="A187" s="272" t="s">
        <v>455</v>
      </c>
      <c r="B187" s="275" t="s">
        <v>454</v>
      </c>
      <c r="C187" s="265">
        <v>0.4</v>
      </c>
      <c r="D187" s="273" t="s">
        <v>797</v>
      </c>
      <c r="E187" s="274" t="s">
        <v>796</v>
      </c>
      <c r="F187" s="265">
        <v>0.1</v>
      </c>
      <c r="G187" s="273" t="s">
        <v>747</v>
      </c>
      <c r="H187" s="272" t="s">
        <v>761</v>
      </c>
      <c r="I187" s="265">
        <v>0</v>
      </c>
      <c r="J187" s="271">
        <f t="shared" si="2"/>
        <v>0.5</v>
      </c>
      <c r="K187" s="270"/>
      <c r="L187" s="279" t="s">
        <v>1010</v>
      </c>
      <c r="M187" s="279" t="s">
        <v>1010</v>
      </c>
      <c r="N187" s="279" t="s">
        <v>1010</v>
      </c>
      <c r="O187" s="268" t="s">
        <v>1010</v>
      </c>
      <c r="P187" s="268">
        <v>0</v>
      </c>
      <c r="Q187" s="277" t="s">
        <v>1010</v>
      </c>
      <c r="R187" s="267">
        <v>0</v>
      </c>
      <c r="S187" s="267">
        <v>0</v>
      </c>
      <c r="T187" s="276" t="s">
        <v>1010</v>
      </c>
    </row>
    <row r="188" spans="1:20" x14ac:dyDescent="0.25">
      <c r="A188" s="272" t="s">
        <v>457</v>
      </c>
      <c r="B188" s="275" t="s">
        <v>890</v>
      </c>
      <c r="C188" s="265">
        <v>0.49</v>
      </c>
      <c r="D188" s="273" t="s">
        <v>747</v>
      </c>
      <c r="E188" s="274" t="s">
        <v>746</v>
      </c>
      <c r="F188" s="265">
        <v>0</v>
      </c>
      <c r="G188" s="273" t="s">
        <v>889</v>
      </c>
      <c r="H188" s="272" t="s">
        <v>888</v>
      </c>
      <c r="I188" s="265">
        <v>0.01</v>
      </c>
      <c r="J188" s="271">
        <f t="shared" si="2"/>
        <v>0.5</v>
      </c>
      <c r="K188" s="270"/>
      <c r="L188" s="279" t="s">
        <v>1011</v>
      </c>
      <c r="M188" s="279" t="s">
        <v>1021</v>
      </c>
      <c r="N188" s="279" t="s">
        <v>1010</v>
      </c>
      <c r="O188" s="268" t="s">
        <v>1010</v>
      </c>
      <c r="P188" s="268">
        <v>0</v>
      </c>
      <c r="Q188" s="277" t="s">
        <v>1011</v>
      </c>
      <c r="R188" s="267">
        <v>975331</v>
      </c>
      <c r="S188" s="267">
        <v>0</v>
      </c>
      <c r="T188" s="276" t="s">
        <v>1011</v>
      </c>
    </row>
    <row r="189" spans="1:20" ht="15.75" customHeight="1" x14ac:dyDescent="0.25">
      <c r="A189" s="272" t="s">
        <v>459</v>
      </c>
      <c r="B189" s="275" t="s">
        <v>458</v>
      </c>
      <c r="C189" s="265">
        <v>0.4</v>
      </c>
      <c r="D189" s="273" t="s">
        <v>848</v>
      </c>
      <c r="E189" s="274" t="s">
        <v>847</v>
      </c>
      <c r="F189" s="265">
        <v>0.1</v>
      </c>
      <c r="G189" s="273" t="s">
        <v>747</v>
      </c>
      <c r="H189" s="272" t="s">
        <v>761</v>
      </c>
      <c r="I189" s="265">
        <v>0</v>
      </c>
      <c r="J189" s="271">
        <f t="shared" si="2"/>
        <v>0.5</v>
      </c>
      <c r="K189" s="270"/>
      <c r="L189" s="279" t="s">
        <v>1010</v>
      </c>
      <c r="M189" s="279" t="s">
        <v>1010</v>
      </c>
      <c r="N189" s="279" t="s">
        <v>1010</v>
      </c>
      <c r="O189" s="268" t="s">
        <v>1010</v>
      </c>
      <c r="P189" s="268">
        <v>0</v>
      </c>
      <c r="Q189" s="277" t="s">
        <v>1010</v>
      </c>
      <c r="R189" s="267">
        <v>0</v>
      </c>
      <c r="S189" s="267">
        <v>0</v>
      </c>
      <c r="T189" s="276" t="s">
        <v>1010</v>
      </c>
    </row>
    <row r="190" spans="1:20" x14ac:dyDescent="0.25">
      <c r="A190" s="272" t="s">
        <v>461</v>
      </c>
      <c r="B190" s="275" t="s">
        <v>887</v>
      </c>
      <c r="C190" s="265">
        <v>0.49</v>
      </c>
      <c r="D190" s="273" t="s">
        <v>747</v>
      </c>
      <c r="E190" s="274" t="s">
        <v>746</v>
      </c>
      <c r="F190" s="265">
        <v>0</v>
      </c>
      <c r="G190" s="273" t="s">
        <v>852</v>
      </c>
      <c r="H190" s="272" t="s">
        <v>851</v>
      </c>
      <c r="I190" s="265">
        <v>0.01</v>
      </c>
      <c r="J190" s="271">
        <f t="shared" si="2"/>
        <v>0.5</v>
      </c>
      <c r="K190" s="270"/>
      <c r="L190" s="279" t="s">
        <v>1011</v>
      </c>
      <c r="M190" s="279" t="s">
        <v>1013</v>
      </c>
      <c r="N190" s="279" t="s">
        <v>1010</v>
      </c>
      <c r="O190" s="268" t="s">
        <v>1010</v>
      </c>
      <c r="P190" s="268">
        <v>0</v>
      </c>
      <c r="Q190" s="277" t="s">
        <v>1011</v>
      </c>
      <c r="R190" s="267">
        <v>198698</v>
      </c>
      <c r="S190" s="267">
        <v>0</v>
      </c>
      <c r="T190" s="276" t="s">
        <v>1011</v>
      </c>
    </row>
    <row r="191" spans="1:20" x14ac:dyDescent="0.25">
      <c r="A191" s="272" t="s">
        <v>463</v>
      </c>
      <c r="B191" s="275" t="s">
        <v>462</v>
      </c>
      <c r="C191" s="265">
        <v>0.49</v>
      </c>
      <c r="D191" s="273" t="s">
        <v>747</v>
      </c>
      <c r="E191" s="274" t="s">
        <v>766</v>
      </c>
      <c r="F191" s="265">
        <v>0</v>
      </c>
      <c r="G191" s="273" t="s">
        <v>840</v>
      </c>
      <c r="H191" s="272" t="s">
        <v>839</v>
      </c>
      <c r="I191" s="265">
        <v>0.01</v>
      </c>
      <c r="J191" s="271">
        <f t="shared" si="2"/>
        <v>0.5</v>
      </c>
      <c r="K191" s="270"/>
      <c r="L191" s="279" t="s">
        <v>1011</v>
      </c>
      <c r="M191" s="279" t="s">
        <v>1037</v>
      </c>
      <c r="N191" s="279" t="s">
        <v>1010</v>
      </c>
      <c r="O191" s="268" t="s">
        <v>1010</v>
      </c>
      <c r="P191" s="268">
        <v>0</v>
      </c>
      <c r="Q191" s="277" t="s">
        <v>1011</v>
      </c>
      <c r="R191" s="267">
        <v>550844</v>
      </c>
      <c r="S191" s="267">
        <v>0</v>
      </c>
      <c r="T191" s="276" t="s">
        <v>1011</v>
      </c>
    </row>
    <row r="192" spans="1:20" ht="15.75" customHeight="1" x14ac:dyDescent="0.25">
      <c r="A192" s="272" t="s">
        <v>465</v>
      </c>
      <c r="B192" s="275" t="s">
        <v>464</v>
      </c>
      <c r="C192" s="265">
        <v>0.4</v>
      </c>
      <c r="D192" s="273" t="s">
        <v>812</v>
      </c>
      <c r="E192" s="274" t="s">
        <v>811</v>
      </c>
      <c r="F192" s="265">
        <v>0.1</v>
      </c>
      <c r="G192" s="273" t="s">
        <v>747</v>
      </c>
      <c r="H192" s="272" t="s">
        <v>761</v>
      </c>
      <c r="I192" s="265">
        <v>0</v>
      </c>
      <c r="J192" s="271">
        <f t="shared" si="2"/>
        <v>0.5</v>
      </c>
      <c r="K192" s="270"/>
      <c r="L192" s="279" t="s">
        <v>1010</v>
      </c>
      <c r="M192" s="279" t="s">
        <v>1010</v>
      </c>
      <c r="N192" s="279" t="s">
        <v>1010</v>
      </c>
      <c r="O192" s="268" t="s">
        <v>1010</v>
      </c>
      <c r="P192" s="268">
        <v>0</v>
      </c>
      <c r="Q192" s="277" t="s">
        <v>1010</v>
      </c>
      <c r="R192" s="267">
        <v>0</v>
      </c>
      <c r="S192" s="267">
        <v>0</v>
      </c>
      <c r="T192" s="276" t="s">
        <v>1010</v>
      </c>
    </row>
    <row r="193" spans="1:20" ht="15.75" customHeight="1" x14ac:dyDescent="0.25">
      <c r="A193" s="272" t="s">
        <v>467</v>
      </c>
      <c r="B193" s="275" t="s">
        <v>466</v>
      </c>
      <c r="C193" s="265">
        <v>0.4</v>
      </c>
      <c r="D193" s="273" t="s">
        <v>883</v>
      </c>
      <c r="E193" s="274" t="s">
        <v>882</v>
      </c>
      <c r="F193" s="265">
        <v>0.09</v>
      </c>
      <c r="G193" s="273" t="s">
        <v>868</v>
      </c>
      <c r="H193" s="272" t="s">
        <v>867</v>
      </c>
      <c r="I193" s="265">
        <v>0.01</v>
      </c>
      <c r="J193" s="271">
        <f t="shared" si="2"/>
        <v>0.5</v>
      </c>
      <c r="K193" s="270"/>
      <c r="L193" s="279" t="s">
        <v>1010</v>
      </c>
      <c r="M193" s="279" t="s">
        <v>1010</v>
      </c>
      <c r="N193" s="279" t="s">
        <v>1010</v>
      </c>
      <c r="O193" s="268" t="s">
        <v>1010</v>
      </c>
      <c r="P193" s="268">
        <v>0</v>
      </c>
      <c r="Q193" s="277" t="s">
        <v>1010</v>
      </c>
      <c r="R193" s="267">
        <v>0</v>
      </c>
      <c r="S193" s="267">
        <v>0</v>
      </c>
      <c r="T193" s="276" t="s">
        <v>1010</v>
      </c>
    </row>
    <row r="194" spans="1:20" x14ac:dyDescent="0.25">
      <c r="A194" s="272" t="s">
        <v>469</v>
      </c>
      <c r="B194" s="275" t="s">
        <v>468</v>
      </c>
      <c r="C194" s="265">
        <v>0.4</v>
      </c>
      <c r="D194" s="273" t="s">
        <v>804</v>
      </c>
      <c r="E194" s="274" t="s">
        <v>803</v>
      </c>
      <c r="F194" s="265">
        <v>0.1</v>
      </c>
      <c r="G194" s="273" t="s">
        <v>747</v>
      </c>
      <c r="H194" s="272" t="s">
        <v>761</v>
      </c>
      <c r="I194" s="265">
        <v>0</v>
      </c>
      <c r="J194" s="271">
        <f t="shared" si="2"/>
        <v>0.5</v>
      </c>
      <c r="K194" s="270"/>
      <c r="L194" s="279" t="s">
        <v>1011</v>
      </c>
      <c r="M194" s="279" t="s">
        <v>1038</v>
      </c>
      <c r="N194" s="279" t="s">
        <v>1010</v>
      </c>
      <c r="O194" s="268" t="s">
        <v>1011</v>
      </c>
      <c r="P194" s="268">
        <v>152000</v>
      </c>
      <c r="Q194" s="277" t="s">
        <v>1010</v>
      </c>
      <c r="R194" s="267">
        <v>3407447</v>
      </c>
      <c r="S194" s="267">
        <v>0</v>
      </c>
      <c r="T194" s="276" t="s">
        <v>1010</v>
      </c>
    </row>
    <row r="195" spans="1:20" x14ac:dyDescent="0.25">
      <c r="A195" s="272" t="s">
        <v>471</v>
      </c>
      <c r="B195" s="275" t="s">
        <v>470</v>
      </c>
      <c r="C195" s="265">
        <v>0.5</v>
      </c>
      <c r="D195" s="273" t="s">
        <v>747</v>
      </c>
      <c r="E195" s="274" t="s">
        <v>746</v>
      </c>
      <c r="F195" s="265">
        <v>0</v>
      </c>
      <c r="G195" s="273" t="s">
        <v>747</v>
      </c>
      <c r="H195" s="272" t="s">
        <v>761</v>
      </c>
      <c r="I195" s="265">
        <v>0</v>
      </c>
      <c r="J195" s="271">
        <f t="shared" si="2"/>
        <v>0.5</v>
      </c>
      <c r="K195" s="270"/>
      <c r="L195" s="279" t="s">
        <v>1011</v>
      </c>
      <c r="M195" s="279" t="s">
        <v>1039</v>
      </c>
      <c r="N195" s="279" t="s">
        <v>1010</v>
      </c>
      <c r="O195" s="268" t="s">
        <v>1010</v>
      </c>
      <c r="P195" s="268">
        <v>0</v>
      </c>
      <c r="Q195" s="277" t="s">
        <v>1011</v>
      </c>
      <c r="R195" s="267">
        <v>11846</v>
      </c>
      <c r="S195" s="267">
        <v>0</v>
      </c>
      <c r="T195" s="276" t="s">
        <v>1011</v>
      </c>
    </row>
    <row r="196" spans="1:20" ht="15.75" customHeight="1" x14ac:dyDescent="0.25">
      <c r="A196" s="272" t="s">
        <v>473</v>
      </c>
      <c r="B196" s="275" t="s">
        <v>472</v>
      </c>
      <c r="C196" s="265">
        <v>0.4</v>
      </c>
      <c r="D196" s="273" t="s">
        <v>848</v>
      </c>
      <c r="E196" s="274" t="s">
        <v>847</v>
      </c>
      <c r="F196" s="265">
        <v>0.1</v>
      </c>
      <c r="G196" s="273" t="s">
        <v>747</v>
      </c>
      <c r="H196" s="272" t="s">
        <v>761</v>
      </c>
      <c r="I196" s="265">
        <v>0</v>
      </c>
      <c r="J196" s="271">
        <f t="shared" si="2"/>
        <v>0.5</v>
      </c>
      <c r="K196" s="270"/>
      <c r="L196" s="279" t="s">
        <v>1010</v>
      </c>
      <c r="M196" s="279" t="s">
        <v>1010</v>
      </c>
      <c r="N196" s="279" t="s">
        <v>1010</v>
      </c>
      <c r="O196" s="268" t="s">
        <v>1010</v>
      </c>
      <c r="P196" s="268">
        <v>0</v>
      </c>
      <c r="Q196" s="277" t="s">
        <v>1010</v>
      </c>
      <c r="R196" s="267">
        <v>0</v>
      </c>
      <c r="S196" s="267">
        <v>0</v>
      </c>
      <c r="T196" s="276" t="s">
        <v>1010</v>
      </c>
    </row>
    <row r="197" spans="1:20" x14ac:dyDescent="0.25">
      <c r="A197" s="272" t="s">
        <v>475</v>
      </c>
      <c r="B197" s="275" t="s">
        <v>886</v>
      </c>
      <c r="C197" s="265">
        <v>0.49</v>
      </c>
      <c r="D197" s="273" t="s">
        <v>747</v>
      </c>
      <c r="E197" s="274" t="s">
        <v>746</v>
      </c>
      <c r="F197" s="265">
        <v>0</v>
      </c>
      <c r="G197" s="273" t="s">
        <v>871</v>
      </c>
      <c r="H197" s="272" t="s">
        <v>870</v>
      </c>
      <c r="I197" s="265">
        <v>0.01</v>
      </c>
      <c r="J197" s="271">
        <f t="shared" si="2"/>
        <v>0.5</v>
      </c>
      <c r="K197" s="270"/>
      <c r="L197" s="279" t="s">
        <v>1011</v>
      </c>
      <c r="M197" s="279" t="s">
        <v>1040</v>
      </c>
      <c r="N197" s="279" t="s">
        <v>1041</v>
      </c>
      <c r="O197" s="268" t="s">
        <v>1010</v>
      </c>
      <c r="P197" s="268">
        <v>0</v>
      </c>
      <c r="Q197" s="277" t="s">
        <v>1011</v>
      </c>
      <c r="R197" s="267">
        <v>4103539</v>
      </c>
      <c r="S197" s="267">
        <v>5855936</v>
      </c>
      <c r="T197" s="276" t="s">
        <v>1011</v>
      </c>
    </row>
    <row r="198" spans="1:20" ht="15.75" customHeight="1" x14ac:dyDescent="0.25">
      <c r="A198" s="272" t="s">
        <v>477</v>
      </c>
      <c r="B198" s="275" t="s">
        <v>885</v>
      </c>
      <c r="C198" s="265">
        <v>0.4</v>
      </c>
      <c r="D198" s="273" t="s">
        <v>812</v>
      </c>
      <c r="E198" s="274" t="s">
        <v>811</v>
      </c>
      <c r="F198" s="265">
        <v>0.1</v>
      </c>
      <c r="G198" s="273" t="s">
        <v>747</v>
      </c>
      <c r="H198" s="272" t="s">
        <v>761</v>
      </c>
      <c r="I198" s="265">
        <v>0</v>
      </c>
      <c r="J198" s="271">
        <f t="shared" ref="J198:J261" si="3">+C198+F198+I198</f>
        <v>0.5</v>
      </c>
      <c r="K198" s="270"/>
      <c r="L198" s="279" t="s">
        <v>1010</v>
      </c>
      <c r="M198" s="279" t="s">
        <v>1010</v>
      </c>
      <c r="N198" s="279" t="s">
        <v>1010</v>
      </c>
      <c r="O198" s="268" t="s">
        <v>1010</v>
      </c>
      <c r="P198" s="268">
        <v>0</v>
      </c>
      <c r="Q198" s="277" t="s">
        <v>1010</v>
      </c>
      <c r="R198" s="267">
        <v>0</v>
      </c>
      <c r="S198" s="267">
        <v>0</v>
      </c>
      <c r="T198" s="276" t="s">
        <v>1010</v>
      </c>
    </row>
    <row r="199" spans="1:20" ht="15.75" customHeight="1" x14ac:dyDescent="0.25">
      <c r="A199" s="272" t="s">
        <v>479</v>
      </c>
      <c r="B199" s="275" t="s">
        <v>884</v>
      </c>
      <c r="C199" s="265">
        <v>0.4</v>
      </c>
      <c r="D199" s="273" t="s">
        <v>883</v>
      </c>
      <c r="E199" s="274" t="s">
        <v>882</v>
      </c>
      <c r="F199" s="265">
        <v>0.09</v>
      </c>
      <c r="G199" s="273" t="s">
        <v>868</v>
      </c>
      <c r="H199" s="272" t="s">
        <v>867</v>
      </c>
      <c r="I199" s="265">
        <v>0.01</v>
      </c>
      <c r="J199" s="271">
        <f t="shared" si="3"/>
        <v>0.5</v>
      </c>
      <c r="K199" s="270"/>
      <c r="L199" s="279" t="s">
        <v>1010</v>
      </c>
      <c r="M199" s="279" t="s">
        <v>1010</v>
      </c>
      <c r="N199" s="279" t="s">
        <v>1010</v>
      </c>
      <c r="O199" s="268" t="s">
        <v>1010</v>
      </c>
      <c r="P199" s="268">
        <v>0</v>
      </c>
      <c r="Q199" s="277" t="s">
        <v>1010</v>
      </c>
      <c r="R199" s="267">
        <v>0</v>
      </c>
      <c r="S199" s="267">
        <v>0</v>
      </c>
      <c r="T199" s="276" t="s">
        <v>1010</v>
      </c>
    </row>
    <row r="200" spans="1:20" ht="15.75" customHeight="1" x14ac:dyDescent="0.25">
      <c r="A200" s="272" t="s">
        <v>481</v>
      </c>
      <c r="B200" s="275" t="s">
        <v>480</v>
      </c>
      <c r="C200" s="265">
        <v>0.49</v>
      </c>
      <c r="D200" s="273" t="s">
        <v>747</v>
      </c>
      <c r="E200" s="274" t="s">
        <v>766</v>
      </c>
      <c r="F200" s="265">
        <v>0</v>
      </c>
      <c r="G200" s="273" t="s">
        <v>782</v>
      </c>
      <c r="H200" s="272" t="s">
        <v>781</v>
      </c>
      <c r="I200" s="265">
        <v>0.01</v>
      </c>
      <c r="J200" s="271">
        <f t="shared" si="3"/>
        <v>0.5</v>
      </c>
      <c r="L200" s="279" t="s">
        <v>1010</v>
      </c>
      <c r="M200" s="279" t="s">
        <v>1010</v>
      </c>
      <c r="N200" s="279" t="s">
        <v>1010</v>
      </c>
      <c r="O200" s="268" t="s">
        <v>1010</v>
      </c>
      <c r="P200" s="268">
        <v>0</v>
      </c>
      <c r="Q200" s="277" t="s">
        <v>1011</v>
      </c>
      <c r="R200" s="267">
        <v>0</v>
      </c>
      <c r="S200" s="267">
        <v>0</v>
      </c>
      <c r="T200" s="276" t="s">
        <v>1011</v>
      </c>
    </row>
    <row r="201" spans="1:20" ht="15.75" customHeight="1" x14ac:dyDescent="0.25">
      <c r="A201" s="272" t="s">
        <v>483</v>
      </c>
      <c r="B201" s="275" t="s">
        <v>482</v>
      </c>
      <c r="C201" s="265">
        <v>0.4</v>
      </c>
      <c r="D201" s="273" t="s">
        <v>795</v>
      </c>
      <c r="E201" s="274" t="s">
        <v>794</v>
      </c>
      <c r="F201" s="265">
        <v>0.1</v>
      </c>
      <c r="G201" s="273" t="s">
        <v>747</v>
      </c>
      <c r="H201" s="272" t="s">
        <v>761</v>
      </c>
      <c r="I201" s="265">
        <v>0</v>
      </c>
      <c r="J201" s="271">
        <f t="shared" si="3"/>
        <v>0.5</v>
      </c>
      <c r="K201" s="270"/>
      <c r="L201" s="279" t="s">
        <v>1010</v>
      </c>
      <c r="M201" s="279" t="s">
        <v>1010</v>
      </c>
      <c r="N201" s="279" t="s">
        <v>1010</v>
      </c>
      <c r="O201" s="268" t="s">
        <v>1010</v>
      </c>
      <c r="P201" s="268">
        <v>0</v>
      </c>
      <c r="Q201" s="277" t="s">
        <v>1010</v>
      </c>
      <c r="R201" s="267">
        <v>0</v>
      </c>
      <c r="S201" s="267">
        <v>0</v>
      </c>
      <c r="T201" s="276" t="s">
        <v>1010</v>
      </c>
    </row>
    <row r="202" spans="1:20" ht="15.75" customHeight="1" x14ac:dyDescent="0.25">
      <c r="A202" s="272" t="s">
        <v>485</v>
      </c>
      <c r="B202" s="275" t="s">
        <v>484</v>
      </c>
      <c r="C202" s="265">
        <v>0.4</v>
      </c>
      <c r="D202" s="273" t="s">
        <v>756</v>
      </c>
      <c r="E202" s="274" t="s">
        <v>755</v>
      </c>
      <c r="F202" s="265">
        <v>0.09</v>
      </c>
      <c r="G202" s="273" t="s">
        <v>754</v>
      </c>
      <c r="H202" s="272" t="s">
        <v>753</v>
      </c>
      <c r="I202" s="265">
        <v>0.01</v>
      </c>
      <c r="J202" s="271">
        <f t="shared" si="3"/>
        <v>0.5</v>
      </c>
      <c r="K202" s="270"/>
      <c r="L202" s="279" t="s">
        <v>1010</v>
      </c>
      <c r="M202" s="279" t="s">
        <v>1010</v>
      </c>
      <c r="N202" s="279" t="s">
        <v>1010</v>
      </c>
      <c r="O202" s="268" t="s">
        <v>1010</v>
      </c>
      <c r="P202" s="268">
        <v>0</v>
      </c>
      <c r="Q202" s="277" t="s">
        <v>1010</v>
      </c>
      <c r="R202" s="267">
        <v>0</v>
      </c>
      <c r="S202" s="267">
        <v>0</v>
      </c>
      <c r="T202" s="276" t="s">
        <v>1010</v>
      </c>
    </row>
    <row r="203" spans="1:20" ht="15.75" customHeight="1" x14ac:dyDescent="0.25">
      <c r="A203" s="272" t="s">
        <v>487</v>
      </c>
      <c r="B203" s="275" t="s">
        <v>881</v>
      </c>
      <c r="C203" s="265">
        <v>0.49</v>
      </c>
      <c r="D203" s="273" t="s">
        <v>747</v>
      </c>
      <c r="E203" s="274" t="s">
        <v>746</v>
      </c>
      <c r="F203" s="265">
        <v>0</v>
      </c>
      <c r="G203" s="273" t="s">
        <v>859</v>
      </c>
      <c r="H203" s="272" t="s">
        <v>858</v>
      </c>
      <c r="I203" s="265">
        <v>0.01</v>
      </c>
      <c r="J203" s="271">
        <f t="shared" si="3"/>
        <v>0.5</v>
      </c>
      <c r="K203" s="270"/>
      <c r="L203" s="279" t="s">
        <v>1010</v>
      </c>
      <c r="M203" s="279" t="s">
        <v>1010</v>
      </c>
      <c r="N203" s="279" t="s">
        <v>1010</v>
      </c>
      <c r="O203" s="268" t="s">
        <v>1011</v>
      </c>
      <c r="P203" s="268">
        <v>3309376</v>
      </c>
      <c r="Q203" s="277" t="s">
        <v>1011</v>
      </c>
      <c r="R203" s="267">
        <v>0</v>
      </c>
      <c r="S203" s="267">
        <v>0</v>
      </c>
      <c r="T203" s="276" t="s">
        <v>1011</v>
      </c>
    </row>
    <row r="204" spans="1:20" ht="15.75" customHeight="1" x14ac:dyDescent="0.25">
      <c r="A204" s="272" t="s">
        <v>489</v>
      </c>
      <c r="B204" s="275" t="s">
        <v>880</v>
      </c>
      <c r="C204" s="265">
        <v>0.49</v>
      </c>
      <c r="D204" s="273" t="s">
        <v>747</v>
      </c>
      <c r="E204" s="274" t="s">
        <v>746</v>
      </c>
      <c r="F204" s="265">
        <v>0</v>
      </c>
      <c r="G204" s="273" t="s">
        <v>791</v>
      </c>
      <c r="H204" s="272" t="s">
        <v>790</v>
      </c>
      <c r="I204" s="265">
        <v>0.01</v>
      </c>
      <c r="J204" s="271">
        <f t="shared" si="3"/>
        <v>0.5</v>
      </c>
      <c r="K204" s="270"/>
      <c r="L204" s="279" t="s">
        <v>1010</v>
      </c>
      <c r="M204" s="279" t="s">
        <v>1010</v>
      </c>
      <c r="N204" s="279" t="s">
        <v>1010</v>
      </c>
      <c r="O204" s="268" t="s">
        <v>1010</v>
      </c>
      <c r="P204" s="268">
        <v>0</v>
      </c>
      <c r="Q204" s="277" t="s">
        <v>1011</v>
      </c>
      <c r="R204" s="267">
        <v>0</v>
      </c>
      <c r="S204" s="267">
        <v>0</v>
      </c>
      <c r="T204" s="276" t="s">
        <v>1011</v>
      </c>
    </row>
    <row r="205" spans="1:20" ht="15.75" customHeight="1" x14ac:dyDescent="0.25">
      <c r="A205" s="272" t="s">
        <v>491</v>
      </c>
      <c r="B205" s="275" t="s">
        <v>879</v>
      </c>
      <c r="C205" s="265">
        <v>0.49</v>
      </c>
      <c r="D205" s="273" t="s">
        <v>747</v>
      </c>
      <c r="E205" s="274" t="s">
        <v>746</v>
      </c>
      <c r="F205" s="265">
        <v>0</v>
      </c>
      <c r="G205" s="273" t="s">
        <v>784</v>
      </c>
      <c r="H205" s="272" t="s">
        <v>783</v>
      </c>
      <c r="I205" s="265">
        <v>0.01</v>
      </c>
      <c r="J205" s="271">
        <f t="shared" si="3"/>
        <v>0.5</v>
      </c>
      <c r="K205" s="270"/>
      <c r="L205" s="279" t="s">
        <v>1010</v>
      </c>
      <c r="M205" s="279" t="s">
        <v>1010</v>
      </c>
      <c r="N205" s="279" t="s">
        <v>1010</v>
      </c>
      <c r="O205" s="268" t="s">
        <v>1011</v>
      </c>
      <c r="P205" s="268">
        <v>995191</v>
      </c>
      <c r="Q205" s="277" t="s">
        <v>1011</v>
      </c>
      <c r="R205" s="267">
        <v>0</v>
      </c>
      <c r="S205" s="267">
        <v>0</v>
      </c>
      <c r="T205" s="276" t="s">
        <v>1011</v>
      </c>
    </row>
    <row r="206" spans="1:20" ht="15.75" customHeight="1" x14ac:dyDescent="0.25">
      <c r="A206" s="272" t="s">
        <v>493</v>
      </c>
      <c r="B206" s="275" t="s">
        <v>878</v>
      </c>
      <c r="C206" s="265">
        <v>0.49</v>
      </c>
      <c r="D206" s="273" t="s">
        <v>747</v>
      </c>
      <c r="E206" s="274" t="s">
        <v>746</v>
      </c>
      <c r="F206" s="265">
        <v>0</v>
      </c>
      <c r="G206" s="273" t="s">
        <v>776</v>
      </c>
      <c r="H206" s="272" t="s">
        <v>775</v>
      </c>
      <c r="I206" s="265">
        <v>0.01</v>
      </c>
      <c r="J206" s="271">
        <f t="shared" si="3"/>
        <v>0.5</v>
      </c>
      <c r="K206" s="270"/>
      <c r="L206" s="279" t="s">
        <v>1010</v>
      </c>
      <c r="M206" s="279" t="s">
        <v>1010</v>
      </c>
      <c r="N206" s="279" t="s">
        <v>1010</v>
      </c>
      <c r="O206" s="268" t="s">
        <v>1010</v>
      </c>
      <c r="P206" s="268">
        <v>0</v>
      </c>
      <c r="Q206" s="277" t="s">
        <v>1011</v>
      </c>
      <c r="R206" s="267">
        <v>0</v>
      </c>
      <c r="S206" s="267">
        <v>0</v>
      </c>
      <c r="T206" s="276" t="s">
        <v>1011</v>
      </c>
    </row>
    <row r="207" spans="1:20" ht="15.75" customHeight="1" x14ac:dyDescent="0.25">
      <c r="A207" s="272" t="s">
        <v>495</v>
      </c>
      <c r="B207" s="275" t="s">
        <v>494</v>
      </c>
      <c r="C207" s="265">
        <v>0.4</v>
      </c>
      <c r="D207" s="273" t="s">
        <v>756</v>
      </c>
      <c r="E207" s="274" t="s">
        <v>755</v>
      </c>
      <c r="F207" s="265">
        <v>0.09</v>
      </c>
      <c r="G207" s="273" t="s">
        <v>754</v>
      </c>
      <c r="H207" s="272" t="s">
        <v>753</v>
      </c>
      <c r="I207" s="265">
        <v>0.01</v>
      </c>
      <c r="J207" s="271">
        <f t="shared" si="3"/>
        <v>0.5</v>
      </c>
      <c r="K207" s="270"/>
      <c r="L207" s="279" t="s">
        <v>1010</v>
      </c>
      <c r="M207" s="279" t="s">
        <v>1010</v>
      </c>
      <c r="N207" s="279" t="s">
        <v>1010</v>
      </c>
      <c r="O207" s="268" t="s">
        <v>1010</v>
      </c>
      <c r="P207" s="268">
        <v>0</v>
      </c>
      <c r="Q207" s="277" t="s">
        <v>1010</v>
      </c>
      <c r="R207" s="267">
        <v>0</v>
      </c>
      <c r="S207" s="267">
        <v>0</v>
      </c>
      <c r="T207" s="276" t="s">
        <v>1010</v>
      </c>
    </row>
    <row r="208" spans="1:20" ht="15.75" customHeight="1" x14ac:dyDescent="0.25">
      <c r="A208" s="272" t="s">
        <v>497</v>
      </c>
      <c r="B208" s="275" t="s">
        <v>496</v>
      </c>
      <c r="C208" s="265">
        <v>0.4</v>
      </c>
      <c r="D208" s="273" t="s">
        <v>786</v>
      </c>
      <c r="E208" s="274" t="s">
        <v>785</v>
      </c>
      <c r="F208" s="265">
        <v>0.09</v>
      </c>
      <c r="G208" s="273" t="s">
        <v>784</v>
      </c>
      <c r="H208" s="272" t="s">
        <v>783</v>
      </c>
      <c r="I208" s="265">
        <v>0.01</v>
      </c>
      <c r="J208" s="271">
        <f t="shared" si="3"/>
        <v>0.5</v>
      </c>
      <c r="K208" s="270"/>
      <c r="L208" s="279" t="s">
        <v>1010</v>
      </c>
      <c r="M208" s="279" t="s">
        <v>1010</v>
      </c>
      <c r="N208" s="279" t="s">
        <v>1010</v>
      </c>
      <c r="O208" s="268" t="s">
        <v>1010</v>
      </c>
      <c r="P208" s="268">
        <v>0</v>
      </c>
      <c r="Q208" s="277" t="s">
        <v>1010</v>
      </c>
      <c r="R208" s="267">
        <v>0</v>
      </c>
      <c r="S208" s="267">
        <v>0</v>
      </c>
      <c r="T208" s="276" t="s">
        <v>1010</v>
      </c>
    </row>
    <row r="209" spans="1:20" ht="15.75" customHeight="1" x14ac:dyDescent="0.25">
      <c r="A209" s="272" t="s">
        <v>499</v>
      </c>
      <c r="B209" s="275" t="s">
        <v>877</v>
      </c>
      <c r="C209" s="265">
        <v>0.49</v>
      </c>
      <c r="D209" s="273" t="s">
        <v>747</v>
      </c>
      <c r="E209" s="274" t="s">
        <v>746</v>
      </c>
      <c r="F209" s="265">
        <v>0</v>
      </c>
      <c r="G209" s="273" t="s">
        <v>768</v>
      </c>
      <c r="H209" s="272" t="s">
        <v>767</v>
      </c>
      <c r="I209" s="265">
        <v>0.01</v>
      </c>
      <c r="J209" s="271">
        <f t="shared" si="3"/>
        <v>0.5</v>
      </c>
      <c r="K209" s="270"/>
      <c r="L209" s="279" t="s">
        <v>1010</v>
      </c>
      <c r="M209" s="279" t="s">
        <v>1010</v>
      </c>
      <c r="N209" s="279" t="s">
        <v>1010</v>
      </c>
      <c r="O209" s="268" t="s">
        <v>1011</v>
      </c>
      <c r="P209" s="268">
        <v>5400000</v>
      </c>
      <c r="Q209" s="277" t="s">
        <v>1011</v>
      </c>
      <c r="R209" s="267">
        <v>0</v>
      </c>
      <c r="S209" s="267">
        <v>0</v>
      </c>
      <c r="T209" s="276" t="s">
        <v>1011</v>
      </c>
    </row>
    <row r="210" spans="1:20" ht="15.75" customHeight="1" x14ac:dyDescent="0.25">
      <c r="A210" s="272" t="s">
        <v>501</v>
      </c>
      <c r="B210" s="275" t="s">
        <v>500</v>
      </c>
      <c r="C210" s="265">
        <v>0.3</v>
      </c>
      <c r="D210" s="273" t="s">
        <v>789</v>
      </c>
      <c r="E210" s="274" t="s">
        <v>788</v>
      </c>
      <c r="F210" s="265">
        <v>0.2</v>
      </c>
      <c r="G210" s="273" t="s">
        <v>747</v>
      </c>
      <c r="H210" s="274" t="s">
        <v>747</v>
      </c>
      <c r="I210" s="265">
        <v>0</v>
      </c>
      <c r="J210" s="271">
        <f t="shared" si="3"/>
        <v>0.5</v>
      </c>
      <c r="K210" s="270"/>
      <c r="L210" s="279" t="s">
        <v>1010</v>
      </c>
      <c r="M210" s="279" t="s">
        <v>1010</v>
      </c>
      <c r="N210" s="279" t="s">
        <v>1010</v>
      </c>
      <c r="O210" s="268" t="s">
        <v>1010</v>
      </c>
      <c r="P210" s="268">
        <v>0</v>
      </c>
      <c r="Q210" s="277" t="s">
        <v>1011</v>
      </c>
      <c r="R210" s="267">
        <v>0</v>
      </c>
      <c r="S210" s="267">
        <v>0</v>
      </c>
      <c r="T210" s="276" t="s">
        <v>1011</v>
      </c>
    </row>
    <row r="211" spans="1:20" x14ac:dyDescent="0.25">
      <c r="A211" s="272" t="s">
        <v>503</v>
      </c>
      <c r="B211" s="275" t="s">
        <v>876</v>
      </c>
      <c r="C211" s="265">
        <v>0.49</v>
      </c>
      <c r="D211" s="273" t="s">
        <v>747</v>
      </c>
      <c r="E211" s="274" t="s">
        <v>746</v>
      </c>
      <c r="F211" s="265">
        <v>0</v>
      </c>
      <c r="G211" s="273" t="s">
        <v>843</v>
      </c>
      <c r="H211" s="272" t="s">
        <v>842</v>
      </c>
      <c r="I211" s="265">
        <v>0.01</v>
      </c>
      <c r="J211" s="271">
        <f t="shared" si="3"/>
        <v>0.5</v>
      </c>
      <c r="K211" s="270"/>
      <c r="L211" s="279" t="s">
        <v>1011</v>
      </c>
      <c r="M211" s="279" t="s">
        <v>1027</v>
      </c>
      <c r="N211" s="279" t="s">
        <v>1010</v>
      </c>
      <c r="O211" s="268" t="s">
        <v>1011</v>
      </c>
      <c r="P211" s="268">
        <v>560819</v>
      </c>
      <c r="Q211" s="277" t="s">
        <v>1011</v>
      </c>
      <c r="R211" s="267">
        <v>0</v>
      </c>
      <c r="S211" s="267">
        <v>0</v>
      </c>
      <c r="T211" s="276" t="s">
        <v>1011</v>
      </c>
    </row>
    <row r="212" spans="1:20" ht="15.75" customHeight="1" x14ac:dyDescent="0.25">
      <c r="A212" s="272" t="s">
        <v>505</v>
      </c>
      <c r="B212" s="275" t="s">
        <v>504</v>
      </c>
      <c r="C212" s="265">
        <v>0.4</v>
      </c>
      <c r="D212" s="273" t="s">
        <v>752</v>
      </c>
      <c r="E212" s="274" t="s">
        <v>751</v>
      </c>
      <c r="F212" s="265">
        <v>0.09</v>
      </c>
      <c r="G212" s="273" t="s">
        <v>750</v>
      </c>
      <c r="H212" s="272" t="s">
        <v>749</v>
      </c>
      <c r="I212" s="265">
        <v>0.01</v>
      </c>
      <c r="J212" s="271">
        <f t="shared" si="3"/>
        <v>0.5</v>
      </c>
      <c r="K212" s="270"/>
      <c r="L212" s="279" t="s">
        <v>1010</v>
      </c>
      <c r="M212" s="279" t="s">
        <v>1010</v>
      </c>
      <c r="N212" s="279" t="s">
        <v>1010</v>
      </c>
      <c r="O212" s="268" t="s">
        <v>1011</v>
      </c>
      <c r="P212" s="268">
        <v>972807</v>
      </c>
      <c r="Q212" s="277" t="s">
        <v>1010</v>
      </c>
      <c r="R212" s="267">
        <v>0</v>
      </c>
      <c r="S212" s="267">
        <v>0</v>
      </c>
      <c r="T212" s="276" t="s">
        <v>1010</v>
      </c>
    </row>
    <row r="213" spans="1:20" ht="15.75" customHeight="1" x14ac:dyDescent="0.25">
      <c r="A213" s="272" t="s">
        <v>507</v>
      </c>
      <c r="B213" s="275" t="s">
        <v>875</v>
      </c>
      <c r="C213" s="265">
        <v>0.4</v>
      </c>
      <c r="D213" s="273" t="s">
        <v>771</v>
      </c>
      <c r="E213" s="274" t="s">
        <v>770</v>
      </c>
      <c r="F213" s="265">
        <v>0.1</v>
      </c>
      <c r="G213" s="273" t="s">
        <v>747</v>
      </c>
      <c r="H213" s="272" t="s">
        <v>761</v>
      </c>
      <c r="I213" s="265">
        <v>0</v>
      </c>
      <c r="J213" s="271">
        <f t="shared" si="3"/>
        <v>0.5</v>
      </c>
      <c r="K213" s="270"/>
      <c r="L213" s="279" t="s">
        <v>1010</v>
      </c>
      <c r="M213" s="279" t="s">
        <v>1010</v>
      </c>
      <c r="N213" s="279" t="s">
        <v>1010</v>
      </c>
      <c r="O213" s="268" t="s">
        <v>1010</v>
      </c>
      <c r="P213" s="268">
        <v>0</v>
      </c>
      <c r="Q213" s="277" t="s">
        <v>1010</v>
      </c>
      <c r="R213" s="267">
        <v>0</v>
      </c>
      <c r="S213" s="267">
        <v>0</v>
      </c>
      <c r="T213" s="276" t="s">
        <v>1010</v>
      </c>
    </row>
    <row r="214" spans="1:20" x14ac:dyDescent="0.25">
      <c r="A214" s="272" t="s">
        <v>509</v>
      </c>
      <c r="B214" s="275" t="s">
        <v>508</v>
      </c>
      <c r="C214" s="265">
        <v>0.4</v>
      </c>
      <c r="D214" s="273" t="s">
        <v>756</v>
      </c>
      <c r="E214" s="274" t="s">
        <v>755</v>
      </c>
      <c r="F214" s="265">
        <v>0.09</v>
      </c>
      <c r="G214" s="273" t="s">
        <v>754</v>
      </c>
      <c r="H214" s="272" t="s">
        <v>753</v>
      </c>
      <c r="I214" s="265">
        <v>0.01</v>
      </c>
      <c r="J214" s="271">
        <f t="shared" si="3"/>
        <v>0.5</v>
      </c>
      <c r="K214" s="270"/>
      <c r="L214" s="279" t="s">
        <v>1011</v>
      </c>
      <c r="M214" s="279" t="s">
        <v>1023</v>
      </c>
      <c r="N214" s="279" t="s">
        <v>1010</v>
      </c>
      <c r="O214" s="268" t="s">
        <v>1010</v>
      </c>
      <c r="P214" s="268">
        <v>0</v>
      </c>
      <c r="Q214" s="277" t="s">
        <v>1010</v>
      </c>
      <c r="R214" s="267">
        <v>1861312</v>
      </c>
      <c r="S214" s="267">
        <v>0</v>
      </c>
      <c r="T214" s="276" t="s">
        <v>1010</v>
      </c>
    </row>
    <row r="215" spans="1:20" ht="15.75" customHeight="1" x14ac:dyDescent="0.25">
      <c r="A215" s="272" t="s">
        <v>513</v>
      </c>
      <c r="B215" s="275" t="s">
        <v>512</v>
      </c>
      <c r="C215" s="265">
        <v>0.4</v>
      </c>
      <c r="D215" s="273" t="s">
        <v>866</v>
      </c>
      <c r="E215" s="274" t="s">
        <v>865</v>
      </c>
      <c r="F215" s="265">
        <v>0.09</v>
      </c>
      <c r="G215" s="273" t="s">
        <v>745</v>
      </c>
      <c r="H215" s="272" t="s">
        <v>744</v>
      </c>
      <c r="I215" s="265">
        <v>0.01</v>
      </c>
      <c r="J215" s="271">
        <f t="shared" si="3"/>
        <v>0.5</v>
      </c>
      <c r="K215" s="270"/>
      <c r="L215" s="279" t="s">
        <v>1010</v>
      </c>
      <c r="M215" s="279" t="s">
        <v>1010</v>
      </c>
      <c r="N215" s="279" t="s">
        <v>1010</v>
      </c>
      <c r="O215" s="268" t="s">
        <v>1010</v>
      </c>
      <c r="P215" s="268">
        <v>0</v>
      </c>
      <c r="Q215" s="277" t="s">
        <v>1010</v>
      </c>
      <c r="R215" s="267">
        <v>0</v>
      </c>
      <c r="S215" s="267">
        <v>0</v>
      </c>
      <c r="T215" s="276" t="s">
        <v>1010</v>
      </c>
    </row>
    <row r="216" spans="1:20" ht="15.75" customHeight="1" x14ac:dyDescent="0.25">
      <c r="A216" s="272" t="s">
        <v>511</v>
      </c>
      <c r="B216" s="281" t="s">
        <v>874</v>
      </c>
      <c r="C216" s="265">
        <v>0.3</v>
      </c>
      <c r="D216" s="273" t="s">
        <v>789</v>
      </c>
      <c r="E216" s="274" t="s">
        <v>788</v>
      </c>
      <c r="F216" s="265">
        <v>0.2</v>
      </c>
      <c r="G216" s="273" t="s">
        <v>747</v>
      </c>
      <c r="H216" s="274" t="s">
        <v>747</v>
      </c>
      <c r="I216" s="265">
        <v>0</v>
      </c>
      <c r="J216" s="271">
        <f t="shared" si="3"/>
        <v>0.5</v>
      </c>
      <c r="K216" s="270"/>
      <c r="L216" s="279" t="s">
        <v>1010</v>
      </c>
      <c r="M216" s="279" t="s">
        <v>1010</v>
      </c>
      <c r="N216" s="279" t="s">
        <v>1010</v>
      </c>
      <c r="O216" s="268" t="s">
        <v>1010</v>
      </c>
      <c r="P216" s="268">
        <v>0</v>
      </c>
      <c r="Q216" s="277" t="s">
        <v>1011</v>
      </c>
      <c r="R216" s="267">
        <v>0</v>
      </c>
      <c r="S216" s="267">
        <v>0</v>
      </c>
      <c r="T216" s="276" t="s">
        <v>1011</v>
      </c>
    </row>
    <row r="217" spans="1:20" ht="15.75" customHeight="1" x14ac:dyDescent="0.25">
      <c r="A217" s="272" t="s">
        <v>515</v>
      </c>
      <c r="B217" s="275" t="s">
        <v>514</v>
      </c>
      <c r="C217" s="265">
        <v>0.49</v>
      </c>
      <c r="D217" s="273" t="s">
        <v>747</v>
      </c>
      <c r="E217" s="274" t="s">
        <v>766</v>
      </c>
      <c r="F217" s="265">
        <v>0</v>
      </c>
      <c r="G217" s="273" t="s">
        <v>782</v>
      </c>
      <c r="H217" s="272" t="s">
        <v>781</v>
      </c>
      <c r="I217" s="265">
        <v>0.01</v>
      </c>
      <c r="J217" s="271">
        <f t="shared" si="3"/>
        <v>0.5</v>
      </c>
      <c r="K217" s="270"/>
      <c r="L217" s="279" t="s">
        <v>1010</v>
      </c>
      <c r="M217" s="279" t="s">
        <v>1010</v>
      </c>
      <c r="N217" s="279" t="s">
        <v>1010</v>
      </c>
      <c r="O217" s="268" t="s">
        <v>1010</v>
      </c>
      <c r="P217" s="268">
        <v>0</v>
      </c>
      <c r="Q217" s="277" t="s">
        <v>1011</v>
      </c>
      <c r="R217" s="267">
        <v>0</v>
      </c>
      <c r="S217" s="267">
        <v>0</v>
      </c>
      <c r="T217" s="276" t="s">
        <v>1011</v>
      </c>
    </row>
    <row r="218" spans="1:20" ht="15.75" customHeight="1" x14ac:dyDescent="0.25">
      <c r="A218" s="272" t="s">
        <v>517</v>
      </c>
      <c r="B218" s="275" t="s">
        <v>516</v>
      </c>
      <c r="C218" s="265">
        <v>0.4</v>
      </c>
      <c r="D218" s="273" t="s">
        <v>821</v>
      </c>
      <c r="E218" s="274" t="s">
        <v>820</v>
      </c>
      <c r="F218" s="265">
        <v>0.09</v>
      </c>
      <c r="G218" s="273" t="s">
        <v>819</v>
      </c>
      <c r="H218" s="272" t="s">
        <v>818</v>
      </c>
      <c r="I218" s="265">
        <v>0.01</v>
      </c>
      <c r="J218" s="271">
        <f t="shared" si="3"/>
        <v>0.5</v>
      </c>
      <c r="K218" s="270"/>
      <c r="L218" s="279" t="s">
        <v>1010</v>
      </c>
      <c r="M218" s="279" t="s">
        <v>1010</v>
      </c>
      <c r="N218" s="279" t="s">
        <v>1010</v>
      </c>
      <c r="O218" s="268" t="s">
        <v>1010</v>
      </c>
      <c r="P218" s="268">
        <v>0</v>
      </c>
      <c r="Q218" s="277" t="s">
        <v>1010</v>
      </c>
      <c r="R218" s="267">
        <v>0</v>
      </c>
      <c r="S218" s="267">
        <v>0</v>
      </c>
      <c r="T218" s="276" t="s">
        <v>1010</v>
      </c>
    </row>
    <row r="219" spans="1:20" ht="15.75" customHeight="1" x14ac:dyDescent="0.25">
      <c r="A219" s="272" t="s">
        <v>519</v>
      </c>
      <c r="B219" s="275" t="s">
        <v>518</v>
      </c>
      <c r="C219" s="265">
        <v>0.4</v>
      </c>
      <c r="D219" s="273" t="s">
        <v>756</v>
      </c>
      <c r="E219" s="274" t="s">
        <v>755</v>
      </c>
      <c r="F219" s="265">
        <v>0.09</v>
      </c>
      <c r="G219" s="273" t="s">
        <v>754</v>
      </c>
      <c r="H219" s="272" t="s">
        <v>753</v>
      </c>
      <c r="I219" s="265">
        <v>0.01</v>
      </c>
      <c r="J219" s="271">
        <f t="shared" si="3"/>
        <v>0.5</v>
      </c>
      <c r="K219" s="270"/>
      <c r="L219" s="279" t="s">
        <v>1010</v>
      </c>
      <c r="M219" s="279" t="s">
        <v>1023</v>
      </c>
      <c r="N219" s="279" t="s">
        <v>1010</v>
      </c>
      <c r="O219" s="268" t="s">
        <v>1010</v>
      </c>
      <c r="P219" s="268">
        <v>0</v>
      </c>
      <c r="Q219" s="277" t="s">
        <v>1010</v>
      </c>
      <c r="R219" s="267">
        <v>0</v>
      </c>
      <c r="S219" s="267">
        <v>0</v>
      </c>
      <c r="T219" s="276" t="s">
        <v>1010</v>
      </c>
    </row>
    <row r="220" spans="1:20" ht="15.75" customHeight="1" x14ac:dyDescent="0.25">
      <c r="A220" s="272" t="s">
        <v>521</v>
      </c>
      <c r="B220" s="275" t="s">
        <v>520</v>
      </c>
      <c r="C220" s="265">
        <v>0.4</v>
      </c>
      <c r="D220" s="273" t="s">
        <v>808</v>
      </c>
      <c r="E220" s="274" t="s">
        <v>807</v>
      </c>
      <c r="F220" s="265">
        <v>0.09</v>
      </c>
      <c r="G220" s="273" t="s">
        <v>806</v>
      </c>
      <c r="H220" s="272" t="s">
        <v>805</v>
      </c>
      <c r="I220" s="265">
        <v>0.01</v>
      </c>
      <c r="J220" s="271">
        <f t="shared" si="3"/>
        <v>0.5</v>
      </c>
      <c r="K220" s="270"/>
      <c r="L220" s="279" t="s">
        <v>1010</v>
      </c>
      <c r="M220" s="279" t="s">
        <v>1010</v>
      </c>
      <c r="N220" s="279" t="s">
        <v>1010</v>
      </c>
      <c r="O220" s="268" t="s">
        <v>1010</v>
      </c>
      <c r="P220" s="268">
        <v>0</v>
      </c>
      <c r="Q220" s="277" t="s">
        <v>1010</v>
      </c>
      <c r="R220" s="267">
        <v>0</v>
      </c>
      <c r="S220" s="267">
        <v>0</v>
      </c>
      <c r="T220" s="276" t="s">
        <v>1010</v>
      </c>
    </row>
    <row r="221" spans="1:20" x14ac:dyDescent="0.25">
      <c r="A221" s="272" t="s">
        <v>523</v>
      </c>
      <c r="B221" s="275" t="s">
        <v>522</v>
      </c>
      <c r="C221" s="265">
        <v>0.49</v>
      </c>
      <c r="D221" s="273" t="s">
        <v>747</v>
      </c>
      <c r="E221" s="274" t="s">
        <v>766</v>
      </c>
      <c r="F221" s="265">
        <v>0</v>
      </c>
      <c r="G221" s="273" t="s">
        <v>864</v>
      </c>
      <c r="H221" s="272" t="s">
        <v>863</v>
      </c>
      <c r="I221" s="265">
        <v>0.01</v>
      </c>
      <c r="J221" s="271">
        <f t="shared" si="3"/>
        <v>0.5</v>
      </c>
      <c r="K221" s="270"/>
      <c r="L221" s="279" t="s">
        <v>1011</v>
      </c>
      <c r="M221" s="279" t="s">
        <v>1017</v>
      </c>
      <c r="N221" s="279" t="s">
        <v>1010</v>
      </c>
      <c r="O221" s="268" t="s">
        <v>1010</v>
      </c>
      <c r="P221" s="268">
        <v>0</v>
      </c>
      <c r="Q221" s="277" t="s">
        <v>1011</v>
      </c>
      <c r="R221" s="267">
        <v>336819</v>
      </c>
      <c r="S221" s="267">
        <v>0</v>
      </c>
      <c r="T221" s="276" t="s">
        <v>1011</v>
      </c>
    </row>
    <row r="222" spans="1:20" ht="15.75" customHeight="1" x14ac:dyDescent="0.25">
      <c r="A222" s="272" t="s">
        <v>525</v>
      </c>
      <c r="B222" s="275" t="s">
        <v>524</v>
      </c>
      <c r="C222" s="265">
        <v>0.4</v>
      </c>
      <c r="D222" s="273" t="s">
        <v>812</v>
      </c>
      <c r="E222" s="274" t="s">
        <v>811</v>
      </c>
      <c r="F222" s="265">
        <v>0.1</v>
      </c>
      <c r="G222" s="273" t="s">
        <v>747</v>
      </c>
      <c r="H222" s="272" t="s">
        <v>761</v>
      </c>
      <c r="I222" s="265">
        <v>0</v>
      </c>
      <c r="J222" s="271">
        <f t="shared" si="3"/>
        <v>0.5</v>
      </c>
      <c r="K222" s="270"/>
      <c r="L222" s="279" t="s">
        <v>1010</v>
      </c>
      <c r="M222" s="279" t="s">
        <v>1010</v>
      </c>
      <c r="N222" s="279" t="s">
        <v>1010</v>
      </c>
      <c r="O222" s="268" t="s">
        <v>1010</v>
      </c>
      <c r="P222" s="268">
        <v>0</v>
      </c>
      <c r="Q222" s="277" t="s">
        <v>1010</v>
      </c>
      <c r="R222" s="267">
        <v>0</v>
      </c>
      <c r="S222" s="267">
        <v>0</v>
      </c>
      <c r="T222" s="276" t="s">
        <v>1010</v>
      </c>
    </row>
    <row r="223" spans="1:20" ht="15.75" customHeight="1" x14ac:dyDescent="0.25">
      <c r="A223" s="272" t="s">
        <v>527</v>
      </c>
      <c r="B223" s="275" t="s">
        <v>526</v>
      </c>
      <c r="C223" s="265">
        <v>0.4</v>
      </c>
      <c r="D223" s="273" t="s">
        <v>771</v>
      </c>
      <c r="E223" s="274" t="s">
        <v>770</v>
      </c>
      <c r="F223" s="265">
        <v>0.1</v>
      </c>
      <c r="G223" s="273" t="s">
        <v>747</v>
      </c>
      <c r="H223" s="272" t="s">
        <v>761</v>
      </c>
      <c r="I223" s="265">
        <v>0</v>
      </c>
      <c r="J223" s="271">
        <f t="shared" si="3"/>
        <v>0.5</v>
      </c>
      <c r="K223" s="270"/>
      <c r="L223" s="279" t="s">
        <v>1010</v>
      </c>
      <c r="M223" s="279" t="s">
        <v>1010</v>
      </c>
      <c r="N223" s="279" t="s">
        <v>1010</v>
      </c>
      <c r="O223" s="268" t="s">
        <v>1010</v>
      </c>
      <c r="P223" s="268">
        <v>0</v>
      </c>
      <c r="Q223" s="277" t="s">
        <v>1010</v>
      </c>
      <c r="R223" s="267">
        <v>0</v>
      </c>
      <c r="S223" s="267">
        <v>0</v>
      </c>
      <c r="T223" s="276" t="s">
        <v>1010</v>
      </c>
    </row>
    <row r="224" spans="1:20" ht="15.75" customHeight="1" x14ac:dyDescent="0.25">
      <c r="A224" s="272" t="s">
        <v>529</v>
      </c>
      <c r="B224" s="275" t="s">
        <v>528</v>
      </c>
      <c r="C224" s="265">
        <v>0.4</v>
      </c>
      <c r="D224" s="273" t="s">
        <v>873</v>
      </c>
      <c r="E224" s="274" t="s">
        <v>872</v>
      </c>
      <c r="F224" s="265">
        <v>0.09</v>
      </c>
      <c r="G224" s="273" t="s">
        <v>871</v>
      </c>
      <c r="H224" s="272" t="s">
        <v>870</v>
      </c>
      <c r="I224" s="265">
        <v>0.01</v>
      </c>
      <c r="J224" s="271">
        <f t="shared" si="3"/>
        <v>0.5</v>
      </c>
      <c r="K224" s="270"/>
      <c r="L224" s="279" t="s">
        <v>1010</v>
      </c>
      <c r="M224" s="279" t="s">
        <v>1010</v>
      </c>
      <c r="N224" s="279" t="s">
        <v>1010</v>
      </c>
      <c r="O224" s="268" t="s">
        <v>1011</v>
      </c>
      <c r="P224" s="268">
        <v>392000</v>
      </c>
      <c r="Q224" s="277" t="s">
        <v>1010</v>
      </c>
      <c r="R224" s="267">
        <v>0</v>
      </c>
      <c r="S224" s="267">
        <v>0</v>
      </c>
      <c r="T224" s="276" t="s">
        <v>1010</v>
      </c>
    </row>
    <row r="225" spans="1:20" ht="15.75" customHeight="1" x14ac:dyDescent="0.25">
      <c r="A225" s="272" t="s">
        <v>531</v>
      </c>
      <c r="B225" s="275" t="s">
        <v>530</v>
      </c>
      <c r="C225" s="265">
        <v>0.4</v>
      </c>
      <c r="D225" s="273" t="s">
        <v>778</v>
      </c>
      <c r="E225" s="274" t="s">
        <v>777</v>
      </c>
      <c r="F225" s="265">
        <v>0.09</v>
      </c>
      <c r="G225" s="273" t="s">
        <v>776</v>
      </c>
      <c r="H225" s="272" t="s">
        <v>775</v>
      </c>
      <c r="I225" s="265">
        <v>0.01</v>
      </c>
      <c r="J225" s="271">
        <f t="shared" si="3"/>
        <v>0.5</v>
      </c>
      <c r="K225" s="270"/>
      <c r="L225" s="279" t="s">
        <v>1010</v>
      </c>
      <c r="M225" s="279" t="s">
        <v>1010</v>
      </c>
      <c r="N225" s="279" t="s">
        <v>1010</v>
      </c>
      <c r="O225" s="268" t="s">
        <v>1010</v>
      </c>
      <c r="P225" s="268">
        <v>0</v>
      </c>
      <c r="Q225" s="277" t="s">
        <v>1010</v>
      </c>
      <c r="R225" s="267">
        <v>0</v>
      </c>
      <c r="S225" s="267">
        <v>0</v>
      </c>
      <c r="T225" s="276" t="s">
        <v>1010</v>
      </c>
    </row>
    <row r="226" spans="1:20" ht="15.75" customHeight="1" x14ac:dyDescent="0.25">
      <c r="A226" s="272" t="s">
        <v>533</v>
      </c>
      <c r="B226" s="275" t="s">
        <v>869</v>
      </c>
      <c r="C226" s="265">
        <v>0.49</v>
      </c>
      <c r="D226" s="273" t="s">
        <v>747</v>
      </c>
      <c r="E226" s="274" t="s">
        <v>746</v>
      </c>
      <c r="F226" s="265">
        <v>0</v>
      </c>
      <c r="G226" s="273" t="s">
        <v>868</v>
      </c>
      <c r="H226" s="272" t="s">
        <v>867</v>
      </c>
      <c r="I226" s="265">
        <v>0.01</v>
      </c>
      <c r="J226" s="271">
        <f t="shared" si="3"/>
        <v>0.5</v>
      </c>
      <c r="K226" s="270"/>
      <c r="L226" s="279" t="s">
        <v>1010</v>
      </c>
      <c r="M226" s="279" t="s">
        <v>1010</v>
      </c>
      <c r="N226" s="279" t="s">
        <v>1010</v>
      </c>
      <c r="O226" s="268" t="s">
        <v>1010</v>
      </c>
      <c r="P226" s="268">
        <v>0</v>
      </c>
      <c r="Q226" s="277" t="s">
        <v>1011</v>
      </c>
      <c r="R226" s="267">
        <v>0</v>
      </c>
      <c r="S226" s="267">
        <v>0</v>
      </c>
      <c r="T226" s="276" t="s">
        <v>1011</v>
      </c>
    </row>
    <row r="227" spans="1:20" ht="15.75" customHeight="1" x14ac:dyDescent="0.25">
      <c r="A227" s="272" t="s">
        <v>535</v>
      </c>
      <c r="B227" s="275" t="s">
        <v>534</v>
      </c>
      <c r="C227" s="265">
        <v>0.4</v>
      </c>
      <c r="D227" s="273" t="s">
        <v>866</v>
      </c>
      <c r="E227" s="274" t="s">
        <v>865</v>
      </c>
      <c r="F227" s="265">
        <v>0.09</v>
      </c>
      <c r="G227" s="273" t="s">
        <v>745</v>
      </c>
      <c r="H227" s="272" t="s">
        <v>744</v>
      </c>
      <c r="I227" s="265">
        <v>0.01</v>
      </c>
      <c r="J227" s="271">
        <f t="shared" si="3"/>
        <v>0.5</v>
      </c>
      <c r="K227" s="270"/>
      <c r="L227" s="279" t="s">
        <v>1010</v>
      </c>
      <c r="M227" s="279" t="s">
        <v>1010</v>
      </c>
      <c r="N227" s="279" t="s">
        <v>1010</v>
      </c>
      <c r="O227" s="268" t="s">
        <v>1010</v>
      </c>
      <c r="P227" s="268">
        <v>0</v>
      </c>
      <c r="Q227" s="277" t="s">
        <v>1010</v>
      </c>
      <c r="R227" s="267">
        <v>0</v>
      </c>
      <c r="S227" s="267">
        <v>0</v>
      </c>
      <c r="T227" s="276" t="s">
        <v>1010</v>
      </c>
    </row>
    <row r="228" spans="1:20" ht="15.75" customHeight="1" x14ac:dyDescent="0.25">
      <c r="A228" s="272" t="s">
        <v>537</v>
      </c>
      <c r="B228" s="275" t="s">
        <v>536</v>
      </c>
      <c r="C228" s="265">
        <v>0.49</v>
      </c>
      <c r="D228" s="273" t="s">
        <v>747</v>
      </c>
      <c r="E228" s="274" t="s">
        <v>766</v>
      </c>
      <c r="F228" s="265">
        <v>0</v>
      </c>
      <c r="G228" s="273" t="s">
        <v>782</v>
      </c>
      <c r="H228" s="272" t="s">
        <v>781</v>
      </c>
      <c r="I228" s="265">
        <v>0.01</v>
      </c>
      <c r="J228" s="271">
        <f t="shared" si="3"/>
        <v>0.5</v>
      </c>
      <c r="K228" s="270"/>
      <c r="L228" s="279" t="s">
        <v>1010</v>
      </c>
      <c r="M228" s="279" t="s">
        <v>1010</v>
      </c>
      <c r="N228" s="279" t="s">
        <v>1010</v>
      </c>
      <c r="O228" s="268" t="s">
        <v>1010</v>
      </c>
      <c r="P228" s="268">
        <v>0</v>
      </c>
      <c r="Q228" s="277" t="s">
        <v>1011</v>
      </c>
      <c r="R228" s="267">
        <v>0</v>
      </c>
      <c r="S228" s="267">
        <v>0</v>
      </c>
      <c r="T228" s="276" t="s">
        <v>1011</v>
      </c>
    </row>
    <row r="229" spans="1:20" ht="15.75" customHeight="1" x14ac:dyDescent="0.25">
      <c r="A229" s="272" t="s">
        <v>539</v>
      </c>
      <c r="B229" s="275" t="s">
        <v>538</v>
      </c>
      <c r="C229" s="265">
        <v>0.49</v>
      </c>
      <c r="D229" s="273" t="s">
        <v>747</v>
      </c>
      <c r="E229" s="274" t="s">
        <v>766</v>
      </c>
      <c r="F229" s="265">
        <v>0</v>
      </c>
      <c r="G229" s="273" t="s">
        <v>765</v>
      </c>
      <c r="H229" s="272" t="s">
        <v>764</v>
      </c>
      <c r="I229" s="265">
        <v>0.01</v>
      </c>
      <c r="J229" s="271">
        <f t="shared" si="3"/>
        <v>0.5</v>
      </c>
      <c r="K229" s="270"/>
      <c r="L229" s="279" t="s">
        <v>1010</v>
      </c>
      <c r="M229" s="279" t="s">
        <v>1010</v>
      </c>
      <c r="N229" s="279" t="s">
        <v>1010</v>
      </c>
      <c r="O229" s="268" t="s">
        <v>1010</v>
      </c>
      <c r="P229" s="268">
        <v>0</v>
      </c>
      <c r="Q229" s="277" t="s">
        <v>1011</v>
      </c>
      <c r="R229" s="267">
        <v>0</v>
      </c>
      <c r="S229" s="267">
        <v>0</v>
      </c>
      <c r="T229" s="276" t="s">
        <v>1011</v>
      </c>
    </row>
    <row r="230" spans="1:20" ht="15.75" customHeight="1" x14ac:dyDescent="0.25">
      <c r="A230" s="272" t="s">
        <v>541</v>
      </c>
      <c r="B230" s="275" t="s">
        <v>540</v>
      </c>
      <c r="C230" s="265">
        <v>0.4</v>
      </c>
      <c r="D230" s="273" t="s">
        <v>866</v>
      </c>
      <c r="E230" s="274" t="s">
        <v>865</v>
      </c>
      <c r="F230" s="265">
        <v>0.09</v>
      </c>
      <c r="G230" s="273" t="s">
        <v>745</v>
      </c>
      <c r="H230" s="272" t="s">
        <v>744</v>
      </c>
      <c r="I230" s="265">
        <v>0.01</v>
      </c>
      <c r="J230" s="271">
        <f t="shared" si="3"/>
        <v>0.5</v>
      </c>
      <c r="K230" s="270"/>
      <c r="L230" s="279" t="s">
        <v>1010</v>
      </c>
      <c r="M230" s="279" t="s">
        <v>1010</v>
      </c>
      <c r="N230" s="279" t="s">
        <v>1010</v>
      </c>
      <c r="O230" s="268" t="s">
        <v>1010</v>
      </c>
      <c r="P230" s="268">
        <v>0</v>
      </c>
      <c r="Q230" s="277" t="s">
        <v>1010</v>
      </c>
      <c r="R230" s="267">
        <v>0</v>
      </c>
      <c r="S230" s="267">
        <v>0</v>
      </c>
      <c r="T230" s="276" t="s">
        <v>1010</v>
      </c>
    </row>
    <row r="231" spans="1:20" ht="15.75" customHeight="1" x14ac:dyDescent="0.25">
      <c r="A231" s="272" t="s">
        <v>543</v>
      </c>
      <c r="B231" s="275" t="s">
        <v>542</v>
      </c>
      <c r="C231" s="265">
        <v>0.4</v>
      </c>
      <c r="D231" s="273" t="s">
        <v>793</v>
      </c>
      <c r="E231" s="274" t="s">
        <v>792</v>
      </c>
      <c r="F231" s="265">
        <v>0.09</v>
      </c>
      <c r="G231" s="273" t="s">
        <v>791</v>
      </c>
      <c r="H231" s="272" t="s">
        <v>790</v>
      </c>
      <c r="I231" s="265">
        <v>0.01</v>
      </c>
      <c r="J231" s="271">
        <f t="shared" si="3"/>
        <v>0.5</v>
      </c>
      <c r="K231" s="270"/>
      <c r="L231" s="279" t="s">
        <v>1010</v>
      </c>
      <c r="M231" s="279" t="s">
        <v>1010</v>
      </c>
      <c r="N231" s="279" t="s">
        <v>1010</v>
      </c>
      <c r="O231" s="268" t="s">
        <v>1010</v>
      </c>
      <c r="P231" s="268">
        <v>0</v>
      </c>
      <c r="Q231" s="277" t="s">
        <v>1010</v>
      </c>
      <c r="R231" s="267">
        <v>0</v>
      </c>
      <c r="S231" s="267">
        <v>0</v>
      </c>
      <c r="T231" s="276" t="s">
        <v>1010</v>
      </c>
    </row>
    <row r="232" spans="1:20" ht="15.75" customHeight="1" x14ac:dyDescent="0.25">
      <c r="A232" s="272" t="s">
        <v>545</v>
      </c>
      <c r="B232" s="275" t="s">
        <v>544</v>
      </c>
      <c r="C232" s="265">
        <v>0.49</v>
      </c>
      <c r="D232" s="273" t="s">
        <v>747</v>
      </c>
      <c r="E232" s="274" t="s">
        <v>766</v>
      </c>
      <c r="F232" s="265">
        <v>0</v>
      </c>
      <c r="G232" s="273" t="s">
        <v>773</v>
      </c>
      <c r="H232" s="272" t="s">
        <v>772</v>
      </c>
      <c r="I232" s="265">
        <v>0.01</v>
      </c>
      <c r="J232" s="271">
        <f t="shared" si="3"/>
        <v>0.5</v>
      </c>
      <c r="K232" s="270"/>
      <c r="L232" s="279" t="s">
        <v>1010</v>
      </c>
      <c r="M232" s="279" t="s">
        <v>1010</v>
      </c>
      <c r="N232" s="279" t="s">
        <v>1010</v>
      </c>
      <c r="O232" s="268" t="s">
        <v>1011</v>
      </c>
      <c r="P232" s="268">
        <v>1323200</v>
      </c>
      <c r="Q232" s="277" t="s">
        <v>1011</v>
      </c>
      <c r="R232" s="267">
        <v>0</v>
      </c>
      <c r="S232" s="267">
        <v>0</v>
      </c>
      <c r="T232" s="276" t="s">
        <v>1011</v>
      </c>
    </row>
    <row r="233" spans="1:20" ht="15.75" customHeight="1" x14ac:dyDescent="0.25">
      <c r="A233" s="272" t="s">
        <v>547</v>
      </c>
      <c r="B233" s="275" t="s">
        <v>546</v>
      </c>
      <c r="C233" s="265">
        <v>0.4</v>
      </c>
      <c r="D233" s="273" t="s">
        <v>866</v>
      </c>
      <c r="E233" s="274" t="s">
        <v>865</v>
      </c>
      <c r="F233" s="265">
        <v>0.09</v>
      </c>
      <c r="G233" s="273" t="s">
        <v>745</v>
      </c>
      <c r="H233" s="272" t="s">
        <v>744</v>
      </c>
      <c r="I233" s="265">
        <v>0.01</v>
      </c>
      <c r="J233" s="271">
        <f t="shared" si="3"/>
        <v>0.5</v>
      </c>
      <c r="K233" s="270"/>
      <c r="L233" s="279" t="s">
        <v>1010</v>
      </c>
      <c r="M233" s="279" t="s">
        <v>1010</v>
      </c>
      <c r="N233" s="279" t="s">
        <v>1010</v>
      </c>
      <c r="O233" s="268" t="s">
        <v>1010</v>
      </c>
      <c r="P233" s="268">
        <v>0</v>
      </c>
      <c r="Q233" s="277" t="s">
        <v>1010</v>
      </c>
      <c r="R233" s="267">
        <v>0</v>
      </c>
      <c r="S233" s="267">
        <v>0</v>
      </c>
      <c r="T233" s="276" t="s">
        <v>1010</v>
      </c>
    </row>
    <row r="234" spans="1:20" ht="15.75" customHeight="1" x14ac:dyDescent="0.25">
      <c r="A234" s="272" t="s">
        <v>549</v>
      </c>
      <c r="B234" s="275" t="s">
        <v>548</v>
      </c>
      <c r="C234" s="265">
        <v>0.4</v>
      </c>
      <c r="D234" s="273" t="s">
        <v>825</v>
      </c>
      <c r="E234" s="274" t="s">
        <v>824</v>
      </c>
      <c r="F234" s="265">
        <v>0.09</v>
      </c>
      <c r="G234" s="273" t="s">
        <v>823</v>
      </c>
      <c r="H234" s="272" t="s">
        <v>822</v>
      </c>
      <c r="I234" s="265">
        <v>0.01</v>
      </c>
      <c r="J234" s="271">
        <f t="shared" si="3"/>
        <v>0.5</v>
      </c>
      <c r="K234" s="270"/>
      <c r="L234" s="279" t="s">
        <v>1010</v>
      </c>
      <c r="M234" s="279" t="s">
        <v>1010</v>
      </c>
      <c r="N234" s="279" t="s">
        <v>1010</v>
      </c>
      <c r="O234" s="268" t="s">
        <v>1010</v>
      </c>
      <c r="P234" s="268">
        <v>0</v>
      </c>
      <c r="Q234" s="277" t="s">
        <v>1010</v>
      </c>
      <c r="R234" s="267">
        <v>0</v>
      </c>
      <c r="S234" s="267">
        <v>0</v>
      </c>
      <c r="T234" s="276" t="s">
        <v>1010</v>
      </c>
    </row>
    <row r="235" spans="1:20" x14ac:dyDescent="0.25">
      <c r="A235" s="272" t="s">
        <v>551</v>
      </c>
      <c r="B235" s="275" t="s">
        <v>550</v>
      </c>
      <c r="C235" s="265">
        <v>0.49</v>
      </c>
      <c r="D235" s="273" t="s">
        <v>747</v>
      </c>
      <c r="E235" s="274" t="s">
        <v>766</v>
      </c>
      <c r="F235" s="265">
        <v>0</v>
      </c>
      <c r="G235" s="273" t="s">
        <v>864</v>
      </c>
      <c r="H235" s="272" t="s">
        <v>863</v>
      </c>
      <c r="I235" s="265">
        <v>0.01</v>
      </c>
      <c r="J235" s="271">
        <f t="shared" si="3"/>
        <v>0.5</v>
      </c>
      <c r="K235" s="270"/>
      <c r="L235" s="279" t="s">
        <v>1011</v>
      </c>
      <c r="M235" s="279" t="s">
        <v>1017</v>
      </c>
      <c r="N235" s="279" t="s">
        <v>1024</v>
      </c>
      <c r="O235" s="268" t="s">
        <v>1010</v>
      </c>
      <c r="P235" s="268">
        <v>0</v>
      </c>
      <c r="Q235" s="277" t="s">
        <v>1011</v>
      </c>
      <c r="R235" s="267">
        <v>1681289</v>
      </c>
      <c r="S235" s="267">
        <v>1529012</v>
      </c>
      <c r="T235" s="276" t="s">
        <v>1011</v>
      </c>
    </row>
    <row r="236" spans="1:20" ht="15.75" customHeight="1" x14ac:dyDescent="0.25">
      <c r="A236" s="272" t="s">
        <v>553</v>
      </c>
      <c r="B236" s="275" t="s">
        <v>552</v>
      </c>
      <c r="C236" s="265">
        <v>0.4</v>
      </c>
      <c r="D236" s="273" t="s">
        <v>825</v>
      </c>
      <c r="E236" s="274" t="s">
        <v>824</v>
      </c>
      <c r="F236" s="265">
        <v>0.09</v>
      </c>
      <c r="G236" s="273" t="s">
        <v>823</v>
      </c>
      <c r="H236" s="272" t="s">
        <v>822</v>
      </c>
      <c r="I236" s="265">
        <v>0.01</v>
      </c>
      <c r="J236" s="271">
        <f t="shared" si="3"/>
        <v>0.5</v>
      </c>
      <c r="K236" s="270"/>
      <c r="L236" s="279" t="s">
        <v>1010</v>
      </c>
      <c r="M236" s="279" t="s">
        <v>1010</v>
      </c>
      <c r="N236" s="279" t="s">
        <v>1010</v>
      </c>
      <c r="O236" s="268" t="s">
        <v>1010</v>
      </c>
      <c r="P236" s="268">
        <v>0</v>
      </c>
      <c r="Q236" s="277" t="s">
        <v>1010</v>
      </c>
      <c r="R236" s="267">
        <v>0</v>
      </c>
      <c r="S236" s="267">
        <v>0</v>
      </c>
      <c r="T236" s="276" t="s">
        <v>1010</v>
      </c>
    </row>
    <row r="237" spans="1:20" ht="15.75" customHeight="1" x14ac:dyDescent="0.25">
      <c r="A237" s="272" t="s">
        <v>555</v>
      </c>
      <c r="B237" s="275" t="s">
        <v>554</v>
      </c>
      <c r="C237" s="265">
        <v>0.49</v>
      </c>
      <c r="D237" s="273" t="s">
        <v>747</v>
      </c>
      <c r="E237" s="274" t="s">
        <v>746</v>
      </c>
      <c r="F237" s="265">
        <v>0</v>
      </c>
      <c r="G237" s="273" t="s">
        <v>832</v>
      </c>
      <c r="H237" s="272" t="s">
        <v>831</v>
      </c>
      <c r="I237" s="265">
        <v>0.01</v>
      </c>
      <c r="J237" s="271">
        <f t="shared" si="3"/>
        <v>0.5</v>
      </c>
      <c r="K237" s="270"/>
      <c r="L237" s="279" t="s">
        <v>1010</v>
      </c>
      <c r="M237" s="279" t="s">
        <v>1010</v>
      </c>
      <c r="N237" s="279" t="s">
        <v>1010</v>
      </c>
      <c r="O237" s="268" t="s">
        <v>1010</v>
      </c>
      <c r="P237" s="268">
        <v>0</v>
      </c>
      <c r="Q237" s="277" t="s">
        <v>1011</v>
      </c>
      <c r="R237" s="267">
        <v>0</v>
      </c>
      <c r="S237" s="267">
        <v>0</v>
      </c>
      <c r="T237" s="276" t="s">
        <v>1011</v>
      </c>
    </row>
    <row r="238" spans="1:20" ht="15.75" customHeight="1" x14ac:dyDescent="0.25">
      <c r="A238" s="272" t="s">
        <v>557</v>
      </c>
      <c r="B238" s="275" t="s">
        <v>862</v>
      </c>
      <c r="C238" s="265">
        <v>0.49</v>
      </c>
      <c r="D238" s="273" t="s">
        <v>747</v>
      </c>
      <c r="E238" s="274" t="s">
        <v>746</v>
      </c>
      <c r="F238" s="265">
        <v>0</v>
      </c>
      <c r="G238" s="273" t="s">
        <v>768</v>
      </c>
      <c r="H238" s="272" t="s">
        <v>767</v>
      </c>
      <c r="I238" s="265">
        <v>0.01</v>
      </c>
      <c r="J238" s="271">
        <f t="shared" si="3"/>
        <v>0.5</v>
      </c>
      <c r="K238" s="270"/>
      <c r="L238" s="279" t="s">
        <v>1010</v>
      </c>
      <c r="M238" s="279" t="s">
        <v>1010</v>
      </c>
      <c r="N238" s="279" t="s">
        <v>1010</v>
      </c>
      <c r="O238" s="268" t="s">
        <v>1010</v>
      </c>
      <c r="P238" s="268">
        <v>0</v>
      </c>
      <c r="Q238" s="277" t="s">
        <v>1011</v>
      </c>
      <c r="R238" s="267">
        <v>0</v>
      </c>
      <c r="S238" s="267">
        <v>0</v>
      </c>
      <c r="T238" s="276" t="s">
        <v>1011</v>
      </c>
    </row>
    <row r="239" spans="1:20" ht="15.75" customHeight="1" x14ac:dyDescent="0.25">
      <c r="A239" s="272" t="s">
        <v>559</v>
      </c>
      <c r="B239" s="275" t="s">
        <v>558</v>
      </c>
      <c r="C239" s="265">
        <v>0.49</v>
      </c>
      <c r="D239" s="273" t="s">
        <v>747</v>
      </c>
      <c r="E239" s="274" t="s">
        <v>766</v>
      </c>
      <c r="F239" s="265">
        <v>0</v>
      </c>
      <c r="G239" s="273" t="s">
        <v>765</v>
      </c>
      <c r="H239" s="272" t="s">
        <v>764</v>
      </c>
      <c r="I239" s="265">
        <v>0.01</v>
      </c>
      <c r="J239" s="271">
        <f t="shared" si="3"/>
        <v>0.5</v>
      </c>
      <c r="K239" s="270"/>
      <c r="L239" s="279" t="s">
        <v>1010</v>
      </c>
      <c r="M239" s="279" t="s">
        <v>1010</v>
      </c>
      <c r="N239" s="279" t="s">
        <v>1010</v>
      </c>
      <c r="O239" s="268" t="s">
        <v>1011</v>
      </c>
      <c r="P239" s="268">
        <v>2576679</v>
      </c>
      <c r="Q239" s="277" t="s">
        <v>1011</v>
      </c>
      <c r="R239" s="267">
        <v>0</v>
      </c>
      <c r="S239" s="267">
        <v>0</v>
      </c>
      <c r="T239" s="276" t="s">
        <v>1011</v>
      </c>
    </row>
    <row r="240" spans="1:20" ht="15.75" customHeight="1" x14ac:dyDescent="0.25">
      <c r="A240" s="272" t="s">
        <v>561</v>
      </c>
      <c r="B240" s="275" t="s">
        <v>560</v>
      </c>
      <c r="C240" s="265">
        <v>0.4</v>
      </c>
      <c r="D240" s="273" t="s">
        <v>760</v>
      </c>
      <c r="E240" s="274" t="s">
        <v>759</v>
      </c>
      <c r="F240" s="265">
        <v>0.09</v>
      </c>
      <c r="G240" s="273" t="s">
        <v>758</v>
      </c>
      <c r="H240" s="272" t="s">
        <v>757</v>
      </c>
      <c r="I240" s="265">
        <v>0.01</v>
      </c>
      <c r="J240" s="271">
        <f t="shared" si="3"/>
        <v>0.5</v>
      </c>
      <c r="K240" s="270"/>
      <c r="L240" s="279" t="s">
        <v>1010</v>
      </c>
      <c r="M240" s="279" t="s">
        <v>1010</v>
      </c>
      <c r="N240" s="279" t="s">
        <v>1010</v>
      </c>
      <c r="O240" s="268" t="s">
        <v>1010</v>
      </c>
      <c r="P240" s="268">
        <v>0</v>
      </c>
      <c r="Q240" s="277" t="s">
        <v>1010</v>
      </c>
      <c r="R240" s="267">
        <v>0</v>
      </c>
      <c r="S240" s="267">
        <v>0</v>
      </c>
      <c r="T240" s="276" t="s">
        <v>1010</v>
      </c>
    </row>
    <row r="241" spans="1:20" ht="15.75" customHeight="1" x14ac:dyDescent="0.25">
      <c r="A241" s="272" t="s">
        <v>563</v>
      </c>
      <c r="B241" s="275" t="s">
        <v>562</v>
      </c>
      <c r="C241" s="265">
        <v>0.4</v>
      </c>
      <c r="D241" s="273" t="s">
        <v>861</v>
      </c>
      <c r="E241" s="274" t="s">
        <v>860</v>
      </c>
      <c r="F241" s="265">
        <v>0.09</v>
      </c>
      <c r="G241" s="273" t="s">
        <v>859</v>
      </c>
      <c r="H241" s="272" t="s">
        <v>858</v>
      </c>
      <c r="I241" s="265">
        <v>0.01</v>
      </c>
      <c r="J241" s="271">
        <f t="shared" si="3"/>
        <v>0.5</v>
      </c>
      <c r="K241" s="270"/>
      <c r="L241" s="279" t="s">
        <v>1010</v>
      </c>
      <c r="M241" s="279" t="s">
        <v>1010</v>
      </c>
      <c r="N241" s="279" t="s">
        <v>1010</v>
      </c>
      <c r="O241" s="268" t="s">
        <v>1010</v>
      </c>
      <c r="P241" s="268">
        <v>0</v>
      </c>
      <c r="Q241" s="277" t="s">
        <v>1010</v>
      </c>
      <c r="R241" s="267">
        <v>0</v>
      </c>
      <c r="S241" s="267">
        <v>0</v>
      </c>
      <c r="T241" s="276" t="s">
        <v>1010</v>
      </c>
    </row>
    <row r="242" spans="1:20" ht="15.75" customHeight="1" x14ac:dyDescent="0.25">
      <c r="A242" s="272" t="s">
        <v>565</v>
      </c>
      <c r="B242" s="275" t="s">
        <v>564</v>
      </c>
      <c r="C242" s="265">
        <v>0.4</v>
      </c>
      <c r="D242" s="273" t="s">
        <v>857</v>
      </c>
      <c r="E242" s="274" t="s">
        <v>856</v>
      </c>
      <c r="F242" s="265">
        <v>0.09</v>
      </c>
      <c r="G242" s="273" t="s">
        <v>855</v>
      </c>
      <c r="H242" s="272" t="s">
        <v>854</v>
      </c>
      <c r="I242" s="265">
        <v>0.01</v>
      </c>
      <c r="J242" s="271">
        <f t="shared" si="3"/>
        <v>0.5</v>
      </c>
      <c r="K242" s="270"/>
      <c r="L242" s="279" t="s">
        <v>1010</v>
      </c>
      <c r="M242" s="279" t="s">
        <v>1010</v>
      </c>
      <c r="N242" s="279" t="s">
        <v>1010</v>
      </c>
      <c r="O242" s="268" t="s">
        <v>1010</v>
      </c>
      <c r="P242" s="268">
        <v>0</v>
      </c>
      <c r="Q242" s="277" t="s">
        <v>1010</v>
      </c>
      <c r="R242" s="267">
        <v>0</v>
      </c>
      <c r="S242" s="267">
        <v>0</v>
      </c>
      <c r="T242" s="276" t="s">
        <v>1010</v>
      </c>
    </row>
    <row r="243" spans="1:20" x14ac:dyDescent="0.25">
      <c r="A243" s="272" t="s">
        <v>567</v>
      </c>
      <c r="B243" s="275" t="s">
        <v>853</v>
      </c>
      <c r="C243" s="265">
        <v>0.49</v>
      </c>
      <c r="D243" s="273" t="s">
        <v>747</v>
      </c>
      <c r="E243" s="274" t="s">
        <v>746</v>
      </c>
      <c r="F243" s="265">
        <v>0</v>
      </c>
      <c r="G243" s="273" t="s">
        <v>852</v>
      </c>
      <c r="H243" s="272" t="s">
        <v>851</v>
      </c>
      <c r="I243" s="265">
        <v>0.01</v>
      </c>
      <c r="J243" s="271">
        <f t="shared" si="3"/>
        <v>0.5</v>
      </c>
      <c r="K243" s="270"/>
      <c r="L243" s="279" t="s">
        <v>1011</v>
      </c>
      <c r="M243" s="279" t="s">
        <v>1013</v>
      </c>
      <c r="N243" s="279" t="s">
        <v>1010</v>
      </c>
      <c r="O243" s="268" t="s">
        <v>1010</v>
      </c>
      <c r="P243" s="268">
        <v>0</v>
      </c>
      <c r="Q243" s="277" t="s">
        <v>1011</v>
      </c>
      <c r="R243" s="267">
        <v>640636</v>
      </c>
      <c r="S243" s="267">
        <v>0</v>
      </c>
      <c r="T243" s="276" t="s">
        <v>1011</v>
      </c>
    </row>
    <row r="244" spans="1:20" ht="15.75" customHeight="1" x14ac:dyDescent="0.25">
      <c r="A244" s="272" t="s">
        <v>569</v>
      </c>
      <c r="B244" s="275" t="s">
        <v>568</v>
      </c>
      <c r="C244" s="265">
        <v>0.4</v>
      </c>
      <c r="D244" s="273" t="s">
        <v>799</v>
      </c>
      <c r="E244" s="274" t="s">
        <v>798</v>
      </c>
      <c r="F244" s="265">
        <v>0.09</v>
      </c>
      <c r="G244" s="273" t="s">
        <v>791</v>
      </c>
      <c r="H244" s="272" t="s">
        <v>790</v>
      </c>
      <c r="I244" s="265">
        <v>0.01</v>
      </c>
      <c r="J244" s="271">
        <f t="shared" si="3"/>
        <v>0.5</v>
      </c>
      <c r="K244" s="270"/>
      <c r="L244" s="279" t="s">
        <v>1010</v>
      </c>
      <c r="M244" s="279" t="s">
        <v>1010</v>
      </c>
      <c r="N244" s="279" t="s">
        <v>1010</v>
      </c>
      <c r="O244" s="268" t="s">
        <v>1010</v>
      </c>
      <c r="P244" s="268">
        <v>0</v>
      </c>
      <c r="Q244" s="277" t="s">
        <v>1010</v>
      </c>
      <c r="R244" s="267">
        <v>0</v>
      </c>
      <c r="S244" s="267">
        <v>0</v>
      </c>
      <c r="T244" s="276" t="s">
        <v>1010</v>
      </c>
    </row>
    <row r="245" spans="1:20" ht="15.75" customHeight="1" x14ac:dyDescent="0.25">
      <c r="A245" s="272" t="s">
        <v>571</v>
      </c>
      <c r="B245" s="275" t="s">
        <v>570</v>
      </c>
      <c r="C245" s="265">
        <v>0.4</v>
      </c>
      <c r="D245" s="273" t="s">
        <v>797</v>
      </c>
      <c r="E245" s="274" t="s">
        <v>796</v>
      </c>
      <c r="F245" s="265">
        <v>0.1</v>
      </c>
      <c r="G245" s="273" t="s">
        <v>747</v>
      </c>
      <c r="H245" s="272" t="s">
        <v>761</v>
      </c>
      <c r="I245" s="265">
        <v>0</v>
      </c>
      <c r="J245" s="271">
        <f t="shared" si="3"/>
        <v>0.5</v>
      </c>
      <c r="K245" s="270"/>
      <c r="L245" s="279" t="s">
        <v>1010</v>
      </c>
      <c r="M245" s="279" t="s">
        <v>1010</v>
      </c>
      <c r="N245" s="279" t="s">
        <v>1010</v>
      </c>
      <c r="O245" s="268" t="s">
        <v>1010</v>
      </c>
      <c r="P245" s="268">
        <v>0</v>
      </c>
      <c r="Q245" s="277" t="s">
        <v>1010</v>
      </c>
      <c r="R245" s="267">
        <v>0</v>
      </c>
      <c r="S245" s="267">
        <v>0</v>
      </c>
      <c r="T245" s="276" t="s">
        <v>1010</v>
      </c>
    </row>
    <row r="246" spans="1:20" ht="15.75" customHeight="1" x14ac:dyDescent="0.25">
      <c r="A246" s="272" t="s">
        <v>573</v>
      </c>
      <c r="B246" s="275" t="s">
        <v>572</v>
      </c>
      <c r="C246" s="265">
        <v>0.4</v>
      </c>
      <c r="D246" s="273" t="s">
        <v>797</v>
      </c>
      <c r="E246" s="274" t="s">
        <v>796</v>
      </c>
      <c r="F246" s="265">
        <v>0.1</v>
      </c>
      <c r="G246" s="273" t="s">
        <v>747</v>
      </c>
      <c r="H246" s="272" t="s">
        <v>761</v>
      </c>
      <c r="I246" s="265">
        <v>0</v>
      </c>
      <c r="J246" s="271">
        <f t="shared" si="3"/>
        <v>0.5</v>
      </c>
      <c r="K246" s="270"/>
      <c r="L246" s="279" t="s">
        <v>1010</v>
      </c>
      <c r="M246" s="279" t="s">
        <v>1010</v>
      </c>
      <c r="N246" s="279" t="s">
        <v>1010</v>
      </c>
      <c r="O246" s="268" t="s">
        <v>1010</v>
      </c>
      <c r="P246" s="268">
        <v>0</v>
      </c>
      <c r="Q246" s="277" t="s">
        <v>1010</v>
      </c>
      <c r="R246" s="267">
        <v>0</v>
      </c>
      <c r="S246" s="267">
        <v>0</v>
      </c>
      <c r="T246" s="276" t="s">
        <v>1010</v>
      </c>
    </row>
    <row r="247" spans="1:20" ht="15.75" customHeight="1" x14ac:dyDescent="0.25">
      <c r="A247" s="272" t="s">
        <v>575</v>
      </c>
      <c r="B247" s="275" t="s">
        <v>574</v>
      </c>
      <c r="C247" s="265">
        <v>0.4</v>
      </c>
      <c r="D247" s="273" t="s">
        <v>850</v>
      </c>
      <c r="E247" s="274" t="s">
        <v>849</v>
      </c>
      <c r="F247" s="265">
        <v>0.1</v>
      </c>
      <c r="G247" s="273" t="s">
        <v>747</v>
      </c>
      <c r="H247" s="272" t="s">
        <v>761</v>
      </c>
      <c r="I247" s="265">
        <v>0</v>
      </c>
      <c r="J247" s="271">
        <f t="shared" si="3"/>
        <v>0.5</v>
      </c>
      <c r="K247" s="270"/>
      <c r="L247" s="279" t="s">
        <v>1010</v>
      </c>
      <c r="M247" s="279" t="s">
        <v>1010</v>
      </c>
      <c r="N247" s="279" t="s">
        <v>1010</v>
      </c>
      <c r="O247" s="268" t="s">
        <v>1010</v>
      </c>
      <c r="P247" s="268">
        <v>0</v>
      </c>
      <c r="Q247" s="277" t="s">
        <v>1010</v>
      </c>
      <c r="R247" s="267">
        <v>0</v>
      </c>
      <c r="S247" s="267">
        <v>0</v>
      </c>
      <c r="T247" s="276" t="s">
        <v>1010</v>
      </c>
    </row>
    <row r="248" spans="1:20" ht="15.75" customHeight="1" x14ac:dyDescent="0.25">
      <c r="A248" s="272" t="s">
        <v>577</v>
      </c>
      <c r="B248" s="275" t="s">
        <v>576</v>
      </c>
      <c r="C248" s="265">
        <v>0.4</v>
      </c>
      <c r="D248" s="273" t="s">
        <v>848</v>
      </c>
      <c r="E248" s="274" t="s">
        <v>847</v>
      </c>
      <c r="F248" s="265">
        <v>0.1</v>
      </c>
      <c r="G248" s="273" t="s">
        <v>747</v>
      </c>
      <c r="H248" s="272" t="s">
        <v>761</v>
      </c>
      <c r="I248" s="265">
        <v>0</v>
      </c>
      <c r="J248" s="271">
        <f t="shared" si="3"/>
        <v>0.5</v>
      </c>
      <c r="K248" s="270"/>
      <c r="L248" s="279" t="s">
        <v>1010</v>
      </c>
      <c r="M248" s="279" t="s">
        <v>1010</v>
      </c>
      <c r="N248" s="279" t="s">
        <v>1010</v>
      </c>
      <c r="O248" s="268" t="s">
        <v>1010</v>
      </c>
      <c r="P248" s="268">
        <v>0</v>
      </c>
      <c r="Q248" s="277" t="s">
        <v>1010</v>
      </c>
      <c r="R248" s="267">
        <v>0</v>
      </c>
      <c r="S248" s="267">
        <v>0</v>
      </c>
      <c r="T248" s="276" t="s">
        <v>1010</v>
      </c>
    </row>
    <row r="249" spans="1:20" ht="15.75" customHeight="1" x14ac:dyDescent="0.25">
      <c r="A249" s="272" t="s">
        <v>579</v>
      </c>
      <c r="B249" s="275" t="s">
        <v>578</v>
      </c>
      <c r="C249" s="265">
        <v>0.4</v>
      </c>
      <c r="D249" s="273" t="s">
        <v>804</v>
      </c>
      <c r="E249" s="274" t="s">
        <v>803</v>
      </c>
      <c r="F249" s="265">
        <v>0.1</v>
      </c>
      <c r="G249" s="273" t="s">
        <v>747</v>
      </c>
      <c r="H249" s="272" t="s">
        <v>761</v>
      </c>
      <c r="I249" s="265">
        <v>0</v>
      </c>
      <c r="J249" s="271">
        <f t="shared" si="3"/>
        <v>0.5</v>
      </c>
      <c r="L249" s="279" t="s">
        <v>1010</v>
      </c>
      <c r="M249" s="279" t="s">
        <v>1010</v>
      </c>
      <c r="N249" s="279" t="s">
        <v>1010</v>
      </c>
      <c r="O249" s="268" t="s">
        <v>1010</v>
      </c>
      <c r="P249" s="268">
        <v>0</v>
      </c>
      <c r="Q249" s="277" t="s">
        <v>1010</v>
      </c>
      <c r="R249" s="267">
        <v>0</v>
      </c>
      <c r="S249" s="267">
        <v>0</v>
      </c>
      <c r="T249" s="276" t="s">
        <v>1010</v>
      </c>
    </row>
    <row r="250" spans="1:20" ht="15.75" customHeight="1" x14ac:dyDescent="0.25">
      <c r="A250" s="272" t="s">
        <v>581</v>
      </c>
      <c r="B250" s="275" t="s">
        <v>580</v>
      </c>
      <c r="C250" s="265">
        <v>0.4</v>
      </c>
      <c r="D250" s="273" t="s">
        <v>795</v>
      </c>
      <c r="E250" s="274" t="s">
        <v>794</v>
      </c>
      <c r="F250" s="265">
        <v>0.1</v>
      </c>
      <c r="G250" s="273" t="s">
        <v>747</v>
      </c>
      <c r="H250" s="272" t="s">
        <v>761</v>
      </c>
      <c r="I250" s="265">
        <v>0</v>
      </c>
      <c r="J250" s="271">
        <f t="shared" si="3"/>
        <v>0.5</v>
      </c>
      <c r="K250" s="270"/>
      <c r="L250" s="279" t="s">
        <v>1010</v>
      </c>
      <c r="M250" s="279" t="s">
        <v>1010</v>
      </c>
      <c r="N250" s="279" t="s">
        <v>1010</v>
      </c>
      <c r="O250" s="268" t="s">
        <v>1010</v>
      </c>
      <c r="P250" s="268">
        <v>0</v>
      </c>
      <c r="Q250" s="277" t="s">
        <v>1010</v>
      </c>
      <c r="R250" s="267">
        <v>0</v>
      </c>
      <c r="S250" s="267">
        <v>0</v>
      </c>
      <c r="T250" s="276" t="s">
        <v>1010</v>
      </c>
    </row>
    <row r="251" spans="1:20" ht="15.75" customHeight="1" x14ac:dyDescent="0.25">
      <c r="A251" s="272" t="s">
        <v>583</v>
      </c>
      <c r="B251" s="275" t="s">
        <v>582</v>
      </c>
      <c r="C251" s="265">
        <v>0.4</v>
      </c>
      <c r="D251" s="273" t="s">
        <v>756</v>
      </c>
      <c r="E251" s="274" t="s">
        <v>755</v>
      </c>
      <c r="F251" s="265">
        <v>0.09</v>
      </c>
      <c r="G251" s="273" t="s">
        <v>754</v>
      </c>
      <c r="H251" s="272" t="s">
        <v>753</v>
      </c>
      <c r="I251" s="265">
        <v>0.01</v>
      </c>
      <c r="J251" s="271">
        <f t="shared" si="3"/>
        <v>0.5</v>
      </c>
      <c r="K251" s="270"/>
      <c r="L251" s="279" t="s">
        <v>1010</v>
      </c>
      <c r="M251" s="279" t="s">
        <v>1010</v>
      </c>
      <c r="N251" s="279" t="s">
        <v>1010</v>
      </c>
      <c r="O251" s="268" t="s">
        <v>1010</v>
      </c>
      <c r="P251" s="268">
        <v>0</v>
      </c>
      <c r="Q251" s="277" t="s">
        <v>1010</v>
      </c>
      <c r="R251" s="267">
        <v>0</v>
      </c>
      <c r="S251" s="267">
        <v>0</v>
      </c>
      <c r="T251" s="276" t="s">
        <v>1010</v>
      </c>
    </row>
    <row r="252" spans="1:20" ht="15.75" customHeight="1" x14ac:dyDescent="0.25">
      <c r="A252" s="272" t="s">
        <v>585</v>
      </c>
      <c r="B252" s="275" t="s">
        <v>584</v>
      </c>
      <c r="C252" s="265">
        <v>0.4</v>
      </c>
      <c r="D252" s="273" t="s">
        <v>793</v>
      </c>
      <c r="E252" s="274" t="s">
        <v>792</v>
      </c>
      <c r="F252" s="265">
        <v>0.09</v>
      </c>
      <c r="G252" s="273" t="s">
        <v>791</v>
      </c>
      <c r="H252" s="272" t="s">
        <v>790</v>
      </c>
      <c r="I252" s="265">
        <v>0.01</v>
      </c>
      <c r="J252" s="271">
        <f t="shared" si="3"/>
        <v>0.5</v>
      </c>
      <c r="K252" s="270"/>
      <c r="L252" s="279" t="s">
        <v>1010</v>
      </c>
      <c r="M252" s="279" t="s">
        <v>1010</v>
      </c>
      <c r="N252" s="279" t="s">
        <v>1010</v>
      </c>
      <c r="O252" s="268" t="s">
        <v>1010</v>
      </c>
      <c r="P252" s="268">
        <v>0</v>
      </c>
      <c r="Q252" s="277" t="s">
        <v>1010</v>
      </c>
      <c r="R252" s="267">
        <v>0</v>
      </c>
      <c r="S252" s="267">
        <v>0</v>
      </c>
      <c r="T252" s="276" t="s">
        <v>1010</v>
      </c>
    </row>
    <row r="253" spans="1:20" x14ac:dyDescent="0.25">
      <c r="A253" s="272" t="s">
        <v>587</v>
      </c>
      <c r="B253" s="275" t="s">
        <v>586</v>
      </c>
      <c r="C253" s="265">
        <v>0.4</v>
      </c>
      <c r="D253" s="273" t="s">
        <v>837</v>
      </c>
      <c r="E253" s="274" t="s">
        <v>836</v>
      </c>
      <c r="F253" s="265">
        <v>0.09</v>
      </c>
      <c r="G253" s="273" t="s">
        <v>835</v>
      </c>
      <c r="H253" s="272" t="s">
        <v>834</v>
      </c>
      <c r="I253" s="265">
        <v>0.01</v>
      </c>
      <c r="J253" s="271">
        <f t="shared" si="3"/>
        <v>0.5</v>
      </c>
      <c r="K253" s="270"/>
      <c r="L253" s="279" t="s">
        <v>1011</v>
      </c>
      <c r="M253" s="279" t="s">
        <v>1042</v>
      </c>
      <c r="N253" s="279" t="s">
        <v>1010</v>
      </c>
      <c r="O253" s="268" t="s">
        <v>1010</v>
      </c>
      <c r="P253" s="268">
        <v>0</v>
      </c>
      <c r="Q253" s="277" t="s">
        <v>1010</v>
      </c>
      <c r="R253" s="267">
        <v>0</v>
      </c>
      <c r="S253" s="267">
        <v>0</v>
      </c>
      <c r="T253" s="276" t="s">
        <v>1010</v>
      </c>
    </row>
    <row r="254" spans="1:20" ht="15.75" customHeight="1" x14ac:dyDescent="0.25">
      <c r="A254" s="272" t="s">
        <v>589</v>
      </c>
      <c r="B254" s="275" t="s">
        <v>588</v>
      </c>
      <c r="C254" s="265">
        <v>0.49</v>
      </c>
      <c r="D254" s="273" t="s">
        <v>747</v>
      </c>
      <c r="E254" s="274" t="s">
        <v>766</v>
      </c>
      <c r="F254" s="265">
        <v>0</v>
      </c>
      <c r="G254" s="273" t="s">
        <v>840</v>
      </c>
      <c r="H254" s="272" t="s">
        <v>839</v>
      </c>
      <c r="I254" s="265">
        <v>0.01</v>
      </c>
      <c r="J254" s="271">
        <f t="shared" si="3"/>
        <v>0.5</v>
      </c>
      <c r="L254" s="279" t="s">
        <v>1010</v>
      </c>
      <c r="M254" s="279" t="s">
        <v>1010</v>
      </c>
      <c r="N254" s="279" t="s">
        <v>1010</v>
      </c>
      <c r="O254" s="268" t="s">
        <v>1011</v>
      </c>
      <c r="P254" s="268">
        <v>600000</v>
      </c>
      <c r="Q254" s="277" t="s">
        <v>1011</v>
      </c>
      <c r="R254" s="267">
        <v>0</v>
      </c>
      <c r="S254" s="267">
        <v>0</v>
      </c>
      <c r="T254" s="276" t="s">
        <v>1011</v>
      </c>
    </row>
    <row r="255" spans="1:20" ht="15.75" customHeight="1" x14ac:dyDescent="0.25">
      <c r="A255" s="272" t="s">
        <v>591</v>
      </c>
      <c r="B255" s="275" t="s">
        <v>846</v>
      </c>
      <c r="C255" s="265">
        <v>0.49</v>
      </c>
      <c r="D255" s="273" t="s">
        <v>747</v>
      </c>
      <c r="E255" s="274" t="s">
        <v>746</v>
      </c>
      <c r="F255" s="265">
        <v>0</v>
      </c>
      <c r="G255" s="273" t="s">
        <v>776</v>
      </c>
      <c r="H255" s="272" t="s">
        <v>775</v>
      </c>
      <c r="I255" s="265">
        <v>0.01</v>
      </c>
      <c r="J255" s="271">
        <f t="shared" si="3"/>
        <v>0.5</v>
      </c>
      <c r="K255" s="270"/>
      <c r="L255" s="279" t="s">
        <v>1010</v>
      </c>
      <c r="M255" s="279" t="s">
        <v>1010</v>
      </c>
      <c r="N255" s="279" t="s">
        <v>1010</v>
      </c>
      <c r="O255" s="268" t="s">
        <v>1010</v>
      </c>
      <c r="P255" s="268">
        <v>0</v>
      </c>
      <c r="Q255" s="277" t="s">
        <v>1011</v>
      </c>
      <c r="R255" s="267">
        <v>0</v>
      </c>
      <c r="S255" s="267">
        <v>0</v>
      </c>
      <c r="T255" s="276" t="s">
        <v>1011</v>
      </c>
    </row>
    <row r="256" spans="1:20" ht="15.75" customHeight="1" x14ac:dyDescent="0.25">
      <c r="A256" s="272" t="s">
        <v>593</v>
      </c>
      <c r="B256" s="275" t="s">
        <v>845</v>
      </c>
      <c r="C256" s="265">
        <v>0.49</v>
      </c>
      <c r="D256" s="273" t="s">
        <v>747</v>
      </c>
      <c r="E256" s="274" t="s">
        <v>746</v>
      </c>
      <c r="F256" s="265">
        <v>0</v>
      </c>
      <c r="G256" s="273" t="s">
        <v>819</v>
      </c>
      <c r="H256" s="272" t="s">
        <v>818</v>
      </c>
      <c r="I256" s="265">
        <v>0.01</v>
      </c>
      <c r="J256" s="271">
        <f t="shared" si="3"/>
        <v>0.5</v>
      </c>
      <c r="K256" s="270"/>
      <c r="L256" s="279" t="s">
        <v>1010</v>
      </c>
      <c r="M256" s="279" t="s">
        <v>1010</v>
      </c>
      <c r="N256" s="279" t="s">
        <v>1010</v>
      </c>
      <c r="O256" s="268" t="s">
        <v>1010</v>
      </c>
      <c r="P256" s="268">
        <v>0</v>
      </c>
      <c r="Q256" s="277" t="s">
        <v>1011</v>
      </c>
      <c r="R256" s="267">
        <v>0</v>
      </c>
      <c r="S256" s="267">
        <v>0</v>
      </c>
      <c r="T256" s="276" t="s">
        <v>1011</v>
      </c>
    </row>
    <row r="257" spans="1:20" ht="15.75" customHeight="1" x14ac:dyDescent="0.25">
      <c r="A257" s="272" t="s">
        <v>595</v>
      </c>
      <c r="B257" s="275" t="s">
        <v>594</v>
      </c>
      <c r="C257" s="265">
        <v>0.3</v>
      </c>
      <c r="D257" s="273" t="s">
        <v>789</v>
      </c>
      <c r="E257" s="274" t="s">
        <v>788</v>
      </c>
      <c r="F257" s="265">
        <v>0.2</v>
      </c>
      <c r="G257" s="273" t="s">
        <v>747</v>
      </c>
      <c r="H257" s="274" t="s">
        <v>747</v>
      </c>
      <c r="I257" s="265">
        <v>0</v>
      </c>
      <c r="J257" s="271">
        <f t="shared" si="3"/>
        <v>0.5</v>
      </c>
      <c r="K257" s="270"/>
      <c r="L257" s="279" t="s">
        <v>1010</v>
      </c>
      <c r="M257" s="279" t="s">
        <v>1010</v>
      </c>
      <c r="N257" s="279" t="s">
        <v>1010</v>
      </c>
      <c r="O257" s="268" t="s">
        <v>1011</v>
      </c>
      <c r="P257" s="268">
        <v>9042013</v>
      </c>
      <c r="Q257" s="277" t="s">
        <v>1011</v>
      </c>
      <c r="R257" s="267">
        <v>0</v>
      </c>
      <c r="S257" s="267">
        <v>0</v>
      </c>
      <c r="T257" s="276" t="s">
        <v>1011</v>
      </c>
    </row>
    <row r="258" spans="1:20" ht="15.75" customHeight="1" x14ac:dyDescent="0.25">
      <c r="A258" s="272" t="s">
        <v>597</v>
      </c>
      <c r="B258" s="275" t="s">
        <v>596</v>
      </c>
      <c r="C258" s="265">
        <v>0.4</v>
      </c>
      <c r="D258" s="273" t="s">
        <v>771</v>
      </c>
      <c r="E258" s="274" t="s">
        <v>770</v>
      </c>
      <c r="F258" s="265">
        <v>0.1</v>
      </c>
      <c r="G258" s="273" t="s">
        <v>747</v>
      </c>
      <c r="H258" s="272" t="s">
        <v>761</v>
      </c>
      <c r="I258" s="265">
        <v>0</v>
      </c>
      <c r="J258" s="271">
        <f t="shared" si="3"/>
        <v>0.5</v>
      </c>
      <c r="K258" s="270"/>
      <c r="L258" s="279" t="s">
        <v>1010</v>
      </c>
      <c r="M258" s="279" t="s">
        <v>1010</v>
      </c>
      <c r="N258" s="279" t="s">
        <v>1010</v>
      </c>
      <c r="O258" s="268" t="s">
        <v>1010</v>
      </c>
      <c r="P258" s="268">
        <v>0</v>
      </c>
      <c r="Q258" s="277" t="s">
        <v>1010</v>
      </c>
      <c r="R258" s="267">
        <v>0</v>
      </c>
      <c r="S258" s="267">
        <v>0</v>
      </c>
      <c r="T258" s="276" t="s">
        <v>1010</v>
      </c>
    </row>
    <row r="259" spans="1:20" ht="15.75" customHeight="1" x14ac:dyDescent="0.25">
      <c r="A259" s="272" t="s">
        <v>599</v>
      </c>
      <c r="B259" s="275" t="s">
        <v>598</v>
      </c>
      <c r="C259" s="265">
        <v>0.4</v>
      </c>
      <c r="D259" s="273" t="s">
        <v>802</v>
      </c>
      <c r="E259" s="274" t="s">
        <v>801</v>
      </c>
      <c r="F259" s="265">
        <v>0.1</v>
      </c>
      <c r="G259" s="273" t="s">
        <v>747</v>
      </c>
      <c r="H259" s="272" t="s">
        <v>761</v>
      </c>
      <c r="I259" s="265">
        <v>0</v>
      </c>
      <c r="J259" s="271">
        <f t="shared" si="3"/>
        <v>0.5</v>
      </c>
      <c r="K259" s="270"/>
      <c r="L259" s="279" t="s">
        <v>1010</v>
      </c>
      <c r="M259" s="279" t="s">
        <v>1010</v>
      </c>
      <c r="N259" s="279" t="s">
        <v>1010</v>
      </c>
      <c r="O259" s="268" t="s">
        <v>1010</v>
      </c>
      <c r="P259" s="268">
        <v>0</v>
      </c>
      <c r="Q259" s="277" t="s">
        <v>1010</v>
      </c>
      <c r="R259" s="267">
        <v>0</v>
      </c>
      <c r="S259" s="267">
        <v>0</v>
      </c>
      <c r="T259" s="276" t="s">
        <v>1010</v>
      </c>
    </row>
    <row r="260" spans="1:20" ht="15.75" customHeight="1" x14ac:dyDescent="0.25">
      <c r="A260" s="272" t="s">
        <v>601</v>
      </c>
      <c r="B260" s="275" t="s">
        <v>600</v>
      </c>
      <c r="C260" s="265">
        <v>0.4</v>
      </c>
      <c r="D260" s="273" t="s">
        <v>810</v>
      </c>
      <c r="E260" s="274" t="s">
        <v>809</v>
      </c>
      <c r="F260" s="265">
        <v>0.1</v>
      </c>
      <c r="G260" s="273" t="s">
        <v>747</v>
      </c>
      <c r="H260" s="272" t="s">
        <v>761</v>
      </c>
      <c r="I260" s="265">
        <v>0</v>
      </c>
      <c r="J260" s="271">
        <f t="shared" si="3"/>
        <v>0.5</v>
      </c>
      <c r="K260" s="270"/>
      <c r="L260" s="279" t="s">
        <v>1010</v>
      </c>
      <c r="M260" s="279" t="s">
        <v>1010</v>
      </c>
      <c r="N260" s="279" t="s">
        <v>1010</v>
      </c>
      <c r="O260" s="268" t="s">
        <v>1010</v>
      </c>
      <c r="P260" s="268">
        <v>0</v>
      </c>
      <c r="Q260" s="277" t="s">
        <v>1010</v>
      </c>
      <c r="R260" s="267">
        <v>0</v>
      </c>
      <c r="S260" s="267">
        <v>0</v>
      </c>
      <c r="T260" s="276" t="s">
        <v>1010</v>
      </c>
    </row>
    <row r="261" spans="1:20" ht="15.75" customHeight="1" x14ac:dyDescent="0.25">
      <c r="A261" s="272" t="s">
        <v>603</v>
      </c>
      <c r="B261" s="275" t="s">
        <v>602</v>
      </c>
      <c r="C261" s="265">
        <v>0.49</v>
      </c>
      <c r="D261" s="273" t="s">
        <v>747</v>
      </c>
      <c r="E261" s="274" t="s">
        <v>766</v>
      </c>
      <c r="F261" s="265">
        <v>0</v>
      </c>
      <c r="G261" s="273" t="s">
        <v>773</v>
      </c>
      <c r="H261" s="272" t="s">
        <v>772</v>
      </c>
      <c r="I261" s="265">
        <v>0.01</v>
      </c>
      <c r="J261" s="271">
        <f t="shared" si="3"/>
        <v>0.5</v>
      </c>
      <c r="L261" s="279" t="s">
        <v>1010</v>
      </c>
      <c r="M261" s="279" t="s">
        <v>1010</v>
      </c>
      <c r="N261" s="279" t="s">
        <v>1010</v>
      </c>
      <c r="O261" s="268" t="s">
        <v>1010</v>
      </c>
      <c r="P261" s="268">
        <v>0</v>
      </c>
      <c r="Q261" s="277" t="s">
        <v>1011</v>
      </c>
      <c r="R261" s="267">
        <v>0</v>
      </c>
      <c r="S261" s="267">
        <v>0</v>
      </c>
      <c r="T261" s="276" t="s">
        <v>1011</v>
      </c>
    </row>
    <row r="262" spans="1:20" ht="15.75" customHeight="1" x14ac:dyDescent="0.25">
      <c r="A262" s="272" t="s">
        <v>605</v>
      </c>
      <c r="B262" s="275" t="s">
        <v>604</v>
      </c>
      <c r="C262" s="265">
        <v>0.4</v>
      </c>
      <c r="D262" s="273" t="s">
        <v>837</v>
      </c>
      <c r="E262" s="274" t="s">
        <v>836</v>
      </c>
      <c r="F262" s="265">
        <v>0.09</v>
      </c>
      <c r="G262" s="273" t="s">
        <v>835</v>
      </c>
      <c r="H262" s="272" t="s">
        <v>834</v>
      </c>
      <c r="I262" s="265">
        <v>0.01</v>
      </c>
      <c r="J262" s="271">
        <f t="shared" ref="J262:J325" si="4">+C262+F262+I262</f>
        <v>0.5</v>
      </c>
      <c r="L262" s="279" t="s">
        <v>1010</v>
      </c>
      <c r="M262" s="279" t="s">
        <v>1010</v>
      </c>
      <c r="N262" s="279" t="s">
        <v>1010</v>
      </c>
      <c r="O262" s="268" t="s">
        <v>1010</v>
      </c>
      <c r="P262" s="268">
        <v>0</v>
      </c>
      <c r="Q262" s="277" t="s">
        <v>1010</v>
      </c>
      <c r="R262" s="267">
        <v>0</v>
      </c>
      <c r="S262" s="267">
        <v>0</v>
      </c>
      <c r="T262" s="276" t="s">
        <v>1010</v>
      </c>
    </row>
    <row r="263" spans="1:20" ht="15.75" customHeight="1" x14ac:dyDescent="0.25">
      <c r="A263" s="272" t="s">
        <v>607</v>
      </c>
      <c r="B263" s="275" t="s">
        <v>606</v>
      </c>
      <c r="C263" s="265">
        <v>0.4</v>
      </c>
      <c r="D263" s="273" t="s">
        <v>837</v>
      </c>
      <c r="E263" s="274" t="s">
        <v>836</v>
      </c>
      <c r="F263" s="265">
        <v>0.09</v>
      </c>
      <c r="G263" s="273" t="s">
        <v>835</v>
      </c>
      <c r="H263" s="272" t="s">
        <v>834</v>
      </c>
      <c r="I263" s="265">
        <v>0.01</v>
      </c>
      <c r="J263" s="271">
        <f t="shared" si="4"/>
        <v>0.5</v>
      </c>
      <c r="K263" s="270"/>
      <c r="L263" s="279" t="s">
        <v>1010</v>
      </c>
      <c r="M263" s="279" t="s">
        <v>1010</v>
      </c>
      <c r="N263" s="279" t="s">
        <v>1010</v>
      </c>
      <c r="O263" s="268" t="s">
        <v>1010</v>
      </c>
      <c r="P263" s="268">
        <v>0</v>
      </c>
      <c r="Q263" s="277" t="s">
        <v>1010</v>
      </c>
      <c r="R263" s="267">
        <v>0</v>
      </c>
      <c r="S263" s="267">
        <v>0</v>
      </c>
      <c r="T263" s="276" t="s">
        <v>1010</v>
      </c>
    </row>
    <row r="264" spans="1:20" ht="15.75" customHeight="1" x14ac:dyDescent="0.25">
      <c r="A264" s="272" t="s">
        <v>609</v>
      </c>
      <c r="B264" s="275" t="s">
        <v>608</v>
      </c>
      <c r="C264" s="265">
        <v>0.4</v>
      </c>
      <c r="D264" s="273" t="s">
        <v>802</v>
      </c>
      <c r="E264" s="274" t="s">
        <v>801</v>
      </c>
      <c r="F264" s="265">
        <v>0.1</v>
      </c>
      <c r="G264" s="273" t="s">
        <v>747</v>
      </c>
      <c r="H264" s="272" t="s">
        <v>761</v>
      </c>
      <c r="I264" s="265">
        <v>0</v>
      </c>
      <c r="J264" s="271">
        <f t="shared" si="4"/>
        <v>0.5</v>
      </c>
      <c r="K264" s="270"/>
      <c r="L264" s="279" t="s">
        <v>1010</v>
      </c>
      <c r="M264" s="279" t="s">
        <v>1010</v>
      </c>
      <c r="N264" s="279" t="s">
        <v>1010</v>
      </c>
      <c r="O264" s="268" t="s">
        <v>1010</v>
      </c>
      <c r="P264" s="268">
        <v>0</v>
      </c>
      <c r="Q264" s="277" t="s">
        <v>1010</v>
      </c>
      <c r="R264" s="267">
        <v>0</v>
      </c>
      <c r="S264" s="267">
        <v>0</v>
      </c>
      <c r="T264" s="276" t="s">
        <v>1010</v>
      </c>
    </row>
    <row r="265" spans="1:20" x14ac:dyDescent="0.25">
      <c r="A265" s="272" t="s">
        <v>611</v>
      </c>
      <c r="B265" s="275" t="s">
        <v>610</v>
      </c>
      <c r="C265" s="265">
        <v>0.49</v>
      </c>
      <c r="D265" s="273" t="s">
        <v>747</v>
      </c>
      <c r="E265" s="274" t="s">
        <v>766</v>
      </c>
      <c r="F265" s="265">
        <v>0</v>
      </c>
      <c r="G265" s="273" t="s">
        <v>782</v>
      </c>
      <c r="H265" s="272" t="s">
        <v>781</v>
      </c>
      <c r="I265" s="265">
        <v>0.01</v>
      </c>
      <c r="J265" s="271">
        <f t="shared" si="4"/>
        <v>0.5</v>
      </c>
      <c r="K265" s="270"/>
      <c r="L265" s="279" t="s">
        <v>1011</v>
      </c>
      <c r="M265" s="279" t="s">
        <v>1043</v>
      </c>
      <c r="N265" s="279" t="s">
        <v>1010</v>
      </c>
      <c r="O265" s="268" t="s">
        <v>1010</v>
      </c>
      <c r="P265" s="268">
        <v>0</v>
      </c>
      <c r="Q265" s="277" t="s">
        <v>1011</v>
      </c>
      <c r="R265" s="267">
        <v>6035290</v>
      </c>
      <c r="S265" s="267">
        <v>0</v>
      </c>
      <c r="T265" s="276" t="s">
        <v>1011</v>
      </c>
    </row>
    <row r="266" spans="1:20" x14ac:dyDescent="0.25">
      <c r="A266" s="272" t="s">
        <v>613</v>
      </c>
      <c r="B266" s="275" t="s">
        <v>844</v>
      </c>
      <c r="C266" s="265">
        <v>0.49</v>
      </c>
      <c r="D266" s="273" t="s">
        <v>747</v>
      </c>
      <c r="E266" s="274" t="s">
        <v>746</v>
      </c>
      <c r="F266" s="265">
        <v>0</v>
      </c>
      <c r="G266" s="273" t="s">
        <v>843</v>
      </c>
      <c r="H266" s="272" t="s">
        <v>842</v>
      </c>
      <c r="I266" s="265">
        <v>0.01</v>
      </c>
      <c r="J266" s="271">
        <f t="shared" si="4"/>
        <v>0.5</v>
      </c>
      <c r="K266" s="270"/>
      <c r="L266" s="279" t="s">
        <v>1011</v>
      </c>
      <c r="M266" s="279" t="s">
        <v>1027</v>
      </c>
      <c r="N266" s="279" t="s">
        <v>1010</v>
      </c>
      <c r="O266" s="268" t="s">
        <v>1010</v>
      </c>
      <c r="P266" s="268">
        <v>0</v>
      </c>
      <c r="Q266" s="277" t="s">
        <v>1011</v>
      </c>
      <c r="R266" s="267">
        <v>0</v>
      </c>
      <c r="S266" s="267">
        <v>0</v>
      </c>
      <c r="T266" s="276" t="s">
        <v>1011</v>
      </c>
    </row>
    <row r="267" spans="1:20" ht="15.75" customHeight="1" x14ac:dyDescent="0.25">
      <c r="A267" s="272" t="s">
        <v>615</v>
      </c>
      <c r="B267" s="275" t="s">
        <v>841</v>
      </c>
      <c r="C267" s="265">
        <v>0.49</v>
      </c>
      <c r="D267" s="273" t="s">
        <v>747</v>
      </c>
      <c r="E267" s="274" t="s">
        <v>746</v>
      </c>
      <c r="F267" s="265">
        <v>0</v>
      </c>
      <c r="G267" s="273" t="s">
        <v>835</v>
      </c>
      <c r="H267" s="272" t="s">
        <v>834</v>
      </c>
      <c r="I267" s="265">
        <v>0.01</v>
      </c>
      <c r="J267" s="271">
        <f t="shared" si="4"/>
        <v>0.5</v>
      </c>
      <c r="K267" s="270"/>
      <c r="L267" s="279" t="s">
        <v>1010</v>
      </c>
      <c r="M267" s="279" t="s">
        <v>1010</v>
      </c>
      <c r="N267" s="279" t="s">
        <v>1010</v>
      </c>
      <c r="O267" s="268" t="s">
        <v>1010</v>
      </c>
      <c r="P267" s="268">
        <v>0</v>
      </c>
      <c r="Q267" s="277" t="s">
        <v>1011</v>
      </c>
      <c r="R267" s="267">
        <v>0</v>
      </c>
      <c r="S267" s="267">
        <v>0</v>
      </c>
      <c r="T267" s="276" t="s">
        <v>1011</v>
      </c>
    </row>
    <row r="268" spans="1:20" ht="15.75" customHeight="1" x14ac:dyDescent="0.25">
      <c r="A268" s="272" t="s">
        <v>617</v>
      </c>
      <c r="B268" s="275" t="s">
        <v>616</v>
      </c>
      <c r="C268" s="265">
        <v>0.4</v>
      </c>
      <c r="D268" s="273" t="s">
        <v>812</v>
      </c>
      <c r="E268" s="274" t="s">
        <v>811</v>
      </c>
      <c r="F268" s="265">
        <v>0.1</v>
      </c>
      <c r="G268" s="273" t="s">
        <v>747</v>
      </c>
      <c r="H268" s="272" t="s">
        <v>761</v>
      </c>
      <c r="I268" s="265">
        <v>0</v>
      </c>
      <c r="J268" s="271">
        <f t="shared" si="4"/>
        <v>0.5</v>
      </c>
      <c r="K268" s="270"/>
      <c r="L268" s="279" t="s">
        <v>1010</v>
      </c>
      <c r="M268" s="279" t="s">
        <v>1010</v>
      </c>
      <c r="N268" s="279" t="s">
        <v>1010</v>
      </c>
      <c r="O268" s="268" t="s">
        <v>1010</v>
      </c>
      <c r="P268" s="268">
        <v>0</v>
      </c>
      <c r="Q268" s="277" t="s">
        <v>1010</v>
      </c>
      <c r="R268" s="267">
        <v>0</v>
      </c>
      <c r="S268" s="267">
        <v>0</v>
      </c>
      <c r="T268" s="276" t="s">
        <v>1010</v>
      </c>
    </row>
    <row r="269" spans="1:20" ht="15.75" customHeight="1" x14ac:dyDescent="0.25">
      <c r="A269" s="272" t="s">
        <v>619</v>
      </c>
      <c r="B269" s="275" t="s">
        <v>618</v>
      </c>
      <c r="C269" s="265">
        <v>0.4</v>
      </c>
      <c r="D269" s="273" t="s">
        <v>830</v>
      </c>
      <c r="E269" s="274" t="s">
        <v>829</v>
      </c>
      <c r="F269" s="265">
        <v>0.1</v>
      </c>
      <c r="G269" s="273" t="s">
        <v>747</v>
      </c>
      <c r="H269" s="272" t="s">
        <v>761</v>
      </c>
      <c r="I269" s="265">
        <v>0</v>
      </c>
      <c r="J269" s="271">
        <f t="shared" si="4"/>
        <v>0.5</v>
      </c>
      <c r="K269" s="270"/>
      <c r="L269" s="279" t="s">
        <v>1010</v>
      </c>
      <c r="M269" s="279" t="s">
        <v>1010</v>
      </c>
      <c r="N269" s="279" t="s">
        <v>1010</v>
      </c>
      <c r="O269" s="268" t="s">
        <v>1010</v>
      </c>
      <c r="P269" s="268">
        <v>0</v>
      </c>
      <c r="Q269" s="277" t="s">
        <v>1010</v>
      </c>
      <c r="R269" s="267">
        <v>0</v>
      </c>
      <c r="S269" s="267">
        <v>0</v>
      </c>
      <c r="T269" s="276" t="s">
        <v>1010</v>
      </c>
    </row>
    <row r="270" spans="1:20" ht="15.75" customHeight="1" x14ac:dyDescent="0.25">
      <c r="A270" s="272" t="s">
        <v>621</v>
      </c>
      <c r="B270" s="275" t="s">
        <v>620</v>
      </c>
      <c r="C270" s="265">
        <v>0.4</v>
      </c>
      <c r="D270" s="273" t="s">
        <v>810</v>
      </c>
      <c r="E270" s="274" t="s">
        <v>809</v>
      </c>
      <c r="F270" s="265">
        <v>0.1</v>
      </c>
      <c r="G270" s="273" t="s">
        <v>747</v>
      </c>
      <c r="H270" s="272" t="s">
        <v>761</v>
      </c>
      <c r="I270" s="265">
        <v>0</v>
      </c>
      <c r="J270" s="271">
        <f t="shared" si="4"/>
        <v>0.5</v>
      </c>
      <c r="K270" s="270"/>
      <c r="L270" s="279" t="s">
        <v>1010</v>
      </c>
      <c r="M270" s="279" t="s">
        <v>1010</v>
      </c>
      <c r="N270" s="279" t="s">
        <v>1010</v>
      </c>
      <c r="O270" s="268" t="s">
        <v>1010</v>
      </c>
      <c r="P270" s="268">
        <v>0</v>
      </c>
      <c r="Q270" s="277" t="s">
        <v>1010</v>
      </c>
      <c r="R270" s="267">
        <v>0</v>
      </c>
      <c r="S270" s="267">
        <v>0</v>
      </c>
      <c r="T270" s="276" t="s">
        <v>1010</v>
      </c>
    </row>
    <row r="271" spans="1:20" x14ac:dyDescent="0.25">
      <c r="A271" s="272" t="s">
        <v>623</v>
      </c>
      <c r="B271" s="275" t="s">
        <v>622</v>
      </c>
      <c r="C271" s="265">
        <v>0.49</v>
      </c>
      <c r="D271" s="273" t="s">
        <v>747</v>
      </c>
      <c r="E271" s="274" t="s">
        <v>766</v>
      </c>
      <c r="F271" s="265">
        <v>0</v>
      </c>
      <c r="G271" s="273" t="s">
        <v>840</v>
      </c>
      <c r="H271" s="272" t="s">
        <v>839</v>
      </c>
      <c r="I271" s="265">
        <v>0.01</v>
      </c>
      <c r="J271" s="271">
        <f t="shared" si="4"/>
        <v>0.5</v>
      </c>
      <c r="K271" s="270"/>
      <c r="L271" s="279" t="s">
        <v>1011</v>
      </c>
      <c r="M271" s="279" t="s">
        <v>1039</v>
      </c>
      <c r="N271" s="279" t="s">
        <v>1010</v>
      </c>
      <c r="O271" s="268" t="s">
        <v>1010</v>
      </c>
      <c r="P271" s="268">
        <v>0</v>
      </c>
      <c r="Q271" s="277" t="s">
        <v>1011</v>
      </c>
      <c r="R271" s="267">
        <v>142652</v>
      </c>
      <c r="S271" s="267">
        <v>0</v>
      </c>
      <c r="T271" s="276" t="s">
        <v>1011</v>
      </c>
    </row>
    <row r="272" spans="1:20" ht="15.75" customHeight="1" x14ac:dyDescent="0.25">
      <c r="A272" s="272" t="s">
        <v>625</v>
      </c>
      <c r="B272" s="275" t="s">
        <v>624</v>
      </c>
      <c r="C272" s="265">
        <v>0.4</v>
      </c>
      <c r="D272" s="273" t="s">
        <v>771</v>
      </c>
      <c r="E272" s="274" t="s">
        <v>770</v>
      </c>
      <c r="F272" s="265">
        <v>0.1</v>
      </c>
      <c r="G272" s="273" t="s">
        <v>747</v>
      </c>
      <c r="H272" s="272" t="s">
        <v>761</v>
      </c>
      <c r="I272" s="265">
        <v>0</v>
      </c>
      <c r="J272" s="271">
        <f t="shared" si="4"/>
        <v>0.5</v>
      </c>
      <c r="K272" s="270"/>
      <c r="L272" s="279" t="s">
        <v>1010</v>
      </c>
      <c r="M272" s="279" t="s">
        <v>1010</v>
      </c>
      <c r="N272" s="279" t="s">
        <v>1010</v>
      </c>
      <c r="O272" s="268" t="s">
        <v>1010</v>
      </c>
      <c r="P272" s="268">
        <v>0</v>
      </c>
      <c r="Q272" s="277" t="s">
        <v>1010</v>
      </c>
      <c r="R272" s="267">
        <v>0</v>
      </c>
      <c r="S272" s="267">
        <v>0</v>
      </c>
      <c r="T272" s="276" t="s">
        <v>1010</v>
      </c>
    </row>
    <row r="273" spans="1:20" ht="15.75" customHeight="1" x14ac:dyDescent="0.25">
      <c r="A273" s="272" t="s">
        <v>627</v>
      </c>
      <c r="B273" s="275" t="s">
        <v>626</v>
      </c>
      <c r="C273" s="265">
        <v>0.3</v>
      </c>
      <c r="D273" s="273" t="s">
        <v>789</v>
      </c>
      <c r="E273" s="274" t="s">
        <v>788</v>
      </c>
      <c r="F273" s="265">
        <v>0.2</v>
      </c>
      <c r="G273" s="273" t="s">
        <v>747</v>
      </c>
      <c r="H273" s="274" t="s">
        <v>747</v>
      </c>
      <c r="I273" s="265">
        <v>0</v>
      </c>
      <c r="J273" s="271">
        <f t="shared" si="4"/>
        <v>0.5</v>
      </c>
      <c r="K273" s="270"/>
      <c r="L273" s="279" t="s">
        <v>1010</v>
      </c>
      <c r="M273" s="279" t="s">
        <v>1010</v>
      </c>
      <c r="N273" s="279" t="s">
        <v>1010</v>
      </c>
      <c r="O273" s="268" t="s">
        <v>1010</v>
      </c>
      <c r="P273" s="268">
        <v>0</v>
      </c>
      <c r="Q273" s="277" t="s">
        <v>1011</v>
      </c>
      <c r="R273" s="267">
        <v>0</v>
      </c>
      <c r="S273" s="267">
        <v>0</v>
      </c>
      <c r="T273" s="276" t="s">
        <v>1011</v>
      </c>
    </row>
    <row r="274" spans="1:20" ht="15.75" customHeight="1" x14ac:dyDescent="0.25">
      <c r="A274" s="272" t="s">
        <v>629</v>
      </c>
      <c r="B274" s="275" t="s">
        <v>628</v>
      </c>
      <c r="C274" s="265">
        <v>0.4</v>
      </c>
      <c r="D274" s="273" t="s">
        <v>825</v>
      </c>
      <c r="E274" s="274" t="s">
        <v>824</v>
      </c>
      <c r="F274" s="265">
        <v>0.09</v>
      </c>
      <c r="G274" s="273" t="s">
        <v>823</v>
      </c>
      <c r="H274" s="272" t="s">
        <v>822</v>
      </c>
      <c r="I274" s="265">
        <v>0.01</v>
      </c>
      <c r="J274" s="271">
        <f t="shared" si="4"/>
        <v>0.5</v>
      </c>
      <c r="K274" s="270"/>
      <c r="L274" s="279" t="s">
        <v>1010</v>
      </c>
      <c r="M274" s="279" t="s">
        <v>1010</v>
      </c>
      <c r="N274" s="279" t="s">
        <v>1010</v>
      </c>
      <c r="O274" s="268" t="s">
        <v>1010</v>
      </c>
      <c r="P274" s="268">
        <v>0</v>
      </c>
      <c r="Q274" s="277" t="s">
        <v>1010</v>
      </c>
      <c r="R274" s="267">
        <v>0</v>
      </c>
      <c r="S274" s="267">
        <v>0</v>
      </c>
      <c r="T274" s="276" t="s">
        <v>1010</v>
      </c>
    </row>
    <row r="275" spans="1:20" ht="15.75" customHeight="1" x14ac:dyDescent="0.25">
      <c r="A275" s="272" t="s">
        <v>631</v>
      </c>
      <c r="B275" s="275" t="s">
        <v>838</v>
      </c>
      <c r="C275" s="265">
        <v>0.49</v>
      </c>
      <c r="D275" s="273" t="s">
        <v>747</v>
      </c>
      <c r="E275" s="274" t="s">
        <v>746</v>
      </c>
      <c r="F275" s="265">
        <v>0</v>
      </c>
      <c r="G275" s="273" t="s">
        <v>780</v>
      </c>
      <c r="H275" s="272" t="s">
        <v>779</v>
      </c>
      <c r="I275" s="265">
        <v>0.01</v>
      </c>
      <c r="J275" s="271">
        <f t="shared" si="4"/>
        <v>0.5</v>
      </c>
      <c r="K275" s="270"/>
      <c r="L275" s="279" t="s">
        <v>1010</v>
      </c>
      <c r="M275" s="279" t="s">
        <v>1010</v>
      </c>
      <c r="N275" s="279" t="s">
        <v>1010</v>
      </c>
      <c r="O275" s="268" t="s">
        <v>1010</v>
      </c>
      <c r="P275" s="268">
        <v>0</v>
      </c>
      <c r="Q275" s="277" t="s">
        <v>1011</v>
      </c>
      <c r="R275" s="267">
        <v>0</v>
      </c>
      <c r="S275" s="267">
        <v>0</v>
      </c>
      <c r="T275" s="276" t="s">
        <v>1011</v>
      </c>
    </row>
    <row r="276" spans="1:20" ht="15.75" customHeight="1" x14ac:dyDescent="0.25">
      <c r="A276" s="272" t="s">
        <v>633</v>
      </c>
      <c r="B276" s="275" t="s">
        <v>632</v>
      </c>
      <c r="C276" s="265">
        <v>0.49</v>
      </c>
      <c r="D276" s="273" t="s">
        <v>747</v>
      </c>
      <c r="E276" s="274" t="s">
        <v>766</v>
      </c>
      <c r="F276" s="265">
        <v>0</v>
      </c>
      <c r="G276" s="273" t="s">
        <v>782</v>
      </c>
      <c r="H276" s="272" t="s">
        <v>781</v>
      </c>
      <c r="I276" s="265">
        <v>0.01</v>
      </c>
      <c r="J276" s="271">
        <f t="shared" si="4"/>
        <v>0.5</v>
      </c>
      <c r="K276" s="270"/>
      <c r="L276" s="279" t="s">
        <v>1010</v>
      </c>
      <c r="M276" s="279" t="s">
        <v>1010</v>
      </c>
      <c r="N276" s="279" t="s">
        <v>1010</v>
      </c>
      <c r="O276" s="268" t="s">
        <v>1010</v>
      </c>
      <c r="P276" s="268">
        <v>0</v>
      </c>
      <c r="Q276" s="277" t="s">
        <v>1011</v>
      </c>
      <c r="R276" s="267">
        <v>0</v>
      </c>
      <c r="S276" s="267">
        <v>0</v>
      </c>
      <c r="T276" s="276" t="s">
        <v>1011</v>
      </c>
    </row>
    <row r="277" spans="1:20" ht="15.75" customHeight="1" x14ac:dyDescent="0.25">
      <c r="A277" s="272" t="s">
        <v>635</v>
      </c>
      <c r="B277" s="275" t="s">
        <v>634</v>
      </c>
      <c r="C277" s="265">
        <v>0.4</v>
      </c>
      <c r="D277" s="273" t="s">
        <v>837</v>
      </c>
      <c r="E277" s="274" t="s">
        <v>836</v>
      </c>
      <c r="F277" s="265">
        <v>0.09</v>
      </c>
      <c r="G277" s="273" t="s">
        <v>835</v>
      </c>
      <c r="H277" s="272" t="s">
        <v>834</v>
      </c>
      <c r="I277" s="265">
        <v>0.01</v>
      </c>
      <c r="J277" s="271">
        <f t="shared" si="4"/>
        <v>0.5</v>
      </c>
      <c r="K277" s="270"/>
      <c r="L277" s="279" t="s">
        <v>1010</v>
      </c>
      <c r="M277" s="279" t="s">
        <v>1010</v>
      </c>
      <c r="N277" s="279" t="s">
        <v>1010</v>
      </c>
      <c r="O277" s="268" t="s">
        <v>1010</v>
      </c>
      <c r="P277" s="268">
        <v>0</v>
      </c>
      <c r="Q277" s="277" t="s">
        <v>1010</v>
      </c>
      <c r="R277" s="267">
        <v>0</v>
      </c>
      <c r="S277" s="267">
        <v>0</v>
      </c>
      <c r="T277" s="276" t="s">
        <v>1010</v>
      </c>
    </row>
    <row r="278" spans="1:20" ht="15.75" customHeight="1" x14ac:dyDescent="0.25">
      <c r="A278" s="272" t="s">
        <v>637</v>
      </c>
      <c r="B278" s="275" t="s">
        <v>636</v>
      </c>
      <c r="C278" s="265">
        <v>0.4</v>
      </c>
      <c r="D278" s="273" t="s">
        <v>771</v>
      </c>
      <c r="E278" s="274" t="s">
        <v>770</v>
      </c>
      <c r="F278" s="265">
        <v>0.1</v>
      </c>
      <c r="G278" s="273" t="s">
        <v>747</v>
      </c>
      <c r="H278" s="272" t="s">
        <v>761</v>
      </c>
      <c r="I278" s="265">
        <v>0</v>
      </c>
      <c r="J278" s="271">
        <f t="shared" si="4"/>
        <v>0.5</v>
      </c>
      <c r="K278" s="270"/>
      <c r="L278" s="279" t="s">
        <v>1010</v>
      </c>
      <c r="M278" s="279" t="s">
        <v>1010</v>
      </c>
      <c r="N278" s="279" t="s">
        <v>1010</v>
      </c>
      <c r="O278" s="268" t="s">
        <v>1010</v>
      </c>
      <c r="P278" s="268">
        <v>0</v>
      </c>
      <c r="Q278" s="277" t="s">
        <v>1010</v>
      </c>
      <c r="R278" s="267">
        <v>0</v>
      </c>
      <c r="S278" s="267">
        <v>0</v>
      </c>
      <c r="T278" s="276" t="s">
        <v>1010</v>
      </c>
    </row>
    <row r="279" spans="1:20" ht="15.75" customHeight="1" x14ac:dyDescent="0.25">
      <c r="A279" s="272" t="s">
        <v>639</v>
      </c>
      <c r="B279" s="275" t="s">
        <v>638</v>
      </c>
      <c r="C279" s="265">
        <v>0.4</v>
      </c>
      <c r="D279" s="273" t="s">
        <v>793</v>
      </c>
      <c r="E279" s="274" t="s">
        <v>792</v>
      </c>
      <c r="F279" s="265">
        <v>0.09</v>
      </c>
      <c r="G279" s="273" t="s">
        <v>791</v>
      </c>
      <c r="H279" s="272" t="s">
        <v>790</v>
      </c>
      <c r="I279" s="265">
        <v>0.01</v>
      </c>
      <c r="J279" s="271">
        <f t="shared" si="4"/>
        <v>0.5</v>
      </c>
      <c r="K279" s="270"/>
      <c r="L279" s="279" t="s">
        <v>1010</v>
      </c>
      <c r="M279" s="279" t="s">
        <v>1010</v>
      </c>
      <c r="N279" s="279" t="s">
        <v>1010</v>
      </c>
      <c r="O279" s="268" t="s">
        <v>1010</v>
      </c>
      <c r="P279" s="268">
        <v>0</v>
      </c>
      <c r="Q279" s="277" t="s">
        <v>1010</v>
      </c>
      <c r="R279" s="267">
        <v>0</v>
      </c>
      <c r="S279" s="267">
        <v>0</v>
      </c>
      <c r="T279" s="276" t="s">
        <v>1010</v>
      </c>
    </row>
    <row r="280" spans="1:20" ht="15.75" customHeight="1" x14ac:dyDescent="0.25">
      <c r="A280" s="272" t="s">
        <v>641</v>
      </c>
      <c r="B280" s="275" t="s">
        <v>640</v>
      </c>
      <c r="C280" s="265">
        <v>0.4</v>
      </c>
      <c r="D280" s="273" t="s">
        <v>799</v>
      </c>
      <c r="E280" s="274" t="s">
        <v>798</v>
      </c>
      <c r="F280" s="265">
        <v>0.09</v>
      </c>
      <c r="G280" s="273" t="s">
        <v>791</v>
      </c>
      <c r="H280" s="272" t="s">
        <v>790</v>
      </c>
      <c r="I280" s="265">
        <v>0.01</v>
      </c>
      <c r="J280" s="271">
        <f t="shared" si="4"/>
        <v>0.5</v>
      </c>
      <c r="K280" s="270"/>
      <c r="L280" s="279" t="s">
        <v>1010</v>
      </c>
      <c r="M280" s="279" t="s">
        <v>1010</v>
      </c>
      <c r="N280" s="279" t="s">
        <v>1010</v>
      </c>
      <c r="O280" s="268" t="s">
        <v>1011</v>
      </c>
      <c r="P280" s="268">
        <v>94378</v>
      </c>
      <c r="Q280" s="277" t="s">
        <v>1010</v>
      </c>
      <c r="R280" s="267">
        <v>0</v>
      </c>
      <c r="S280" s="267">
        <v>0</v>
      </c>
      <c r="T280" s="276" t="s">
        <v>1010</v>
      </c>
    </row>
    <row r="281" spans="1:20" ht="15.75" customHeight="1" x14ac:dyDescent="0.25">
      <c r="A281" s="272" t="s">
        <v>643</v>
      </c>
      <c r="B281" s="281" t="s">
        <v>833</v>
      </c>
      <c r="C281" s="265">
        <v>0.49</v>
      </c>
      <c r="D281" s="273" t="s">
        <v>747</v>
      </c>
      <c r="E281" s="274" t="s">
        <v>746</v>
      </c>
      <c r="F281" s="265">
        <v>0</v>
      </c>
      <c r="G281" s="273" t="s">
        <v>832</v>
      </c>
      <c r="H281" s="272" t="s">
        <v>831</v>
      </c>
      <c r="I281" s="265">
        <v>0.01</v>
      </c>
      <c r="J281" s="271">
        <f t="shared" si="4"/>
        <v>0.5</v>
      </c>
      <c r="K281" s="270"/>
      <c r="L281" s="279" t="s">
        <v>1010</v>
      </c>
      <c r="M281" s="279" t="s">
        <v>1010</v>
      </c>
      <c r="N281" s="279" t="s">
        <v>1010</v>
      </c>
      <c r="O281" s="268" t="s">
        <v>1010</v>
      </c>
      <c r="P281" s="268">
        <v>0</v>
      </c>
      <c r="Q281" s="277" t="s">
        <v>1011</v>
      </c>
      <c r="R281" s="267">
        <v>0</v>
      </c>
      <c r="S281" s="267">
        <v>0</v>
      </c>
      <c r="T281" s="276" t="s">
        <v>1011</v>
      </c>
    </row>
    <row r="282" spans="1:20" ht="15.75" customHeight="1" x14ac:dyDescent="0.25">
      <c r="A282" s="272" t="s">
        <v>645</v>
      </c>
      <c r="B282" s="275" t="s">
        <v>644</v>
      </c>
      <c r="C282" s="265">
        <v>0.4</v>
      </c>
      <c r="D282" s="273" t="s">
        <v>821</v>
      </c>
      <c r="E282" s="274" t="s">
        <v>820</v>
      </c>
      <c r="F282" s="265">
        <v>0.09</v>
      </c>
      <c r="G282" s="273" t="s">
        <v>819</v>
      </c>
      <c r="H282" s="272" t="s">
        <v>818</v>
      </c>
      <c r="I282" s="265">
        <v>0.01</v>
      </c>
      <c r="J282" s="271">
        <f t="shared" si="4"/>
        <v>0.5</v>
      </c>
      <c r="K282" s="270"/>
      <c r="L282" s="279" t="s">
        <v>1010</v>
      </c>
      <c r="M282" s="279" t="s">
        <v>1010</v>
      </c>
      <c r="N282" s="279" t="s">
        <v>1010</v>
      </c>
      <c r="O282" s="268" t="s">
        <v>1010</v>
      </c>
      <c r="P282" s="268">
        <v>0</v>
      </c>
      <c r="Q282" s="277" t="s">
        <v>1010</v>
      </c>
      <c r="R282" s="267">
        <v>0</v>
      </c>
      <c r="S282" s="267">
        <v>0</v>
      </c>
      <c r="T282" s="276" t="s">
        <v>1010</v>
      </c>
    </row>
    <row r="283" spans="1:20" ht="15.75" customHeight="1" x14ac:dyDescent="0.25">
      <c r="A283" s="272" t="s">
        <v>647</v>
      </c>
      <c r="B283" s="275" t="s">
        <v>646</v>
      </c>
      <c r="C283" s="265">
        <v>0.4</v>
      </c>
      <c r="D283" s="273" t="s">
        <v>778</v>
      </c>
      <c r="E283" s="274" t="s">
        <v>777</v>
      </c>
      <c r="F283" s="265">
        <v>0.09</v>
      </c>
      <c r="G283" s="273" t="s">
        <v>776</v>
      </c>
      <c r="H283" s="272" t="s">
        <v>775</v>
      </c>
      <c r="I283" s="265">
        <v>0.01</v>
      </c>
      <c r="J283" s="271">
        <f t="shared" si="4"/>
        <v>0.5</v>
      </c>
      <c r="K283" s="270"/>
      <c r="L283" s="279" t="s">
        <v>1010</v>
      </c>
      <c r="M283" s="279" t="s">
        <v>1010</v>
      </c>
      <c r="N283" s="279" t="s">
        <v>1010</v>
      </c>
      <c r="O283" s="268" t="s">
        <v>1010</v>
      </c>
      <c r="P283" s="268">
        <v>0</v>
      </c>
      <c r="Q283" s="277" t="s">
        <v>1010</v>
      </c>
      <c r="R283" s="267">
        <v>0</v>
      </c>
      <c r="S283" s="267">
        <v>0</v>
      </c>
      <c r="T283" s="276" t="s">
        <v>1010</v>
      </c>
    </row>
    <row r="284" spans="1:20" ht="15.75" customHeight="1" x14ac:dyDescent="0.25">
      <c r="A284" s="272" t="s">
        <v>649</v>
      </c>
      <c r="B284" s="275" t="s">
        <v>648</v>
      </c>
      <c r="C284" s="265">
        <v>0.4</v>
      </c>
      <c r="D284" s="273" t="s">
        <v>830</v>
      </c>
      <c r="E284" s="274" t="s">
        <v>829</v>
      </c>
      <c r="F284" s="265">
        <v>0.1</v>
      </c>
      <c r="G284" s="273" t="s">
        <v>747</v>
      </c>
      <c r="H284" s="272" t="s">
        <v>761</v>
      </c>
      <c r="I284" s="265">
        <v>0</v>
      </c>
      <c r="J284" s="271">
        <f t="shared" si="4"/>
        <v>0.5</v>
      </c>
      <c r="K284" s="270"/>
      <c r="L284" s="279" t="s">
        <v>1010</v>
      </c>
      <c r="M284" s="279" t="s">
        <v>1010</v>
      </c>
      <c r="N284" s="279" t="s">
        <v>1010</v>
      </c>
      <c r="O284" s="268" t="s">
        <v>1011</v>
      </c>
      <c r="P284" s="268">
        <v>1725823</v>
      </c>
      <c r="Q284" s="277" t="s">
        <v>1010</v>
      </c>
      <c r="R284" s="267">
        <v>0</v>
      </c>
      <c r="S284" s="267">
        <v>0</v>
      </c>
      <c r="T284" s="276" t="s">
        <v>1010</v>
      </c>
    </row>
    <row r="285" spans="1:20" ht="15.75" customHeight="1" x14ac:dyDescent="0.25">
      <c r="A285" s="272" t="s">
        <v>651</v>
      </c>
      <c r="B285" s="275" t="s">
        <v>650</v>
      </c>
      <c r="C285" s="265">
        <v>0.4</v>
      </c>
      <c r="D285" s="273" t="s">
        <v>825</v>
      </c>
      <c r="E285" s="274" t="s">
        <v>824</v>
      </c>
      <c r="F285" s="265">
        <v>0.09</v>
      </c>
      <c r="G285" s="273" t="s">
        <v>823</v>
      </c>
      <c r="H285" s="272" t="s">
        <v>822</v>
      </c>
      <c r="I285" s="265">
        <v>0.01</v>
      </c>
      <c r="J285" s="271">
        <f t="shared" si="4"/>
        <v>0.5</v>
      </c>
      <c r="K285" s="270"/>
      <c r="L285" s="279" t="s">
        <v>1010</v>
      </c>
      <c r="M285" s="279" t="s">
        <v>1010</v>
      </c>
      <c r="N285" s="279" t="s">
        <v>1010</v>
      </c>
      <c r="O285" s="268" t="s">
        <v>1010</v>
      </c>
      <c r="P285" s="268">
        <v>0</v>
      </c>
      <c r="Q285" s="277" t="s">
        <v>1010</v>
      </c>
      <c r="R285" s="267">
        <v>0</v>
      </c>
      <c r="S285" s="267">
        <v>0</v>
      </c>
      <c r="T285" s="276" t="s">
        <v>1010</v>
      </c>
    </row>
    <row r="286" spans="1:20" ht="15.75" customHeight="1" x14ac:dyDescent="0.25">
      <c r="A286" s="272" t="s">
        <v>653</v>
      </c>
      <c r="B286" s="275" t="s">
        <v>652</v>
      </c>
      <c r="C286" s="265">
        <v>0.4</v>
      </c>
      <c r="D286" s="273" t="s">
        <v>802</v>
      </c>
      <c r="E286" s="274" t="s">
        <v>801</v>
      </c>
      <c r="F286" s="265">
        <v>0.1</v>
      </c>
      <c r="G286" s="273" t="s">
        <v>747</v>
      </c>
      <c r="H286" s="272" t="s">
        <v>761</v>
      </c>
      <c r="I286" s="265">
        <v>0</v>
      </c>
      <c r="J286" s="271">
        <f t="shared" si="4"/>
        <v>0.5</v>
      </c>
      <c r="K286" s="270"/>
      <c r="L286" s="279" t="s">
        <v>1010</v>
      </c>
      <c r="M286" s="279" t="s">
        <v>1010</v>
      </c>
      <c r="N286" s="279" t="s">
        <v>1010</v>
      </c>
      <c r="O286" s="268" t="s">
        <v>1010</v>
      </c>
      <c r="P286" s="268">
        <v>0</v>
      </c>
      <c r="Q286" s="277" t="s">
        <v>1010</v>
      </c>
      <c r="R286" s="267">
        <v>0</v>
      </c>
      <c r="S286" s="267">
        <v>0</v>
      </c>
      <c r="T286" s="276" t="s">
        <v>1010</v>
      </c>
    </row>
    <row r="287" spans="1:20" ht="15.75" customHeight="1" x14ac:dyDescent="0.25">
      <c r="A287" s="272" t="s">
        <v>655</v>
      </c>
      <c r="B287" s="275" t="s">
        <v>828</v>
      </c>
      <c r="C287" s="265">
        <v>0.49</v>
      </c>
      <c r="D287" s="273" t="s">
        <v>747</v>
      </c>
      <c r="E287" s="274" t="s">
        <v>746</v>
      </c>
      <c r="F287" s="265">
        <v>0</v>
      </c>
      <c r="G287" s="273" t="s">
        <v>819</v>
      </c>
      <c r="H287" s="272" t="s">
        <v>818</v>
      </c>
      <c r="I287" s="265">
        <v>0.01</v>
      </c>
      <c r="J287" s="271">
        <f t="shared" si="4"/>
        <v>0.5</v>
      </c>
      <c r="K287" s="270"/>
      <c r="L287" s="279" t="s">
        <v>1010</v>
      </c>
      <c r="M287" s="279" t="s">
        <v>1010</v>
      </c>
      <c r="N287" s="279" t="s">
        <v>1010</v>
      </c>
      <c r="O287" s="268" t="s">
        <v>1010</v>
      </c>
      <c r="P287" s="268">
        <v>0</v>
      </c>
      <c r="Q287" s="277" t="s">
        <v>1011</v>
      </c>
      <c r="R287" s="267">
        <v>0</v>
      </c>
      <c r="S287" s="267">
        <v>0</v>
      </c>
      <c r="T287" s="276" t="s">
        <v>1011</v>
      </c>
    </row>
    <row r="288" spans="1:20" ht="15.75" customHeight="1" x14ac:dyDescent="0.25">
      <c r="A288" s="272" t="s">
        <v>657</v>
      </c>
      <c r="B288" s="275" t="s">
        <v>827</v>
      </c>
      <c r="C288" s="265">
        <v>0.4</v>
      </c>
      <c r="D288" s="273" t="s">
        <v>825</v>
      </c>
      <c r="E288" s="274" t="s">
        <v>824</v>
      </c>
      <c r="F288" s="265">
        <v>0.09</v>
      </c>
      <c r="G288" s="273" t="s">
        <v>823</v>
      </c>
      <c r="H288" s="272" t="s">
        <v>822</v>
      </c>
      <c r="I288" s="265">
        <v>0.01</v>
      </c>
      <c r="J288" s="271">
        <f t="shared" si="4"/>
        <v>0.5</v>
      </c>
      <c r="K288" s="270"/>
      <c r="L288" s="279" t="s">
        <v>1010</v>
      </c>
      <c r="M288" s="279" t="s">
        <v>1010</v>
      </c>
      <c r="N288" s="279" t="s">
        <v>1010</v>
      </c>
      <c r="O288" s="268" t="s">
        <v>1011</v>
      </c>
      <c r="P288" s="268">
        <v>612000</v>
      </c>
      <c r="Q288" s="277" t="s">
        <v>1010</v>
      </c>
      <c r="R288" s="267">
        <v>0</v>
      </c>
      <c r="S288" s="267">
        <v>0</v>
      </c>
      <c r="T288" s="276" t="s">
        <v>1010</v>
      </c>
    </row>
    <row r="289" spans="1:20" ht="15.75" customHeight="1" x14ac:dyDescent="0.25">
      <c r="A289" s="272" t="s">
        <v>659</v>
      </c>
      <c r="B289" s="275" t="s">
        <v>826</v>
      </c>
      <c r="C289" s="265">
        <v>0.49</v>
      </c>
      <c r="D289" s="273" t="s">
        <v>747</v>
      </c>
      <c r="E289" s="274" t="s">
        <v>746</v>
      </c>
      <c r="F289" s="265">
        <v>0</v>
      </c>
      <c r="G289" s="273" t="s">
        <v>791</v>
      </c>
      <c r="H289" s="272" t="s">
        <v>790</v>
      </c>
      <c r="I289" s="265">
        <v>0.01</v>
      </c>
      <c r="J289" s="271">
        <f t="shared" si="4"/>
        <v>0.5</v>
      </c>
      <c r="K289" s="270"/>
      <c r="L289" s="279" t="s">
        <v>1010</v>
      </c>
      <c r="M289" s="279" t="s">
        <v>1010</v>
      </c>
      <c r="N289" s="279" t="s">
        <v>1010</v>
      </c>
      <c r="O289" s="268" t="s">
        <v>1010</v>
      </c>
      <c r="P289" s="268">
        <v>0</v>
      </c>
      <c r="Q289" s="277" t="s">
        <v>1011</v>
      </c>
      <c r="R289" s="267">
        <v>0</v>
      </c>
      <c r="S289" s="267">
        <v>0</v>
      </c>
      <c r="T289" s="276" t="s">
        <v>1011</v>
      </c>
    </row>
    <row r="290" spans="1:20" ht="15.75" customHeight="1" x14ac:dyDescent="0.25">
      <c r="A290" s="272" t="s">
        <v>661</v>
      </c>
      <c r="B290" s="275" t="s">
        <v>660</v>
      </c>
      <c r="C290" s="265">
        <v>0.4</v>
      </c>
      <c r="D290" s="273" t="s">
        <v>799</v>
      </c>
      <c r="E290" s="274" t="s">
        <v>798</v>
      </c>
      <c r="F290" s="265">
        <v>0.09</v>
      </c>
      <c r="G290" s="273" t="s">
        <v>791</v>
      </c>
      <c r="H290" s="272" t="s">
        <v>790</v>
      </c>
      <c r="I290" s="265">
        <v>0.01</v>
      </c>
      <c r="J290" s="271">
        <f t="shared" si="4"/>
        <v>0.5</v>
      </c>
      <c r="K290" s="270"/>
      <c r="L290" s="279" t="s">
        <v>1010</v>
      </c>
      <c r="M290" s="279" t="s">
        <v>1010</v>
      </c>
      <c r="N290" s="279" t="s">
        <v>1010</v>
      </c>
      <c r="O290" s="268" t="s">
        <v>1010</v>
      </c>
      <c r="P290" s="268">
        <v>0</v>
      </c>
      <c r="Q290" s="277" t="s">
        <v>1010</v>
      </c>
      <c r="R290" s="267">
        <v>0</v>
      </c>
      <c r="S290" s="267">
        <v>0</v>
      </c>
      <c r="T290" s="276" t="s">
        <v>1010</v>
      </c>
    </row>
    <row r="291" spans="1:20" ht="15.75" customHeight="1" x14ac:dyDescent="0.25">
      <c r="A291" s="272" t="s">
        <v>663</v>
      </c>
      <c r="B291" s="275" t="s">
        <v>662</v>
      </c>
      <c r="C291" s="265">
        <v>0.3</v>
      </c>
      <c r="D291" s="273" t="s">
        <v>789</v>
      </c>
      <c r="E291" s="274" t="s">
        <v>788</v>
      </c>
      <c r="F291" s="265">
        <v>0.2</v>
      </c>
      <c r="G291" s="273" t="s">
        <v>747</v>
      </c>
      <c r="H291" s="274" t="s">
        <v>747</v>
      </c>
      <c r="I291" s="265">
        <v>0</v>
      </c>
      <c r="J291" s="271">
        <f t="shared" si="4"/>
        <v>0.5</v>
      </c>
      <c r="K291" s="270"/>
      <c r="L291" s="279" t="s">
        <v>1010</v>
      </c>
      <c r="M291" s="279" t="s">
        <v>1010</v>
      </c>
      <c r="N291" s="279" t="s">
        <v>1010</v>
      </c>
      <c r="O291" s="268" t="s">
        <v>1010</v>
      </c>
      <c r="P291" s="268">
        <v>0</v>
      </c>
      <c r="Q291" s="277" t="s">
        <v>1011</v>
      </c>
      <c r="R291" s="267">
        <v>0</v>
      </c>
      <c r="S291" s="267">
        <v>0</v>
      </c>
      <c r="T291" s="276" t="s">
        <v>1011</v>
      </c>
    </row>
    <row r="292" spans="1:20" ht="15.75" customHeight="1" x14ac:dyDescent="0.25">
      <c r="A292" s="272" t="s">
        <v>665</v>
      </c>
      <c r="B292" s="275" t="s">
        <v>664</v>
      </c>
      <c r="C292" s="265">
        <v>0.49</v>
      </c>
      <c r="D292" s="273" t="s">
        <v>747</v>
      </c>
      <c r="E292" s="274" t="s">
        <v>766</v>
      </c>
      <c r="F292" s="265">
        <v>0</v>
      </c>
      <c r="G292" s="273" t="s">
        <v>782</v>
      </c>
      <c r="H292" s="272" t="s">
        <v>781</v>
      </c>
      <c r="I292" s="265">
        <v>0.01</v>
      </c>
      <c r="J292" s="271">
        <f t="shared" si="4"/>
        <v>0.5</v>
      </c>
      <c r="K292" s="270"/>
      <c r="L292" s="279" t="s">
        <v>1010</v>
      </c>
      <c r="M292" s="279" t="s">
        <v>1010</v>
      </c>
      <c r="N292" s="279" t="s">
        <v>1010</v>
      </c>
      <c r="O292" s="268" t="s">
        <v>1010</v>
      </c>
      <c r="P292" s="268">
        <v>0</v>
      </c>
      <c r="Q292" s="277" t="s">
        <v>1011</v>
      </c>
      <c r="R292" s="267">
        <v>0</v>
      </c>
      <c r="S292" s="267">
        <v>0</v>
      </c>
      <c r="T292" s="276" t="s">
        <v>1011</v>
      </c>
    </row>
    <row r="293" spans="1:20" ht="15.75" customHeight="1" x14ac:dyDescent="0.25">
      <c r="A293" s="272" t="s">
        <v>667</v>
      </c>
      <c r="B293" s="275" t="s">
        <v>666</v>
      </c>
      <c r="C293" s="265">
        <v>0.4</v>
      </c>
      <c r="D293" s="273" t="s">
        <v>825</v>
      </c>
      <c r="E293" s="274" t="s">
        <v>824</v>
      </c>
      <c r="F293" s="265">
        <v>0.09</v>
      </c>
      <c r="G293" s="273" t="s">
        <v>823</v>
      </c>
      <c r="H293" s="272" t="s">
        <v>822</v>
      </c>
      <c r="I293" s="265">
        <v>0.01</v>
      </c>
      <c r="J293" s="271">
        <f t="shared" si="4"/>
        <v>0.5</v>
      </c>
      <c r="K293" s="270"/>
      <c r="L293" s="279" t="s">
        <v>1010</v>
      </c>
      <c r="M293" s="279" t="s">
        <v>1010</v>
      </c>
      <c r="N293" s="279" t="s">
        <v>1010</v>
      </c>
      <c r="O293" s="268" t="s">
        <v>1010</v>
      </c>
      <c r="P293" s="268">
        <v>0</v>
      </c>
      <c r="Q293" s="277" t="s">
        <v>1010</v>
      </c>
      <c r="R293" s="267">
        <v>0</v>
      </c>
      <c r="S293" s="267">
        <v>0</v>
      </c>
      <c r="T293" s="276" t="s">
        <v>1010</v>
      </c>
    </row>
    <row r="294" spans="1:20" ht="15.75" customHeight="1" x14ac:dyDescent="0.25">
      <c r="A294" s="272" t="s">
        <v>669</v>
      </c>
      <c r="B294" s="275" t="s">
        <v>668</v>
      </c>
      <c r="C294" s="265">
        <v>0.4</v>
      </c>
      <c r="D294" s="273" t="s">
        <v>821</v>
      </c>
      <c r="E294" s="274" t="s">
        <v>820</v>
      </c>
      <c r="F294" s="265">
        <v>0.09</v>
      </c>
      <c r="G294" s="273" t="s">
        <v>819</v>
      </c>
      <c r="H294" s="272" t="s">
        <v>818</v>
      </c>
      <c r="I294" s="265">
        <v>0.01</v>
      </c>
      <c r="J294" s="271">
        <f t="shared" si="4"/>
        <v>0.5</v>
      </c>
      <c r="K294" s="270"/>
      <c r="L294" s="279" t="s">
        <v>1010</v>
      </c>
      <c r="M294" s="279" t="s">
        <v>1010</v>
      </c>
      <c r="N294" s="279" t="s">
        <v>1010</v>
      </c>
      <c r="O294" s="268" t="s">
        <v>1010</v>
      </c>
      <c r="P294" s="268">
        <v>0</v>
      </c>
      <c r="Q294" s="277" t="s">
        <v>1010</v>
      </c>
      <c r="R294" s="267">
        <v>0</v>
      </c>
      <c r="S294" s="267">
        <v>0</v>
      </c>
      <c r="T294" s="276" t="s">
        <v>1010</v>
      </c>
    </row>
    <row r="295" spans="1:20" x14ac:dyDescent="0.25">
      <c r="A295" s="272" t="s">
        <v>671</v>
      </c>
      <c r="B295" s="275" t="s">
        <v>670</v>
      </c>
      <c r="C295" s="265">
        <v>0.4</v>
      </c>
      <c r="D295" s="273" t="s">
        <v>795</v>
      </c>
      <c r="E295" s="274" t="s">
        <v>794</v>
      </c>
      <c r="F295" s="265">
        <v>0.1</v>
      </c>
      <c r="G295" s="273" t="s">
        <v>747</v>
      </c>
      <c r="H295" s="272" t="s">
        <v>761</v>
      </c>
      <c r="I295" s="265">
        <v>0</v>
      </c>
      <c r="J295" s="271">
        <f t="shared" si="4"/>
        <v>0.5</v>
      </c>
      <c r="K295" s="270"/>
      <c r="L295" s="279" t="s">
        <v>1011</v>
      </c>
      <c r="M295" s="279" t="s">
        <v>1044</v>
      </c>
      <c r="N295" s="279" t="s">
        <v>1010</v>
      </c>
      <c r="O295" s="268" t="s">
        <v>1010</v>
      </c>
      <c r="P295" s="268">
        <v>0</v>
      </c>
      <c r="Q295" s="277" t="s">
        <v>1010</v>
      </c>
      <c r="R295" s="267">
        <v>1208592</v>
      </c>
      <c r="S295" s="267">
        <v>0</v>
      </c>
      <c r="T295" s="276" t="s">
        <v>1010</v>
      </c>
    </row>
    <row r="296" spans="1:20" ht="15.75" customHeight="1" x14ac:dyDescent="0.25">
      <c r="A296" s="272" t="s">
        <v>673</v>
      </c>
      <c r="B296" s="275" t="s">
        <v>672</v>
      </c>
      <c r="C296" s="265">
        <v>0.49</v>
      </c>
      <c r="D296" s="273" t="s">
        <v>747</v>
      </c>
      <c r="E296" s="274" t="s">
        <v>766</v>
      </c>
      <c r="F296" s="265">
        <v>0</v>
      </c>
      <c r="G296" s="273" t="s">
        <v>817</v>
      </c>
      <c r="H296" s="272" t="s">
        <v>816</v>
      </c>
      <c r="I296" s="265">
        <v>0.01</v>
      </c>
      <c r="J296" s="271">
        <f t="shared" si="4"/>
        <v>0.5</v>
      </c>
      <c r="L296" s="279" t="s">
        <v>1010</v>
      </c>
      <c r="M296" s="279" t="s">
        <v>1010</v>
      </c>
      <c r="N296" s="279" t="s">
        <v>1010</v>
      </c>
      <c r="O296" s="268" t="s">
        <v>1010</v>
      </c>
      <c r="P296" s="268">
        <v>0</v>
      </c>
      <c r="Q296" s="277" t="s">
        <v>1011</v>
      </c>
      <c r="R296" s="267">
        <v>0</v>
      </c>
      <c r="S296" s="267">
        <v>0</v>
      </c>
      <c r="T296" s="276" t="s">
        <v>1011</v>
      </c>
    </row>
    <row r="297" spans="1:20" x14ac:dyDescent="0.25">
      <c r="A297" s="272" t="s">
        <v>675</v>
      </c>
      <c r="B297" s="275" t="s">
        <v>674</v>
      </c>
      <c r="C297" s="265">
        <v>0.49</v>
      </c>
      <c r="D297" s="273" t="s">
        <v>747</v>
      </c>
      <c r="E297" s="274" t="s">
        <v>766</v>
      </c>
      <c r="F297" s="265">
        <v>0</v>
      </c>
      <c r="G297" s="273" t="s">
        <v>765</v>
      </c>
      <c r="H297" s="272" t="s">
        <v>764</v>
      </c>
      <c r="I297" s="265">
        <v>0.01</v>
      </c>
      <c r="J297" s="271">
        <f t="shared" si="4"/>
        <v>0.5</v>
      </c>
      <c r="K297" s="270"/>
      <c r="L297" s="279" t="s">
        <v>1011</v>
      </c>
      <c r="M297" s="279" t="s">
        <v>1042</v>
      </c>
      <c r="N297" s="279" t="s">
        <v>1010</v>
      </c>
      <c r="O297" s="268" t="s">
        <v>1011</v>
      </c>
      <c r="P297" s="268">
        <v>1652273</v>
      </c>
      <c r="Q297" s="277" t="s">
        <v>1011</v>
      </c>
      <c r="R297" s="267">
        <v>175838</v>
      </c>
      <c r="S297" s="267">
        <v>0</v>
      </c>
      <c r="T297" s="276" t="s">
        <v>1011</v>
      </c>
    </row>
    <row r="298" spans="1:20" ht="15.75" customHeight="1" x14ac:dyDescent="0.25">
      <c r="A298" s="272" t="s">
        <v>677</v>
      </c>
      <c r="B298" s="275" t="s">
        <v>676</v>
      </c>
      <c r="C298" s="265">
        <v>0.3</v>
      </c>
      <c r="D298" s="273" t="s">
        <v>789</v>
      </c>
      <c r="E298" s="274" t="s">
        <v>788</v>
      </c>
      <c r="F298" s="265">
        <v>0.2</v>
      </c>
      <c r="G298" s="273" t="s">
        <v>747</v>
      </c>
      <c r="H298" s="274" t="s">
        <v>747</v>
      </c>
      <c r="I298" s="265">
        <v>0</v>
      </c>
      <c r="J298" s="271">
        <f t="shared" si="4"/>
        <v>0.5</v>
      </c>
      <c r="K298" s="270"/>
      <c r="L298" s="279" t="s">
        <v>1010</v>
      </c>
      <c r="M298" s="279" t="s">
        <v>1010</v>
      </c>
      <c r="N298" s="279" t="s">
        <v>1010</v>
      </c>
      <c r="O298" s="268" t="s">
        <v>1010</v>
      </c>
      <c r="P298" s="268">
        <v>0</v>
      </c>
      <c r="Q298" s="277" t="s">
        <v>1010</v>
      </c>
      <c r="R298" s="267">
        <v>0</v>
      </c>
      <c r="S298" s="267">
        <v>0</v>
      </c>
      <c r="T298" s="276" t="s">
        <v>1011</v>
      </c>
    </row>
    <row r="299" spans="1:20" ht="15.75" customHeight="1" x14ac:dyDescent="0.25">
      <c r="A299" s="272" t="s">
        <v>679</v>
      </c>
      <c r="B299" s="275" t="s">
        <v>678</v>
      </c>
      <c r="C299" s="265">
        <v>0.3</v>
      </c>
      <c r="D299" s="273" t="s">
        <v>789</v>
      </c>
      <c r="E299" s="274" t="s">
        <v>788</v>
      </c>
      <c r="F299" s="265">
        <v>0.2</v>
      </c>
      <c r="G299" s="273" t="s">
        <v>747</v>
      </c>
      <c r="H299" s="274" t="s">
        <v>747</v>
      </c>
      <c r="I299" s="265">
        <v>0</v>
      </c>
      <c r="J299" s="271">
        <f t="shared" si="4"/>
        <v>0.5</v>
      </c>
      <c r="K299" s="270"/>
      <c r="L299" s="279" t="s">
        <v>1010</v>
      </c>
      <c r="M299" s="279" t="s">
        <v>1010</v>
      </c>
      <c r="N299" s="279" t="s">
        <v>1010</v>
      </c>
      <c r="O299" s="268" t="s">
        <v>1011</v>
      </c>
      <c r="P299" s="268">
        <v>2507139</v>
      </c>
      <c r="Q299" s="277" t="s">
        <v>1011</v>
      </c>
      <c r="R299" s="267">
        <v>0</v>
      </c>
      <c r="S299" s="267">
        <v>0</v>
      </c>
      <c r="T299" s="276" t="s">
        <v>1011</v>
      </c>
    </row>
    <row r="300" spans="1:20" ht="15.75" customHeight="1" x14ac:dyDescent="0.25">
      <c r="A300" s="272" t="s">
        <v>681</v>
      </c>
      <c r="B300" s="275" t="s">
        <v>815</v>
      </c>
      <c r="C300" s="265">
        <v>0.49</v>
      </c>
      <c r="D300" s="273" t="s">
        <v>747</v>
      </c>
      <c r="E300" s="274" t="s">
        <v>746</v>
      </c>
      <c r="F300" s="265">
        <v>0</v>
      </c>
      <c r="G300" s="273" t="s">
        <v>814</v>
      </c>
      <c r="H300" s="272" t="s">
        <v>813</v>
      </c>
      <c r="I300" s="265">
        <v>0.01</v>
      </c>
      <c r="J300" s="271">
        <f t="shared" si="4"/>
        <v>0.5</v>
      </c>
      <c r="K300" s="270"/>
      <c r="L300" s="279" t="s">
        <v>1010</v>
      </c>
      <c r="M300" s="279" t="s">
        <v>1010</v>
      </c>
      <c r="N300" s="279" t="s">
        <v>1010</v>
      </c>
      <c r="O300" s="268" t="s">
        <v>1011</v>
      </c>
      <c r="P300" s="268">
        <v>1526757</v>
      </c>
      <c r="Q300" s="277" t="s">
        <v>1011</v>
      </c>
      <c r="R300" s="267">
        <v>0</v>
      </c>
      <c r="S300" s="267">
        <v>0</v>
      </c>
      <c r="T300" s="276" t="s">
        <v>1011</v>
      </c>
    </row>
    <row r="301" spans="1:20" ht="15.75" customHeight="1" x14ac:dyDescent="0.25">
      <c r="A301" s="272" t="s">
        <v>683</v>
      </c>
      <c r="B301" s="275" t="s">
        <v>682</v>
      </c>
      <c r="C301" s="265">
        <v>0.4</v>
      </c>
      <c r="D301" s="273" t="s">
        <v>812</v>
      </c>
      <c r="E301" s="274" t="s">
        <v>811</v>
      </c>
      <c r="F301" s="265">
        <v>0.1</v>
      </c>
      <c r="G301" s="273" t="s">
        <v>747</v>
      </c>
      <c r="H301" s="272" t="s">
        <v>761</v>
      </c>
      <c r="I301" s="265">
        <v>0</v>
      </c>
      <c r="J301" s="271">
        <f t="shared" si="4"/>
        <v>0.5</v>
      </c>
      <c r="K301" s="270"/>
      <c r="L301" s="279" t="s">
        <v>1010</v>
      </c>
      <c r="M301" s="279" t="s">
        <v>1010</v>
      </c>
      <c r="N301" s="279" t="s">
        <v>1010</v>
      </c>
      <c r="O301" s="268" t="s">
        <v>1010</v>
      </c>
      <c r="P301" s="268">
        <v>0</v>
      </c>
      <c r="Q301" s="277" t="s">
        <v>1010</v>
      </c>
      <c r="R301" s="267">
        <v>0</v>
      </c>
      <c r="S301" s="267">
        <v>0</v>
      </c>
      <c r="T301" s="276" t="s">
        <v>1010</v>
      </c>
    </row>
    <row r="302" spans="1:20" ht="15.75" customHeight="1" x14ac:dyDescent="0.25">
      <c r="A302" s="272" t="s">
        <v>685</v>
      </c>
      <c r="B302" s="275" t="s">
        <v>684</v>
      </c>
      <c r="C302" s="265">
        <v>0.4</v>
      </c>
      <c r="D302" s="273" t="s">
        <v>802</v>
      </c>
      <c r="E302" s="274" t="s">
        <v>801</v>
      </c>
      <c r="F302" s="265">
        <v>0.1</v>
      </c>
      <c r="G302" s="273" t="s">
        <v>747</v>
      </c>
      <c r="H302" s="272" t="s">
        <v>761</v>
      </c>
      <c r="I302" s="265">
        <v>0</v>
      </c>
      <c r="J302" s="271">
        <f t="shared" si="4"/>
        <v>0.5</v>
      </c>
      <c r="K302" s="270"/>
      <c r="L302" s="279" t="s">
        <v>1010</v>
      </c>
      <c r="M302" s="279" t="s">
        <v>1010</v>
      </c>
      <c r="N302" s="279" t="s">
        <v>1010</v>
      </c>
      <c r="O302" s="268" t="s">
        <v>1010</v>
      </c>
      <c r="P302" s="268">
        <v>0</v>
      </c>
      <c r="Q302" s="277" t="s">
        <v>1010</v>
      </c>
      <c r="R302" s="267">
        <v>0</v>
      </c>
      <c r="S302" s="267">
        <v>0</v>
      </c>
      <c r="T302" s="276" t="s">
        <v>1010</v>
      </c>
    </row>
    <row r="303" spans="1:20" x14ac:dyDescent="0.25">
      <c r="A303" s="272" t="s">
        <v>687</v>
      </c>
      <c r="B303" s="275" t="s">
        <v>686</v>
      </c>
      <c r="C303" s="265">
        <v>0.4</v>
      </c>
      <c r="D303" s="273" t="s">
        <v>810</v>
      </c>
      <c r="E303" s="274" t="s">
        <v>809</v>
      </c>
      <c r="F303" s="265">
        <v>0.1</v>
      </c>
      <c r="G303" s="273" t="s">
        <v>747</v>
      </c>
      <c r="H303" s="272" t="s">
        <v>761</v>
      </c>
      <c r="I303" s="265">
        <v>0</v>
      </c>
      <c r="J303" s="271">
        <f t="shared" si="4"/>
        <v>0.5</v>
      </c>
      <c r="K303" s="270"/>
      <c r="L303" s="279" t="s">
        <v>1011</v>
      </c>
      <c r="M303" s="279" t="s">
        <v>1025</v>
      </c>
      <c r="N303" s="279" t="s">
        <v>1010</v>
      </c>
      <c r="O303" s="268" t="s">
        <v>1010</v>
      </c>
      <c r="P303" s="268">
        <v>0</v>
      </c>
      <c r="Q303" s="277" t="s">
        <v>1010</v>
      </c>
      <c r="R303" s="267">
        <v>0</v>
      </c>
      <c r="S303" s="267">
        <v>0</v>
      </c>
      <c r="T303" s="276" t="s">
        <v>1010</v>
      </c>
    </row>
    <row r="304" spans="1:20" ht="15.75" customHeight="1" x14ac:dyDescent="0.25">
      <c r="A304" s="272" t="s">
        <v>689</v>
      </c>
      <c r="B304" s="275" t="s">
        <v>688</v>
      </c>
      <c r="C304" s="265">
        <v>0.4</v>
      </c>
      <c r="D304" s="273" t="s">
        <v>771</v>
      </c>
      <c r="E304" s="274" t="s">
        <v>770</v>
      </c>
      <c r="F304" s="265">
        <v>0.1</v>
      </c>
      <c r="G304" s="273" t="s">
        <v>747</v>
      </c>
      <c r="H304" s="272" t="s">
        <v>761</v>
      </c>
      <c r="I304" s="265">
        <v>0</v>
      </c>
      <c r="J304" s="271">
        <f t="shared" si="4"/>
        <v>0.5</v>
      </c>
      <c r="K304" s="270"/>
      <c r="L304" s="279" t="s">
        <v>1010</v>
      </c>
      <c r="M304" s="279" t="s">
        <v>1010</v>
      </c>
      <c r="N304" s="279" t="s">
        <v>1010</v>
      </c>
      <c r="O304" s="268" t="s">
        <v>1010</v>
      </c>
      <c r="P304" s="268">
        <v>0</v>
      </c>
      <c r="Q304" s="277" t="s">
        <v>1010</v>
      </c>
      <c r="R304" s="267">
        <v>0</v>
      </c>
      <c r="S304" s="267">
        <v>0</v>
      </c>
      <c r="T304" s="276" t="s">
        <v>1010</v>
      </c>
    </row>
    <row r="305" spans="1:20" ht="15.75" customHeight="1" x14ac:dyDescent="0.25">
      <c r="A305" s="272" t="s">
        <v>691</v>
      </c>
      <c r="B305" s="275" t="s">
        <v>690</v>
      </c>
      <c r="C305" s="265">
        <v>0.4</v>
      </c>
      <c r="D305" s="273" t="s">
        <v>808</v>
      </c>
      <c r="E305" s="274" t="s">
        <v>807</v>
      </c>
      <c r="F305" s="265">
        <v>0.09</v>
      </c>
      <c r="G305" s="273" t="s">
        <v>806</v>
      </c>
      <c r="H305" s="272" t="s">
        <v>805</v>
      </c>
      <c r="I305" s="265">
        <v>0.01</v>
      </c>
      <c r="J305" s="271">
        <f t="shared" si="4"/>
        <v>0.5</v>
      </c>
      <c r="K305" s="270"/>
      <c r="L305" s="279" t="s">
        <v>1010</v>
      </c>
      <c r="M305" s="279" t="s">
        <v>1010</v>
      </c>
      <c r="N305" s="279" t="s">
        <v>1010</v>
      </c>
      <c r="O305" s="268" t="s">
        <v>1010</v>
      </c>
      <c r="P305" s="268">
        <v>0</v>
      </c>
      <c r="Q305" s="277" t="s">
        <v>1010</v>
      </c>
      <c r="R305" s="267">
        <v>0</v>
      </c>
      <c r="S305" s="267">
        <v>0</v>
      </c>
      <c r="T305" s="276" t="s">
        <v>1010</v>
      </c>
    </row>
    <row r="306" spans="1:20" ht="15.75" customHeight="1" x14ac:dyDescent="0.25">
      <c r="A306" s="272" t="s">
        <v>693</v>
      </c>
      <c r="B306" s="275" t="s">
        <v>692</v>
      </c>
      <c r="C306" s="265">
        <v>0.4</v>
      </c>
      <c r="D306" s="273" t="s">
        <v>804</v>
      </c>
      <c r="E306" s="274" t="s">
        <v>803</v>
      </c>
      <c r="F306" s="265">
        <v>0.1</v>
      </c>
      <c r="G306" s="273" t="s">
        <v>747</v>
      </c>
      <c r="H306" s="272" t="s">
        <v>761</v>
      </c>
      <c r="I306" s="265">
        <v>0</v>
      </c>
      <c r="J306" s="271">
        <f t="shared" si="4"/>
        <v>0.5</v>
      </c>
      <c r="K306" s="270"/>
      <c r="L306" s="279" t="s">
        <v>1010</v>
      </c>
      <c r="M306" s="279" t="s">
        <v>1010</v>
      </c>
      <c r="N306" s="279" t="s">
        <v>1010</v>
      </c>
      <c r="O306" s="268" t="s">
        <v>1010</v>
      </c>
      <c r="P306" s="268">
        <v>0</v>
      </c>
      <c r="Q306" s="277" t="s">
        <v>1010</v>
      </c>
      <c r="R306" s="267">
        <v>0</v>
      </c>
      <c r="S306" s="267">
        <v>0</v>
      </c>
      <c r="T306" s="276" t="s">
        <v>1010</v>
      </c>
    </row>
    <row r="307" spans="1:20" ht="15.75" customHeight="1" x14ac:dyDescent="0.25">
      <c r="A307" s="272" t="s">
        <v>695</v>
      </c>
      <c r="B307" s="275" t="s">
        <v>694</v>
      </c>
      <c r="C307" s="265">
        <v>0.4</v>
      </c>
      <c r="D307" s="273" t="s">
        <v>802</v>
      </c>
      <c r="E307" s="274" t="s">
        <v>801</v>
      </c>
      <c r="F307" s="265">
        <v>0.1</v>
      </c>
      <c r="G307" s="273" t="s">
        <v>747</v>
      </c>
      <c r="H307" s="272" t="s">
        <v>761</v>
      </c>
      <c r="I307" s="265">
        <v>0</v>
      </c>
      <c r="J307" s="271">
        <f t="shared" si="4"/>
        <v>0.5</v>
      </c>
      <c r="K307" s="270"/>
      <c r="L307" s="279" t="s">
        <v>1010</v>
      </c>
      <c r="M307" s="279" t="s">
        <v>1010</v>
      </c>
      <c r="N307" s="279" t="s">
        <v>1010</v>
      </c>
      <c r="O307" s="268" t="s">
        <v>1010</v>
      </c>
      <c r="P307" s="268">
        <v>0</v>
      </c>
      <c r="Q307" s="277" t="s">
        <v>1010</v>
      </c>
      <c r="R307" s="267">
        <v>0</v>
      </c>
      <c r="S307" s="267">
        <v>0</v>
      </c>
      <c r="T307" s="276" t="s">
        <v>1010</v>
      </c>
    </row>
    <row r="308" spans="1:20" ht="15.75" customHeight="1" x14ac:dyDescent="0.25">
      <c r="A308" s="272" t="s">
        <v>697</v>
      </c>
      <c r="B308" s="275" t="s">
        <v>800</v>
      </c>
      <c r="C308" s="265">
        <v>0.49</v>
      </c>
      <c r="D308" s="273" t="s">
        <v>747</v>
      </c>
      <c r="E308" s="274" t="s">
        <v>746</v>
      </c>
      <c r="F308" s="265">
        <v>0</v>
      </c>
      <c r="G308" s="273" t="s">
        <v>768</v>
      </c>
      <c r="H308" s="272" t="s">
        <v>767</v>
      </c>
      <c r="I308" s="265">
        <v>0.01</v>
      </c>
      <c r="J308" s="271">
        <f t="shared" si="4"/>
        <v>0.5</v>
      </c>
      <c r="K308" s="270"/>
      <c r="L308" s="279" t="s">
        <v>1010</v>
      </c>
      <c r="M308" s="279" t="s">
        <v>1010</v>
      </c>
      <c r="N308" s="279" t="s">
        <v>1010</v>
      </c>
      <c r="O308" s="268" t="s">
        <v>1010</v>
      </c>
      <c r="P308" s="268">
        <v>0</v>
      </c>
      <c r="Q308" s="277" t="s">
        <v>1011</v>
      </c>
      <c r="R308" s="267">
        <v>0</v>
      </c>
      <c r="S308" s="267">
        <v>0</v>
      </c>
      <c r="T308" s="276" t="s">
        <v>1011</v>
      </c>
    </row>
    <row r="309" spans="1:20" ht="15.75" customHeight="1" x14ac:dyDescent="0.25">
      <c r="A309" s="272" t="s">
        <v>699</v>
      </c>
      <c r="B309" s="275" t="s">
        <v>698</v>
      </c>
      <c r="C309" s="265">
        <v>0.4</v>
      </c>
      <c r="D309" s="273" t="s">
        <v>799</v>
      </c>
      <c r="E309" s="274" t="s">
        <v>798</v>
      </c>
      <c r="F309" s="265">
        <v>0.09</v>
      </c>
      <c r="G309" s="273" t="s">
        <v>791</v>
      </c>
      <c r="H309" s="272" t="s">
        <v>790</v>
      </c>
      <c r="I309" s="265">
        <v>0.01</v>
      </c>
      <c r="J309" s="271">
        <f t="shared" si="4"/>
        <v>0.5</v>
      </c>
      <c r="K309" s="270"/>
      <c r="L309" s="279" t="s">
        <v>1010</v>
      </c>
      <c r="M309" s="279" t="s">
        <v>1010</v>
      </c>
      <c r="N309" s="279" t="s">
        <v>1010</v>
      </c>
      <c r="O309" s="268" t="s">
        <v>1010</v>
      </c>
      <c r="P309" s="268">
        <v>0</v>
      </c>
      <c r="Q309" s="277" t="s">
        <v>1010</v>
      </c>
      <c r="R309" s="267">
        <v>0</v>
      </c>
      <c r="S309" s="267">
        <v>0</v>
      </c>
      <c r="T309" s="276" t="s">
        <v>1010</v>
      </c>
    </row>
    <row r="310" spans="1:20" ht="15.75" customHeight="1" x14ac:dyDescent="0.25">
      <c r="A310" s="272" t="s">
        <v>701</v>
      </c>
      <c r="B310" s="275" t="s">
        <v>700</v>
      </c>
      <c r="C310" s="265">
        <v>0.4</v>
      </c>
      <c r="D310" s="273" t="s">
        <v>786</v>
      </c>
      <c r="E310" s="274" t="s">
        <v>785</v>
      </c>
      <c r="F310" s="265">
        <v>0.09</v>
      </c>
      <c r="G310" s="273" t="s">
        <v>784</v>
      </c>
      <c r="H310" s="272" t="s">
        <v>783</v>
      </c>
      <c r="I310" s="265">
        <v>0.01</v>
      </c>
      <c r="J310" s="271">
        <f t="shared" si="4"/>
        <v>0.5</v>
      </c>
      <c r="K310" s="270"/>
      <c r="L310" s="279" t="s">
        <v>1010</v>
      </c>
      <c r="M310" s="279" t="s">
        <v>1010</v>
      </c>
      <c r="N310" s="279" t="s">
        <v>1010</v>
      </c>
      <c r="O310" s="268" t="s">
        <v>1010</v>
      </c>
      <c r="P310" s="268">
        <v>0</v>
      </c>
      <c r="Q310" s="277" t="s">
        <v>1010</v>
      </c>
      <c r="R310" s="267">
        <v>0</v>
      </c>
      <c r="S310" s="267">
        <v>0</v>
      </c>
      <c r="T310" s="276" t="s">
        <v>1010</v>
      </c>
    </row>
    <row r="311" spans="1:20" ht="15.75" customHeight="1" x14ac:dyDescent="0.25">
      <c r="A311" s="272" t="s">
        <v>703</v>
      </c>
      <c r="B311" s="275" t="s">
        <v>702</v>
      </c>
      <c r="C311" s="265">
        <v>0.4</v>
      </c>
      <c r="D311" s="273" t="s">
        <v>756</v>
      </c>
      <c r="E311" s="274" t="s">
        <v>755</v>
      </c>
      <c r="F311" s="265">
        <v>0.09</v>
      </c>
      <c r="G311" s="273" t="s">
        <v>754</v>
      </c>
      <c r="H311" s="272" t="s">
        <v>753</v>
      </c>
      <c r="I311" s="265">
        <v>0.01</v>
      </c>
      <c r="J311" s="271">
        <f t="shared" si="4"/>
        <v>0.5</v>
      </c>
      <c r="K311" s="270"/>
      <c r="L311" s="279" t="s">
        <v>1010</v>
      </c>
      <c r="M311" s="279" t="s">
        <v>1010</v>
      </c>
      <c r="N311" s="279" t="s">
        <v>1010</v>
      </c>
      <c r="O311" s="268" t="s">
        <v>1010</v>
      </c>
      <c r="P311" s="268">
        <v>0</v>
      </c>
      <c r="Q311" s="277" t="s">
        <v>1010</v>
      </c>
      <c r="R311" s="267">
        <v>0</v>
      </c>
      <c r="S311" s="267">
        <v>0</v>
      </c>
      <c r="T311" s="276" t="s">
        <v>1010</v>
      </c>
    </row>
    <row r="312" spans="1:20" ht="15.75" customHeight="1" x14ac:dyDescent="0.25">
      <c r="A312" s="272" t="s">
        <v>705</v>
      </c>
      <c r="B312" s="275" t="s">
        <v>704</v>
      </c>
      <c r="C312" s="265">
        <v>0.4</v>
      </c>
      <c r="D312" s="273" t="s">
        <v>797</v>
      </c>
      <c r="E312" s="274" t="s">
        <v>796</v>
      </c>
      <c r="F312" s="265">
        <v>0.1</v>
      </c>
      <c r="G312" s="273" t="s">
        <v>747</v>
      </c>
      <c r="H312" s="272" t="s">
        <v>761</v>
      </c>
      <c r="I312" s="265">
        <v>0</v>
      </c>
      <c r="J312" s="271">
        <f t="shared" si="4"/>
        <v>0.5</v>
      </c>
      <c r="K312" s="270"/>
      <c r="L312" s="279" t="s">
        <v>1010</v>
      </c>
      <c r="M312" s="279" t="s">
        <v>1010</v>
      </c>
      <c r="N312" s="279" t="s">
        <v>1010</v>
      </c>
      <c r="O312" s="268" t="s">
        <v>1010</v>
      </c>
      <c r="P312" s="268">
        <v>0</v>
      </c>
      <c r="Q312" s="277" t="s">
        <v>1010</v>
      </c>
      <c r="R312" s="267">
        <v>0</v>
      </c>
      <c r="S312" s="267">
        <v>0</v>
      </c>
      <c r="T312" s="276" t="s">
        <v>1010</v>
      </c>
    </row>
    <row r="313" spans="1:20" ht="15.75" customHeight="1" x14ac:dyDescent="0.25">
      <c r="A313" s="272" t="s">
        <v>707</v>
      </c>
      <c r="B313" s="275" t="s">
        <v>706</v>
      </c>
      <c r="C313" s="265">
        <v>0.4</v>
      </c>
      <c r="D313" s="273" t="s">
        <v>795</v>
      </c>
      <c r="E313" s="274" t="s">
        <v>794</v>
      </c>
      <c r="F313" s="265">
        <v>0.1</v>
      </c>
      <c r="G313" s="273" t="s">
        <v>747</v>
      </c>
      <c r="H313" s="272" t="s">
        <v>761</v>
      </c>
      <c r="I313" s="265">
        <v>0</v>
      </c>
      <c r="J313" s="271">
        <f t="shared" si="4"/>
        <v>0.5</v>
      </c>
      <c r="L313" s="279" t="s">
        <v>1010</v>
      </c>
      <c r="M313" s="279" t="s">
        <v>1010</v>
      </c>
      <c r="N313" s="279" t="s">
        <v>1010</v>
      </c>
      <c r="O313" s="268" t="s">
        <v>1010</v>
      </c>
      <c r="P313" s="268">
        <v>0</v>
      </c>
      <c r="Q313" s="277" t="s">
        <v>1010</v>
      </c>
      <c r="R313" s="267">
        <v>0</v>
      </c>
      <c r="S313" s="267">
        <v>0</v>
      </c>
      <c r="T313" s="276" t="s">
        <v>1010</v>
      </c>
    </row>
    <row r="314" spans="1:20" ht="15.75" customHeight="1" x14ac:dyDescent="0.25">
      <c r="A314" s="272" t="s">
        <v>709</v>
      </c>
      <c r="B314" s="275" t="s">
        <v>708</v>
      </c>
      <c r="C314" s="265">
        <v>0.4</v>
      </c>
      <c r="D314" s="273" t="s">
        <v>793</v>
      </c>
      <c r="E314" s="274" t="s">
        <v>792</v>
      </c>
      <c r="F314" s="265">
        <v>0.09</v>
      </c>
      <c r="G314" s="273" t="s">
        <v>791</v>
      </c>
      <c r="H314" s="272" t="s">
        <v>790</v>
      </c>
      <c r="I314" s="265">
        <v>0.01</v>
      </c>
      <c r="J314" s="271">
        <f t="shared" si="4"/>
        <v>0.5</v>
      </c>
      <c r="K314" s="270"/>
      <c r="L314" s="279" t="s">
        <v>1010</v>
      </c>
      <c r="M314" s="279" t="s">
        <v>1010</v>
      </c>
      <c r="N314" s="279" t="s">
        <v>1010</v>
      </c>
      <c r="O314" s="268" t="s">
        <v>1010</v>
      </c>
      <c r="P314" s="268">
        <v>0</v>
      </c>
      <c r="Q314" s="277" t="s">
        <v>1010</v>
      </c>
      <c r="R314" s="267">
        <v>0</v>
      </c>
      <c r="S314" s="267">
        <v>0</v>
      </c>
      <c r="T314" s="276" t="s">
        <v>1010</v>
      </c>
    </row>
    <row r="315" spans="1:20" ht="15.75" customHeight="1" x14ac:dyDescent="0.25">
      <c r="A315" s="272" t="s">
        <v>711</v>
      </c>
      <c r="B315" s="275" t="s">
        <v>710</v>
      </c>
      <c r="C315" s="265">
        <v>0.3</v>
      </c>
      <c r="D315" s="273" t="s">
        <v>789</v>
      </c>
      <c r="E315" s="274" t="s">
        <v>788</v>
      </c>
      <c r="F315" s="265">
        <v>0.2</v>
      </c>
      <c r="G315" s="273" t="s">
        <v>747</v>
      </c>
      <c r="H315" s="274" t="s">
        <v>747</v>
      </c>
      <c r="I315" s="265">
        <v>0</v>
      </c>
      <c r="J315" s="271">
        <f t="shared" si="4"/>
        <v>0.5</v>
      </c>
      <c r="K315" s="270"/>
      <c r="L315" s="279" t="s">
        <v>1010</v>
      </c>
      <c r="M315" s="279" t="s">
        <v>1010</v>
      </c>
      <c r="N315" s="279" t="s">
        <v>1010</v>
      </c>
      <c r="O315" s="268" t="s">
        <v>1010</v>
      </c>
      <c r="P315" s="268">
        <v>0</v>
      </c>
      <c r="Q315" s="277" t="s">
        <v>1011</v>
      </c>
      <c r="R315" s="267">
        <v>0</v>
      </c>
      <c r="S315" s="267">
        <v>0</v>
      </c>
      <c r="T315" s="276" t="s">
        <v>1011</v>
      </c>
    </row>
    <row r="316" spans="1:20" ht="15.75" customHeight="1" x14ac:dyDescent="0.25">
      <c r="A316" s="272" t="s">
        <v>713</v>
      </c>
      <c r="B316" s="275" t="s">
        <v>787</v>
      </c>
      <c r="C316" s="265">
        <v>0.4</v>
      </c>
      <c r="D316" s="273" t="s">
        <v>786</v>
      </c>
      <c r="E316" s="274" t="s">
        <v>785</v>
      </c>
      <c r="F316" s="265">
        <v>0.09</v>
      </c>
      <c r="G316" s="273" t="s">
        <v>784</v>
      </c>
      <c r="H316" s="272" t="s">
        <v>783</v>
      </c>
      <c r="I316" s="265">
        <v>0.01</v>
      </c>
      <c r="J316" s="271">
        <f t="shared" si="4"/>
        <v>0.5</v>
      </c>
      <c r="K316" s="270"/>
      <c r="L316" s="279" t="s">
        <v>1010</v>
      </c>
      <c r="M316" s="279" t="s">
        <v>1010</v>
      </c>
      <c r="N316" s="279" t="s">
        <v>1010</v>
      </c>
      <c r="O316" s="268" t="s">
        <v>1010</v>
      </c>
      <c r="P316" s="268">
        <v>0</v>
      </c>
      <c r="Q316" s="277" t="s">
        <v>1010</v>
      </c>
      <c r="R316" s="267">
        <v>0</v>
      </c>
      <c r="S316" s="267">
        <v>0</v>
      </c>
      <c r="T316" s="276" t="s">
        <v>1010</v>
      </c>
    </row>
    <row r="317" spans="1:20" ht="15.75" customHeight="1" x14ac:dyDescent="0.25">
      <c r="A317" s="272" t="s">
        <v>715</v>
      </c>
      <c r="B317" s="275" t="s">
        <v>714</v>
      </c>
      <c r="C317" s="265">
        <v>0.49</v>
      </c>
      <c r="D317" s="273" t="s">
        <v>747</v>
      </c>
      <c r="E317" s="274" t="s">
        <v>766</v>
      </c>
      <c r="F317" s="265">
        <v>0</v>
      </c>
      <c r="G317" s="273" t="s">
        <v>782</v>
      </c>
      <c r="H317" s="272" t="s">
        <v>781</v>
      </c>
      <c r="I317" s="265">
        <v>0.01</v>
      </c>
      <c r="J317" s="271">
        <f t="shared" si="4"/>
        <v>0.5</v>
      </c>
      <c r="K317" s="270"/>
      <c r="L317" s="279" t="s">
        <v>1010</v>
      </c>
      <c r="M317" s="279" t="s">
        <v>1010</v>
      </c>
      <c r="N317" s="279" t="s">
        <v>1010</v>
      </c>
      <c r="O317" s="268" t="s">
        <v>1010</v>
      </c>
      <c r="P317" s="268">
        <v>0</v>
      </c>
      <c r="Q317" s="277" t="s">
        <v>1011</v>
      </c>
      <c r="R317" s="267">
        <v>0</v>
      </c>
      <c r="S317" s="267">
        <v>0</v>
      </c>
      <c r="T317" s="276" t="s">
        <v>1011</v>
      </c>
    </row>
    <row r="318" spans="1:20" ht="15.75" customHeight="1" x14ac:dyDescent="0.25">
      <c r="A318" s="272" t="s">
        <v>717</v>
      </c>
      <c r="B318" s="275" t="s">
        <v>716</v>
      </c>
      <c r="C318" s="265">
        <v>0.49</v>
      </c>
      <c r="D318" s="273" t="s">
        <v>747</v>
      </c>
      <c r="E318" s="274" t="s">
        <v>746</v>
      </c>
      <c r="F318" s="265">
        <v>0</v>
      </c>
      <c r="G318" s="273" t="s">
        <v>780</v>
      </c>
      <c r="H318" s="272" t="s">
        <v>779</v>
      </c>
      <c r="I318" s="265">
        <v>0.01</v>
      </c>
      <c r="J318" s="271">
        <f t="shared" si="4"/>
        <v>0.5</v>
      </c>
      <c r="K318" s="270"/>
      <c r="L318" s="279" t="s">
        <v>1010</v>
      </c>
      <c r="M318" s="279" t="s">
        <v>1010</v>
      </c>
      <c r="N318" s="279" t="s">
        <v>1010</v>
      </c>
      <c r="O318" s="268" t="s">
        <v>1010</v>
      </c>
      <c r="P318" s="268">
        <v>0</v>
      </c>
      <c r="Q318" s="277" t="s">
        <v>1011</v>
      </c>
      <c r="R318" s="267">
        <v>0</v>
      </c>
      <c r="S318" s="267">
        <v>0</v>
      </c>
      <c r="T318" s="276" t="s">
        <v>1011</v>
      </c>
    </row>
    <row r="319" spans="1:20" ht="15.75" customHeight="1" x14ac:dyDescent="0.25">
      <c r="A319" s="272" t="s">
        <v>719</v>
      </c>
      <c r="B319" s="275" t="s">
        <v>718</v>
      </c>
      <c r="C319" s="265">
        <v>0.4</v>
      </c>
      <c r="D319" s="273" t="s">
        <v>778</v>
      </c>
      <c r="E319" s="274" t="s">
        <v>777</v>
      </c>
      <c r="F319" s="265">
        <v>0.09</v>
      </c>
      <c r="G319" s="273" t="s">
        <v>776</v>
      </c>
      <c r="H319" s="272" t="s">
        <v>775</v>
      </c>
      <c r="I319" s="265">
        <v>0.01</v>
      </c>
      <c r="J319" s="271">
        <f t="shared" si="4"/>
        <v>0.5</v>
      </c>
      <c r="K319" s="270"/>
      <c r="L319" s="279" t="s">
        <v>1010</v>
      </c>
      <c r="M319" s="279" t="s">
        <v>1010</v>
      </c>
      <c r="N319" s="279" t="s">
        <v>1010</v>
      </c>
      <c r="O319" s="268" t="s">
        <v>1010</v>
      </c>
      <c r="P319" s="268">
        <v>0</v>
      </c>
      <c r="Q319" s="277" t="s">
        <v>1010</v>
      </c>
      <c r="R319" s="267">
        <v>0</v>
      </c>
      <c r="S319" s="267">
        <v>0</v>
      </c>
      <c r="T319" s="276" t="s">
        <v>1010</v>
      </c>
    </row>
    <row r="320" spans="1:20" ht="15.75" customHeight="1" x14ac:dyDescent="0.25">
      <c r="A320" s="272" t="s">
        <v>721</v>
      </c>
      <c r="B320" s="275" t="s">
        <v>774</v>
      </c>
      <c r="C320" s="265">
        <v>0.49</v>
      </c>
      <c r="D320" s="273" t="s">
        <v>747</v>
      </c>
      <c r="E320" s="274" t="s">
        <v>746</v>
      </c>
      <c r="F320" s="265">
        <v>0</v>
      </c>
      <c r="G320" s="273" t="s">
        <v>768</v>
      </c>
      <c r="H320" s="272" t="s">
        <v>767</v>
      </c>
      <c r="I320" s="265">
        <v>0.01</v>
      </c>
      <c r="J320" s="271">
        <f t="shared" si="4"/>
        <v>0.5</v>
      </c>
      <c r="K320" s="270"/>
      <c r="L320" s="279" t="s">
        <v>1010</v>
      </c>
      <c r="M320" s="279" t="s">
        <v>1010</v>
      </c>
      <c r="N320" s="279" t="s">
        <v>1010</v>
      </c>
      <c r="O320" s="268" t="s">
        <v>1011</v>
      </c>
      <c r="P320" s="268">
        <v>1000000</v>
      </c>
      <c r="Q320" s="277" t="s">
        <v>1011</v>
      </c>
      <c r="R320" s="267">
        <v>0</v>
      </c>
      <c r="S320" s="267">
        <v>0</v>
      </c>
      <c r="T320" s="276" t="s">
        <v>1011</v>
      </c>
    </row>
    <row r="321" spans="1:22" x14ac:dyDescent="0.25">
      <c r="A321" s="272" t="s">
        <v>723</v>
      </c>
      <c r="B321" s="275" t="s">
        <v>722</v>
      </c>
      <c r="C321" s="265">
        <v>0.49</v>
      </c>
      <c r="D321" s="273" t="s">
        <v>747</v>
      </c>
      <c r="E321" s="274" t="s">
        <v>766</v>
      </c>
      <c r="F321" s="265">
        <v>0</v>
      </c>
      <c r="G321" s="273" t="s">
        <v>773</v>
      </c>
      <c r="H321" s="272" t="s">
        <v>772</v>
      </c>
      <c r="I321" s="265">
        <v>0.01</v>
      </c>
      <c r="J321" s="271">
        <f t="shared" si="4"/>
        <v>0.5</v>
      </c>
      <c r="K321" s="270"/>
      <c r="L321" s="279" t="s">
        <v>1011</v>
      </c>
      <c r="M321" s="279" t="s">
        <v>1032</v>
      </c>
      <c r="N321" s="279" t="s">
        <v>1010</v>
      </c>
      <c r="O321" s="268" t="s">
        <v>1010</v>
      </c>
      <c r="P321" s="268">
        <v>0</v>
      </c>
      <c r="Q321" s="277" t="s">
        <v>1011</v>
      </c>
      <c r="R321" s="267">
        <v>2915</v>
      </c>
      <c r="S321" s="267">
        <v>0</v>
      </c>
      <c r="T321" s="276" t="s">
        <v>1011</v>
      </c>
    </row>
    <row r="322" spans="1:22" ht="15.75" customHeight="1" x14ac:dyDescent="0.25">
      <c r="A322" s="272" t="s">
        <v>725</v>
      </c>
      <c r="B322" s="275" t="s">
        <v>724</v>
      </c>
      <c r="C322" s="265">
        <v>0.4</v>
      </c>
      <c r="D322" s="273" t="s">
        <v>771</v>
      </c>
      <c r="E322" s="274" t="s">
        <v>770</v>
      </c>
      <c r="F322" s="265">
        <v>0.1</v>
      </c>
      <c r="G322" s="273" t="s">
        <v>747</v>
      </c>
      <c r="H322" s="272" t="s">
        <v>761</v>
      </c>
      <c r="I322" s="265">
        <v>0</v>
      </c>
      <c r="J322" s="271">
        <f t="shared" si="4"/>
        <v>0.5</v>
      </c>
      <c r="K322" s="270"/>
      <c r="L322" s="279" t="s">
        <v>1010</v>
      </c>
      <c r="M322" s="279" t="s">
        <v>1010</v>
      </c>
      <c r="N322" s="279" t="s">
        <v>1010</v>
      </c>
      <c r="O322" s="268" t="s">
        <v>1010</v>
      </c>
      <c r="P322" s="268">
        <v>0</v>
      </c>
      <c r="Q322" s="277" t="s">
        <v>1010</v>
      </c>
      <c r="R322" s="267">
        <v>0</v>
      </c>
      <c r="S322" s="267">
        <v>0</v>
      </c>
      <c r="T322" s="276" t="s">
        <v>1010</v>
      </c>
    </row>
    <row r="323" spans="1:22" ht="15.75" customHeight="1" x14ac:dyDescent="0.25">
      <c r="A323" s="272" t="s">
        <v>727</v>
      </c>
      <c r="B323" s="275" t="s">
        <v>769</v>
      </c>
      <c r="C323" s="265">
        <v>0.49</v>
      </c>
      <c r="D323" s="273" t="s">
        <v>747</v>
      </c>
      <c r="E323" s="274" t="s">
        <v>746</v>
      </c>
      <c r="F323" s="265">
        <v>0</v>
      </c>
      <c r="G323" s="273" t="s">
        <v>768</v>
      </c>
      <c r="H323" s="272" t="s">
        <v>767</v>
      </c>
      <c r="I323" s="265">
        <v>0.01</v>
      </c>
      <c r="J323" s="271">
        <f t="shared" si="4"/>
        <v>0.5</v>
      </c>
      <c r="K323" s="270"/>
      <c r="L323" s="279" t="s">
        <v>1010</v>
      </c>
      <c r="M323" s="279" t="s">
        <v>1010</v>
      </c>
      <c r="N323" s="279" t="s">
        <v>1010</v>
      </c>
      <c r="O323" s="268" t="s">
        <v>1010</v>
      </c>
      <c r="P323" s="268">
        <v>0</v>
      </c>
      <c r="Q323" s="277" t="s">
        <v>1011</v>
      </c>
      <c r="R323" s="267">
        <v>0</v>
      </c>
      <c r="S323" s="267">
        <v>0</v>
      </c>
      <c r="T323" s="276" t="s">
        <v>1011</v>
      </c>
    </row>
    <row r="324" spans="1:22" x14ac:dyDescent="0.25">
      <c r="A324" s="272" t="s">
        <v>729</v>
      </c>
      <c r="B324" s="275" t="s">
        <v>728</v>
      </c>
      <c r="C324" s="265">
        <v>0.49</v>
      </c>
      <c r="D324" s="273" t="s">
        <v>747</v>
      </c>
      <c r="E324" s="274" t="s">
        <v>766</v>
      </c>
      <c r="F324" s="265">
        <v>0</v>
      </c>
      <c r="G324" s="273" t="s">
        <v>765</v>
      </c>
      <c r="H324" s="272" t="s">
        <v>764</v>
      </c>
      <c r="I324" s="265">
        <v>0.01</v>
      </c>
      <c r="J324" s="271">
        <f t="shared" si="4"/>
        <v>0.5</v>
      </c>
      <c r="K324" s="270"/>
      <c r="L324" s="279" t="s">
        <v>1011</v>
      </c>
      <c r="M324" s="279" t="s">
        <v>1042</v>
      </c>
      <c r="N324" s="279" t="s">
        <v>1010</v>
      </c>
      <c r="O324" s="268" t="s">
        <v>1010</v>
      </c>
      <c r="P324" s="268">
        <v>0</v>
      </c>
      <c r="Q324" s="277" t="s">
        <v>1011</v>
      </c>
      <c r="R324" s="267">
        <v>88549</v>
      </c>
      <c r="S324" s="267">
        <v>0</v>
      </c>
      <c r="T324" s="276" t="s">
        <v>1011</v>
      </c>
    </row>
    <row r="325" spans="1:22" ht="15.75" customHeight="1" x14ac:dyDescent="0.25">
      <c r="A325" s="272" t="s">
        <v>731</v>
      </c>
      <c r="B325" s="275" t="s">
        <v>730</v>
      </c>
      <c r="C325" s="265">
        <v>0.4</v>
      </c>
      <c r="D325" s="273" t="s">
        <v>752</v>
      </c>
      <c r="E325" s="274" t="s">
        <v>751</v>
      </c>
      <c r="F325" s="265">
        <v>0.09</v>
      </c>
      <c r="G325" s="273" t="s">
        <v>750</v>
      </c>
      <c r="H325" s="272" t="s">
        <v>749</v>
      </c>
      <c r="I325" s="265">
        <v>0.01</v>
      </c>
      <c r="J325" s="271">
        <f t="shared" si="4"/>
        <v>0.5</v>
      </c>
      <c r="K325" s="270"/>
      <c r="L325" s="279" t="s">
        <v>1010</v>
      </c>
      <c r="M325" s="279" t="s">
        <v>1010</v>
      </c>
      <c r="N325" s="279" t="s">
        <v>1010</v>
      </c>
      <c r="O325" s="268" t="s">
        <v>1011</v>
      </c>
      <c r="P325" s="268">
        <v>621010</v>
      </c>
      <c r="Q325" s="277" t="s">
        <v>1010</v>
      </c>
      <c r="R325" s="267">
        <v>0</v>
      </c>
      <c r="S325" s="267">
        <v>0</v>
      </c>
      <c r="T325" s="276" t="s">
        <v>1010</v>
      </c>
    </row>
    <row r="326" spans="1:22" ht="15.75" customHeight="1" x14ac:dyDescent="0.25">
      <c r="A326" s="272" t="s">
        <v>733</v>
      </c>
      <c r="B326" s="275" t="s">
        <v>732</v>
      </c>
      <c r="C326" s="265">
        <v>0.4</v>
      </c>
      <c r="D326" s="273" t="s">
        <v>763</v>
      </c>
      <c r="E326" s="274" t="s">
        <v>762</v>
      </c>
      <c r="F326" s="265">
        <v>0.1</v>
      </c>
      <c r="G326" s="273" t="s">
        <v>747</v>
      </c>
      <c r="H326" s="272" t="s">
        <v>761</v>
      </c>
      <c r="I326" s="265">
        <v>0</v>
      </c>
      <c r="J326" s="271">
        <f t="shared" ref="J326:J331" si="5">+C326+F326+I326</f>
        <v>0.5</v>
      </c>
      <c r="K326" s="270"/>
      <c r="L326" s="279" t="s">
        <v>1010</v>
      </c>
      <c r="M326" s="279" t="s">
        <v>1010</v>
      </c>
      <c r="N326" s="279" t="s">
        <v>1010</v>
      </c>
      <c r="O326" s="268" t="s">
        <v>1010</v>
      </c>
      <c r="P326" s="268">
        <v>0</v>
      </c>
      <c r="Q326" s="277" t="s">
        <v>1010</v>
      </c>
      <c r="R326" s="267">
        <v>0</v>
      </c>
      <c r="S326" s="267">
        <v>0</v>
      </c>
      <c r="T326" s="276" t="s">
        <v>1010</v>
      </c>
    </row>
    <row r="327" spans="1:22" ht="15.75" customHeight="1" x14ac:dyDescent="0.25">
      <c r="A327" s="272" t="s">
        <v>735</v>
      </c>
      <c r="B327" s="275" t="s">
        <v>734</v>
      </c>
      <c r="C327" s="265">
        <v>0.4</v>
      </c>
      <c r="D327" s="273" t="s">
        <v>752</v>
      </c>
      <c r="E327" s="274" t="s">
        <v>751</v>
      </c>
      <c r="F327" s="265">
        <v>0.09</v>
      </c>
      <c r="G327" s="273" t="s">
        <v>750</v>
      </c>
      <c r="H327" s="272" t="s">
        <v>749</v>
      </c>
      <c r="I327" s="265">
        <v>0.01</v>
      </c>
      <c r="J327" s="271">
        <f t="shared" si="5"/>
        <v>0.5</v>
      </c>
      <c r="K327" s="270"/>
      <c r="L327" s="279" t="s">
        <v>1010</v>
      </c>
      <c r="M327" s="279" t="s">
        <v>1010</v>
      </c>
      <c r="N327" s="279" t="s">
        <v>1010</v>
      </c>
      <c r="O327" s="268" t="s">
        <v>1011</v>
      </c>
      <c r="P327" s="268">
        <v>550506</v>
      </c>
      <c r="Q327" s="277" t="s">
        <v>1010</v>
      </c>
      <c r="R327" s="267">
        <v>0</v>
      </c>
      <c r="S327" s="267">
        <v>0</v>
      </c>
      <c r="T327" s="276" t="s">
        <v>1010</v>
      </c>
    </row>
    <row r="328" spans="1:22" ht="15.75" customHeight="1" x14ac:dyDescent="0.25">
      <c r="A328" s="272" t="s">
        <v>737</v>
      </c>
      <c r="B328" s="275" t="s">
        <v>736</v>
      </c>
      <c r="C328" s="265">
        <v>0.4</v>
      </c>
      <c r="D328" s="273" t="s">
        <v>760</v>
      </c>
      <c r="E328" s="274" t="s">
        <v>759</v>
      </c>
      <c r="F328" s="265">
        <v>0.09</v>
      </c>
      <c r="G328" s="273" t="s">
        <v>758</v>
      </c>
      <c r="H328" s="272" t="s">
        <v>757</v>
      </c>
      <c r="I328" s="265">
        <v>0.01</v>
      </c>
      <c r="J328" s="271">
        <f t="shared" si="5"/>
        <v>0.5</v>
      </c>
      <c r="K328" s="270"/>
      <c r="L328" s="279" t="s">
        <v>1010</v>
      </c>
      <c r="M328" s="279" t="s">
        <v>1010</v>
      </c>
      <c r="N328" s="279" t="s">
        <v>1010</v>
      </c>
      <c r="O328" s="268" t="s">
        <v>1010</v>
      </c>
      <c r="P328" s="268">
        <v>0</v>
      </c>
      <c r="Q328" s="277" t="s">
        <v>1010</v>
      </c>
      <c r="R328" s="267">
        <v>0</v>
      </c>
      <c r="S328" s="267">
        <v>0</v>
      </c>
      <c r="T328" s="276" t="s">
        <v>1010</v>
      </c>
    </row>
    <row r="329" spans="1:22" ht="15.75" customHeight="1" x14ac:dyDescent="0.25">
      <c r="A329" s="272" t="s">
        <v>739</v>
      </c>
      <c r="B329" s="275" t="s">
        <v>738</v>
      </c>
      <c r="C329" s="265">
        <v>0.4</v>
      </c>
      <c r="D329" s="273" t="s">
        <v>756</v>
      </c>
      <c r="E329" s="274" t="s">
        <v>755</v>
      </c>
      <c r="F329" s="265">
        <v>0.09</v>
      </c>
      <c r="G329" s="273" t="s">
        <v>754</v>
      </c>
      <c r="H329" s="272" t="s">
        <v>753</v>
      </c>
      <c r="I329" s="265">
        <v>0.01</v>
      </c>
      <c r="J329" s="271">
        <f t="shared" si="5"/>
        <v>0.5</v>
      </c>
      <c r="K329" s="270"/>
      <c r="L329" s="279" t="s">
        <v>1010</v>
      </c>
      <c r="M329" s="279" t="s">
        <v>1010</v>
      </c>
      <c r="N329" s="279" t="s">
        <v>1010</v>
      </c>
      <c r="O329" s="268" t="s">
        <v>1010</v>
      </c>
      <c r="P329" s="268">
        <v>0</v>
      </c>
      <c r="Q329" s="277" t="s">
        <v>1010</v>
      </c>
      <c r="R329" s="267">
        <v>0</v>
      </c>
      <c r="S329" s="267">
        <v>0</v>
      </c>
      <c r="T329" s="276" t="s">
        <v>1010</v>
      </c>
    </row>
    <row r="330" spans="1:22" ht="15.75" customHeight="1" x14ac:dyDescent="0.25">
      <c r="A330" s="272" t="s">
        <v>741</v>
      </c>
      <c r="B330" s="275" t="s">
        <v>740</v>
      </c>
      <c r="C330" s="265">
        <v>0.4</v>
      </c>
      <c r="D330" s="273" t="s">
        <v>752</v>
      </c>
      <c r="E330" s="274" t="s">
        <v>751</v>
      </c>
      <c r="F330" s="265">
        <v>0.09</v>
      </c>
      <c r="G330" s="273" t="s">
        <v>750</v>
      </c>
      <c r="H330" s="272" t="s">
        <v>749</v>
      </c>
      <c r="I330" s="265">
        <v>0.01</v>
      </c>
      <c r="J330" s="271">
        <f t="shared" si="5"/>
        <v>0.5</v>
      </c>
      <c r="K330" s="270"/>
      <c r="L330" s="279" t="s">
        <v>1010</v>
      </c>
      <c r="M330" s="279" t="s">
        <v>1010</v>
      </c>
      <c r="N330" s="279" t="s">
        <v>1010</v>
      </c>
      <c r="O330" s="268" t="s">
        <v>1010</v>
      </c>
      <c r="P330" s="268">
        <v>0</v>
      </c>
      <c r="Q330" s="277" t="s">
        <v>1010</v>
      </c>
      <c r="R330" s="267">
        <v>0</v>
      </c>
      <c r="S330" s="267">
        <v>0</v>
      </c>
      <c r="T330" s="276" t="s">
        <v>1010</v>
      </c>
    </row>
    <row r="331" spans="1:22" x14ac:dyDescent="0.25">
      <c r="A331" s="272" t="s">
        <v>743</v>
      </c>
      <c r="B331" s="275" t="s">
        <v>748</v>
      </c>
      <c r="C331" s="265">
        <v>0.49</v>
      </c>
      <c r="D331" s="273" t="s">
        <v>747</v>
      </c>
      <c r="E331" s="274" t="s">
        <v>746</v>
      </c>
      <c r="F331" s="265">
        <v>0</v>
      </c>
      <c r="G331" s="273" t="s">
        <v>745</v>
      </c>
      <c r="H331" s="272" t="s">
        <v>744</v>
      </c>
      <c r="I331" s="265">
        <v>0.01</v>
      </c>
      <c r="J331" s="271">
        <f t="shared" si="5"/>
        <v>0.5</v>
      </c>
      <c r="K331" s="270"/>
      <c r="L331" s="279" t="s">
        <v>1010</v>
      </c>
      <c r="M331" s="279" t="s">
        <v>1010</v>
      </c>
      <c r="N331" s="279" t="s">
        <v>1010</v>
      </c>
      <c r="O331" s="268" t="s">
        <v>1011</v>
      </c>
      <c r="P331" s="268">
        <v>5368000</v>
      </c>
      <c r="Q331" s="277" t="s">
        <v>1011</v>
      </c>
      <c r="R331" s="267">
        <v>0</v>
      </c>
      <c r="S331" s="267">
        <v>0</v>
      </c>
      <c r="T331" s="276" t="s">
        <v>1011</v>
      </c>
    </row>
    <row r="332" spans="1:22" ht="16.5" thickBot="1" x14ac:dyDescent="0.3">
      <c r="A332" s="264"/>
      <c r="B332" s="264"/>
      <c r="C332" s="266"/>
      <c r="D332" s="266"/>
      <c r="E332" s="264"/>
      <c r="F332" s="266"/>
      <c r="G332" s="266"/>
      <c r="H332" s="264"/>
      <c r="I332" s="265"/>
      <c r="J332" s="264"/>
      <c r="M332" s="261"/>
      <c r="N332" s="261"/>
      <c r="P332" s="263"/>
      <c r="Q332" s="254"/>
      <c r="R332" s="254"/>
      <c r="S332" s="254"/>
    </row>
    <row r="333" spans="1:22" x14ac:dyDescent="0.25">
      <c r="M333" s="261"/>
      <c r="N333" s="261"/>
      <c r="R333" s="254"/>
      <c r="S333" s="254"/>
    </row>
    <row r="334" spans="1:22" x14ac:dyDescent="0.25">
      <c r="J334" s="262"/>
      <c r="M334" s="261"/>
      <c r="N334" s="261"/>
      <c r="R334" s="426"/>
      <c r="S334" s="426"/>
      <c r="T334" s="426"/>
      <c r="U334" s="426"/>
      <c r="V334" s="426"/>
    </row>
    <row r="335" spans="1:22" x14ac:dyDescent="0.25">
      <c r="R335" s="426"/>
      <c r="S335" s="426"/>
    </row>
  </sheetData>
  <sheetProtection sheet="1" objects="1" scenarios="1"/>
  <autoFilter ref="E5:R332" xr:uid="{00000000-0009-0000-0000-000008000000}"/>
  <mergeCells count="3">
    <mergeCell ref="M4:N4"/>
    <mergeCell ref="R4:S4"/>
    <mergeCell ref="A1:J1"/>
  </mergeCells>
  <conditionalFormatting sqref="C6:C331 F6:F331 I6:I331">
    <cfRule type="cellIs" dxfId="1" priority="2" stopIfTrue="1" operator="lessThan">
      <formula>0</formula>
    </cfRule>
  </conditionalFormatting>
  <conditionalFormatting sqref="I332">
    <cfRule type="cellIs" dxfId="0" priority="1" stopIfTrue="1" operator="lessThan">
      <formula>0</formula>
    </cfRule>
  </conditionalFormatting>
  <dataValidations count="1">
    <dataValidation type="custom" allowBlank="1" showInputMessage="1" showErrorMessage="1" sqref="A1:T331" xr:uid="{00000000-0002-0000-0800-000000000000}">
      <formula1>$CZ$1="UNLOCK"</formula1>
    </dataValidation>
  </dataValidations>
  <pageMargins left="0.75" right="0.75" top="1" bottom="1" header="0.5" footer="0.5"/>
  <pageSetup paperSize="9" scale="44"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F39BD992-10F2-4DCA-949D-42E47FF6E8D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Metadata</vt:lpstr>
      <vt:lpstr>Part 1</vt:lpstr>
      <vt:lpstr>Part 2</vt:lpstr>
      <vt:lpstr>DA Summary</vt:lpstr>
      <vt:lpstr>Part 3</vt:lpstr>
      <vt:lpstr>Part 4</vt:lpstr>
      <vt:lpstr>Part 5</vt:lpstr>
      <vt:lpstr>Data</vt:lpstr>
      <vt:lpstr>TierSplit</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lpstr>TierSplit!tiersplit</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Joe Scott</cp:lastModifiedBy>
  <cp:lastPrinted>2017-11-20T10:08:39Z</cp:lastPrinted>
  <dcterms:created xsi:type="dcterms:W3CDTF">2013-07-12T16:47:25Z</dcterms:created>
  <dcterms:modified xsi:type="dcterms:W3CDTF">2020-10-22T14:35:08Z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